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omments1.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drawings/drawing2.xml" ContentType="application/vnd.openxmlformats-officedocument.drawing+xml"/>
  <Override PartName="/xl/comments5.xml" ContentType="application/vnd.openxmlformats-officedocument.spreadsheetml.comments+xml"/>
  <Override PartName="/xl/drawings/drawing3.xml" ContentType="application/vnd.openxmlformats-officedocument.drawing+xml"/>
  <Override PartName="/xl/comments6.xml" ContentType="application/vnd.openxmlformats-officedocument.spreadsheetml.comments+xml"/>
  <Override PartName="/xl/drawings/drawing4.xml" ContentType="application/vnd.openxmlformats-officedocument.drawing+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5.xml" ContentType="application/vnd.openxmlformats-officedocument.drawing+xml"/>
  <Override PartName="/xl/ctrlProps/ctrlProp18.xml" ContentType="application/vnd.ms-excel.controlproperties+xml"/>
  <Override PartName="/xl/ctrlProps/ctrlProp19.xml" ContentType="application/vnd.ms-excel.controlproperties+xml"/>
  <Override PartName="/xl/comments7.xml" ContentType="application/vnd.openxmlformats-officedocument.spreadsheetml.comments+xml"/>
  <Override PartName="/xl/drawings/drawing6.xml" ContentType="application/vnd.openxmlformats-officedocument.drawing+xml"/>
  <Override PartName="/xl/comments8.xml" ContentType="application/vnd.openxmlformats-officedocument.spreadsheetml.comments+xml"/>
  <Override PartName="/xl/comments9.xml" ContentType="application/vnd.openxmlformats-officedocument.spreadsheetml.comments+xml"/>
  <Override PartName="/xl/drawings/drawing7.xml" ContentType="application/vnd.openxmlformats-officedocument.drawing+xml"/>
  <Override PartName="/xl/ctrlProps/ctrlProp20.xml" ContentType="application/vnd.ms-excel.controlproperties+xml"/>
  <Override PartName="/xl/comments10.xml" ContentType="application/vnd.openxmlformats-officedocument.spreadsheetml.comments+xml"/>
  <Override PartName="/xl/drawings/drawing8.xml" ContentType="application/vnd.openxmlformats-officedocument.drawing+xml"/>
  <Override PartName="/xl/drawings/drawing9.xml" ContentType="application/vnd.openxmlformats-officedocument.drawing+xml"/>
  <Override PartName="/xl/drawings/drawing10.xml" ContentType="application/vnd.openxmlformats-officedocument.drawing+xml"/>
  <Override PartName="/xl/comments11.xml" ContentType="application/vnd.openxmlformats-officedocument.spreadsheetml.comments+xml"/>
  <Override PartName="/xl/comments12.xml" ContentType="application/vnd.openxmlformats-officedocument.spreadsheetml.comments+xml"/>
  <Override PartName="/xl/drawings/drawing11.xml" ContentType="application/vnd.openxmlformats-officedocument.drawing+xml"/>
  <Override PartName="/xl/comments13.xml" ContentType="application/vnd.openxmlformats-officedocument.spreadsheetml.comments+xml"/>
  <Override PartName="/xl/comments14.xml" ContentType="application/vnd.openxmlformats-officedocument.spreadsheetml.comments+xml"/>
  <Override PartName="/xl/drawings/drawing12.xml" ContentType="application/vnd.openxmlformats-officedocument.drawing+xml"/>
  <Override PartName="/xl/comments1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hidePivotFieldList="1" defaultThemeVersion="153222"/>
  <mc:AlternateContent xmlns:mc="http://schemas.openxmlformats.org/markup-compatibility/2006">
    <mc:Choice Requires="x15">
      <x15ac:absPath xmlns:x15ac="http://schemas.microsoft.com/office/spreadsheetml/2010/11/ac" url="H:\a_xls\Policyandcompetition\P_BMP\"/>
    </mc:Choice>
  </mc:AlternateContent>
  <bookViews>
    <workbookView xWindow="0" yWindow="0" windowWidth="15600" windowHeight="10995" firstSheet="1" activeTab="1"/>
  </bookViews>
  <sheets>
    <sheet name="Table of contents" sheetId="31" r:id="rId1"/>
    <sheet name="Main" sheetId="2" r:id="rId2"/>
    <sheet name="HUC10" sheetId="32" r:id="rId3"/>
    <sheet name="P Export" sheetId="3" r:id="rId4"/>
    <sheet name="P_Index Scores" sheetId="4" r:id="rId5"/>
    <sheet name="Erosion" sheetId="5" r:id="rId6"/>
    <sheet name="Buffer" sheetId="12" r:id="rId7"/>
    <sheet name="Returns_Per_A" sheetId="13" r:id="rId8"/>
    <sheet name="Optimize" sheetId="30" r:id="rId9"/>
    <sheet name="Scenarios" sheetId="29" state="hidden" r:id="rId10"/>
    <sheet name="pwdsht" sheetId="28" state="hidden" r:id="rId11"/>
    <sheet name="Watersheds" sheetId="11" r:id="rId12"/>
    <sheet name="Watacresall" sheetId="27" state="hidden" r:id="rId13"/>
    <sheet name="Covercrop" sheetId="24" r:id="rId14"/>
    <sheet name="Parameters" sheetId="19" r:id="rId15"/>
    <sheet name="Fertilizer Rate" sheetId="20" r:id="rId16"/>
    <sheet name="Fertilizer Method" sheetId="21" r:id="rId17"/>
    <sheet name="STP" sheetId="18" r:id="rId18"/>
    <sheet name="Crop_codes" sheetId="7" r:id="rId19"/>
    <sheet name="Impl_select" sheetId="9" r:id="rId20"/>
    <sheet name="C_Drain" sheetId="14" r:id="rId21"/>
    <sheet name="Inlets" sheetId="17" r:id="rId22"/>
    <sheet name="Manure Method" sheetId="23" r:id="rId23"/>
    <sheet name="Manure Rate" sheetId="22" r:id="rId24"/>
    <sheet name="Cost data" sheetId="16" r:id="rId25"/>
    <sheet name="Runoff" sheetId="10" r:id="rId26"/>
    <sheet name="Revisions" sheetId="33" r:id="rId27"/>
    <sheet name="Workspace" sheetId="26" r:id="rId28"/>
  </sheets>
  <functionGroups builtInGroupCount="18"/>
  <externalReferences>
    <externalReference r:id="rId29"/>
  </externalReference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LiveUpdate" hidden="1">TRUE</definedName>
    <definedName name="_AtRisk_SimSetting_LiveUpdatePeriod" hidden="1">-1</definedName>
    <definedName name="_AtRisk_SimSetting_RandomNumberGenerator" hidden="1">0</definedName>
    <definedName name="_AtRisk_SimSetting_ReportsList" hidden="1">1024</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Behavior" hidden="1">1</definedName>
    <definedName name="_AtRisk_SimSetting_StdRecalcWithoutRiskStatic" hidden="1">0</definedName>
    <definedName name="_AtRisk_SimSetting_StdRecalcWithoutRiskStaticPercentile" hidden="1">0.5</definedName>
    <definedName name="_xlnm._FilterDatabase" localSheetId="2" hidden="1">'HUC10'!$B$7:$D$552</definedName>
    <definedName name="_xlnm._FilterDatabase" localSheetId="22" hidden="1">'Manure Method'!$A$176:$A$181</definedName>
    <definedName name="acres_watershed">Main!$E$64</definedName>
    <definedName name="acretog">Main!$L$262</definedName>
    <definedName name="actualsales">'Fertilizer Rate'!$AR$81</definedName>
    <definedName name="boderarea">Main!$O$160:$IY$170</definedName>
    <definedName name="calcfirst">Scenarios!$C$4</definedName>
    <definedName name="calclast">Scenarios!$C$5</definedName>
    <definedName name="colorarea">Main!$O$160:$IY$160</definedName>
    <definedName name="colorchart">Workspace!$A$587</definedName>
    <definedName name="comflag">Main!$AP$275</definedName>
    <definedName name="cost_lb">Main!$D$224</definedName>
    <definedName name="costdiff">Main!$C$175</definedName>
    <definedName name="_xlnm.Criteria" localSheetId="2">'HUC10'!$C$2:$C$3</definedName>
    <definedName name="defadopt1">Main!$AF$10</definedName>
    <definedName name="deletab">Main!$O$142:$IY$172</definedName>
    <definedName name="dest1">Workspace!$A$8</definedName>
    <definedName name="dest2">Workspace!$B$8</definedName>
    <definedName name="dest3">Workspace!$C$8</definedName>
    <definedName name="destall">Workspace!$A$8:$C$263</definedName>
    <definedName name="dtab">OFFSET(Main!$D$172,0,0,3,Main!$N$257)</definedName>
    <definedName name="_xlnm.Extract" localSheetId="2">'HUC10'!$B$559:$D$559</definedName>
    <definedName name="fertlink">Main!$B$21</definedName>
    <definedName name="graphcnt">Workspace!$F$4</definedName>
    <definedName name="graphkey">Main!$F$102</definedName>
    <definedName name="graphkeyall">Main!$E$103:$E$128</definedName>
    <definedName name="graphkeyall2">Workspace!$F$586:$F$610</definedName>
    <definedName name="graphkeyno">Workspace!$E$586:$E$610</definedName>
    <definedName name="graphlegend">OFFSET(Workspace!$F$586,0,0,pracno,1)</definedName>
    <definedName name="graphlegend2">Main!$F$103</definedName>
    <definedName name="graphresult">Workspace!$I$8:$M$263</definedName>
    <definedName name="graphstart">[1]Graphdata!$C$5</definedName>
    <definedName name="huc10crit">'HUC10'!$C$3</definedName>
    <definedName name="huc10data">'HUC10'!$B$7:$D$552</definedName>
    <definedName name="huc10filoutput">'HUC10'!$B$560:$D$599</definedName>
    <definedName name="huc10list">OFFSET(Main!$C$302,0,0,'HUC10'!$D$558+1,1)</definedName>
    <definedName name="huc10outtitles">'HUC10'!$B$559:$D$559</definedName>
    <definedName name="huc10selected">'HUC10'!$B$556</definedName>
    <definedName name="huc8crit">'HUC10'!$C$2:$C$3</definedName>
    <definedName name="loadac">Main!$E$66</definedName>
    <definedName name="loadreduction">Main!$C$173</definedName>
    <definedName name="maininputs">Main!$D$10:$D$19</definedName>
    <definedName name="maxreduce">Main!$B$83</definedName>
    <definedName name="mypwd">pwdsht!$A$1</definedName>
    <definedName name="nmax">Workspace!$B$5</definedName>
    <definedName name="optfirst">Optimize!$P$43</definedName>
    <definedName name="optlast">Optimize!$P$44</definedName>
    <definedName name="optwatshd">Optimize!$C$2</definedName>
    <definedName name="pracno">Workspace!$F$3</definedName>
    <definedName name="_xlnm.Print_Area" localSheetId="1">Main!$G$9:$O$19</definedName>
    <definedName name="_xlnm.Print_Area" localSheetId="14">Parameters!$O$11:$V$21</definedName>
    <definedName name="protectflag">Main!$B$263</definedName>
    <definedName name="protectlast">Main!$A$263</definedName>
    <definedName name="remcover">Main!$E$33</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5</definedName>
    <definedName name="RiskMinimizeOnStart" hidden="1">FALSE</definedName>
    <definedName name="RiskMonitorConvergence" hidden="1">FALSE</definedName>
    <definedName name="RiskMultipleCPUSupportEnabled" hidden="1">TRUE</definedName>
    <definedName name="RiskNumIterations" hidden="1">100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tandardRecalc" hidden="1">2</definedName>
    <definedName name="RiskUpdateDisplay" hidden="1">FALSE</definedName>
    <definedName name="RiskUseDifferentSeedForEachSim" hidden="1">FALSE</definedName>
    <definedName name="RiskUseFixedSeed" hidden="1">FALSE</definedName>
    <definedName name="RiskUseMultipleCPUs" hidden="1">TRUE</definedName>
    <definedName name="salesadj">'Fertilizer Rate'!$AR$83</definedName>
    <definedName name="salescheck">'Fertilizer Rate'!$AO$82</definedName>
    <definedName name="scenfrom">Scenarios!$D$8:$CE$37</definedName>
    <definedName name="sceninputs">Scenarios!$A$28</definedName>
    <definedName name="scenmultilive">Scenarios!$C$11:$C$27</definedName>
    <definedName name="scensortq1">Scenarios!$D$46:$CE$46</definedName>
    <definedName name="scensortq2">Scenarios!$BU$46:$CE$46</definedName>
    <definedName name="scensortr1">Scenarios!$D$39:$CE$68</definedName>
    <definedName name="scensortr2">Scenarios!$BV$39:$CD$68</definedName>
    <definedName name="scento">Scenarios!$D$39</definedName>
    <definedName name="solver_adj" localSheetId="8" hidden="1">Optimize!$J$6:$J$15</definedName>
    <definedName name="solver_adj" localSheetId="14" hidden="1">Parameters!$Q$12,Parameters!$Q$13</definedName>
    <definedName name="solver_cvg" localSheetId="14" hidden="1">0.0001</definedName>
    <definedName name="solver_drv" localSheetId="14" hidden="1">2</definedName>
    <definedName name="solver_eng" localSheetId="1" hidden="1">1</definedName>
    <definedName name="solver_eng" localSheetId="8" hidden="1">1</definedName>
    <definedName name="solver_eng" localSheetId="14" hidden="1">1</definedName>
    <definedName name="solver_est" localSheetId="14" hidden="1">1</definedName>
    <definedName name="solver_itr" localSheetId="14" hidden="1">2147483647</definedName>
    <definedName name="solver_lhs1" localSheetId="1" hidden="1">Main!$J$6</definedName>
    <definedName name="solver_lhs1" localSheetId="8" hidden="1">Optimize!$J$6</definedName>
    <definedName name="solver_lhs10" localSheetId="8" hidden="1">Optimize!$J$15</definedName>
    <definedName name="solver_lhs11" localSheetId="8" hidden="1">Optimize!$J$6</definedName>
    <definedName name="solver_lhs12" localSheetId="8" hidden="1">Optimize!$J$7</definedName>
    <definedName name="solver_lhs13" localSheetId="8" hidden="1">Optimize!$J$8</definedName>
    <definedName name="solver_lhs14" localSheetId="8" hidden="1">Optimize!$J$9</definedName>
    <definedName name="solver_lhs15" localSheetId="8" hidden="1">Optimize!$J$10</definedName>
    <definedName name="solver_lhs16" localSheetId="8" hidden="1">Optimize!$J$11</definedName>
    <definedName name="solver_lhs17" localSheetId="8" hidden="1">Optimize!$J$12</definedName>
    <definedName name="solver_lhs18" localSheetId="8" hidden="1">Optimize!$J$13</definedName>
    <definedName name="solver_lhs19" localSheetId="8" hidden="1">Optimize!$J$14</definedName>
    <definedName name="solver_lhs2" localSheetId="8" hidden="1">Optimize!$J$7</definedName>
    <definedName name="solver_lhs20" localSheetId="8" hidden="1">Optimize!$J$15</definedName>
    <definedName name="solver_lhs21" localSheetId="8" hidden="1">Optimize!$K$20</definedName>
    <definedName name="solver_lhs3" localSheetId="8" hidden="1">Optimize!$J$8</definedName>
    <definedName name="solver_lhs4" localSheetId="8" hidden="1">Optimize!$J$9</definedName>
    <definedName name="solver_lhs5" localSheetId="8" hidden="1">Optimize!$J$10</definedName>
    <definedName name="solver_lhs6" localSheetId="8" hidden="1">Optimize!$J$11</definedName>
    <definedName name="solver_lhs7" localSheetId="8" hidden="1">Optimize!$J$12</definedName>
    <definedName name="solver_lhs8" localSheetId="8" hidden="1">Optimize!$J$13</definedName>
    <definedName name="solver_lhs9" localSheetId="8" hidden="1">Optimize!$J$14</definedName>
    <definedName name="solver_mip" localSheetId="14" hidden="1">2147483647</definedName>
    <definedName name="solver_mni" localSheetId="14" hidden="1">30</definedName>
    <definedName name="solver_mrt" localSheetId="14" hidden="1">0.075</definedName>
    <definedName name="solver_msl" localSheetId="14" hidden="1">2</definedName>
    <definedName name="solver_neg" localSheetId="1" hidden="1">1</definedName>
    <definedName name="solver_neg" localSheetId="8" hidden="1">1</definedName>
    <definedName name="solver_neg" localSheetId="14" hidden="1">1</definedName>
    <definedName name="solver_nod" localSheetId="14" hidden="1">2147483647</definedName>
    <definedName name="solver_num" localSheetId="1" hidden="1">0</definedName>
    <definedName name="solver_num" localSheetId="8" hidden="1">21</definedName>
    <definedName name="solver_num" localSheetId="14" hidden="1">0</definedName>
    <definedName name="solver_nwt" localSheetId="14" hidden="1">1</definedName>
    <definedName name="solver_opt" localSheetId="8" hidden="1">Optimize!$K$18</definedName>
    <definedName name="solver_opt" localSheetId="14" hidden="1">Parameters!$T$21</definedName>
    <definedName name="solver_pre" localSheetId="14" hidden="1">0.000001</definedName>
    <definedName name="solver_rbv" localSheetId="14" hidden="1">2</definedName>
    <definedName name="solver_rel1" localSheetId="8" hidden="1">3</definedName>
    <definedName name="solver_rel10" localSheetId="8" hidden="1">3</definedName>
    <definedName name="solver_rel11" localSheetId="8" hidden="1">1</definedName>
    <definedName name="solver_rel12" localSheetId="8" hidden="1">1</definedName>
    <definedName name="solver_rel13" localSheetId="8" hidden="1">1</definedName>
    <definedName name="solver_rel14" localSheetId="8" hidden="1">1</definedName>
    <definedName name="solver_rel15" localSheetId="8" hidden="1">1</definedName>
    <definedName name="solver_rel16" localSheetId="8" hidden="1">1</definedName>
    <definedName name="solver_rel17" localSheetId="8" hidden="1">1</definedName>
    <definedName name="solver_rel18" localSheetId="8" hidden="1">1</definedName>
    <definedName name="solver_rel19" localSheetId="8" hidden="1">1</definedName>
    <definedName name="solver_rel2" localSheetId="8" hidden="1">3</definedName>
    <definedName name="solver_rel20" localSheetId="8" hidden="1">1</definedName>
    <definedName name="solver_rel21" localSheetId="8" hidden="1">3</definedName>
    <definedName name="solver_rel3" localSheetId="8" hidden="1">3</definedName>
    <definedName name="solver_rel4" localSheetId="8" hidden="1">3</definedName>
    <definedName name="solver_rel5" localSheetId="8" hidden="1">3</definedName>
    <definedName name="solver_rel6" localSheetId="8" hidden="1">3</definedName>
    <definedName name="solver_rel7" localSheetId="8" hidden="1">3</definedName>
    <definedName name="solver_rel8" localSheetId="8" hidden="1">3</definedName>
    <definedName name="solver_rel9" localSheetId="8" hidden="1">3</definedName>
    <definedName name="solver_rhs1" localSheetId="8" hidden="1">Optimize!$H$6</definedName>
    <definedName name="solver_rhs10" localSheetId="8" hidden="1">Optimize!$H$15</definedName>
    <definedName name="solver_rhs11" localSheetId="8" hidden="1">Optimize!$I$6</definedName>
    <definedName name="solver_rhs12" localSheetId="8" hidden="1">Optimize!$I$7</definedName>
    <definedName name="solver_rhs13" localSheetId="8" hidden="1">Optimize!$I$8</definedName>
    <definedName name="solver_rhs14" localSheetId="8" hidden="1">Optimize!$I$9</definedName>
    <definedName name="solver_rhs15" localSheetId="8" hidden="1">Optimize!$I$10</definedName>
    <definedName name="solver_rhs16" localSheetId="8" hidden="1">Optimize!$I$11</definedName>
    <definedName name="solver_rhs17" localSheetId="8" hidden="1">Optimize!$I$12</definedName>
    <definedName name="solver_rhs18" localSheetId="8" hidden="1">Optimize!$I$13</definedName>
    <definedName name="solver_rhs19" localSheetId="8" hidden="1">Optimize!$I$14</definedName>
    <definedName name="solver_rhs2" localSheetId="8" hidden="1">Optimize!$H$7</definedName>
    <definedName name="solver_rhs20" localSheetId="8" hidden="1">Optimize!$I$15</definedName>
    <definedName name="solver_rhs21" localSheetId="8" hidden="1">Optimize!$K$21</definedName>
    <definedName name="solver_rhs3" localSheetId="8" hidden="1">Optimize!$H$8</definedName>
    <definedName name="solver_rhs4" localSheetId="8" hidden="1">Optimize!$H$9</definedName>
    <definedName name="solver_rhs5" localSheetId="8" hidden="1">Optimize!$H$10</definedName>
    <definedName name="solver_rhs6" localSheetId="8" hidden="1">Optimize!$H$11</definedName>
    <definedName name="solver_rhs7" localSheetId="8" hidden="1">Optimize!$H$12</definedName>
    <definedName name="solver_rhs8" localSheetId="8" hidden="1">Optimize!$H$13</definedName>
    <definedName name="solver_rhs9" localSheetId="8" hidden="1">Optimize!$H$14</definedName>
    <definedName name="solver_rlx" localSheetId="14" hidden="1">2</definedName>
    <definedName name="solver_rsd" localSheetId="14" hidden="1">0</definedName>
    <definedName name="solver_scl" localSheetId="14" hidden="1">2</definedName>
    <definedName name="solver_sho" localSheetId="14" hidden="1">2</definedName>
    <definedName name="solver_ssz" localSheetId="14" hidden="1">100</definedName>
    <definedName name="solver_tim" localSheetId="14" hidden="1">2147483647</definedName>
    <definedName name="solver_tol" localSheetId="14" hidden="1">0.01</definedName>
    <definedName name="solver_typ" localSheetId="1" hidden="1">1</definedName>
    <definedName name="solver_typ" localSheetId="8" hidden="1">2</definedName>
    <definedName name="solver_typ" localSheetId="14" hidden="1">2</definedName>
    <definedName name="solver_val" localSheetId="1" hidden="1">0</definedName>
    <definedName name="solver_val" localSheetId="8" hidden="1">0</definedName>
    <definedName name="solver_val" localSheetId="14" hidden="1">0</definedName>
    <definedName name="solver_ver" localSheetId="1" hidden="1">3</definedName>
    <definedName name="solver_ver" localSheetId="8" hidden="1">3</definedName>
    <definedName name="solver_ver" localSheetId="14" hidden="1">3</definedName>
    <definedName name="sortlink">Main!$B$231</definedName>
    <definedName name="tabcell">Main!$C$172</definedName>
    <definedName name="tabh">OFFSET(Main!$D$173,0,0,3,Main!$N$257)</definedName>
    <definedName name="tabh1">OFFSET(Main!$D$173,0,0,3,11)</definedName>
    <definedName name="tabnh">OFFSET(Main!$C$172,0,0,4,Main!$N$258)</definedName>
    <definedName name="tabnh1">OFFSET(Main!$C$172,0,0,4,12)</definedName>
    <definedName name="totalscen">Main!$N$257</definedName>
    <definedName name="watadopt1">Main!$D$10</definedName>
    <definedName name="watadoptall">Main!$D$10:$D$19</definedName>
    <definedName name="watercell">Main!$B$7</definedName>
    <definedName name="watername" localSheetId="2">Main!$D$157</definedName>
    <definedName name="watername">Optimize!$J$2</definedName>
    <definedName name="watershed_acre">Main!$E$65</definedName>
    <definedName name="watershed_list">Watersheds!$A$38:$A$117</definedName>
    <definedName name="watershed_list2">Watersheds!$AT$38:$AU$117</definedName>
    <definedName name="watnot1">Main!$D$11:$D$19</definedName>
    <definedName name="wetyrfert">Main!$C$31</definedName>
    <definedName name="zerochk">Main!$J$261</definedName>
    <definedName name="zeroflag">Main!$J$262</definedName>
  </definedNames>
  <calcPr calcId="152511" calcMode="autoNoTable"/>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N27" i="12" l="1"/>
  <c r="AM27" i="12"/>
  <c r="AL27" i="12"/>
  <c r="AK27" i="12"/>
  <c r="AJ27" i="12"/>
  <c r="AI27" i="12"/>
  <c r="AH27" i="12"/>
  <c r="AG27" i="12"/>
  <c r="AF27" i="12"/>
  <c r="AE27" i="12"/>
  <c r="AD27" i="12"/>
  <c r="AC27" i="12"/>
  <c r="AB27" i="12"/>
  <c r="AA27" i="12"/>
  <c r="Z27" i="12"/>
  <c r="Y27" i="12"/>
  <c r="X27" i="12"/>
  <c r="W27" i="12"/>
  <c r="V27" i="12"/>
  <c r="U27" i="12"/>
  <c r="T27" i="12"/>
  <c r="S27" i="12"/>
  <c r="R27" i="12"/>
  <c r="Q27" i="12"/>
  <c r="O27" i="12"/>
  <c r="N27" i="12"/>
  <c r="M27" i="12"/>
  <c r="L27" i="12"/>
  <c r="K27" i="12"/>
  <c r="J27" i="12"/>
  <c r="I27" i="12"/>
  <c r="H27" i="12"/>
  <c r="G27" i="12"/>
  <c r="F27" i="12"/>
  <c r="E27" i="12"/>
  <c r="D27" i="12"/>
  <c r="C27" i="12"/>
  <c r="B27" i="12"/>
  <c r="P27"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O23" i="12"/>
  <c r="N23" i="12"/>
  <c r="M23" i="12"/>
  <c r="L23" i="12"/>
  <c r="K23" i="12"/>
  <c r="J23" i="12"/>
  <c r="I23" i="12"/>
  <c r="H23" i="12"/>
  <c r="G23" i="12"/>
  <c r="F23" i="12"/>
  <c r="E23" i="12"/>
  <c r="D23" i="12"/>
  <c r="C23" i="12"/>
  <c r="B23" i="12"/>
  <c r="P23" i="12"/>
  <c r="AN15" i="12"/>
  <c r="AM15" i="12"/>
  <c r="AL15" i="12"/>
  <c r="AK15" i="12"/>
  <c r="AJ15" i="12"/>
  <c r="AI15" i="12"/>
  <c r="AH15" i="12"/>
  <c r="AG15" i="12"/>
  <c r="AF15" i="12"/>
  <c r="AE15" i="12"/>
  <c r="AD15" i="12"/>
  <c r="AC15" i="12"/>
  <c r="AB15" i="12"/>
  <c r="AA15" i="12"/>
  <c r="Z15" i="12"/>
  <c r="Y15" i="12"/>
  <c r="X15" i="12"/>
  <c r="W15" i="12"/>
  <c r="V15" i="12"/>
  <c r="U15" i="12"/>
  <c r="T15" i="12"/>
  <c r="S15" i="12"/>
  <c r="R15" i="12"/>
  <c r="Q15" i="12"/>
  <c r="O15" i="12"/>
  <c r="N15" i="12"/>
  <c r="M15" i="12"/>
  <c r="L15" i="12"/>
  <c r="K15" i="12"/>
  <c r="J15" i="12"/>
  <c r="I15" i="12"/>
  <c r="H15" i="12"/>
  <c r="G15" i="12"/>
  <c r="F15" i="12"/>
  <c r="E15" i="12"/>
  <c r="D15" i="12"/>
  <c r="C15" i="12"/>
  <c r="B15" i="12"/>
  <c r="P15" i="12"/>
  <c r="A13" i="2" l="1"/>
  <c r="C29" i="24" l="1"/>
  <c r="T231" i="13"/>
  <c r="W161" i="13"/>
  <c r="V150" i="13"/>
  <c r="V161" i="13" s="1"/>
  <c r="C304" i="2" l="1"/>
  <c r="C305" i="2"/>
  <c r="C306" i="2"/>
  <c r="C307" i="2"/>
  <c r="C308" i="2"/>
  <c r="C309" i="2"/>
  <c r="C310" i="2"/>
  <c r="C311" i="2"/>
  <c r="C312" i="2"/>
  <c r="C313" i="2"/>
  <c r="C314" i="2"/>
  <c r="C315" i="2"/>
  <c r="C316" i="2"/>
  <c r="C317" i="2"/>
  <c r="C318" i="2"/>
  <c r="C319" i="2"/>
  <c r="C320" i="2"/>
  <c r="C321" i="2"/>
  <c r="C322" i="2"/>
  <c r="C323" i="2"/>
  <c r="C324" i="2"/>
  <c r="C325" i="2"/>
  <c r="C326" i="2"/>
  <c r="C327" i="2"/>
  <c r="C328" i="2"/>
  <c r="C303" i="2"/>
  <c r="A600" i="32" l="1"/>
  <c r="AR600" i="32" s="1"/>
  <c r="A599" i="32"/>
  <c r="AR599" i="32" s="1"/>
  <c r="A598" i="32"/>
  <c r="AQ598" i="32" s="1"/>
  <c r="A597" i="32"/>
  <c r="A596" i="32"/>
  <c r="AE596" i="32" s="1"/>
  <c r="A595" i="32"/>
  <c r="W595" i="32" s="1"/>
  <c r="A594" i="32"/>
  <c r="AM594" i="32" s="1"/>
  <c r="A593" i="32"/>
  <c r="AF593" i="32" s="1"/>
  <c r="A592" i="32"/>
  <c r="AR592" i="32" s="1"/>
  <c r="A591" i="32"/>
  <c r="X591" i="32" s="1"/>
  <c r="A590" i="32"/>
  <c r="AO590" i="32" s="1"/>
  <c r="A589" i="32"/>
  <c r="AB589" i="32" s="1"/>
  <c r="A588" i="32"/>
  <c r="AP588" i="32" s="1"/>
  <c r="A587" i="32"/>
  <c r="Z587" i="32" s="1"/>
  <c r="A586" i="32"/>
  <c r="AP586" i="32" s="1"/>
  <c r="A585" i="32"/>
  <c r="F585" i="32" s="1"/>
  <c r="A584" i="32"/>
  <c r="AJ584" i="32" s="1"/>
  <c r="A583" i="32"/>
  <c r="A582" i="32"/>
  <c r="AQ582" i="32" s="1"/>
  <c r="A581" i="32"/>
  <c r="AK581" i="32" s="1"/>
  <c r="A580" i="32"/>
  <c r="AG580" i="32" s="1"/>
  <c r="A579" i="32"/>
  <c r="X579" i="32" s="1"/>
  <c r="A578" i="32"/>
  <c r="A577" i="32"/>
  <c r="A576" i="32"/>
  <c r="AL576" i="32" s="1"/>
  <c r="A575" i="32"/>
  <c r="AF575" i="32" s="1"/>
  <c r="A574" i="32"/>
  <c r="G574" i="32" s="1"/>
  <c r="A573" i="32"/>
  <c r="AH573" i="32" s="1"/>
  <c r="A572" i="32"/>
  <c r="AR572" i="32" s="1"/>
  <c r="A571" i="32"/>
  <c r="AF571" i="32" s="1"/>
  <c r="A570" i="32"/>
  <c r="AN570" i="32" s="1"/>
  <c r="A569" i="32"/>
  <c r="A568" i="32"/>
  <c r="AM568" i="32" s="1"/>
  <c r="A567" i="32"/>
  <c r="AM567" i="32" s="1"/>
  <c r="A566" i="32"/>
  <c r="AL566" i="32" s="1"/>
  <c r="A565" i="32"/>
  <c r="A564" i="32"/>
  <c r="AO564" i="32" s="1"/>
  <c r="A563" i="32"/>
  <c r="AI563" i="32" s="1"/>
  <c r="A562" i="32"/>
  <c r="AN562" i="32" s="1"/>
  <c r="A561" i="32"/>
  <c r="A560" i="32"/>
  <c r="AG560" i="32" s="1"/>
  <c r="D558" i="32"/>
  <c r="D556" i="32"/>
  <c r="AR552" i="32"/>
  <c r="AR551" i="32"/>
  <c r="AR550" i="32"/>
  <c r="AR549" i="32"/>
  <c r="AR548" i="32"/>
  <c r="AR547" i="32"/>
  <c r="AR546" i="32"/>
  <c r="AR545" i="32"/>
  <c r="AR544" i="32"/>
  <c r="AR543" i="32"/>
  <c r="AR542" i="32"/>
  <c r="AR541" i="32"/>
  <c r="AR540" i="32"/>
  <c r="AR539" i="32"/>
  <c r="AR538" i="32"/>
  <c r="AR537" i="32"/>
  <c r="AR536" i="32"/>
  <c r="AR535" i="32"/>
  <c r="AR534" i="32"/>
  <c r="AR533" i="32"/>
  <c r="AR532" i="32"/>
  <c r="AR531" i="32"/>
  <c r="AR530" i="32"/>
  <c r="AR529" i="32"/>
  <c r="AR528" i="32"/>
  <c r="AR527" i="32"/>
  <c r="AR526" i="32"/>
  <c r="AR525" i="32"/>
  <c r="AR524" i="32"/>
  <c r="AR523" i="32"/>
  <c r="AR522" i="32"/>
  <c r="AR521" i="32"/>
  <c r="AR520" i="32"/>
  <c r="AR519" i="32"/>
  <c r="AR518" i="32"/>
  <c r="AR517" i="32"/>
  <c r="AR516" i="32"/>
  <c r="AR515" i="32"/>
  <c r="AR514" i="32"/>
  <c r="AR513" i="32"/>
  <c r="AR512" i="32"/>
  <c r="AR511" i="32"/>
  <c r="AR510" i="32"/>
  <c r="AR509" i="32"/>
  <c r="AR508" i="32"/>
  <c r="AR507" i="32"/>
  <c r="AR506" i="32"/>
  <c r="AR505" i="32"/>
  <c r="AR504" i="32"/>
  <c r="AR503" i="32"/>
  <c r="AR502" i="32"/>
  <c r="AR501" i="32"/>
  <c r="AR500" i="32"/>
  <c r="AR499" i="32"/>
  <c r="AR498" i="32"/>
  <c r="AR497" i="32"/>
  <c r="AR496" i="32"/>
  <c r="AR495" i="32"/>
  <c r="AR494" i="32"/>
  <c r="AR493" i="32"/>
  <c r="AR492" i="32"/>
  <c r="AR491" i="32"/>
  <c r="AR490" i="32"/>
  <c r="AR489" i="32"/>
  <c r="AR488" i="32"/>
  <c r="AR487" i="32"/>
  <c r="AR486" i="32"/>
  <c r="AR485" i="32"/>
  <c r="AR484" i="32"/>
  <c r="AR483" i="32"/>
  <c r="AR482" i="32"/>
  <c r="AR481" i="32"/>
  <c r="AR480" i="32"/>
  <c r="AR479" i="32"/>
  <c r="AR478" i="32"/>
  <c r="AR477" i="32"/>
  <c r="AR476" i="32"/>
  <c r="AR475" i="32"/>
  <c r="AR474" i="32"/>
  <c r="AR473" i="32"/>
  <c r="AR472" i="32"/>
  <c r="AR471" i="32"/>
  <c r="AR470" i="32"/>
  <c r="AR469" i="32"/>
  <c r="AR468" i="32"/>
  <c r="AR467" i="32"/>
  <c r="AR466" i="32"/>
  <c r="AR465" i="32"/>
  <c r="AR464" i="32"/>
  <c r="AR463" i="32"/>
  <c r="AR462" i="32"/>
  <c r="AR461" i="32"/>
  <c r="AR460" i="32"/>
  <c r="AR459" i="32"/>
  <c r="AR458" i="32"/>
  <c r="AR457" i="32"/>
  <c r="AR456" i="32"/>
  <c r="AR455" i="32"/>
  <c r="AR454" i="32"/>
  <c r="AR453" i="32"/>
  <c r="AR452" i="32"/>
  <c r="AR451" i="32"/>
  <c r="AR450" i="32"/>
  <c r="AR449" i="32"/>
  <c r="AR448" i="32"/>
  <c r="AR447" i="32"/>
  <c r="AR446" i="32"/>
  <c r="AR445" i="32"/>
  <c r="AR444" i="32"/>
  <c r="AR443" i="32"/>
  <c r="AR442" i="32"/>
  <c r="AR441" i="32"/>
  <c r="AR440" i="32"/>
  <c r="AR439" i="32"/>
  <c r="AR438" i="32"/>
  <c r="AR437" i="32"/>
  <c r="AR436" i="32"/>
  <c r="AR435" i="32"/>
  <c r="AR434" i="32"/>
  <c r="AR433" i="32"/>
  <c r="AR432" i="32"/>
  <c r="AR431" i="32"/>
  <c r="AR430" i="32"/>
  <c r="AR429" i="32"/>
  <c r="AR428" i="32"/>
  <c r="AR427" i="32"/>
  <c r="AR426" i="32"/>
  <c r="AR425" i="32"/>
  <c r="AR424" i="32"/>
  <c r="AR423" i="32"/>
  <c r="AR422" i="32"/>
  <c r="AR421" i="32"/>
  <c r="AR420" i="32"/>
  <c r="AR419" i="32"/>
  <c r="AR418" i="32"/>
  <c r="AR417" i="32"/>
  <c r="AR416" i="32"/>
  <c r="AR415" i="32"/>
  <c r="AR414" i="32"/>
  <c r="AR413" i="32"/>
  <c r="AR412" i="32"/>
  <c r="AR411" i="32"/>
  <c r="AR410" i="32"/>
  <c r="AR409" i="32"/>
  <c r="AR408" i="32"/>
  <c r="AR407" i="32"/>
  <c r="AR406" i="32"/>
  <c r="AR405" i="32"/>
  <c r="AR404" i="32"/>
  <c r="AR403" i="32"/>
  <c r="AR402" i="32"/>
  <c r="AR401" i="32"/>
  <c r="AR400" i="32"/>
  <c r="AR399" i="32"/>
  <c r="AR398" i="32"/>
  <c r="AR397" i="32"/>
  <c r="AR396" i="32"/>
  <c r="AR395" i="32"/>
  <c r="AR394" i="32"/>
  <c r="AR393" i="32"/>
  <c r="AR392" i="32"/>
  <c r="AR391" i="32"/>
  <c r="AR390" i="32"/>
  <c r="AR389" i="32"/>
  <c r="AR388" i="32"/>
  <c r="AR387" i="32"/>
  <c r="AR386" i="32"/>
  <c r="AR385" i="32"/>
  <c r="AR384" i="32"/>
  <c r="AR383" i="32"/>
  <c r="AR382" i="32"/>
  <c r="AR381" i="32"/>
  <c r="AR380" i="32"/>
  <c r="AR379" i="32"/>
  <c r="AR378" i="32"/>
  <c r="AR377" i="32"/>
  <c r="AR376" i="32"/>
  <c r="AR375" i="32"/>
  <c r="AR374" i="32"/>
  <c r="AR373" i="32"/>
  <c r="AR372" i="32"/>
  <c r="AR371" i="32"/>
  <c r="AR370" i="32"/>
  <c r="AR369" i="32"/>
  <c r="AR368" i="32"/>
  <c r="AR367" i="32"/>
  <c r="AR366" i="32"/>
  <c r="AR365" i="32"/>
  <c r="AR364" i="32"/>
  <c r="AR363" i="32"/>
  <c r="AR362" i="32"/>
  <c r="AR361" i="32"/>
  <c r="AR360" i="32"/>
  <c r="AR359" i="32"/>
  <c r="AR358" i="32"/>
  <c r="AR357" i="32"/>
  <c r="AR356" i="32"/>
  <c r="AR355" i="32"/>
  <c r="AR354" i="32"/>
  <c r="AR353" i="32"/>
  <c r="AR352" i="32"/>
  <c r="AR351" i="32"/>
  <c r="AR350" i="32"/>
  <c r="AR349" i="32"/>
  <c r="AR348" i="32"/>
  <c r="AR347" i="32"/>
  <c r="AR346" i="32"/>
  <c r="AR345" i="32"/>
  <c r="AR344" i="32"/>
  <c r="AR343" i="32"/>
  <c r="AR342" i="32"/>
  <c r="AR341" i="32"/>
  <c r="AR340" i="32"/>
  <c r="AR339" i="32"/>
  <c r="AR338" i="32"/>
  <c r="AR337" i="32"/>
  <c r="AR336" i="32"/>
  <c r="AR335" i="32"/>
  <c r="AR334" i="32"/>
  <c r="AR333" i="32"/>
  <c r="AR332" i="32"/>
  <c r="AR331" i="32"/>
  <c r="AR330" i="32"/>
  <c r="AR329" i="32"/>
  <c r="AR328" i="32"/>
  <c r="AR327" i="32"/>
  <c r="AR326" i="32"/>
  <c r="AR325" i="32"/>
  <c r="AR324" i="32"/>
  <c r="AR323" i="32"/>
  <c r="AR322" i="32"/>
  <c r="AR321" i="32"/>
  <c r="AR320" i="32"/>
  <c r="AR319" i="32"/>
  <c r="AR318" i="32"/>
  <c r="AR317" i="32"/>
  <c r="AR316" i="32"/>
  <c r="AR315" i="32"/>
  <c r="AR314" i="32"/>
  <c r="AR313" i="32"/>
  <c r="AR312" i="32"/>
  <c r="AR311" i="32"/>
  <c r="AR310" i="32"/>
  <c r="AR309" i="32"/>
  <c r="AR308" i="32"/>
  <c r="AR307" i="32"/>
  <c r="AR306" i="32"/>
  <c r="AR305" i="32"/>
  <c r="AR304" i="32"/>
  <c r="AR303" i="32"/>
  <c r="AR302" i="32"/>
  <c r="AR301" i="32"/>
  <c r="AR300" i="32"/>
  <c r="AR299" i="32"/>
  <c r="AR298" i="32"/>
  <c r="AR297" i="32"/>
  <c r="AR296" i="32"/>
  <c r="AR295" i="32"/>
  <c r="AR294" i="32"/>
  <c r="AR293" i="32"/>
  <c r="AR292" i="32"/>
  <c r="AR291" i="32"/>
  <c r="AR290" i="32"/>
  <c r="AR289" i="32"/>
  <c r="AR288" i="32"/>
  <c r="AR287" i="32"/>
  <c r="AR286" i="32"/>
  <c r="AR285" i="32"/>
  <c r="AR284" i="32"/>
  <c r="AR283" i="32"/>
  <c r="AR282" i="32"/>
  <c r="AR281" i="32"/>
  <c r="AR280" i="32"/>
  <c r="AR279" i="32"/>
  <c r="AR278" i="32"/>
  <c r="AR277" i="32"/>
  <c r="AR276" i="32"/>
  <c r="AR275" i="32"/>
  <c r="AR274" i="32"/>
  <c r="AR273" i="32"/>
  <c r="AR272" i="32"/>
  <c r="AR271" i="32"/>
  <c r="AR270" i="32"/>
  <c r="AR269" i="32"/>
  <c r="AR268" i="32"/>
  <c r="AR267" i="32"/>
  <c r="AR266" i="32"/>
  <c r="AR265" i="32"/>
  <c r="AR264" i="32"/>
  <c r="AR263" i="32"/>
  <c r="AR262" i="32"/>
  <c r="AR261" i="32"/>
  <c r="AR260" i="32"/>
  <c r="AR259" i="32"/>
  <c r="AR258" i="32"/>
  <c r="AR257" i="32"/>
  <c r="AR256" i="32"/>
  <c r="AR255" i="32"/>
  <c r="AR254" i="32"/>
  <c r="AR253" i="32"/>
  <c r="AR252" i="32"/>
  <c r="AR251" i="32"/>
  <c r="AR250" i="32"/>
  <c r="AR249" i="32"/>
  <c r="AR248" i="32"/>
  <c r="AR247" i="32"/>
  <c r="AR246" i="32"/>
  <c r="AR245" i="32"/>
  <c r="AR244" i="32"/>
  <c r="AR243" i="32"/>
  <c r="AR242" i="32"/>
  <c r="AR241" i="32"/>
  <c r="AR240" i="32"/>
  <c r="AR239" i="32"/>
  <c r="AR238" i="32"/>
  <c r="AR237" i="32"/>
  <c r="AR236" i="32"/>
  <c r="AR235" i="32"/>
  <c r="AR234" i="32"/>
  <c r="AR233" i="32"/>
  <c r="AR232" i="32"/>
  <c r="AR231" i="32"/>
  <c r="AR230" i="32"/>
  <c r="AR229" i="32"/>
  <c r="AR228" i="32"/>
  <c r="AR227" i="32"/>
  <c r="AR226" i="32"/>
  <c r="AR225" i="32"/>
  <c r="AR224" i="32"/>
  <c r="AR223" i="32"/>
  <c r="AR222" i="32"/>
  <c r="AR221" i="32"/>
  <c r="AR220" i="32"/>
  <c r="AR219" i="32"/>
  <c r="AR218" i="32"/>
  <c r="AR217" i="32"/>
  <c r="AR216" i="32"/>
  <c r="AR215" i="32"/>
  <c r="AR214" i="32"/>
  <c r="AR213" i="32"/>
  <c r="AR212" i="32"/>
  <c r="AR211" i="32"/>
  <c r="AR210" i="32"/>
  <c r="AR209" i="32"/>
  <c r="AR208" i="32"/>
  <c r="AR207" i="32"/>
  <c r="AR206" i="32"/>
  <c r="AR205" i="32"/>
  <c r="AR204" i="32"/>
  <c r="AR203" i="32"/>
  <c r="AR202" i="32"/>
  <c r="AR201" i="32"/>
  <c r="AR200" i="32"/>
  <c r="AR199" i="32"/>
  <c r="AR198" i="32"/>
  <c r="AR197" i="32"/>
  <c r="AR196" i="32"/>
  <c r="AR195" i="32"/>
  <c r="AR194" i="32"/>
  <c r="AR193" i="32"/>
  <c r="AR192" i="32"/>
  <c r="AR191" i="32"/>
  <c r="AR190" i="32"/>
  <c r="AR189" i="32"/>
  <c r="AR188" i="32"/>
  <c r="AR187" i="32"/>
  <c r="AR186" i="32"/>
  <c r="AR185" i="32"/>
  <c r="AR184" i="32"/>
  <c r="AR183" i="32"/>
  <c r="AR182" i="32"/>
  <c r="AR181" i="32"/>
  <c r="AR180" i="32"/>
  <c r="AR179" i="32"/>
  <c r="AR178" i="32"/>
  <c r="AR177" i="32"/>
  <c r="AR176" i="32"/>
  <c r="AR175" i="32"/>
  <c r="AR174" i="32"/>
  <c r="AR173" i="32"/>
  <c r="AR172" i="32"/>
  <c r="AR171" i="32"/>
  <c r="AR170" i="32"/>
  <c r="AR169" i="32"/>
  <c r="AR168" i="32"/>
  <c r="AR167" i="32"/>
  <c r="AR166" i="32"/>
  <c r="AR165" i="32"/>
  <c r="AR164" i="32"/>
  <c r="AR163" i="32"/>
  <c r="AR162" i="32"/>
  <c r="AR161" i="32"/>
  <c r="AR160" i="32"/>
  <c r="AR159" i="32"/>
  <c r="AR158" i="32"/>
  <c r="AR157" i="32"/>
  <c r="AR156" i="32"/>
  <c r="AR155" i="32"/>
  <c r="AR154" i="32"/>
  <c r="AR153" i="32"/>
  <c r="AR152" i="32"/>
  <c r="AR151" i="32"/>
  <c r="AR150" i="32"/>
  <c r="AR149" i="32"/>
  <c r="AR148" i="32"/>
  <c r="AR147" i="32"/>
  <c r="AR146" i="32"/>
  <c r="AR145" i="32"/>
  <c r="AR144" i="32"/>
  <c r="AR143" i="32"/>
  <c r="AR142" i="32"/>
  <c r="AR141" i="32"/>
  <c r="AR140" i="32"/>
  <c r="AR139" i="32"/>
  <c r="AR138" i="32"/>
  <c r="AR137" i="32"/>
  <c r="AR136" i="32"/>
  <c r="AR135" i="32"/>
  <c r="AR134" i="32"/>
  <c r="AR133" i="32"/>
  <c r="AR132" i="32"/>
  <c r="AR131" i="32"/>
  <c r="AR130" i="32"/>
  <c r="AR129" i="32"/>
  <c r="AR128" i="32"/>
  <c r="AR127" i="32"/>
  <c r="AR126" i="32"/>
  <c r="AR125" i="32"/>
  <c r="AR124" i="32"/>
  <c r="AR123" i="32"/>
  <c r="AR122" i="32"/>
  <c r="AR121" i="32"/>
  <c r="AR120" i="32"/>
  <c r="AR119" i="32"/>
  <c r="AR118" i="32"/>
  <c r="AR117" i="32"/>
  <c r="AR116" i="32"/>
  <c r="AR115" i="32"/>
  <c r="AR114" i="32"/>
  <c r="AR113" i="32"/>
  <c r="AR112" i="32"/>
  <c r="AR111" i="32"/>
  <c r="AR110" i="32"/>
  <c r="AR109" i="32"/>
  <c r="AR108" i="32"/>
  <c r="AR107" i="32"/>
  <c r="AR106" i="32"/>
  <c r="AR105" i="32"/>
  <c r="AR104" i="32"/>
  <c r="AR103" i="32"/>
  <c r="AR102" i="32"/>
  <c r="AR101" i="32"/>
  <c r="AR100" i="32"/>
  <c r="AR99" i="32"/>
  <c r="AR98" i="32"/>
  <c r="AR97" i="32"/>
  <c r="AR96" i="32"/>
  <c r="AR95" i="32"/>
  <c r="AR94" i="32"/>
  <c r="AR93" i="32"/>
  <c r="AR92" i="32"/>
  <c r="AR91" i="32"/>
  <c r="AR90" i="32"/>
  <c r="AR89" i="32"/>
  <c r="AR88" i="32"/>
  <c r="AR87" i="32"/>
  <c r="AR86" i="32"/>
  <c r="AR85" i="32"/>
  <c r="AR84" i="32"/>
  <c r="AR83" i="32"/>
  <c r="AR82" i="32"/>
  <c r="AR81" i="32"/>
  <c r="AR80" i="32"/>
  <c r="AR79" i="32"/>
  <c r="AR78" i="32"/>
  <c r="AR77" i="32"/>
  <c r="AR76" i="32"/>
  <c r="AR75" i="32"/>
  <c r="AR74" i="32"/>
  <c r="AR73" i="32"/>
  <c r="AR72" i="32"/>
  <c r="AR71" i="32"/>
  <c r="AR70" i="32"/>
  <c r="AR69" i="32"/>
  <c r="AR68" i="32"/>
  <c r="AR67" i="32"/>
  <c r="AR66" i="32"/>
  <c r="AR65" i="32"/>
  <c r="AR64" i="32"/>
  <c r="AR63" i="32"/>
  <c r="AR62" i="32"/>
  <c r="AR61" i="32"/>
  <c r="AR60" i="32"/>
  <c r="AR59" i="32"/>
  <c r="AR58" i="32"/>
  <c r="AR57" i="32"/>
  <c r="AR56" i="32"/>
  <c r="AR55" i="32"/>
  <c r="AR54" i="32"/>
  <c r="AR53" i="32"/>
  <c r="AR52" i="32"/>
  <c r="AR51" i="32"/>
  <c r="AR50" i="32"/>
  <c r="AR49" i="32"/>
  <c r="AR48" i="32"/>
  <c r="AR47" i="32"/>
  <c r="AR46" i="32"/>
  <c r="AR45" i="32"/>
  <c r="AR44" i="32"/>
  <c r="AR43" i="32"/>
  <c r="AR42" i="32"/>
  <c r="AR41" i="32"/>
  <c r="AR40" i="32"/>
  <c r="AR39" i="32"/>
  <c r="AR38" i="32"/>
  <c r="AR37" i="32"/>
  <c r="AR36" i="32"/>
  <c r="AR35" i="32"/>
  <c r="AR34" i="32"/>
  <c r="AR33" i="32"/>
  <c r="AR32" i="32"/>
  <c r="AR31" i="32"/>
  <c r="AR30" i="32"/>
  <c r="AR29" i="32"/>
  <c r="AR28" i="32"/>
  <c r="AR27" i="32"/>
  <c r="AR26" i="32"/>
  <c r="AR25" i="32"/>
  <c r="AR24" i="32"/>
  <c r="AR23" i="32"/>
  <c r="AR22" i="32"/>
  <c r="AR21" i="32"/>
  <c r="AR20" i="32"/>
  <c r="AR19" i="32"/>
  <c r="AR18" i="32"/>
  <c r="AR17" i="32"/>
  <c r="AR16" i="32"/>
  <c r="AR15" i="32"/>
  <c r="AR14" i="32"/>
  <c r="AR13" i="32"/>
  <c r="AR12" i="32"/>
  <c r="AR11" i="32"/>
  <c r="AR10" i="32"/>
  <c r="AR9" i="32"/>
  <c r="AR8" i="32"/>
  <c r="S572" i="32" l="1"/>
  <c r="G572" i="32"/>
  <c r="U576" i="32"/>
  <c r="U600" i="32"/>
  <c r="H573" i="32"/>
  <c r="P573" i="32"/>
  <c r="AD572" i="32"/>
  <c r="K584" i="32"/>
  <c r="J586" i="32"/>
  <c r="N588" i="32"/>
  <c r="W600" i="32"/>
  <c r="AI584" i="32"/>
  <c r="AI586" i="32"/>
  <c r="G600" i="32"/>
  <c r="AG600" i="32"/>
  <c r="J600" i="32"/>
  <c r="AK600" i="32"/>
  <c r="K580" i="32"/>
  <c r="AK582" i="32"/>
  <c r="AO572" i="32"/>
  <c r="AG573" i="32"/>
  <c r="S575" i="32"/>
  <c r="U580" i="32"/>
  <c r="S593" i="32"/>
  <c r="AO573" i="32"/>
  <c r="AJ592" i="32"/>
  <c r="AH576" i="32"/>
  <c r="L590" i="32"/>
  <c r="K599" i="32"/>
  <c r="E572" i="32"/>
  <c r="N572" i="32"/>
  <c r="X572" i="32"/>
  <c r="AK572" i="32"/>
  <c r="U573" i="32"/>
  <c r="F576" i="32"/>
  <c r="AP576" i="32"/>
  <c r="AD580" i="32"/>
  <c r="E582" i="32"/>
  <c r="Q585" i="32"/>
  <c r="J589" i="32"/>
  <c r="AG590" i="32"/>
  <c r="I592" i="32"/>
  <c r="E593" i="32"/>
  <c r="AR593" i="32"/>
  <c r="N600" i="32"/>
  <c r="Z600" i="32"/>
  <c r="AM600" i="32"/>
  <c r="K572" i="32"/>
  <c r="W572" i="32"/>
  <c r="AF572" i="32"/>
  <c r="AQ572" i="32"/>
  <c r="E592" i="32"/>
  <c r="AJ593" i="32"/>
  <c r="AB563" i="32"/>
  <c r="N566" i="32"/>
  <c r="F572" i="32"/>
  <c r="P572" i="32"/>
  <c r="AC572" i="32"/>
  <c r="AL572" i="32"/>
  <c r="E573" i="32"/>
  <c r="AB573" i="32"/>
  <c r="M576" i="32"/>
  <c r="F580" i="32"/>
  <c r="AK580" i="32"/>
  <c r="W582" i="32"/>
  <c r="AP589" i="32"/>
  <c r="Z592" i="32"/>
  <c r="L593" i="32"/>
  <c r="E600" i="32"/>
  <c r="Q600" i="32"/>
  <c r="AD600" i="32"/>
  <c r="AP600" i="32"/>
  <c r="P571" i="32"/>
  <c r="S574" i="32"/>
  <c r="L563" i="32"/>
  <c r="J572" i="32"/>
  <c r="R572" i="32"/>
  <c r="Y572" i="32"/>
  <c r="AH572" i="32"/>
  <c r="AP572" i="32"/>
  <c r="F573" i="32"/>
  <c r="R573" i="32"/>
  <c r="AF573" i="32"/>
  <c r="AP573" i="32"/>
  <c r="AE574" i="32"/>
  <c r="AA576" i="32"/>
  <c r="I580" i="32"/>
  <c r="X580" i="32"/>
  <c r="AP580" i="32"/>
  <c r="M582" i="32"/>
  <c r="Q584" i="32"/>
  <c r="AP584" i="32"/>
  <c r="AJ585" i="32"/>
  <c r="P586" i="32"/>
  <c r="AQ586" i="32"/>
  <c r="AL588" i="32"/>
  <c r="J592" i="32"/>
  <c r="AP592" i="32"/>
  <c r="Q596" i="32"/>
  <c r="K598" i="32"/>
  <c r="AF599" i="32"/>
  <c r="AQ574" i="32"/>
  <c r="W584" i="32"/>
  <c r="X586" i="32"/>
  <c r="V592" i="32"/>
  <c r="AB593" i="32"/>
  <c r="O594" i="32"/>
  <c r="AI596" i="32"/>
  <c r="AI598" i="32"/>
  <c r="L573" i="32"/>
  <c r="Z573" i="32"/>
  <c r="AK573" i="32"/>
  <c r="R580" i="32"/>
  <c r="AB582" i="32"/>
  <c r="E584" i="32"/>
  <c r="AC584" i="32"/>
  <c r="H586" i="32"/>
  <c r="AA586" i="32"/>
  <c r="AN561" i="32"/>
  <c r="AL561" i="32"/>
  <c r="AD561" i="32"/>
  <c r="Y561" i="32"/>
  <c r="P561" i="32"/>
  <c r="H561" i="32"/>
  <c r="L561" i="32"/>
  <c r="Z561" i="32"/>
  <c r="AJ561" i="32"/>
  <c r="AP565" i="32"/>
  <c r="AL565" i="32"/>
  <c r="F565" i="32"/>
  <c r="U565" i="32"/>
  <c r="AN578" i="32"/>
  <c r="AJ578" i="32"/>
  <c r="W578" i="32"/>
  <c r="G578" i="32"/>
  <c r="AR578" i="32"/>
  <c r="AB578" i="32"/>
  <c r="L578" i="32"/>
  <c r="AC578" i="32"/>
  <c r="Y597" i="32"/>
  <c r="R597" i="32"/>
  <c r="I560" i="32"/>
  <c r="F561" i="32"/>
  <c r="R561" i="32"/>
  <c r="AA561" i="32"/>
  <c r="AK561" i="32"/>
  <c r="P563" i="32"/>
  <c r="O565" i="32"/>
  <c r="AR574" i="32"/>
  <c r="AO574" i="32"/>
  <c r="AC574" i="32"/>
  <c r="Q574" i="32"/>
  <c r="E574" i="32"/>
  <c r="AI574" i="32"/>
  <c r="W574" i="32"/>
  <c r="K574" i="32"/>
  <c r="X574" i="32"/>
  <c r="J576" i="32"/>
  <c r="W576" i="32"/>
  <c r="H578" i="32"/>
  <c r="AM578" i="32"/>
  <c r="AI585" i="32"/>
  <c r="T585" i="32"/>
  <c r="J585" i="32"/>
  <c r="AR585" i="32"/>
  <c r="AC585" i="32"/>
  <c r="AP585" i="32"/>
  <c r="AB585" i="32"/>
  <c r="P585" i="32"/>
  <c r="E585" i="32"/>
  <c r="X585" i="32"/>
  <c r="AP560" i="32"/>
  <c r="AO560" i="32"/>
  <c r="W560" i="32"/>
  <c r="G560" i="32"/>
  <c r="AA560" i="32"/>
  <c r="O562" i="32"/>
  <c r="Z562" i="32"/>
  <c r="Q560" i="32"/>
  <c r="AH560" i="32"/>
  <c r="I561" i="32"/>
  <c r="S561" i="32"/>
  <c r="AC561" i="32"/>
  <c r="AQ561" i="32"/>
  <c r="AL563" i="32"/>
  <c r="T563" i="32"/>
  <c r="I563" i="32"/>
  <c r="S563" i="32"/>
  <c r="AR563" i="32"/>
  <c r="AC565" i="32"/>
  <c r="P578" i="32"/>
  <c r="R560" i="32"/>
  <c r="AQ560" i="32"/>
  <c r="K561" i="32"/>
  <c r="T561" i="32"/>
  <c r="AH561" i="32"/>
  <c r="AR561" i="32"/>
  <c r="H563" i="32"/>
  <c r="AA563" i="32"/>
  <c r="AQ566" i="32"/>
  <c r="Y566" i="32"/>
  <c r="E566" i="32"/>
  <c r="L574" i="32"/>
  <c r="AK574" i="32"/>
  <c r="AR576" i="32"/>
  <c r="AQ576" i="32"/>
  <c r="AK576" i="32"/>
  <c r="AC576" i="32"/>
  <c r="V576" i="32"/>
  <c r="O576" i="32"/>
  <c r="G576" i="32"/>
  <c r="AM576" i="32"/>
  <c r="AG576" i="32"/>
  <c r="Z576" i="32"/>
  <c r="R576" i="32"/>
  <c r="K576" i="32"/>
  <c r="E576" i="32"/>
  <c r="Q576" i="32"/>
  <c r="AE576" i="32"/>
  <c r="AH577" i="32"/>
  <c r="L577" i="32"/>
  <c r="X578" i="32"/>
  <c r="AR580" i="32"/>
  <c r="AQ580" i="32"/>
  <c r="AL580" i="32"/>
  <c r="AF580" i="32"/>
  <c r="Y580" i="32"/>
  <c r="S580" i="32"/>
  <c r="N580" i="32"/>
  <c r="G580" i="32"/>
  <c r="AO580" i="32"/>
  <c r="AH580" i="32"/>
  <c r="AC580" i="32"/>
  <c r="W580" i="32"/>
  <c r="P580" i="32"/>
  <c r="J580" i="32"/>
  <c r="E580" i="32"/>
  <c r="O580" i="32"/>
  <c r="AA580" i="32"/>
  <c r="AM580" i="32"/>
  <c r="K585" i="32"/>
  <c r="O582" i="32"/>
  <c r="AF582" i="32"/>
  <c r="L584" i="32"/>
  <c r="Y584" i="32"/>
  <c r="AK584" i="32"/>
  <c r="S588" i="32"/>
  <c r="M593" i="32"/>
  <c r="AC593" i="32"/>
  <c r="Q598" i="32"/>
  <c r="AO598" i="32"/>
  <c r="P599" i="32"/>
  <c r="AL599" i="32"/>
  <c r="F600" i="32"/>
  <c r="M600" i="32"/>
  <c r="R600" i="32"/>
  <c r="Y600" i="32"/>
  <c r="AE600" i="32"/>
  <c r="AL600" i="32"/>
  <c r="Z588" i="32"/>
  <c r="W598" i="32"/>
  <c r="V599" i="32"/>
  <c r="AQ599" i="32"/>
  <c r="I572" i="32"/>
  <c r="O572" i="32"/>
  <c r="U572" i="32"/>
  <c r="AA572" i="32"/>
  <c r="AG572" i="32"/>
  <c r="AM572" i="32"/>
  <c r="J573" i="32"/>
  <c r="T573" i="32"/>
  <c r="AC573" i="32"/>
  <c r="AN573" i="32"/>
  <c r="G582" i="32"/>
  <c r="X582" i="32"/>
  <c r="AM582" i="32"/>
  <c r="F584" i="32"/>
  <c r="S584" i="32"/>
  <c r="AD584" i="32"/>
  <c r="AQ584" i="32"/>
  <c r="Q586" i="32"/>
  <c r="AJ586" i="32"/>
  <c r="H588" i="32"/>
  <c r="AF588" i="32"/>
  <c r="R589" i="32"/>
  <c r="W590" i="32"/>
  <c r="U592" i="32"/>
  <c r="AO592" i="32"/>
  <c r="F593" i="32"/>
  <c r="U593" i="32"/>
  <c r="AK593" i="32"/>
  <c r="AE594" i="32"/>
  <c r="G598" i="32"/>
  <c r="AE598" i="32"/>
  <c r="F599" i="32"/>
  <c r="AA599" i="32"/>
  <c r="I600" i="32"/>
  <c r="O600" i="32"/>
  <c r="V600" i="32"/>
  <c r="AC600" i="32"/>
  <c r="AH600" i="32"/>
  <c r="AO600" i="32"/>
  <c r="P564" i="32"/>
  <c r="AR569" i="32"/>
  <c r="AL569" i="32"/>
  <c r="AH569" i="32"/>
  <c r="AB569" i="32"/>
  <c r="X569" i="32"/>
  <c r="R569" i="32"/>
  <c r="L569" i="32"/>
  <c r="H569" i="32"/>
  <c r="J569" i="32"/>
  <c r="Q569" i="32"/>
  <c r="Y569" i="32"/>
  <c r="AD569" i="32"/>
  <c r="AK569" i="32"/>
  <c r="L560" i="32"/>
  <c r="T560" i="32"/>
  <c r="AC560" i="32"/>
  <c r="AL560" i="32"/>
  <c r="AR560" i="32"/>
  <c r="AQ563" i="32"/>
  <c r="AJ563" i="32"/>
  <c r="AD563" i="32"/>
  <c r="Y563" i="32"/>
  <c r="J563" i="32"/>
  <c r="Q563" i="32"/>
  <c r="V563" i="32"/>
  <c r="AE563" i="32"/>
  <c r="AM563" i="32"/>
  <c r="E564" i="32"/>
  <c r="K564" i="32"/>
  <c r="Q564" i="32"/>
  <c r="W564" i="32"/>
  <c r="AD564" i="32"/>
  <c r="AI564" i="32"/>
  <c r="H565" i="32"/>
  <c r="P565" i="32"/>
  <c r="X565" i="32"/>
  <c r="AG565" i="32"/>
  <c r="AM565" i="32"/>
  <c r="F566" i="32"/>
  <c r="T566" i="32"/>
  <c r="AD566" i="32"/>
  <c r="AM566" i="32"/>
  <c r="F567" i="32"/>
  <c r="L567" i="32"/>
  <c r="S567" i="32"/>
  <c r="AA567" i="32"/>
  <c r="AH567" i="32"/>
  <c r="F568" i="32"/>
  <c r="Q568" i="32"/>
  <c r="Z568" i="32"/>
  <c r="E569" i="32"/>
  <c r="K569" i="32"/>
  <c r="S569" i="32"/>
  <c r="Z569" i="32"/>
  <c r="AG569" i="32"/>
  <c r="AN569" i="32"/>
  <c r="E570" i="32"/>
  <c r="O570" i="32"/>
  <c r="Z570" i="32"/>
  <c r="X577" i="32"/>
  <c r="AR564" i="32"/>
  <c r="AP564" i="32"/>
  <c r="AL564" i="32"/>
  <c r="AG564" i="32"/>
  <c r="AC564" i="32"/>
  <c r="X564" i="32"/>
  <c r="S564" i="32"/>
  <c r="O564" i="32"/>
  <c r="J564" i="32"/>
  <c r="F564" i="32"/>
  <c r="I564" i="32"/>
  <c r="V564" i="32"/>
  <c r="AA564" i="32"/>
  <c r="AH564" i="32"/>
  <c r="AN564" i="32"/>
  <c r="AP567" i="32"/>
  <c r="AJ567" i="32"/>
  <c r="AD567" i="32"/>
  <c r="Z567" i="32"/>
  <c r="T567" i="32"/>
  <c r="O567" i="32"/>
  <c r="J567" i="32"/>
  <c r="E567" i="32"/>
  <c r="K567" i="32"/>
  <c r="R567" i="32"/>
  <c r="X567" i="32"/>
  <c r="AF567" i="32"/>
  <c r="AL567" i="32"/>
  <c r="AR568" i="32"/>
  <c r="AL568" i="32"/>
  <c r="AD568" i="32"/>
  <c r="U568" i="32"/>
  <c r="M568" i="32"/>
  <c r="E568" i="32"/>
  <c r="N568" i="32"/>
  <c r="Y568" i="32"/>
  <c r="AI568" i="32"/>
  <c r="AI570" i="32"/>
  <c r="AR570" i="32"/>
  <c r="AG570" i="32"/>
  <c r="Y570" i="32"/>
  <c r="Q570" i="32"/>
  <c r="H570" i="32"/>
  <c r="M570" i="32"/>
  <c r="X570" i="32"/>
  <c r="AJ570" i="32"/>
  <c r="AR587" i="32"/>
  <c r="AL587" i="32"/>
  <c r="AB587" i="32"/>
  <c r="V587" i="32"/>
  <c r="L587" i="32"/>
  <c r="F587" i="32"/>
  <c r="AM587" i="32"/>
  <c r="AA587" i="32"/>
  <c r="Q587" i="32"/>
  <c r="G587" i="32"/>
  <c r="AP587" i="32"/>
  <c r="AE587" i="32"/>
  <c r="T587" i="32"/>
  <c r="J587" i="32"/>
  <c r="AQ587" i="32"/>
  <c r="W587" i="32"/>
  <c r="AJ587" i="32"/>
  <c r="O587" i="32"/>
  <c r="AH587" i="32"/>
  <c r="K587" i="32"/>
  <c r="F560" i="32"/>
  <c r="M560" i="32"/>
  <c r="V560" i="32"/>
  <c r="AD560" i="32"/>
  <c r="AM560" i="32"/>
  <c r="J561" i="32"/>
  <c r="Q561" i="32"/>
  <c r="U561" i="32"/>
  <c r="AB561" i="32"/>
  <c r="AI561" i="32"/>
  <c r="G563" i="32"/>
  <c r="K563" i="32"/>
  <c r="R563" i="32"/>
  <c r="Z563" i="32"/>
  <c r="AH563" i="32"/>
  <c r="AN563" i="32"/>
  <c r="G564" i="32"/>
  <c r="M564" i="32"/>
  <c r="R564" i="32"/>
  <c r="Y564" i="32"/>
  <c r="AE564" i="32"/>
  <c r="AK564" i="32"/>
  <c r="AQ564" i="32"/>
  <c r="I565" i="32"/>
  <c r="Q565" i="32"/>
  <c r="Z565" i="32"/>
  <c r="AH565" i="32"/>
  <c r="L566" i="32"/>
  <c r="U566" i="32"/>
  <c r="AE566" i="32"/>
  <c r="G567" i="32"/>
  <c r="N567" i="32"/>
  <c r="U567" i="32"/>
  <c r="AB567" i="32"/>
  <c r="AI567" i="32"/>
  <c r="AQ567" i="32"/>
  <c r="G568" i="32"/>
  <c r="T568" i="32"/>
  <c r="AE568" i="32"/>
  <c r="AP568" i="32"/>
  <c r="F569" i="32"/>
  <c r="N569" i="32"/>
  <c r="T569" i="32"/>
  <c r="AA569" i="32"/>
  <c r="AI569" i="32"/>
  <c r="AP569" i="32"/>
  <c r="G570" i="32"/>
  <c r="T570" i="32"/>
  <c r="AE570" i="32"/>
  <c r="AO570" i="32"/>
  <c r="AN583" i="32"/>
  <c r="AR583" i="32"/>
  <c r="AD583" i="32"/>
  <c r="W583" i="32"/>
  <c r="H583" i="32"/>
  <c r="AJ583" i="32"/>
  <c r="X583" i="32"/>
  <c r="L583" i="32"/>
  <c r="AM583" i="32"/>
  <c r="P583" i="32"/>
  <c r="AL583" i="32"/>
  <c r="O583" i="32"/>
  <c r="AB583" i="32"/>
  <c r="G583" i="32"/>
  <c r="H564" i="32"/>
  <c r="N564" i="32"/>
  <c r="U564" i="32"/>
  <c r="Z564" i="32"/>
  <c r="AF564" i="32"/>
  <c r="AM564" i="32"/>
  <c r="AR565" i="32"/>
  <c r="AK565" i="32"/>
  <c r="AD565" i="32"/>
  <c r="Y565" i="32"/>
  <c r="R565" i="32"/>
  <c r="L565" i="32"/>
  <c r="G565" i="32"/>
  <c r="J565" i="32"/>
  <c r="T565" i="32"/>
  <c r="AB565" i="32"/>
  <c r="AJ565" i="32"/>
  <c r="AG566" i="32"/>
  <c r="AO566" i="32"/>
  <c r="AF566" i="32"/>
  <c r="X566" i="32"/>
  <c r="P566" i="32"/>
  <c r="G566" i="32"/>
  <c r="M566" i="32"/>
  <c r="W566" i="32"/>
  <c r="AI566" i="32"/>
  <c r="AR566" i="32"/>
  <c r="H567" i="32"/>
  <c r="P567" i="32"/>
  <c r="W567" i="32"/>
  <c r="AC567" i="32"/>
  <c r="AK567" i="32"/>
  <c r="AR567" i="32"/>
  <c r="L568" i="32"/>
  <c r="W568" i="32"/>
  <c r="AG568" i="32"/>
  <c r="AQ568" i="32"/>
  <c r="I569" i="32"/>
  <c r="P569" i="32"/>
  <c r="U569" i="32"/>
  <c r="AC569" i="32"/>
  <c r="AJ569" i="32"/>
  <c r="AQ569" i="32"/>
  <c r="L570" i="32"/>
  <c r="U570" i="32"/>
  <c r="AF570" i="32"/>
  <c r="AK577" i="32"/>
  <c r="AB577" i="32"/>
  <c r="V577" i="32"/>
  <c r="M577" i="32"/>
  <c r="E577" i="32"/>
  <c r="AP577" i="32"/>
  <c r="AF577" i="32"/>
  <c r="U577" i="32"/>
  <c r="J577" i="32"/>
  <c r="AL577" i="32"/>
  <c r="Z577" i="32"/>
  <c r="P577" i="32"/>
  <c r="F577" i="32"/>
  <c r="AJ577" i="32"/>
  <c r="Y577" i="32"/>
  <c r="N577" i="32"/>
  <c r="AR577" i="32"/>
  <c r="Z583" i="32"/>
  <c r="AI579" i="32"/>
  <c r="Z579" i="32"/>
  <c r="H579" i="32"/>
  <c r="AD579" i="32"/>
  <c r="AR591" i="32"/>
  <c r="AN591" i="32"/>
  <c r="AM591" i="32"/>
  <c r="AH591" i="32"/>
  <c r="AC591" i="32"/>
  <c r="W591" i="32"/>
  <c r="R591" i="32"/>
  <c r="M591" i="32"/>
  <c r="G591" i="32"/>
  <c r="AQ591" i="32"/>
  <c r="AI591" i="32"/>
  <c r="AA591" i="32"/>
  <c r="U591" i="32"/>
  <c r="N591" i="32"/>
  <c r="F591" i="32"/>
  <c r="AP591" i="32"/>
  <c r="AF591" i="32"/>
  <c r="Z591" i="32"/>
  <c r="S591" i="32"/>
  <c r="K591" i="32"/>
  <c r="E591" i="32"/>
  <c r="AK591" i="32"/>
  <c r="AD591" i="32"/>
  <c r="V591" i="32"/>
  <c r="O591" i="32"/>
  <c r="H591" i="32"/>
  <c r="AE591" i="32"/>
  <c r="H572" i="32"/>
  <c r="M572" i="32"/>
  <c r="Q572" i="32"/>
  <c r="V572" i="32"/>
  <c r="Z572" i="32"/>
  <c r="AE572" i="32"/>
  <c r="AI572" i="32"/>
  <c r="AN572" i="32"/>
  <c r="I573" i="32"/>
  <c r="Q573" i="32"/>
  <c r="V573" i="32"/>
  <c r="AD573" i="32"/>
  <c r="AL573" i="32"/>
  <c r="AR573" i="32"/>
  <c r="H574" i="32"/>
  <c r="M574" i="32"/>
  <c r="T574" i="32"/>
  <c r="AA574" i="32"/>
  <c r="AF574" i="32"/>
  <c r="AM574" i="32"/>
  <c r="J579" i="32"/>
  <c r="AL579" i="32"/>
  <c r="J591" i="32"/>
  <c r="AL591" i="32"/>
  <c r="I574" i="32"/>
  <c r="P574" i="32"/>
  <c r="U574" i="32"/>
  <c r="AB574" i="32"/>
  <c r="AG574" i="32"/>
  <c r="AN574" i="32"/>
  <c r="P579" i="32"/>
  <c r="AM579" i="32"/>
  <c r="AR589" i="32"/>
  <c r="AM589" i="32"/>
  <c r="AF589" i="32"/>
  <c r="Z589" i="32"/>
  <c r="T589" i="32"/>
  <c r="M589" i="32"/>
  <c r="H589" i="32"/>
  <c r="AN589" i="32"/>
  <c r="AE589" i="32"/>
  <c r="W589" i="32"/>
  <c r="P589" i="32"/>
  <c r="G589" i="32"/>
  <c r="AK589" i="32"/>
  <c r="AC589" i="32"/>
  <c r="U589" i="32"/>
  <c r="L589" i="32"/>
  <c r="E589" i="32"/>
  <c r="AO589" i="32"/>
  <c r="AG589" i="32"/>
  <c r="X589" i="32"/>
  <c r="Q589" i="32"/>
  <c r="I589" i="32"/>
  <c r="AH589" i="32"/>
  <c r="P591" i="32"/>
  <c r="L582" i="32"/>
  <c r="U582" i="32"/>
  <c r="AA582" i="32"/>
  <c r="AJ582" i="32"/>
  <c r="AR582" i="32"/>
  <c r="J584" i="32"/>
  <c r="O584" i="32"/>
  <c r="U584" i="32"/>
  <c r="AB584" i="32"/>
  <c r="AH584" i="32"/>
  <c r="AM584" i="32"/>
  <c r="AQ585" i="32"/>
  <c r="AK585" i="32"/>
  <c r="AG585" i="32"/>
  <c r="AA585" i="32"/>
  <c r="U585" i="32"/>
  <c r="I585" i="32"/>
  <c r="N585" i="32"/>
  <c r="S585" i="32"/>
  <c r="Z585" i="32"/>
  <c r="AH585" i="32"/>
  <c r="AN585" i="32"/>
  <c r="E586" i="32"/>
  <c r="O586" i="32"/>
  <c r="U586" i="32"/>
  <c r="AE586" i="32"/>
  <c r="F588" i="32"/>
  <c r="M588" i="32"/>
  <c r="R588" i="32"/>
  <c r="X588" i="32"/>
  <c r="AE588" i="32"/>
  <c r="AK588" i="32"/>
  <c r="H590" i="32"/>
  <c r="T590" i="32"/>
  <c r="AE590" i="32"/>
  <c r="K594" i="32"/>
  <c r="X594" i="32"/>
  <c r="M596" i="32"/>
  <c r="J597" i="32"/>
  <c r="AN597" i="32"/>
  <c r="AR588" i="32"/>
  <c r="AQ588" i="32"/>
  <c r="AM588" i="32"/>
  <c r="AH588" i="32"/>
  <c r="AD588" i="32"/>
  <c r="Y588" i="32"/>
  <c r="U588" i="32"/>
  <c r="P588" i="32"/>
  <c r="K588" i="32"/>
  <c r="G588" i="32"/>
  <c r="I588" i="32"/>
  <c r="O588" i="32"/>
  <c r="V588" i="32"/>
  <c r="AA588" i="32"/>
  <c r="AG588" i="32"/>
  <c r="AN588" i="32"/>
  <c r="AR590" i="32"/>
  <c r="AI590" i="32"/>
  <c r="AB590" i="32"/>
  <c r="S590" i="32"/>
  <c r="I590" i="32"/>
  <c r="N590" i="32"/>
  <c r="X590" i="32"/>
  <c r="AM590" i="32"/>
  <c r="AR594" i="32"/>
  <c r="AJ594" i="32"/>
  <c r="AB594" i="32"/>
  <c r="U594" i="32"/>
  <c r="M594" i="32"/>
  <c r="G594" i="32"/>
  <c r="AN594" i="32"/>
  <c r="AI594" i="32"/>
  <c r="AA594" i="32"/>
  <c r="T594" i="32"/>
  <c r="L594" i="32"/>
  <c r="E594" i="32"/>
  <c r="S594" i="32"/>
  <c r="AF594" i="32"/>
  <c r="AR596" i="32"/>
  <c r="AP596" i="32"/>
  <c r="AL596" i="32"/>
  <c r="AG596" i="32"/>
  <c r="AC596" i="32"/>
  <c r="X596" i="32"/>
  <c r="S596" i="32"/>
  <c r="O596" i="32"/>
  <c r="J596" i="32"/>
  <c r="F596" i="32"/>
  <c r="AO596" i="32"/>
  <c r="AK596" i="32"/>
  <c r="AF596" i="32"/>
  <c r="AA596" i="32"/>
  <c r="W596" i="32"/>
  <c r="R596" i="32"/>
  <c r="N596" i="32"/>
  <c r="I596" i="32"/>
  <c r="E596" i="32"/>
  <c r="AQ596" i="32"/>
  <c r="AM596" i="32"/>
  <c r="AH596" i="32"/>
  <c r="AD596" i="32"/>
  <c r="Y596" i="32"/>
  <c r="U596" i="32"/>
  <c r="P596" i="32"/>
  <c r="K596" i="32"/>
  <c r="G596" i="32"/>
  <c r="V596" i="32"/>
  <c r="AN596" i="32"/>
  <c r="I576" i="32"/>
  <c r="N576" i="32"/>
  <c r="S576" i="32"/>
  <c r="Y576" i="32"/>
  <c r="AD576" i="32"/>
  <c r="AI576" i="32"/>
  <c r="AO576" i="32"/>
  <c r="O578" i="32"/>
  <c r="Y578" i="32"/>
  <c r="AK578" i="32"/>
  <c r="H580" i="32"/>
  <c r="M580" i="32"/>
  <c r="Q580" i="32"/>
  <c r="V580" i="32"/>
  <c r="Z580" i="32"/>
  <c r="AE580" i="32"/>
  <c r="AI580" i="32"/>
  <c r="AN580" i="32"/>
  <c r="K582" i="32"/>
  <c r="P582" i="32"/>
  <c r="Y582" i="32"/>
  <c r="AI582" i="32"/>
  <c r="G584" i="32"/>
  <c r="N584" i="32"/>
  <c r="T584" i="32"/>
  <c r="Z584" i="32"/>
  <c r="AG584" i="32"/>
  <c r="AL584" i="32"/>
  <c r="AR584" i="32"/>
  <c r="H585" i="32"/>
  <c r="L585" i="32"/>
  <c r="R585" i="32"/>
  <c r="Y585" i="32"/>
  <c r="AD585" i="32"/>
  <c r="AL585" i="32"/>
  <c r="AM586" i="32"/>
  <c r="AN586" i="32"/>
  <c r="AF586" i="32"/>
  <c r="Z586" i="32"/>
  <c r="S586" i="32"/>
  <c r="L586" i="32"/>
  <c r="G586" i="32"/>
  <c r="K586" i="32"/>
  <c r="T586" i="32"/>
  <c r="AC586" i="32"/>
  <c r="AK586" i="32"/>
  <c r="E588" i="32"/>
  <c r="J588" i="32"/>
  <c r="Q588" i="32"/>
  <c r="W588" i="32"/>
  <c r="AC588" i="32"/>
  <c r="AI588" i="32"/>
  <c r="AO588" i="32"/>
  <c r="G590" i="32"/>
  <c r="Q590" i="32"/>
  <c r="AD590" i="32"/>
  <c r="AN590" i="32"/>
  <c r="H594" i="32"/>
  <c r="W594" i="32"/>
  <c r="AK594" i="32"/>
  <c r="H596" i="32"/>
  <c r="Z596" i="32"/>
  <c r="AR597" i="32"/>
  <c r="AJ597" i="32"/>
  <c r="AB597" i="32"/>
  <c r="U597" i="32"/>
  <c r="M597" i="32"/>
  <c r="H597" i="32"/>
  <c r="AO597" i="32"/>
  <c r="AH597" i="32"/>
  <c r="Z597" i="32"/>
  <c r="T597" i="32"/>
  <c r="L597" i="32"/>
  <c r="E597" i="32"/>
  <c r="AK597" i="32"/>
  <c r="AF597" i="32"/>
  <c r="X597" i="32"/>
  <c r="P597" i="32"/>
  <c r="I597" i="32"/>
  <c r="AG597" i="32"/>
  <c r="P598" i="32"/>
  <c r="AB598" i="32"/>
  <c r="AJ598" i="32"/>
  <c r="E599" i="32"/>
  <c r="J599" i="32"/>
  <c r="O599" i="32"/>
  <c r="U599" i="32"/>
  <c r="Z599" i="32"/>
  <c r="AE599" i="32"/>
  <c r="AK599" i="32"/>
  <c r="AP599" i="32"/>
  <c r="T592" i="32"/>
  <c r="AD592" i="32"/>
  <c r="H593" i="32"/>
  <c r="P593" i="32"/>
  <c r="V593" i="32"/>
  <c r="AD593" i="32"/>
  <c r="AN593" i="32"/>
  <c r="I598" i="32"/>
  <c r="S598" i="32"/>
  <c r="AF598" i="32"/>
  <c r="G599" i="32"/>
  <c r="M599" i="32"/>
  <c r="R599" i="32"/>
  <c r="W599" i="32"/>
  <c r="AC599" i="32"/>
  <c r="AH599" i="32"/>
  <c r="AM599" i="32"/>
  <c r="K593" i="32"/>
  <c r="Q593" i="32"/>
  <c r="X593" i="32"/>
  <c r="AG593" i="32"/>
  <c r="AO593" i="32"/>
  <c r="H599" i="32"/>
  <c r="N599" i="32"/>
  <c r="S599" i="32"/>
  <c r="X599" i="32"/>
  <c r="AD599" i="32"/>
  <c r="AI599" i="32"/>
  <c r="AN599" i="32"/>
  <c r="T581" i="32"/>
  <c r="AL562" i="32"/>
  <c r="AD562" i="32"/>
  <c r="V562" i="32"/>
  <c r="N562" i="32"/>
  <c r="F562" i="32"/>
  <c r="AK562" i="32"/>
  <c r="AB562" i="32"/>
  <c r="S562" i="32"/>
  <c r="J562" i="32"/>
  <c r="AJ562" i="32"/>
  <c r="AA562" i="32"/>
  <c r="R562" i="32"/>
  <c r="I562" i="32"/>
  <c r="AO562" i="32"/>
  <c r="AO571" i="32"/>
  <c r="AG571" i="32"/>
  <c r="Y571" i="32"/>
  <c r="Q571" i="32"/>
  <c r="I571" i="32"/>
  <c r="AK571" i="32"/>
  <c r="AC571" i="32"/>
  <c r="U571" i="32"/>
  <c r="M571" i="32"/>
  <c r="E571" i="32"/>
  <c r="AN571" i="32"/>
  <c r="AD571" i="32"/>
  <c r="S571" i="32"/>
  <c r="H571" i="32"/>
  <c r="AM571" i="32"/>
  <c r="AB571" i="32"/>
  <c r="R571" i="32"/>
  <c r="G571" i="32"/>
  <c r="T571" i="32"/>
  <c r="AH571" i="32"/>
  <c r="AK575" i="32"/>
  <c r="AC575" i="32"/>
  <c r="U575" i="32"/>
  <c r="M575" i="32"/>
  <c r="E575" i="32"/>
  <c r="AO575" i="32"/>
  <c r="AG575" i="32"/>
  <c r="Y575" i="32"/>
  <c r="Q575" i="32"/>
  <c r="I575" i="32"/>
  <c r="AM575" i="32"/>
  <c r="AB575" i="32"/>
  <c r="R575" i="32"/>
  <c r="G575" i="32"/>
  <c r="AL575" i="32"/>
  <c r="AA575" i="32"/>
  <c r="P575" i="32"/>
  <c r="F575" i="32"/>
  <c r="T575" i="32"/>
  <c r="AH575" i="32"/>
  <c r="E581" i="32"/>
  <c r="U581" i="32"/>
  <c r="AH581" i="32"/>
  <c r="F595" i="32"/>
  <c r="AE595" i="32"/>
  <c r="E562" i="32"/>
  <c r="Q562" i="32"/>
  <c r="AE562" i="32"/>
  <c r="AP562" i="32"/>
  <c r="F571" i="32"/>
  <c r="V571" i="32"/>
  <c r="AI571" i="32"/>
  <c r="H575" i="32"/>
  <c r="V575" i="32"/>
  <c r="AI575" i="32"/>
  <c r="N579" i="32"/>
  <c r="AA579" i="32"/>
  <c r="AN579" i="32"/>
  <c r="I581" i="32"/>
  <c r="V581" i="32"/>
  <c r="AJ581" i="32"/>
  <c r="J595" i="32"/>
  <c r="AP595" i="32"/>
  <c r="K560" i="32"/>
  <c r="U560" i="32"/>
  <c r="AE560" i="32"/>
  <c r="G562" i="32"/>
  <c r="T562" i="32"/>
  <c r="AF562" i="32"/>
  <c r="AQ562" i="32"/>
  <c r="K566" i="32"/>
  <c r="V566" i="32"/>
  <c r="AN568" i="32"/>
  <c r="AF568" i="32"/>
  <c r="X568" i="32"/>
  <c r="P568" i="32"/>
  <c r="H568" i="32"/>
  <c r="AK568" i="32"/>
  <c r="AB568" i="32"/>
  <c r="S568" i="32"/>
  <c r="J568" i="32"/>
  <c r="AJ568" i="32"/>
  <c r="AA568" i="32"/>
  <c r="R568" i="32"/>
  <c r="I568" i="32"/>
  <c r="O568" i="32"/>
  <c r="AC568" i="32"/>
  <c r="AO568" i="32"/>
  <c r="K570" i="32"/>
  <c r="W570" i="32"/>
  <c r="J571" i="32"/>
  <c r="W571" i="32"/>
  <c r="AJ571" i="32"/>
  <c r="J575" i="32"/>
  <c r="W575" i="32"/>
  <c r="AJ575" i="32"/>
  <c r="M578" i="32"/>
  <c r="AA578" i="32"/>
  <c r="O579" i="32"/>
  <c r="AB579" i="32"/>
  <c r="AP579" i="32"/>
  <c r="J581" i="32"/>
  <c r="X581" i="32"/>
  <c r="N583" i="32"/>
  <c r="AA583" i="32"/>
  <c r="AQ592" i="32"/>
  <c r="AI592" i="32"/>
  <c r="AA592" i="32"/>
  <c r="S592" i="32"/>
  <c r="K592" i="32"/>
  <c r="AN592" i="32"/>
  <c r="AF592" i="32"/>
  <c r="X592" i="32"/>
  <c r="P592" i="32"/>
  <c r="H592" i="32"/>
  <c r="AH592" i="32"/>
  <c r="W592" i="32"/>
  <c r="M592" i="32"/>
  <c r="AM592" i="32"/>
  <c r="AC592" i="32"/>
  <c r="R592" i="32"/>
  <c r="G592" i="32"/>
  <c r="AL592" i="32"/>
  <c r="AB592" i="32"/>
  <c r="Q592" i="32"/>
  <c r="F592" i="32"/>
  <c r="AG592" i="32"/>
  <c r="O592" i="32"/>
  <c r="AE592" i="32"/>
  <c r="N592" i="32"/>
  <c r="Y592" i="32"/>
  <c r="K595" i="32"/>
  <c r="AQ595" i="32"/>
  <c r="AM581" i="32"/>
  <c r="AE581" i="32"/>
  <c r="W581" i="32"/>
  <c r="O581" i="32"/>
  <c r="G581" i="32"/>
  <c r="AQ581" i="32"/>
  <c r="AI581" i="32"/>
  <c r="AA581" i="32"/>
  <c r="S581" i="32"/>
  <c r="K581" i="32"/>
  <c r="AN581" i="32"/>
  <c r="AC581" i="32"/>
  <c r="R581" i="32"/>
  <c r="H581" i="32"/>
  <c r="AL581" i="32"/>
  <c r="AB581" i="32"/>
  <c r="Q581" i="32"/>
  <c r="F581" i="32"/>
  <c r="AG581" i="32"/>
  <c r="AD595" i="32"/>
  <c r="P562" i="32"/>
  <c r="AG562" i="32"/>
  <c r="K571" i="32"/>
  <c r="AL571" i="32"/>
  <c r="K575" i="32"/>
  <c r="L581" i="32"/>
  <c r="AO581" i="32"/>
  <c r="S595" i="32"/>
  <c r="K562" i="32"/>
  <c r="L571" i="32"/>
  <c r="Z571" i="32"/>
  <c r="AP571" i="32"/>
  <c r="L575" i="32"/>
  <c r="Z575" i="32"/>
  <c r="AP575" i="32"/>
  <c r="R579" i="32"/>
  <c r="M581" i="32"/>
  <c r="Z581" i="32"/>
  <c r="AN560" i="32"/>
  <c r="AF560" i="32"/>
  <c r="X560" i="32"/>
  <c r="P560" i="32"/>
  <c r="H560" i="32"/>
  <c r="AK560" i="32"/>
  <c r="AB560" i="32"/>
  <c r="S560" i="32"/>
  <c r="J560" i="32"/>
  <c r="N560" i="32"/>
  <c r="Y560" i="32"/>
  <c r="AI560" i="32"/>
  <c r="L562" i="32"/>
  <c r="X562" i="32"/>
  <c r="AI562" i="32"/>
  <c r="N571" i="32"/>
  <c r="AA571" i="32"/>
  <c r="AQ571" i="32"/>
  <c r="N575" i="32"/>
  <c r="AD575" i="32"/>
  <c r="AQ575" i="32"/>
  <c r="AP578" i="32"/>
  <c r="AH578" i="32"/>
  <c r="Z578" i="32"/>
  <c r="R578" i="32"/>
  <c r="J578" i="32"/>
  <c r="AL578" i="32"/>
  <c r="AD578" i="32"/>
  <c r="V578" i="32"/>
  <c r="N578" i="32"/>
  <c r="F578" i="32"/>
  <c r="AQ578" i="32"/>
  <c r="AF578" i="32"/>
  <c r="U578" i="32"/>
  <c r="K578" i="32"/>
  <c r="AO578" i="32"/>
  <c r="AE578" i="32"/>
  <c r="T578" i="32"/>
  <c r="I578" i="32"/>
  <c r="Q578" i="32"/>
  <c r="AG578" i="32"/>
  <c r="F579" i="32"/>
  <c r="S579" i="32"/>
  <c r="N581" i="32"/>
  <c r="AD581" i="32"/>
  <c r="AR581" i="32"/>
  <c r="AK583" i="32"/>
  <c r="AC583" i="32"/>
  <c r="U583" i="32"/>
  <c r="M583" i="32"/>
  <c r="E583" i="32"/>
  <c r="AO583" i="32"/>
  <c r="AG583" i="32"/>
  <c r="Y583" i="32"/>
  <c r="Q583" i="32"/>
  <c r="I583" i="32"/>
  <c r="AQ583" i="32"/>
  <c r="AF583" i="32"/>
  <c r="V583" i="32"/>
  <c r="K583" i="32"/>
  <c r="AP583" i="32"/>
  <c r="AE583" i="32"/>
  <c r="T583" i="32"/>
  <c r="J583" i="32"/>
  <c r="R583" i="32"/>
  <c r="AH583" i="32"/>
  <c r="AO595" i="32"/>
  <c r="AG595" i="32"/>
  <c r="Y595" i="32"/>
  <c r="Q595" i="32"/>
  <c r="I595" i="32"/>
  <c r="AN595" i="32"/>
  <c r="AF595" i="32"/>
  <c r="X595" i="32"/>
  <c r="P595" i="32"/>
  <c r="H595" i="32"/>
  <c r="AK595" i="32"/>
  <c r="AC595" i="32"/>
  <c r="U595" i="32"/>
  <c r="M595" i="32"/>
  <c r="E595" i="32"/>
  <c r="AH595" i="32"/>
  <c r="T595" i="32"/>
  <c r="G595" i="32"/>
  <c r="AM595" i="32"/>
  <c r="AA595" i="32"/>
  <c r="N595" i="32"/>
  <c r="AL595" i="32"/>
  <c r="Z595" i="32"/>
  <c r="L595" i="32"/>
  <c r="AJ595" i="32"/>
  <c r="R595" i="32"/>
  <c r="AI595" i="32"/>
  <c r="O595" i="32"/>
  <c r="AC562" i="32"/>
  <c r="H562" i="32"/>
  <c r="U562" i="32"/>
  <c r="AR562" i="32"/>
  <c r="X571" i="32"/>
  <c r="X575" i="32"/>
  <c r="AN575" i="32"/>
  <c r="Y581" i="32"/>
  <c r="AR595" i="32"/>
  <c r="W562" i="32"/>
  <c r="AH562" i="32"/>
  <c r="AO579" i="32"/>
  <c r="AG579" i="32"/>
  <c r="Y579" i="32"/>
  <c r="Q579" i="32"/>
  <c r="I579" i="32"/>
  <c r="AK579" i="32"/>
  <c r="AC579" i="32"/>
  <c r="U579" i="32"/>
  <c r="M579" i="32"/>
  <c r="E579" i="32"/>
  <c r="AR579" i="32"/>
  <c r="AH579" i="32"/>
  <c r="W579" i="32"/>
  <c r="L579" i="32"/>
  <c r="AQ579" i="32"/>
  <c r="AF579" i="32"/>
  <c r="V579" i="32"/>
  <c r="K579" i="32"/>
  <c r="AE579" i="32"/>
  <c r="AP581" i="32"/>
  <c r="V595" i="32"/>
  <c r="E560" i="32"/>
  <c r="O560" i="32"/>
  <c r="Z560" i="32"/>
  <c r="AJ560" i="32"/>
  <c r="M562" i="32"/>
  <c r="Y562" i="32"/>
  <c r="AM562" i="32"/>
  <c r="AP566" i="32"/>
  <c r="AH566" i="32"/>
  <c r="Z566" i="32"/>
  <c r="R566" i="32"/>
  <c r="J566" i="32"/>
  <c r="AK566" i="32"/>
  <c r="AB566" i="32"/>
  <c r="S566" i="32"/>
  <c r="I566" i="32"/>
  <c r="AJ566" i="32"/>
  <c r="AA566" i="32"/>
  <c r="Q566" i="32"/>
  <c r="H566" i="32"/>
  <c r="O566" i="32"/>
  <c r="AC566" i="32"/>
  <c r="AN566" i="32"/>
  <c r="K568" i="32"/>
  <c r="V568" i="32"/>
  <c r="AH568" i="32"/>
  <c r="AP570" i="32"/>
  <c r="AH570" i="32"/>
  <c r="AL570" i="32"/>
  <c r="AD570" i="32"/>
  <c r="V570" i="32"/>
  <c r="N570" i="32"/>
  <c r="F570" i="32"/>
  <c r="AM570" i="32"/>
  <c r="AB570" i="32"/>
  <c r="S570" i="32"/>
  <c r="J570" i="32"/>
  <c r="AK570" i="32"/>
  <c r="AA570" i="32"/>
  <c r="R570" i="32"/>
  <c r="I570" i="32"/>
  <c r="P570" i="32"/>
  <c r="AC570" i="32"/>
  <c r="AQ570" i="32"/>
  <c r="O571" i="32"/>
  <c r="AE571" i="32"/>
  <c r="AR571" i="32"/>
  <c r="O575" i="32"/>
  <c r="AE575" i="32"/>
  <c r="AR575" i="32"/>
  <c r="AQ577" i="32"/>
  <c r="AI577" i="32"/>
  <c r="AA577" i="32"/>
  <c r="S577" i="32"/>
  <c r="K577" i="32"/>
  <c r="AM577" i="32"/>
  <c r="AE577" i="32"/>
  <c r="W577" i="32"/>
  <c r="O577" i="32"/>
  <c r="G577" i="32"/>
  <c r="AO577" i="32"/>
  <c r="AD577" i="32"/>
  <c r="T577" i="32"/>
  <c r="I577" i="32"/>
  <c r="AN577" i="32"/>
  <c r="AC577" i="32"/>
  <c r="R577" i="32"/>
  <c r="H577" i="32"/>
  <c r="Q577" i="32"/>
  <c r="AG577" i="32"/>
  <c r="E578" i="32"/>
  <c r="S578" i="32"/>
  <c r="AI578" i="32"/>
  <c r="G579" i="32"/>
  <c r="T579" i="32"/>
  <c r="AJ579" i="32"/>
  <c r="P581" i="32"/>
  <c r="AF581" i="32"/>
  <c r="AL582" i="32"/>
  <c r="AD582" i="32"/>
  <c r="V582" i="32"/>
  <c r="N582" i="32"/>
  <c r="F582" i="32"/>
  <c r="AP582" i="32"/>
  <c r="AH582" i="32"/>
  <c r="Z582" i="32"/>
  <c r="R582" i="32"/>
  <c r="J582" i="32"/>
  <c r="AO582" i="32"/>
  <c r="AE582" i="32"/>
  <c r="T582" i="32"/>
  <c r="I582" i="32"/>
  <c r="AN582" i="32"/>
  <c r="AC582" i="32"/>
  <c r="S582" i="32"/>
  <c r="H582" i="32"/>
  <c r="Q582" i="32"/>
  <c r="AG582" i="32"/>
  <c r="F583" i="32"/>
  <c r="S583" i="32"/>
  <c r="AI583" i="32"/>
  <c r="L592" i="32"/>
  <c r="AK592" i="32"/>
  <c r="AB595" i="32"/>
  <c r="AM561" i="32"/>
  <c r="AE561" i="32"/>
  <c r="W561" i="32"/>
  <c r="O561" i="32"/>
  <c r="G561" i="32"/>
  <c r="M561" i="32"/>
  <c r="V561" i="32"/>
  <c r="AF561" i="32"/>
  <c r="AO561" i="32"/>
  <c r="AK563" i="32"/>
  <c r="AC563" i="32"/>
  <c r="U563" i="32"/>
  <c r="M563" i="32"/>
  <c r="E563" i="32"/>
  <c r="N563" i="32"/>
  <c r="W563" i="32"/>
  <c r="AF563" i="32"/>
  <c r="AO563" i="32"/>
  <c r="AQ565" i="32"/>
  <c r="AI565" i="32"/>
  <c r="AA565" i="32"/>
  <c r="S565" i="32"/>
  <c r="K565" i="32"/>
  <c r="M565" i="32"/>
  <c r="V565" i="32"/>
  <c r="AE565" i="32"/>
  <c r="AN565" i="32"/>
  <c r="AO567" i="32"/>
  <c r="AG567" i="32"/>
  <c r="Y567" i="32"/>
  <c r="Q567" i="32"/>
  <c r="I567" i="32"/>
  <c r="M567" i="32"/>
  <c r="V567" i="32"/>
  <c r="AE567" i="32"/>
  <c r="AN567" i="32"/>
  <c r="AM569" i="32"/>
  <c r="AE569" i="32"/>
  <c r="W569" i="32"/>
  <c r="O569" i="32"/>
  <c r="G569" i="32"/>
  <c r="M569" i="32"/>
  <c r="V569" i="32"/>
  <c r="AF569" i="32"/>
  <c r="AO569" i="32"/>
  <c r="M573" i="32"/>
  <c r="X573" i="32"/>
  <c r="AL574" i="32"/>
  <c r="AD574" i="32"/>
  <c r="V574" i="32"/>
  <c r="N574" i="32"/>
  <c r="F574" i="32"/>
  <c r="AP574" i="32"/>
  <c r="AH574" i="32"/>
  <c r="Z574" i="32"/>
  <c r="R574" i="32"/>
  <c r="J574" i="32"/>
  <c r="O574" i="32"/>
  <c r="Y574" i="32"/>
  <c r="AJ574" i="32"/>
  <c r="AN587" i="32"/>
  <c r="AF587" i="32"/>
  <c r="X587" i="32"/>
  <c r="P587" i="32"/>
  <c r="H587" i="32"/>
  <c r="AK587" i="32"/>
  <c r="AC587" i="32"/>
  <c r="U587" i="32"/>
  <c r="M587" i="32"/>
  <c r="E587" i="32"/>
  <c r="AI587" i="32"/>
  <c r="Y587" i="32"/>
  <c r="N587" i="32"/>
  <c r="AO587" i="32"/>
  <c r="AD587" i="32"/>
  <c r="S587" i="32"/>
  <c r="I587" i="32"/>
  <c r="R587" i="32"/>
  <c r="AG587" i="32"/>
  <c r="AL598" i="32"/>
  <c r="AD598" i="32"/>
  <c r="V598" i="32"/>
  <c r="N598" i="32"/>
  <c r="F598" i="32"/>
  <c r="AK598" i="32"/>
  <c r="AC598" i="32"/>
  <c r="U598" i="32"/>
  <c r="M598" i="32"/>
  <c r="E598" i="32"/>
  <c r="AP598" i="32"/>
  <c r="AH598" i="32"/>
  <c r="Z598" i="32"/>
  <c r="R598" i="32"/>
  <c r="J598" i="32"/>
  <c r="AG598" i="32"/>
  <c r="T598" i="32"/>
  <c r="H598" i="32"/>
  <c r="AN598" i="32"/>
  <c r="AA598" i="32"/>
  <c r="O598" i="32"/>
  <c r="AM598" i="32"/>
  <c r="Y598" i="32"/>
  <c r="L598" i="32"/>
  <c r="X598" i="32"/>
  <c r="AR598" i="32"/>
  <c r="E561" i="32"/>
  <c r="N561" i="32"/>
  <c r="X561" i="32"/>
  <c r="AG561" i="32"/>
  <c r="AP561" i="32"/>
  <c r="F563" i="32"/>
  <c r="O563" i="32"/>
  <c r="X563" i="32"/>
  <c r="AG563" i="32"/>
  <c r="AP563" i="32"/>
  <c r="E565" i="32"/>
  <c r="N565" i="32"/>
  <c r="W565" i="32"/>
  <c r="AF565" i="32"/>
  <c r="AO565" i="32"/>
  <c r="AM573" i="32"/>
  <c r="AE573" i="32"/>
  <c r="W573" i="32"/>
  <c r="O573" i="32"/>
  <c r="G573" i="32"/>
  <c r="AQ573" i="32"/>
  <c r="AI573" i="32"/>
  <c r="AA573" i="32"/>
  <c r="S573" i="32"/>
  <c r="K573" i="32"/>
  <c r="N573" i="32"/>
  <c r="Y573" i="32"/>
  <c r="AJ573" i="32"/>
  <c r="AK590" i="32"/>
  <c r="AC590" i="32"/>
  <c r="U590" i="32"/>
  <c r="M590" i="32"/>
  <c r="E590" i="32"/>
  <c r="AP590" i="32"/>
  <c r="AH590" i="32"/>
  <c r="Z590" i="32"/>
  <c r="R590" i="32"/>
  <c r="J590" i="32"/>
  <c r="O590" i="32"/>
  <c r="Y590" i="32"/>
  <c r="AJ590" i="32"/>
  <c r="L564" i="32"/>
  <c r="T564" i="32"/>
  <c r="AB564" i="32"/>
  <c r="AJ564" i="32"/>
  <c r="L572" i="32"/>
  <c r="T572" i="32"/>
  <c r="AB572" i="32"/>
  <c r="AJ572" i="32"/>
  <c r="H576" i="32"/>
  <c r="P576" i="32"/>
  <c r="X576" i="32"/>
  <c r="AF576" i="32"/>
  <c r="AN576" i="32"/>
  <c r="L580" i="32"/>
  <c r="T580" i="32"/>
  <c r="AB580" i="32"/>
  <c r="AJ580" i="32"/>
  <c r="I584" i="32"/>
  <c r="R584" i="32"/>
  <c r="AA584" i="32"/>
  <c r="AM585" i="32"/>
  <c r="AE585" i="32"/>
  <c r="W585" i="32"/>
  <c r="O585" i="32"/>
  <c r="G585" i="32"/>
  <c r="M585" i="32"/>
  <c r="V585" i="32"/>
  <c r="AF585" i="32"/>
  <c r="AO585" i="32"/>
  <c r="I586" i="32"/>
  <c r="R586" i="32"/>
  <c r="AB586" i="32"/>
  <c r="AL589" i="32"/>
  <c r="AD589" i="32"/>
  <c r="V589" i="32"/>
  <c r="N589" i="32"/>
  <c r="F589" i="32"/>
  <c r="AQ589" i="32"/>
  <c r="AI589" i="32"/>
  <c r="AA589" i="32"/>
  <c r="S589" i="32"/>
  <c r="K589" i="32"/>
  <c r="O589" i="32"/>
  <c r="Y589" i="32"/>
  <c r="AJ589" i="32"/>
  <c r="F590" i="32"/>
  <c r="P590" i="32"/>
  <c r="AA590" i="32"/>
  <c r="AL590" i="32"/>
  <c r="I593" i="32"/>
  <c r="T593" i="32"/>
  <c r="AP594" i="32"/>
  <c r="AH594" i="32"/>
  <c r="Z594" i="32"/>
  <c r="R594" i="32"/>
  <c r="J594" i="32"/>
  <c r="AO594" i="32"/>
  <c r="AG594" i="32"/>
  <c r="Y594" i="32"/>
  <c r="Q594" i="32"/>
  <c r="I594" i="32"/>
  <c r="AL594" i="32"/>
  <c r="AD594" i="32"/>
  <c r="V594" i="32"/>
  <c r="N594" i="32"/>
  <c r="F594" i="32"/>
  <c r="P594" i="32"/>
  <c r="AC594" i="32"/>
  <c r="AQ594" i="32"/>
  <c r="AM597" i="32"/>
  <c r="AE597" i="32"/>
  <c r="W597" i="32"/>
  <c r="O597" i="32"/>
  <c r="G597" i="32"/>
  <c r="AL597" i="32"/>
  <c r="AD597" i="32"/>
  <c r="V597" i="32"/>
  <c r="N597" i="32"/>
  <c r="F597" i="32"/>
  <c r="AQ597" i="32"/>
  <c r="AI597" i="32"/>
  <c r="AA597" i="32"/>
  <c r="S597" i="32"/>
  <c r="K597" i="32"/>
  <c r="Q597" i="32"/>
  <c r="AC597" i="32"/>
  <c r="AP597" i="32"/>
  <c r="L576" i="32"/>
  <c r="T576" i="32"/>
  <c r="AB576" i="32"/>
  <c r="AJ576" i="32"/>
  <c r="AN584" i="32"/>
  <c r="AF584" i="32"/>
  <c r="X584" i="32"/>
  <c r="P584" i="32"/>
  <c r="H584" i="32"/>
  <c r="M584" i="32"/>
  <c r="V584" i="32"/>
  <c r="AE584" i="32"/>
  <c r="AO584" i="32"/>
  <c r="AO586" i="32"/>
  <c r="AG586" i="32"/>
  <c r="Y586" i="32"/>
  <c r="AL586" i="32"/>
  <c r="AD586" i="32"/>
  <c r="V586" i="32"/>
  <c r="N586" i="32"/>
  <c r="F586" i="32"/>
  <c r="M586" i="32"/>
  <c r="W586" i="32"/>
  <c r="AH586" i="32"/>
  <c r="AR586" i="32"/>
  <c r="K590" i="32"/>
  <c r="V590" i="32"/>
  <c r="AF590" i="32"/>
  <c r="AQ590" i="32"/>
  <c r="AQ593" i="32"/>
  <c r="AI593" i="32"/>
  <c r="AA593" i="32"/>
  <c r="AP593" i="32"/>
  <c r="AH593" i="32"/>
  <c r="Z593" i="32"/>
  <c r="R593" i="32"/>
  <c r="J593" i="32"/>
  <c r="AM593" i="32"/>
  <c r="AE593" i="32"/>
  <c r="W593" i="32"/>
  <c r="O593" i="32"/>
  <c r="G593" i="32"/>
  <c r="N593" i="32"/>
  <c r="Y593" i="32"/>
  <c r="AL593" i="32"/>
  <c r="L588" i="32"/>
  <c r="T588" i="32"/>
  <c r="AB588" i="32"/>
  <c r="AJ588" i="32"/>
  <c r="I591" i="32"/>
  <c r="Q591" i="32"/>
  <c r="Y591" i="32"/>
  <c r="AG591" i="32"/>
  <c r="AO591" i="32"/>
  <c r="L596" i="32"/>
  <c r="T596" i="32"/>
  <c r="AB596" i="32"/>
  <c r="AJ596" i="32"/>
  <c r="I599" i="32"/>
  <c r="Q599" i="32"/>
  <c r="Y599" i="32"/>
  <c r="AG599" i="32"/>
  <c r="AO599" i="32"/>
  <c r="H600" i="32"/>
  <c r="P600" i="32"/>
  <c r="X600" i="32"/>
  <c r="AF600" i="32"/>
  <c r="AN600" i="32"/>
  <c r="L591" i="32"/>
  <c r="T591" i="32"/>
  <c r="AB591" i="32"/>
  <c r="AJ591" i="32"/>
  <c r="L599" i="32"/>
  <c r="T599" i="32"/>
  <c r="AB599" i="32"/>
  <c r="AJ599" i="32"/>
  <c r="K600" i="32"/>
  <c r="S600" i="32"/>
  <c r="AA600" i="32"/>
  <c r="AI600" i="32"/>
  <c r="AQ600" i="32"/>
  <c r="L600" i="32"/>
  <c r="T600" i="32"/>
  <c r="AB600" i="32"/>
  <c r="AJ600" i="32"/>
  <c r="T132" i="11"/>
  <c r="R132" i="11"/>
  <c r="L132" i="11"/>
  <c r="AP559" i="32" l="1"/>
  <c r="AP556" i="32" s="1"/>
  <c r="M559" i="32"/>
  <c r="M556" i="32" s="1"/>
  <c r="L559" i="32"/>
  <c r="L556" i="32" s="1"/>
  <c r="Q559" i="32"/>
  <c r="Q556" i="32" s="1"/>
  <c r="AO559" i="32"/>
  <c r="AO556" i="32" s="1"/>
  <c r="AC559" i="32"/>
  <c r="AC556" i="32" s="1"/>
  <c r="AR559" i="32"/>
  <c r="AL559" i="32"/>
  <c r="AL556" i="32" s="1"/>
  <c r="AG559" i="32"/>
  <c r="AG556" i="32" s="1"/>
  <c r="I559" i="32"/>
  <c r="I556" i="32" s="1"/>
  <c r="V559" i="32"/>
  <c r="V556" i="32" s="1"/>
  <c r="W559" i="32"/>
  <c r="W556" i="32" s="1"/>
  <c r="AM559" i="32"/>
  <c r="AM556" i="32" s="1"/>
  <c r="AH559" i="32"/>
  <c r="AH556" i="32" s="1"/>
  <c r="T559" i="32"/>
  <c r="T556" i="32" s="1"/>
  <c r="AD559" i="32"/>
  <c r="AD556" i="32" s="1"/>
  <c r="AN559" i="32"/>
  <c r="AN556" i="32" s="1"/>
  <c r="R559" i="32"/>
  <c r="R556" i="32" s="1"/>
  <c r="AA559" i="32"/>
  <c r="AA556" i="32" s="1"/>
  <c r="AB559" i="32"/>
  <c r="AB556" i="32" s="1"/>
  <c r="AE559" i="32"/>
  <c r="AE556" i="32" s="1"/>
  <c r="G559" i="32"/>
  <c r="G556" i="32" s="1"/>
  <c r="AK559" i="32"/>
  <c r="AK556" i="32" s="1"/>
  <c r="U559" i="32"/>
  <c r="U556" i="32" s="1"/>
  <c r="J559" i="32"/>
  <c r="J556" i="32" s="1"/>
  <c r="AI559" i="32"/>
  <c r="AI556" i="32" s="1"/>
  <c r="O559" i="32"/>
  <c r="O556" i="32" s="1"/>
  <c r="Y559" i="32"/>
  <c r="Y556" i="32" s="1"/>
  <c r="X559" i="32"/>
  <c r="X556" i="32" s="1"/>
  <c r="AQ559" i="32"/>
  <c r="AQ556" i="32" s="1"/>
  <c r="S559" i="32"/>
  <c r="S556" i="32" s="1"/>
  <c r="AJ559" i="32"/>
  <c r="AJ556" i="32" s="1"/>
  <c r="H559" i="32"/>
  <c r="H556" i="32" s="1"/>
  <c r="K559" i="32"/>
  <c r="K556" i="32" s="1"/>
  <c r="Z559" i="32"/>
  <c r="Z556" i="32" s="1"/>
  <c r="P559" i="32"/>
  <c r="P556" i="32" s="1"/>
  <c r="E559" i="32"/>
  <c r="E556" i="32" s="1"/>
  <c r="N559" i="32"/>
  <c r="N556" i="32" s="1"/>
  <c r="AF559" i="32"/>
  <c r="AF556" i="32" s="1"/>
  <c r="F559" i="32"/>
  <c r="F556" i="32" s="1"/>
  <c r="B12" i="11"/>
  <c r="B132" i="11" s="1"/>
  <c r="AR556" i="32" l="1"/>
  <c r="B3" i="20"/>
  <c r="J20" i="2" l="1"/>
  <c r="H20" i="2"/>
  <c r="D158" i="2"/>
  <c r="AP40" i="23" l="1"/>
  <c r="AO40" i="23"/>
  <c r="AN40" i="23"/>
  <c r="AM40" i="23"/>
  <c r="AL40" i="23"/>
  <c r="AK40" i="23"/>
  <c r="AJ40" i="23"/>
  <c r="AI40" i="23"/>
  <c r="AH40" i="23"/>
  <c r="AG40" i="23"/>
  <c r="AF40" i="23"/>
  <c r="AE40" i="23"/>
  <c r="AD40" i="23"/>
  <c r="AC40" i="23"/>
  <c r="AB40" i="23"/>
  <c r="AA40" i="23"/>
  <c r="Z40" i="23"/>
  <c r="Y40" i="23"/>
  <c r="X40" i="23"/>
  <c r="W40" i="23"/>
  <c r="V40" i="23"/>
  <c r="U40" i="23"/>
  <c r="T40" i="23"/>
  <c r="S40" i="23"/>
  <c r="R40" i="23"/>
  <c r="Q40" i="23"/>
  <c r="P40" i="23"/>
  <c r="O40" i="23"/>
  <c r="N40" i="23"/>
  <c r="M40" i="23"/>
  <c r="L40" i="23"/>
  <c r="K40" i="23"/>
  <c r="J40" i="23"/>
  <c r="I40" i="23"/>
  <c r="H40" i="23"/>
  <c r="G40" i="23"/>
  <c r="AP39" i="23"/>
  <c r="AO39" i="23"/>
  <c r="AN39" i="23"/>
  <c r="AM39" i="23"/>
  <c r="AL39" i="23"/>
  <c r="AK39" i="23"/>
  <c r="AJ39" i="23"/>
  <c r="AI39" i="23"/>
  <c r="AH39" i="23"/>
  <c r="AG39" i="23"/>
  <c r="AF39" i="23"/>
  <c r="AE39" i="23"/>
  <c r="AD39" i="23"/>
  <c r="AC39" i="23"/>
  <c r="AB39" i="23"/>
  <c r="AA39" i="23"/>
  <c r="Z39" i="23"/>
  <c r="Y39" i="23"/>
  <c r="X39" i="23"/>
  <c r="W39" i="23"/>
  <c r="V39" i="23"/>
  <c r="U39" i="23"/>
  <c r="T39" i="23"/>
  <c r="S39" i="23"/>
  <c r="R39" i="23"/>
  <c r="Q39" i="23"/>
  <c r="P39" i="23"/>
  <c r="O39" i="23"/>
  <c r="N39" i="23"/>
  <c r="M39" i="23"/>
  <c r="L39" i="23"/>
  <c r="K39" i="23"/>
  <c r="J39" i="23"/>
  <c r="I39" i="23"/>
  <c r="H39" i="23"/>
  <c r="G39" i="23"/>
  <c r="AP38" i="23"/>
  <c r="AO38" i="23"/>
  <c r="AN38" i="23"/>
  <c r="AM38" i="23"/>
  <c r="AL38" i="23"/>
  <c r="AK38" i="23"/>
  <c r="AJ38" i="23"/>
  <c r="AI38" i="23"/>
  <c r="AH38" i="23"/>
  <c r="AG38" i="23"/>
  <c r="AF38" i="23"/>
  <c r="AE38" i="23"/>
  <c r="AD38" i="23"/>
  <c r="AC38" i="23"/>
  <c r="AB38" i="23"/>
  <c r="AA38" i="23"/>
  <c r="Z38" i="23"/>
  <c r="Y38" i="23"/>
  <c r="X38" i="23"/>
  <c r="W38" i="23"/>
  <c r="V38" i="23"/>
  <c r="U38" i="23"/>
  <c r="T38" i="23"/>
  <c r="S38" i="23"/>
  <c r="R38" i="23"/>
  <c r="Q38" i="23"/>
  <c r="P38" i="23"/>
  <c r="O38" i="23"/>
  <c r="N38" i="23"/>
  <c r="M38" i="23"/>
  <c r="L38" i="23"/>
  <c r="K38" i="23"/>
  <c r="J38" i="23"/>
  <c r="I38" i="23"/>
  <c r="H38" i="23"/>
  <c r="G38" i="23"/>
  <c r="AP37" i="23"/>
  <c r="AO37" i="23"/>
  <c r="AN37" i="23"/>
  <c r="AM37" i="23"/>
  <c r="AL37" i="23"/>
  <c r="AK37" i="23"/>
  <c r="AJ37" i="23"/>
  <c r="AI37" i="23"/>
  <c r="AH37" i="23"/>
  <c r="AG37" i="23"/>
  <c r="AF37" i="23"/>
  <c r="AE37" i="23"/>
  <c r="AD37" i="23"/>
  <c r="AC37" i="23"/>
  <c r="AB37" i="23"/>
  <c r="AA37" i="23"/>
  <c r="Z37" i="23"/>
  <c r="Y37" i="23"/>
  <c r="X37" i="23"/>
  <c r="W37" i="23"/>
  <c r="V37" i="23"/>
  <c r="U37" i="23"/>
  <c r="T37" i="23"/>
  <c r="S37" i="23"/>
  <c r="R37" i="23"/>
  <c r="Q37" i="23"/>
  <c r="P37" i="23"/>
  <c r="O37" i="23"/>
  <c r="N37" i="23"/>
  <c r="M37" i="23"/>
  <c r="L37" i="23"/>
  <c r="K37" i="23"/>
  <c r="J37" i="23"/>
  <c r="I37" i="23"/>
  <c r="H37" i="23"/>
  <c r="G37" i="23"/>
  <c r="F40" i="23"/>
  <c r="F39" i="23"/>
  <c r="F38" i="23"/>
  <c r="F37" i="23"/>
  <c r="E40" i="23"/>
  <c r="E39" i="23"/>
  <c r="E38" i="23"/>
  <c r="E37" i="23"/>
  <c r="D40" i="23"/>
  <c r="D39" i="23"/>
  <c r="D38" i="23"/>
  <c r="D37" i="23"/>
  <c r="B102" i="23" l="1"/>
  <c r="H124" i="23"/>
  <c r="H123" i="23"/>
  <c r="H125" i="23" l="1"/>
  <c r="H127" i="23" s="1"/>
  <c r="D103" i="23"/>
  <c r="F124" i="23"/>
  <c r="E124" i="23"/>
  <c r="D124" i="23"/>
  <c r="F133" i="23"/>
  <c r="F134" i="23" s="1"/>
  <c r="E133" i="23"/>
  <c r="E134" i="23" s="1"/>
  <c r="D133" i="23"/>
  <c r="D134" i="23" s="1"/>
  <c r="F122" i="23"/>
  <c r="F123" i="23" s="1"/>
  <c r="E122" i="23"/>
  <c r="E123" i="23" s="1"/>
  <c r="D122" i="23"/>
  <c r="D123" i="23" s="1"/>
  <c r="H126" i="23" l="1"/>
  <c r="F135" i="23"/>
  <c r="F132" i="23" s="1"/>
  <c r="D135" i="23"/>
  <c r="D132" i="23" s="1"/>
  <c r="E135" i="23"/>
  <c r="E132" i="23" s="1"/>
  <c r="F125" i="23"/>
  <c r="F127" i="23" s="1"/>
  <c r="E125" i="23"/>
  <c r="E127" i="23" s="1"/>
  <c r="D125" i="23"/>
  <c r="D126" i="23" s="1"/>
  <c r="A41" i="12"/>
  <c r="A40" i="12"/>
  <c r="A31" i="12"/>
  <c r="A23" i="12"/>
  <c r="G132" i="23" l="1"/>
  <c r="D127" i="23"/>
  <c r="F126" i="23"/>
  <c r="E126" i="23"/>
  <c r="G126" i="23" l="1"/>
  <c r="AL22" i="4"/>
  <c r="AJ22" i="4"/>
  <c r="W22" i="4"/>
  <c r="O22" i="4"/>
  <c r="K22" i="4"/>
  <c r="BJ245" i="13" l="1"/>
  <c r="BI245" i="13"/>
  <c r="BH245" i="13"/>
  <c r="BG245" i="13"/>
  <c r="BF245" i="13"/>
  <c r="BE245" i="13"/>
  <c r="BD245" i="13"/>
  <c r="BC245" i="13"/>
  <c r="BB245" i="13"/>
  <c r="BA245" i="13"/>
  <c r="AZ245" i="13"/>
  <c r="AY245" i="13"/>
  <c r="AX245" i="13"/>
  <c r="AW245" i="13"/>
  <c r="AV245" i="13"/>
  <c r="AU245" i="13"/>
  <c r="AT245" i="13"/>
  <c r="AS245" i="13"/>
  <c r="AR245" i="13"/>
  <c r="AQ245" i="13"/>
  <c r="AP245" i="13"/>
  <c r="AO245" i="13"/>
  <c r="AN245" i="13"/>
  <c r="AM245" i="13"/>
  <c r="AL245" i="13"/>
  <c r="AK245" i="13"/>
  <c r="AJ245" i="13"/>
  <c r="AI245" i="13"/>
  <c r="AH245" i="13"/>
  <c r="AG245" i="13"/>
  <c r="AF245" i="13"/>
  <c r="AE245" i="13"/>
  <c r="AD245" i="13"/>
  <c r="AC245" i="13"/>
  <c r="AB245" i="13"/>
  <c r="AA245" i="13"/>
  <c r="Z245" i="13"/>
  <c r="Y245" i="13"/>
  <c r="X245" i="13"/>
  <c r="M245" i="2"/>
  <c r="L245" i="2"/>
  <c r="K245" i="2"/>
  <c r="J245" i="2"/>
  <c r="I245" i="2"/>
  <c r="H245" i="2"/>
  <c r="F245" i="2"/>
  <c r="E245" i="2"/>
  <c r="D245" i="2"/>
  <c r="BI161" i="13" l="1"/>
  <c r="BA161" i="13"/>
  <c r="AS161" i="13"/>
  <c r="AK161" i="13"/>
  <c r="AC161" i="13"/>
  <c r="BG150" i="13"/>
  <c r="AY150" i="13"/>
  <c r="AQ150" i="13"/>
  <c r="AI150" i="13"/>
  <c r="AA150" i="13"/>
  <c r="BC150" i="13"/>
  <c r="X150" i="13"/>
  <c r="AV161" i="13"/>
  <c r="AF161" i="13"/>
  <c r="AT150" i="13"/>
  <c r="BC161" i="13"/>
  <c r="BA150" i="13"/>
  <c r="BB161" i="13"/>
  <c r="BH150" i="13"/>
  <c r="AB150" i="13"/>
  <c r="BH161" i="13"/>
  <c r="AZ161" i="13"/>
  <c r="AR161" i="13"/>
  <c r="AJ161" i="13"/>
  <c r="AB161" i="13"/>
  <c r="BF150" i="13"/>
  <c r="AX150" i="13"/>
  <c r="AP150" i="13"/>
  <c r="AH150" i="13"/>
  <c r="Z150" i="13"/>
  <c r="AO161" i="13"/>
  <c r="AM150" i="13"/>
  <c r="AN161" i="13"/>
  <c r="BB150" i="13"/>
  <c r="AD150" i="13"/>
  <c r="BI150" i="13"/>
  <c r="AK150" i="13"/>
  <c r="BJ161" i="13"/>
  <c r="AT161" i="13"/>
  <c r="AZ150" i="13"/>
  <c r="BG161" i="13"/>
  <c r="AY161" i="13"/>
  <c r="AQ161" i="13"/>
  <c r="AI161" i="13"/>
  <c r="AA161" i="13"/>
  <c r="BE150" i="13"/>
  <c r="AW150" i="13"/>
  <c r="AO150" i="13"/>
  <c r="AG150" i="13"/>
  <c r="Y150" i="13"/>
  <c r="BE161" i="13"/>
  <c r="Y161" i="13"/>
  <c r="AE150" i="13"/>
  <c r="BD161" i="13"/>
  <c r="BJ150" i="13"/>
  <c r="AL150" i="13"/>
  <c r="AU161" i="13"/>
  <c r="AM161" i="13"/>
  <c r="AS150" i="13"/>
  <c r="AD161" i="13"/>
  <c r="AJ150" i="13"/>
  <c r="BF161" i="13"/>
  <c r="AX161" i="13"/>
  <c r="AP161" i="13"/>
  <c r="AH161" i="13"/>
  <c r="Z161" i="13"/>
  <c r="BD150" i="13"/>
  <c r="AV150" i="13"/>
  <c r="AN150" i="13"/>
  <c r="AF150" i="13"/>
  <c r="X161" i="13"/>
  <c r="AW161" i="13"/>
  <c r="AG161" i="13"/>
  <c r="AU150" i="13"/>
  <c r="AE161" i="13"/>
  <c r="AC150" i="13"/>
  <c r="AL161" i="13"/>
  <c r="AR150" i="13"/>
  <c r="A11" i="12"/>
  <c r="A33" i="12"/>
  <c r="A32" i="12"/>
  <c r="A7" i="12"/>
  <c r="A13" i="12"/>
  <c r="A24" i="12" l="1"/>
  <c r="A17" i="12"/>
  <c r="A38" i="12"/>
  <c r="A16" i="12"/>
  <c r="A29" i="12" l="1"/>
  <c r="A25" i="12"/>
  <c r="A26" i="12"/>
  <c r="A28" i="12"/>
  <c r="A12" i="12"/>
  <c r="AN4" i="12" l="1"/>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D4" i="12"/>
  <c r="C4" i="12"/>
  <c r="B4" i="12"/>
  <c r="I8" i="12" l="1"/>
  <c r="I21" i="12"/>
  <c r="I24" i="12" s="1"/>
  <c r="Y8" i="12"/>
  <c r="Y21" i="12"/>
  <c r="Y24" i="12" s="1"/>
  <c r="AK8" i="12"/>
  <c r="AK21" i="12"/>
  <c r="AK24" i="12" s="1"/>
  <c r="B8" i="12"/>
  <c r="B10" i="12" s="1"/>
  <c r="B21" i="12"/>
  <c r="B24" i="12" s="1"/>
  <c r="F8" i="12"/>
  <c r="F21" i="12"/>
  <c r="F24" i="12" s="1"/>
  <c r="J8" i="12"/>
  <c r="J21" i="12"/>
  <c r="J24" i="12" s="1"/>
  <c r="N8" i="12"/>
  <c r="N21" i="12"/>
  <c r="N24" i="12" s="1"/>
  <c r="R8" i="12"/>
  <c r="R21" i="12"/>
  <c r="R24" i="12" s="1"/>
  <c r="V8" i="12"/>
  <c r="V21" i="12"/>
  <c r="V24" i="12" s="1"/>
  <c r="Z8" i="12"/>
  <c r="Z21" i="12"/>
  <c r="Z24" i="12" s="1"/>
  <c r="AD8" i="12"/>
  <c r="AD21" i="12"/>
  <c r="AD24" i="12" s="1"/>
  <c r="AH8" i="12"/>
  <c r="AH10" i="12" s="1"/>
  <c r="AH21" i="12"/>
  <c r="AH24" i="12" s="1"/>
  <c r="AL8" i="12"/>
  <c r="AL21" i="12"/>
  <c r="AL24" i="12" s="1"/>
  <c r="E8" i="12"/>
  <c r="E10" i="12" s="1"/>
  <c r="E21" i="12"/>
  <c r="E24" i="12" s="1"/>
  <c r="Q8" i="12"/>
  <c r="Q21" i="12"/>
  <c r="Q24" i="12" s="1"/>
  <c r="AG8" i="12"/>
  <c r="AG21" i="12"/>
  <c r="AG24" i="12" s="1"/>
  <c r="C8" i="12"/>
  <c r="C21" i="12"/>
  <c r="C24" i="12" s="1"/>
  <c r="G8" i="12"/>
  <c r="G21" i="12"/>
  <c r="G24" i="12" s="1"/>
  <c r="K8" i="12"/>
  <c r="K21" i="12"/>
  <c r="K24" i="12" s="1"/>
  <c r="O8" i="12"/>
  <c r="O21" i="12"/>
  <c r="O24" i="12" s="1"/>
  <c r="S8" i="12"/>
  <c r="S21" i="12"/>
  <c r="S24" i="12" s="1"/>
  <c r="W8" i="12"/>
  <c r="W21" i="12"/>
  <c r="W24" i="12" s="1"/>
  <c r="AA8" i="12"/>
  <c r="AA21" i="12"/>
  <c r="AA24" i="12" s="1"/>
  <c r="AE8" i="12"/>
  <c r="AE10" i="12" s="1"/>
  <c r="AE21" i="12"/>
  <c r="AE24" i="12" s="1"/>
  <c r="AI8" i="12"/>
  <c r="AI21" i="12"/>
  <c r="AI24" i="12" s="1"/>
  <c r="AM8" i="12"/>
  <c r="AM21" i="12"/>
  <c r="AM24" i="12" s="1"/>
  <c r="M8" i="12"/>
  <c r="M21" i="12"/>
  <c r="M24" i="12" s="1"/>
  <c r="U8" i="12"/>
  <c r="U21" i="12"/>
  <c r="U24" i="12" s="1"/>
  <c r="AC8" i="12"/>
  <c r="AC21" i="12"/>
  <c r="AC24" i="12" s="1"/>
  <c r="D8" i="12"/>
  <c r="D21" i="12"/>
  <c r="D24" i="12" s="1"/>
  <c r="H8" i="12"/>
  <c r="H21" i="12"/>
  <c r="H24" i="12" s="1"/>
  <c r="L8" i="12"/>
  <c r="L21" i="12"/>
  <c r="L24" i="12" s="1"/>
  <c r="P8" i="12"/>
  <c r="P21" i="12"/>
  <c r="P24" i="12" s="1"/>
  <c r="T8" i="12"/>
  <c r="T10" i="12" s="1"/>
  <c r="T21" i="12"/>
  <c r="T24" i="12" s="1"/>
  <c r="X8" i="12"/>
  <c r="X21" i="12"/>
  <c r="X24" i="12" s="1"/>
  <c r="AB8" i="12"/>
  <c r="AB21" i="12"/>
  <c r="AB24" i="12" s="1"/>
  <c r="AF8" i="12"/>
  <c r="AF21" i="12"/>
  <c r="AF24" i="12" s="1"/>
  <c r="AJ8" i="12"/>
  <c r="AJ21" i="12"/>
  <c r="AJ24" i="12" s="1"/>
  <c r="AN8" i="12"/>
  <c r="AN21" i="12"/>
  <c r="AN24" i="12" s="1"/>
  <c r="AO22" i="12"/>
  <c r="AO20" i="12"/>
  <c r="AF10" i="12" l="1"/>
  <c r="P10" i="12"/>
  <c r="AC10" i="12"/>
  <c r="AI10" i="12"/>
  <c r="S10" i="12"/>
  <c r="C10" i="12"/>
  <c r="AL10" i="12"/>
  <c r="N10" i="12"/>
  <c r="I10" i="12"/>
  <c r="AN10" i="12"/>
  <c r="X10" i="12"/>
  <c r="H10" i="12"/>
  <c r="M10" i="12"/>
  <c r="AA10" i="12"/>
  <c r="K10" i="12"/>
  <c r="Q10" i="12"/>
  <c r="AD10" i="12"/>
  <c r="V10" i="12"/>
  <c r="F10" i="12"/>
  <c r="AK10" i="12"/>
  <c r="AJ10" i="12"/>
  <c r="AB10" i="12"/>
  <c r="L10" i="12"/>
  <c r="D10" i="12"/>
  <c r="U10" i="12"/>
  <c r="AM10" i="12"/>
  <c r="W10" i="12"/>
  <c r="O10" i="12"/>
  <c r="G10" i="12"/>
  <c r="AG10" i="12"/>
  <c r="Z10" i="12"/>
  <c r="R10" i="12"/>
  <c r="J10" i="12"/>
  <c r="Y10" i="12"/>
  <c r="I30" i="12"/>
  <c r="Q30" i="12"/>
  <c r="AC30" i="12"/>
  <c r="AK30" i="12"/>
  <c r="B30" i="12"/>
  <c r="F30" i="12"/>
  <c r="J30" i="12"/>
  <c r="N30" i="12"/>
  <c r="R30" i="12"/>
  <c r="V30" i="12"/>
  <c r="Z30" i="12"/>
  <c r="AD30" i="12"/>
  <c r="AH30" i="12"/>
  <c r="AL30" i="12"/>
  <c r="E30" i="12"/>
  <c r="M30" i="12"/>
  <c r="U30" i="12"/>
  <c r="Y30" i="12"/>
  <c r="AG30" i="12"/>
  <c r="C30" i="12"/>
  <c r="G30" i="12"/>
  <c r="K30" i="12"/>
  <c r="O30" i="12"/>
  <c r="S30" i="12"/>
  <c r="W30" i="12"/>
  <c r="AA30" i="12"/>
  <c r="AE30" i="12"/>
  <c r="AI30" i="12"/>
  <c r="AM30" i="12"/>
  <c r="D30" i="12"/>
  <c r="H30" i="12"/>
  <c r="L30" i="12"/>
  <c r="P30" i="12"/>
  <c r="T30" i="12"/>
  <c r="X30" i="12"/>
  <c r="AB30" i="12"/>
  <c r="AF30" i="12"/>
  <c r="AJ30" i="12"/>
  <c r="AN30" i="12"/>
  <c r="A35" i="12"/>
  <c r="A37" i="12" l="1"/>
  <c r="AO23" i="12" l="1"/>
  <c r="AO4" i="17" l="1"/>
  <c r="A44" i="12" l="1"/>
  <c r="A43" i="12"/>
  <c r="A39" i="12"/>
  <c r="A42" i="12"/>
  <c r="A58" i="12"/>
  <c r="A57" i="12"/>
  <c r="BL99" i="13" l="1"/>
  <c r="BL98" i="13"/>
  <c r="BJ100" i="13"/>
  <c r="BI100" i="13"/>
  <c r="BH100" i="13"/>
  <c r="BG100" i="13"/>
  <c r="BF100" i="13"/>
  <c r="BE100" i="13"/>
  <c r="BD100" i="13"/>
  <c r="BC100" i="13"/>
  <c r="BB100" i="13"/>
  <c r="BA100" i="13"/>
  <c r="AZ100" i="13"/>
  <c r="AY100" i="13"/>
  <c r="AX100" i="13"/>
  <c r="AW100" i="13"/>
  <c r="AV100" i="13"/>
  <c r="AU100" i="13"/>
  <c r="AT100" i="13"/>
  <c r="AS100" i="13"/>
  <c r="AR100" i="13"/>
  <c r="AQ100" i="13"/>
  <c r="AP100" i="13"/>
  <c r="AO100" i="13"/>
  <c r="AN100" i="13"/>
  <c r="AM100" i="13"/>
  <c r="AL100" i="13"/>
  <c r="AK100" i="13"/>
  <c r="AJ100" i="13"/>
  <c r="AI100" i="13"/>
  <c r="AH100" i="13"/>
  <c r="AG100" i="13"/>
  <c r="AF100" i="13"/>
  <c r="AE100" i="13"/>
  <c r="AD100" i="13"/>
  <c r="AC100" i="13"/>
  <c r="AB100" i="13"/>
  <c r="AA100" i="13"/>
  <c r="Z100" i="13"/>
  <c r="Y100" i="13"/>
  <c r="X100" i="13"/>
  <c r="BL100" i="13" l="1"/>
  <c r="BM100" i="13" s="1"/>
  <c r="BJ104" i="13" s="1"/>
  <c r="AS104" i="13"/>
  <c r="AR104" i="13"/>
  <c r="AJ104" i="13"/>
  <c r="BG104" i="13"/>
  <c r="AY104" i="13"/>
  <c r="AQ104" i="13"/>
  <c r="AI104" i="13"/>
  <c r="AA104" i="13"/>
  <c r="BF104" i="13"/>
  <c r="AX104" i="13"/>
  <c r="AP104" i="13"/>
  <c r="AH104" i="13"/>
  <c r="Z104" i="13"/>
  <c r="BE104" i="13"/>
  <c r="AW104" i="13"/>
  <c r="AO104" i="13"/>
  <c r="AG104" i="13"/>
  <c r="Y104" i="13"/>
  <c r="BD104" i="13"/>
  <c r="AV104" i="13"/>
  <c r="AN104" i="13"/>
  <c r="AF104" i="13"/>
  <c r="X104" i="13"/>
  <c r="BC104" i="13"/>
  <c r="AU104" i="13"/>
  <c r="AM104" i="13"/>
  <c r="AE104" i="13"/>
  <c r="A59" i="12"/>
  <c r="AZ104" i="13" l="1"/>
  <c r="AZ155" i="13" s="1"/>
  <c r="BA104" i="13"/>
  <c r="AB104" i="13"/>
  <c r="AB155" i="13" s="1"/>
  <c r="BH104" i="13"/>
  <c r="BI104" i="13"/>
  <c r="BI155" i="13" s="1"/>
  <c r="AK104" i="13"/>
  <c r="AD104" i="13"/>
  <c r="AD155" i="13" s="1"/>
  <c r="AL104" i="13"/>
  <c r="X155" i="13"/>
  <c r="X166" i="13"/>
  <c r="AW166" i="13"/>
  <c r="AW155" i="13"/>
  <c r="AI166" i="13"/>
  <c r="AI155" i="13"/>
  <c r="BH166" i="13"/>
  <c r="BH155" i="13"/>
  <c r="AM155" i="13"/>
  <c r="AM166" i="13"/>
  <c r="Y166" i="13"/>
  <c r="Y155" i="13"/>
  <c r="AX155" i="13"/>
  <c r="AX166" i="13"/>
  <c r="AJ166" i="13"/>
  <c r="AJ155" i="13"/>
  <c r="AD166" i="13"/>
  <c r="AU166" i="13"/>
  <c r="AU155" i="13"/>
  <c r="AN166" i="13"/>
  <c r="AN155" i="13"/>
  <c r="AG166" i="13"/>
  <c r="AG155" i="13"/>
  <c r="Z155" i="13"/>
  <c r="Z166" i="13"/>
  <c r="BF155" i="13"/>
  <c r="BF166" i="13"/>
  <c r="AY155" i="13"/>
  <c r="AY166" i="13"/>
  <c r="AR166" i="13"/>
  <c r="AR155" i="13"/>
  <c r="AS166" i="13"/>
  <c r="AS155" i="13"/>
  <c r="AL166" i="13"/>
  <c r="AL155" i="13"/>
  <c r="AE166" i="13"/>
  <c r="AE155" i="13"/>
  <c r="BD166" i="13"/>
  <c r="BD155" i="13"/>
  <c r="AP155" i="13"/>
  <c r="AP166" i="13"/>
  <c r="AB166" i="13"/>
  <c r="BI166" i="13"/>
  <c r="AF166" i="13"/>
  <c r="AF155" i="13"/>
  <c r="BE166" i="13"/>
  <c r="BE155" i="13"/>
  <c r="AQ166" i="13"/>
  <c r="AQ155" i="13"/>
  <c r="AK166" i="13"/>
  <c r="AK155" i="13"/>
  <c r="BC166" i="13"/>
  <c r="BC155" i="13"/>
  <c r="AV166" i="13"/>
  <c r="AV155" i="13"/>
  <c r="AO166" i="13"/>
  <c r="AO155" i="13"/>
  <c r="AH155" i="13"/>
  <c r="AH166" i="13"/>
  <c r="AA166" i="13"/>
  <c r="AA155" i="13"/>
  <c r="BG155" i="13"/>
  <c r="BG166" i="13"/>
  <c r="AZ166" i="13"/>
  <c r="BA166" i="13"/>
  <c r="BA155" i="13"/>
  <c r="BJ166" i="13"/>
  <c r="BJ155" i="13"/>
  <c r="AT104" i="13"/>
  <c r="AC104" i="13"/>
  <c r="BB104" i="13"/>
  <c r="AP57" i="23"/>
  <c r="AO57" i="23"/>
  <c r="AN57" i="23"/>
  <c r="AM57" i="23"/>
  <c r="AL57" i="23"/>
  <c r="AK57" i="23"/>
  <c r="AJ57" i="23"/>
  <c r="AI57" i="23"/>
  <c r="AH57" i="23"/>
  <c r="AG57" i="23"/>
  <c r="AF57" i="23"/>
  <c r="AE57" i="23"/>
  <c r="AD57" i="23"/>
  <c r="AC57" i="23"/>
  <c r="AB57" i="23"/>
  <c r="AA57" i="23"/>
  <c r="Z57" i="23"/>
  <c r="Y57" i="23"/>
  <c r="X57" i="23"/>
  <c r="W57" i="23"/>
  <c r="V57" i="23"/>
  <c r="U57" i="23"/>
  <c r="T57" i="23"/>
  <c r="S57" i="23"/>
  <c r="R57" i="23"/>
  <c r="Q57" i="23"/>
  <c r="P57" i="23"/>
  <c r="O57" i="23"/>
  <c r="N57" i="23"/>
  <c r="M57" i="23"/>
  <c r="L57" i="23"/>
  <c r="K57" i="23"/>
  <c r="J57" i="23"/>
  <c r="I57" i="23"/>
  <c r="H57" i="23"/>
  <c r="G57" i="23"/>
  <c r="F57" i="23"/>
  <c r="E57" i="23"/>
  <c r="AC166" i="13" l="1"/>
  <c r="AC155" i="13"/>
  <c r="BB166" i="13"/>
  <c r="BB155" i="13"/>
  <c r="AT166" i="13"/>
  <c r="AT155" i="13"/>
  <c r="D57" i="23"/>
  <c r="AO13" i="17" l="1"/>
  <c r="AQ3" i="19" l="1"/>
  <c r="A61" i="12" l="1"/>
  <c r="F42" i="24" l="1"/>
  <c r="F43" i="24" s="1"/>
  <c r="E42" i="24"/>
  <c r="E43" i="24" s="1"/>
  <c r="C42" i="24"/>
  <c r="C43" i="24" s="1"/>
  <c r="B42" i="24"/>
  <c r="B44" i="24" s="1"/>
  <c r="C19" i="24"/>
  <c r="C20" i="24" s="1"/>
  <c r="C36" i="24"/>
  <c r="C31" i="24"/>
  <c r="C33" i="24" s="1"/>
  <c r="B43" i="24" l="1"/>
  <c r="C34" i="24"/>
  <c r="T123" i="11" l="1"/>
  <c r="R123" i="11"/>
  <c r="L123" i="11"/>
  <c r="R82" i="27" l="1"/>
  <c r="R71" i="27"/>
  <c r="AO11" i="14" l="1"/>
  <c r="T117" i="11" l="1"/>
  <c r="R117" i="11"/>
  <c r="L117" i="11"/>
  <c r="T116" i="11"/>
  <c r="R116" i="11"/>
  <c r="L116" i="11"/>
  <c r="T115" i="11"/>
  <c r="R115" i="11"/>
  <c r="L115" i="11"/>
  <c r="T114" i="11"/>
  <c r="R114" i="11"/>
  <c r="L114" i="11"/>
  <c r="T113" i="11"/>
  <c r="R113" i="11"/>
  <c r="L113" i="11"/>
  <c r="T112" i="11"/>
  <c r="R112" i="11"/>
  <c r="L112" i="11"/>
  <c r="T111" i="11"/>
  <c r="R111" i="11"/>
  <c r="L111" i="11"/>
  <c r="T110" i="11"/>
  <c r="R110" i="11"/>
  <c r="L110" i="11"/>
  <c r="T109" i="11"/>
  <c r="R109" i="11"/>
  <c r="L109" i="11"/>
  <c r="T108" i="11"/>
  <c r="R108" i="11"/>
  <c r="L108" i="11"/>
  <c r="AP102" i="27"/>
  <c r="AP101" i="27"/>
  <c r="AP100" i="27"/>
  <c r="AP99" i="27"/>
  <c r="AP98" i="27"/>
  <c r="AP97" i="27"/>
  <c r="AP96" i="27"/>
  <c r="AP95" i="27"/>
  <c r="AP94" i="27"/>
  <c r="AP93" i="27"/>
  <c r="AP92" i="27"/>
  <c r="AP91" i="27"/>
  <c r="AP90" i="27"/>
  <c r="R119" i="11" l="1"/>
  <c r="T119" i="11"/>
  <c r="L119" i="11"/>
  <c r="S146" i="2" l="1"/>
  <c r="T146" i="2"/>
  <c r="U146" i="2"/>
  <c r="V146" i="2"/>
  <c r="W146" i="2"/>
  <c r="Y146" i="2"/>
  <c r="Z146" i="2"/>
  <c r="AA146" i="2"/>
  <c r="AB146" i="2"/>
  <c r="AD146" i="2"/>
  <c r="AE146" i="2"/>
  <c r="AF146" i="2"/>
  <c r="AH146" i="2"/>
  <c r="AI146" i="2"/>
  <c r="AJ146" i="2"/>
  <c r="AN146" i="2"/>
  <c r="AO146" i="2"/>
  <c r="AP146" i="2"/>
  <c r="AQ146" i="2"/>
  <c r="AR146" i="2"/>
  <c r="AT146" i="2"/>
  <c r="AU146" i="2"/>
  <c r="AV146" i="2"/>
  <c r="AW146" i="2"/>
  <c r="AY146" i="2"/>
  <c r="AZ146" i="2"/>
  <c r="BA146" i="2"/>
  <c r="BC146" i="2"/>
  <c r="BD146" i="2"/>
  <c r="BE146" i="2"/>
  <c r="BI146" i="2"/>
  <c r="BJ146" i="2"/>
  <c r="BK146" i="2"/>
  <c r="BL146" i="2"/>
  <c r="BN146" i="2"/>
  <c r="BO146" i="2"/>
  <c r="BP146" i="2"/>
  <c r="BR146" i="2"/>
  <c r="BS146" i="2"/>
  <c r="BT146" i="2"/>
  <c r="BX146" i="2"/>
  <c r="BY146" i="2"/>
  <c r="BZ146" i="2"/>
  <c r="CB146" i="2"/>
  <c r="CC146" i="2"/>
  <c r="CD146" i="2"/>
  <c r="CH146" i="2"/>
  <c r="CI146" i="2"/>
  <c r="CJ146" i="2"/>
  <c r="CN146" i="2"/>
  <c r="CO146" i="2"/>
  <c r="CP146" i="2"/>
  <c r="CT146" i="2"/>
  <c r="CU146" i="2"/>
  <c r="CW146" i="2"/>
  <c r="CX146" i="2"/>
  <c r="CY146" i="2"/>
  <c r="DA146" i="2"/>
  <c r="DB146" i="2"/>
  <c r="DC146" i="2"/>
  <c r="DG146" i="2"/>
  <c r="DH146" i="2"/>
  <c r="DI146" i="2"/>
  <c r="DK146" i="2"/>
  <c r="DL146" i="2"/>
  <c r="DM146" i="2"/>
  <c r="DQ146" i="2"/>
  <c r="DR146" i="2"/>
  <c r="DS146" i="2"/>
  <c r="DW146" i="2"/>
  <c r="DX146" i="2"/>
  <c r="DY146" i="2"/>
  <c r="EC146" i="2"/>
  <c r="EE146" i="2"/>
  <c r="EF146" i="2"/>
  <c r="EG146" i="2"/>
  <c r="EK146" i="2"/>
  <c r="EL146" i="2"/>
  <c r="EM146" i="2"/>
  <c r="EQ146" i="2"/>
  <c r="ER146" i="2"/>
  <c r="ES146" i="2"/>
  <c r="EW146" i="2"/>
  <c r="FA146" i="2"/>
  <c r="FB146" i="2"/>
  <c r="FC146" i="2"/>
  <c r="FG146" i="2"/>
  <c r="FK146" i="2"/>
  <c r="FN146" i="2"/>
  <c r="FO146" i="2"/>
  <c r="FP146" i="2"/>
  <c r="FT146" i="2"/>
  <c r="FU146" i="2"/>
  <c r="FV146" i="2"/>
  <c r="FZ146" i="2"/>
  <c r="GA146" i="2"/>
  <c r="GB146" i="2"/>
  <c r="GF146" i="2"/>
  <c r="GJ146" i="2"/>
  <c r="GK146" i="2"/>
  <c r="GL146" i="2"/>
  <c r="GP146" i="2"/>
  <c r="GT146" i="2"/>
  <c r="GY146" i="2"/>
  <c r="GZ146" i="2"/>
  <c r="HA146" i="2"/>
  <c r="HE146" i="2"/>
  <c r="HI146" i="2"/>
  <c r="HN146" i="2"/>
  <c r="HT146" i="2"/>
  <c r="HU146" i="2"/>
  <c r="HV146" i="2"/>
  <c r="HZ146" i="2"/>
  <c r="ID146" i="2"/>
  <c r="II146" i="2"/>
  <c r="IO146" i="2"/>
  <c r="IV146" i="2"/>
  <c r="Q146" i="2"/>
  <c r="P146" i="2"/>
  <c r="S143" i="2"/>
  <c r="T143" i="2"/>
  <c r="U143" i="2"/>
  <c r="AB143" i="2"/>
  <c r="AC143" i="2"/>
  <c r="AD143" i="2"/>
  <c r="AE143" i="2"/>
  <c r="AF143" i="2"/>
  <c r="AG143" i="2"/>
  <c r="AH143" i="2"/>
  <c r="AI143" i="2"/>
  <c r="AJ143" i="2"/>
  <c r="AK143" i="2"/>
  <c r="AL143" i="2"/>
  <c r="AM143" i="2"/>
  <c r="AN143" i="2"/>
  <c r="AO143" i="2"/>
  <c r="AP143" i="2"/>
  <c r="AW143" i="2"/>
  <c r="AX143" i="2"/>
  <c r="AY143" i="2"/>
  <c r="AZ143" i="2"/>
  <c r="BA143" i="2"/>
  <c r="BB143" i="2"/>
  <c r="BC143" i="2"/>
  <c r="BD143" i="2"/>
  <c r="BE143" i="2"/>
  <c r="BF143" i="2"/>
  <c r="BG143" i="2"/>
  <c r="BH143" i="2"/>
  <c r="BI143" i="2"/>
  <c r="BJ143" i="2"/>
  <c r="BK143" i="2"/>
  <c r="CA143" i="2"/>
  <c r="CB143" i="2"/>
  <c r="CC143" i="2"/>
  <c r="CD143" i="2"/>
  <c r="CE143" i="2"/>
  <c r="CF143" i="2"/>
  <c r="CG143" i="2"/>
  <c r="CH143" i="2"/>
  <c r="CI143" i="2"/>
  <c r="CJ143" i="2"/>
  <c r="CK143" i="2"/>
  <c r="CL143" i="2"/>
  <c r="CM143" i="2"/>
  <c r="CN143" i="2"/>
  <c r="CO143" i="2"/>
  <c r="CP143" i="2"/>
  <c r="CQ143" i="2"/>
  <c r="CR143" i="2"/>
  <c r="CS143" i="2"/>
  <c r="CT143" i="2"/>
  <c r="DJ143" i="2"/>
  <c r="DK143" i="2"/>
  <c r="DL143" i="2"/>
  <c r="DM143" i="2"/>
  <c r="DN143" i="2"/>
  <c r="DO143" i="2"/>
  <c r="DP143" i="2"/>
  <c r="DQ143" i="2"/>
  <c r="DR143" i="2"/>
  <c r="DS143" i="2"/>
  <c r="DT143" i="2"/>
  <c r="DU143" i="2"/>
  <c r="DV143" i="2"/>
  <c r="DW143" i="2"/>
  <c r="DX143" i="2"/>
  <c r="DY143" i="2"/>
  <c r="DZ143" i="2"/>
  <c r="EA143" i="2"/>
  <c r="EB143" i="2"/>
  <c r="EC143" i="2"/>
  <c r="EX143" i="2"/>
  <c r="EY143" i="2"/>
  <c r="EZ143" i="2"/>
  <c r="FA143" i="2"/>
  <c r="FB143" i="2"/>
  <c r="FC143" i="2"/>
  <c r="FD143" i="2"/>
  <c r="FE143" i="2"/>
  <c r="FF143" i="2"/>
  <c r="FG143" i="2"/>
  <c r="FH143" i="2"/>
  <c r="FI143" i="2"/>
  <c r="FJ143" i="2"/>
  <c r="FK143" i="2"/>
  <c r="FL143" i="2"/>
  <c r="GG143" i="2"/>
  <c r="GH143" i="2"/>
  <c r="GI143" i="2"/>
  <c r="GJ143" i="2"/>
  <c r="GK143" i="2"/>
  <c r="GL143" i="2"/>
  <c r="GM143" i="2"/>
  <c r="GN143" i="2"/>
  <c r="GO143" i="2"/>
  <c r="GP143" i="2"/>
  <c r="GQ143" i="2"/>
  <c r="GR143" i="2"/>
  <c r="GS143" i="2"/>
  <c r="GT143" i="2"/>
  <c r="GU143" i="2"/>
  <c r="HK143" i="2"/>
  <c r="HL143" i="2"/>
  <c r="HM143" i="2"/>
  <c r="HN143" i="2"/>
  <c r="HO143" i="2"/>
  <c r="HP143" i="2"/>
  <c r="IF143" i="2"/>
  <c r="IG143" i="2"/>
  <c r="IH143" i="2"/>
  <c r="II143" i="2"/>
  <c r="IJ143" i="2"/>
  <c r="IK143" i="2"/>
  <c r="IR143" i="2"/>
  <c r="IY143" i="2"/>
  <c r="R143" i="2"/>
  <c r="Q143" i="2"/>
  <c r="P143" i="2"/>
  <c r="O146" i="2"/>
  <c r="T4" i="3" l="1"/>
  <c r="R4" i="3"/>
  <c r="L4" i="3"/>
  <c r="P65" i="30" l="1"/>
  <c r="P64" i="30"/>
  <c r="P63" i="30"/>
  <c r="P62" i="30"/>
  <c r="P61" i="30"/>
  <c r="P60" i="30"/>
  <c r="P59" i="30"/>
  <c r="P58" i="30"/>
  <c r="P57" i="30"/>
  <c r="P56" i="30"/>
  <c r="P49" i="30"/>
  <c r="J2" i="30" l="1"/>
  <c r="A7" i="30" l="1"/>
  <c r="A8" i="30"/>
  <c r="A9" i="30"/>
  <c r="A10" i="30"/>
  <c r="A12" i="30"/>
  <c r="A13" i="30"/>
  <c r="A14" i="30"/>
  <c r="A15" i="30"/>
  <c r="A6" i="30"/>
  <c r="D30" i="29"/>
  <c r="E30" i="29"/>
  <c r="F30" i="29"/>
  <c r="D31" i="29"/>
  <c r="E31" i="29"/>
  <c r="F31" i="29"/>
  <c r="D32" i="29"/>
  <c r="E32" i="29"/>
  <c r="F32" i="29"/>
  <c r="D33" i="29"/>
  <c r="E33" i="29"/>
  <c r="F33" i="29"/>
  <c r="D34" i="29"/>
  <c r="E34" i="29"/>
  <c r="F34" i="29"/>
  <c r="D35" i="29"/>
  <c r="E35" i="29"/>
  <c r="F35" i="29"/>
  <c r="D36" i="29"/>
  <c r="E36" i="29"/>
  <c r="F36" i="29"/>
  <c r="D37" i="29"/>
  <c r="E37" i="29"/>
  <c r="F37" i="29"/>
  <c r="F29" i="29"/>
  <c r="E29" i="29"/>
  <c r="D29" i="29"/>
  <c r="E28" i="29"/>
  <c r="F28" i="29"/>
  <c r="D28" i="29"/>
  <c r="C29" i="29"/>
  <c r="C30" i="29"/>
  <c r="C31" i="29"/>
  <c r="C32" i="29"/>
  <c r="C33" i="29"/>
  <c r="C34" i="29"/>
  <c r="C35" i="29"/>
  <c r="C36" i="29"/>
  <c r="C37" i="29"/>
  <c r="C28" i="29"/>
  <c r="B19" i="29" l="1"/>
  <c r="B29" i="29" s="1"/>
  <c r="B20" i="29"/>
  <c r="B30" i="29" s="1"/>
  <c r="B21" i="29"/>
  <c r="B31" i="29" s="1"/>
  <c r="B22" i="29"/>
  <c r="B32" i="29" s="1"/>
  <c r="B24" i="29"/>
  <c r="B34" i="29" s="1"/>
  <c r="B25" i="29"/>
  <c r="B35" i="29" s="1"/>
  <c r="B26" i="29"/>
  <c r="B36" i="29" s="1"/>
  <c r="B27" i="29"/>
  <c r="B37" i="29" s="1"/>
  <c r="B18" i="29"/>
  <c r="B28" i="29" s="1"/>
  <c r="E235" i="26" l="1"/>
  <c r="F235" i="26"/>
  <c r="E236" i="26"/>
  <c r="F236" i="26"/>
  <c r="E237" i="26"/>
  <c r="F237" i="26"/>
  <c r="E238" i="26"/>
  <c r="F238" i="26"/>
  <c r="E239" i="26"/>
  <c r="F239" i="26"/>
  <c r="E240" i="26"/>
  <c r="F240" i="26"/>
  <c r="E241" i="26"/>
  <c r="F241" i="26"/>
  <c r="E242" i="26"/>
  <c r="F242" i="26"/>
  <c r="E243" i="26"/>
  <c r="F243" i="26"/>
  <c r="E244" i="26"/>
  <c r="F244" i="26"/>
  <c r="E245" i="26"/>
  <c r="F245" i="26"/>
  <c r="E246" i="26"/>
  <c r="F246" i="26"/>
  <c r="E247" i="26"/>
  <c r="F247" i="26"/>
  <c r="E248" i="26"/>
  <c r="F248" i="26"/>
  <c r="E249" i="26"/>
  <c r="F249" i="26"/>
  <c r="E250" i="26"/>
  <c r="F250" i="26"/>
  <c r="E251" i="26"/>
  <c r="F251" i="26"/>
  <c r="E252" i="26"/>
  <c r="F252" i="26"/>
  <c r="E253" i="26"/>
  <c r="F253" i="26"/>
  <c r="E254" i="26"/>
  <c r="F254" i="26"/>
  <c r="E255" i="26"/>
  <c r="F255" i="26"/>
  <c r="E256" i="26"/>
  <c r="E257" i="26"/>
  <c r="F257" i="26"/>
  <c r="E258" i="26"/>
  <c r="F258" i="26"/>
  <c r="E259" i="26"/>
  <c r="F259" i="26"/>
  <c r="E260" i="26"/>
  <c r="F260" i="26"/>
  <c r="E261" i="26"/>
  <c r="F261" i="26"/>
  <c r="E262" i="26"/>
  <c r="F262" i="26"/>
  <c r="E263" i="26"/>
  <c r="M258" i="2" l="1"/>
  <c r="M257" i="2"/>
  <c r="EL161" i="2"/>
  <c r="EM161" i="2"/>
  <c r="EN161" i="2"/>
  <c r="EO161" i="2"/>
  <c r="EP161" i="2"/>
  <c r="EQ161" i="2"/>
  <c r="ER161" i="2"/>
  <c r="ES161" i="2"/>
  <c r="ET161" i="2"/>
  <c r="EU161" i="2"/>
  <c r="EV161" i="2"/>
  <c r="EW161" i="2"/>
  <c r="EX161" i="2"/>
  <c r="EY161" i="2"/>
  <c r="EZ161" i="2"/>
  <c r="FA161" i="2"/>
  <c r="FB161" i="2"/>
  <c r="FC161" i="2"/>
  <c r="FD161" i="2"/>
  <c r="FE161" i="2"/>
  <c r="FF161" i="2"/>
  <c r="FG161" i="2"/>
  <c r="FH161" i="2"/>
  <c r="FI161" i="2"/>
  <c r="FJ161" i="2"/>
  <c r="FK161" i="2"/>
  <c r="FL161" i="2"/>
  <c r="FM161" i="2"/>
  <c r="FN161" i="2"/>
  <c r="FO161" i="2"/>
  <c r="FP161" i="2"/>
  <c r="FQ161" i="2"/>
  <c r="FR161" i="2"/>
  <c r="FS161" i="2"/>
  <c r="FT161" i="2"/>
  <c r="FU161" i="2"/>
  <c r="FV161" i="2"/>
  <c r="FW161" i="2"/>
  <c r="FX161" i="2"/>
  <c r="FY161" i="2"/>
  <c r="FZ161" i="2"/>
  <c r="GA161" i="2"/>
  <c r="GB161" i="2"/>
  <c r="GC161" i="2"/>
  <c r="GD161" i="2"/>
  <c r="GE161" i="2"/>
  <c r="GF161" i="2"/>
  <c r="GG161" i="2"/>
  <c r="GH161" i="2"/>
  <c r="GI161" i="2"/>
  <c r="GJ161" i="2"/>
  <c r="GK161" i="2"/>
  <c r="GL161" i="2"/>
  <c r="GM161" i="2"/>
  <c r="GN161" i="2"/>
  <c r="GO161" i="2"/>
  <c r="GP161" i="2"/>
  <c r="GQ161" i="2"/>
  <c r="GR161" i="2"/>
  <c r="GS161" i="2"/>
  <c r="GT161" i="2"/>
  <c r="GU161" i="2"/>
  <c r="GV161" i="2"/>
  <c r="GW161" i="2"/>
  <c r="GX161" i="2"/>
  <c r="GY161" i="2"/>
  <c r="GZ161" i="2"/>
  <c r="HA161" i="2"/>
  <c r="HB161" i="2"/>
  <c r="HC161" i="2"/>
  <c r="HD161" i="2"/>
  <c r="HE161" i="2"/>
  <c r="HF161" i="2"/>
  <c r="HG161" i="2"/>
  <c r="HH161" i="2"/>
  <c r="HI161" i="2"/>
  <c r="HJ161" i="2"/>
  <c r="HK161" i="2"/>
  <c r="HL161" i="2"/>
  <c r="HM161" i="2"/>
  <c r="HN161" i="2"/>
  <c r="HO161" i="2"/>
  <c r="HP161" i="2"/>
  <c r="HQ161" i="2"/>
  <c r="HR161" i="2"/>
  <c r="HS161" i="2"/>
  <c r="HT161" i="2"/>
  <c r="HU161" i="2"/>
  <c r="HV161" i="2"/>
  <c r="HW161" i="2"/>
  <c r="HX161" i="2"/>
  <c r="HY161" i="2"/>
  <c r="HZ161" i="2"/>
  <c r="IA161" i="2"/>
  <c r="IB161" i="2"/>
  <c r="IC161" i="2"/>
  <c r="ID161" i="2"/>
  <c r="IE161" i="2"/>
  <c r="IF161" i="2"/>
  <c r="IG161" i="2"/>
  <c r="IH161" i="2"/>
  <c r="II161" i="2"/>
  <c r="IJ161" i="2"/>
  <c r="IK161" i="2"/>
  <c r="IL161" i="2"/>
  <c r="IM161" i="2"/>
  <c r="IN161" i="2"/>
  <c r="IO161" i="2"/>
  <c r="IP161" i="2"/>
  <c r="IQ161" i="2"/>
  <c r="IR161" i="2"/>
  <c r="IS161" i="2"/>
  <c r="IT161" i="2"/>
  <c r="IU161" i="2"/>
  <c r="IV161" i="2"/>
  <c r="IW161" i="2"/>
  <c r="IX161" i="2"/>
  <c r="IY161" i="2"/>
  <c r="N161" i="2"/>
  <c r="EL162" i="2"/>
  <c r="EM162" i="2"/>
  <c r="EN162" i="2"/>
  <c r="EO162" i="2"/>
  <c r="EP162" i="2"/>
  <c r="EQ162" i="2"/>
  <c r="ER162" i="2"/>
  <c r="ES162" i="2"/>
  <c r="ET162" i="2"/>
  <c r="EU162" i="2"/>
  <c r="EV162" i="2"/>
  <c r="EW162" i="2"/>
  <c r="EX162" i="2"/>
  <c r="EY162" i="2"/>
  <c r="EZ162" i="2"/>
  <c r="FA162" i="2"/>
  <c r="FB162" i="2"/>
  <c r="FC162" i="2"/>
  <c r="FD162" i="2"/>
  <c r="FE162" i="2"/>
  <c r="FF162" i="2"/>
  <c r="FG162" i="2"/>
  <c r="FH162" i="2"/>
  <c r="FI162" i="2"/>
  <c r="FJ162" i="2"/>
  <c r="FK162" i="2"/>
  <c r="FL162" i="2"/>
  <c r="FM162" i="2"/>
  <c r="FN162" i="2"/>
  <c r="FO162" i="2"/>
  <c r="FP162" i="2"/>
  <c r="FQ162" i="2"/>
  <c r="FR162" i="2"/>
  <c r="FS162" i="2"/>
  <c r="FT162" i="2"/>
  <c r="FU162" i="2"/>
  <c r="FV162" i="2"/>
  <c r="FW162" i="2"/>
  <c r="FX162" i="2"/>
  <c r="FY162" i="2"/>
  <c r="FZ162" i="2"/>
  <c r="GA162" i="2"/>
  <c r="GB162" i="2"/>
  <c r="GC162" i="2"/>
  <c r="GD162" i="2"/>
  <c r="GE162" i="2"/>
  <c r="GF162" i="2"/>
  <c r="GG162" i="2"/>
  <c r="GH162" i="2"/>
  <c r="GI162" i="2"/>
  <c r="GJ162" i="2"/>
  <c r="GK162" i="2"/>
  <c r="GL162" i="2"/>
  <c r="GM162" i="2"/>
  <c r="GN162" i="2"/>
  <c r="GO162" i="2"/>
  <c r="GP162" i="2"/>
  <c r="GQ162" i="2"/>
  <c r="GR162" i="2"/>
  <c r="GS162" i="2"/>
  <c r="GT162" i="2"/>
  <c r="GU162" i="2"/>
  <c r="GV162" i="2"/>
  <c r="GW162" i="2"/>
  <c r="GX162" i="2"/>
  <c r="GY162" i="2"/>
  <c r="GZ162" i="2"/>
  <c r="HA162" i="2"/>
  <c r="HB162" i="2"/>
  <c r="HC162" i="2"/>
  <c r="HD162" i="2"/>
  <c r="HE162" i="2"/>
  <c r="HF162" i="2"/>
  <c r="HG162" i="2"/>
  <c r="HH162" i="2"/>
  <c r="HI162" i="2"/>
  <c r="HJ162" i="2"/>
  <c r="HK162" i="2"/>
  <c r="HL162" i="2"/>
  <c r="HM162" i="2"/>
  <c r="HN162" i="2"/>
  <c r="HO162" i="2"/>
  <c r="HP162" i="2"/>
  <c r="HQ162" i="2"/>
  <c r="HR162" i="2"/>
  <c r="HS162" i="2"/>
  <c r="HT162" i="2"/>
  <c r="HU162" i="2"/>
  <c r="HV162" i="2"/>
  <c r="HW162" i="2"/>
  <c r="HX162" i="2"/>
  <c r="HY162" i="2"/>
  <c r="HZ162" i="2"/>
  <c r="IA162" i="2"/>
  <c r="IB162" i="2"/>
  <c r="IC162" i="2"/>
  <c r="ID162" i="2"/>
  <c r="IE162" i="2"/>
  <c r="IF162" i="2"/>
  <c r="IG162" i="2"/>
  <c r="IH162" i="2"/>
  <c r="II162" i="2"/>
  <c r="IJ162" i="2"/>
  <c r="IK162" i="2"/>
  <c r="IL162" i="2"/>
  <c r="IM162" i="2"/>
  <c r="IN162" i="2"/>
  <c r="IO162" i="2"/>
  <c r="IP162" i="2"/>
  <c r="IQ162" i="2"/>
  <c r="IR162" i="2"/>
  <c r="IS162" i="2"/>
  <c r="IT162" i="2"/>
  <c r="IU162" i="2"/>
  <c r="IV162" i="2"/>
  <c r="IW162" i="2"/>
  <c r="IX162" i="2"/>
  <c r="IY162" i="2"/>
  <c r="N162" i="2"/>
  <c r="EL163" i="2"/>
  <c r="EM163" i="2"/>
  <c r="EN163" i="2"/>
  <c r="EO163" i="2"/>
  <c r="EP163" i="2"/>
  <c r="EQ163" i="2"/>
  <c r="ER163" i="2"/>
  <c r="ES163" i="2"/>
  <c r="ET163" i="2"/>
  <c r="EU163" i="2"/>
  <c r="EV163" i="2"/>
  <c r="EW163" i="2"/>
  <c r="EX163" i="2"/>
  <c r="EY163" i="2"/>
  <c r="EZ163" i="2"/>
  <c r="FA163" i="2"/>
  <c r="FB163" i="2"/>
  <c r="FC163" i="2"/>
  <c r="FD163" i="2"/>
  <c r="FE163" i="2"/>
  <c r="FF163" i="2"/>
  <c r="FG163" i="2"/>
  <c r="FH163" i="2"/>
  <c r="FI163" i="2"/>
  <c r="FJ163" i="2"/>
  <c r="FK163" i="2"/>
  <c r="FL163" i="2"/>
  <c r="FM163" i="2"/>
  <c r="FN163" i="2"/>
  <c r="FO163" i="2"/>
  <c r="FP163" i="2"/>
  <c r="FQ163" i="2"/>
  <c r="FR163" i="2"/>
  <c r="FS163" i="2"/>
  <c r="FT163" i="2"/>
  <c r="FU163" i="2"/>
  <c r="FV163" i="2"/>
  <c r="FW163" i="2"/>
  <c r="FX163" i="2"/>
  <c r="FY163" i="2"/>
  <c r="FZ163" i="2"/>
  <c r="GA163" i="2"/>
  <c r="GB163" i="2"/>
  <c r="GC163" i="2"/>
  <c r="GD163" i="2"/>
  <c r="GE163" i="2"/>
  <c r="GF163" i="2"/>
  <c r="GG163" i="2"/>
  <c r="GH163" i="2"/>
  <c r="GI163" i="2"/>
  <c r="GJ163" i="2"/>
  <c r="GK163" i="2"/>
  <c r="GL163" i="2"/>
  <c r="GM163" i="2"/>
  <c r="GN163" i="2"/>
  <c r="GO163" i="2"/>
  <c r="GP163" i="2"/>
  <c r="GQ163" i="2"/>
  <c r="GR163" i="2"/>
  <c r="GS163" i="2"/>
  <c r="GT163" i="2"/>
  <c r="GU163" i="2"/>
  <c r="GV163" i="2"/>
  <c r="GW163" i="2"/>
  <c r="GX163" i="2"/>
  <c r="GY163" i="2"/>
  <c r="GZ163" i="2"/>
  <c r="HA163" i="2"/>
  <c r="HB163" i="2"/>
  <c r="HC163" i="2"/>
  <c r="HD163" i="2"/>
  <c r="HE163" i="2"/>
  <c r="HF163" i="2"/>
  <c r="HG163" i="2"/>
  <c r="HH163" i="2"/>
  <c r="HI163" i="2"/>
  <c r="HJ163" i="2"/>
  <c r="HK163" i="2"/>
  <c r="HL163" i="2"/>
  <c r="HM163" i="2"/>
  <c r="HN163" i="2"/>
  <c r="HO163" i="2"/>
  <c r="HP163" i="2"/>
  <c r="HQ163" i="2"/>
  <c r="HR163" i="2"/>
  <c r="HS163" i="2"/>
  <c r="HT163" i="2"/>
  <c r="HU163" i="2"/>
  <c r="HV163" i="2"/>
  <c r="HW163" i="2"/>
  <c r="HX163" i="2"/>
  <c r="HY163" i="2"/>
  <c r="HZ163" i="2"/>
  <c r="IA163" i="2"/>
  <c r="IB163" i="2"/>
  <c r="IC163" i="2"/>
  <c r="ID163" i="2"/>
  <c r="IE163" i="2"/>
  <c r="IF163" i="2"/>
  <c r="IG163" i="2"/>
  <c r="IH163" i="2"/>
  <c r="II163" i="2"/>
  <c r="IJ163" i="2"/>
  <c r="IK163" i="2"/>
  <c r="IL163" i="2"/>
  <c r="IM163" i="2"/>
  <c r="IN163" i="2"/>
  <c r="IO163" i="2"/>
  <c r="IP163" i="2"/>
  <c r="IQ163" i="2"/>
  <c r="IR163" i="2"/>
  <c r="IS163" i="2"/>
  <c r="IT163" i="2"/>
  <c r="IU163" i="2"/>
  <c r="IV163" i="2"/>
  <c r="IW163" i="2"/>
  <c r="IX163" i="2"/>
  <c r="IY163" i="2"/>
  <c r="N163" i="2"/>
  <c r="EL164" i="2"/>
  <c r="EM164" i="2"/>
  <c r="EN164" i="2"/>
  <c r="EO164" i="2"/>
  <c r="EP164" i="2"/>
  <c r="EQ164" i="2"/>
  <c r="ER164" i="2"/>
  <c r="ES164" i="2"/>
  <c r="ET164" i="2"/>
  <c r="EU164" i="2"/>
  <c r="EV164" i="2"/>
  <c r="EW164" i="2"/>
  <c r="EX164" i="2"/>
  <c r="EY164" i="2"/>
  <c r="EZ164" i="2"/>
  <c r="FA164" i="2"/>
  <c r="FB164" i="2"/>
  <c r="FC164" i="2"/>
  <c r="FD164" i="2"/>
  <c r="FE164" i="2"/>
  <c r="FF164" i="2"/>
  <c r="FG164" i="2"/>
  <c r="FH164" i="2"/>
  <c r="FI164" i="2"/>
  <c r="FJ164" i="2"/>
  <c r="FK164" i="2"/>
  <c r="FL164" i="2"/>
  <c r="FM164" i="2"/>
  <c r="FN164" i="2"/>
  <c r="FO164" i="2"/>
  <c r="FP164" i="2"/>
  <c r="FQ164" i="2"/>
  <c r="FR164" i="2"/>
  <c r="FS164" i="2"/>
  <c r="FT164" i="2"/>
  <c r="FU164" i="2"/>
  <c r="FV164" i="2"/>
  <c r="FW164" i="2"/>
  <c r="FX164" i="2"/>
  <c r="FY164" i="2"/>
  <c r="FZ164" i="2"/>
  <c r="GA164" i="2"/>
  <c r="GB164" i="2"/>
  <c r="GC164" i="2"/>
  <c r="GD164" i="2"/>
  <c r="GE164" i="2"/>
  <c r="GF164" i="2"/>
  <c r="GG164" i="2"/>
  <c r="GH164" i="2"/>
  <c r="GI164" i="2"/>
  <c r="GJ164" i="2"/>
  <c r="GK164" i="2"/>
  <c r="GL164" i="2"/>
  <c r="GM164" i="2"/>
  <c r="GN164" i="2"/>
  <c r="GO164" i="2"/>
  <c r="GP164" i="2"/>
  <c r="GQ164" i="2"/>
  <c r="GR164" i="2"/>
  <c r="GS164" i="2"/>
  <c r="GT164" i="2"/>
  <c r="GU164" i="2"/>
  <c r="GV164" i="2"/>
  <c r="GW164" i="2"/>
  <c r="GX164" i="2"/>
  <c r="GY164" i="2"/>
  <c r="GZ164" i="2"/>
  <c r="HA164" i="2"/>
  <c r="HB164" i="2"/>
  <c r="HC164" i="2"/>
  <c r="HD164" i="2"/>
  <c r="HE164" i="2"/>
  <c r="HF164" i="2"/>
  <c r="HG164" i="2"/>
  <c r="HH164" i="2"/>
  <c r="HI164" i="2"/>
  <c r="HJ164" i="2"/>
  <c r="HK164" i="2"/>
  <c r="HL164" i="2"/>
  <c r="HM164" i="2"/>
  <c r="HN164" i="2"/>
  <c r="HO164" i="2"/>
  <c r="HP164" i="2"/>
  <c r="HQ164" i="2"/>
  <c r="HR164" i="2"/>
  <c r="HS164" i="2"/>
  <c r="HT164" i="2"/>
  <c r="HU164" i="2"/>
  <c r="HV164" i="2"/>
  <c r="HW164" i="2"/>
  <c r="HX164" i="2"/>
  <c r="HY164" i="2"/>
  <c r="HZ164" i="2"/>
  <c r="IA164" i="2"/>
  <c r="IB164" i="2"/>
  <c r="IC164" i="2"/>
  <c r="ID164" i="2"/>
  <c r="IE164" i="2"/>
  <c r="IF164" i="2"/>
  <c r="IG164" i="2"/>
  <c r="IH164" i="2"/>
  <c r="II164" i="2"/>
  <c r="IJ164" i="2"/>
  <c r="IK164" i="2"/>
  <c r="IL164" i="2"/>
  <c r="IM164" i="2"/>
  <c r="IN164" i="2"/>
  <c r="IO164" i="2"/>
  <c r="IP164" i="2"/>
  <c r="IQ164" i="2"/>
  <c r="IR164" i="2"/>
  <c r="IS164" i="2"/>
  <c r="IT164" i="2"/>
  <c r="IU164" i="2"/>
  <c r="IV164" i="2"/>
  <c r="IW164" i="2"/>
  <c r="IX164" i="2"/>
  <c r="IY164" i="2"/>
  <c r="N164" i="2"/>
  <c r="EL165" i="2"/>
  <c r="EM165" i="2"/>
  <c r="EN165" i="2"/>
  <c r="EO165" i="2"/>
  <c r="EP165" i="2"/>
  <c r="EQ165" i="2"/>
  <c r="ER165" i="2"/>
  <c r="ES165" i="2"/>
  <c r="ET165" i="2"/>
  <c r="EU165" i="2"/>
  <c r="EV165" i="2"/>
  <c r="EW165" i="2"/>
  <c r="EX165" i="2"/>
  <c r="EY165" i="2"/>
  <c r="EZ165" i="2"/>
  <c r="FA165" i="2"/>
  <c r="FB165" i="2"/>
  <c r="FC165" i="2"/>
  <c r="FD165" i="2"/>
  <c r="FE165" i="2"/>
  <c r="FF165" i="2"/>
  <c r="FG165" i="2"/>
  <c r="FH165" i="2"/>
  <c r="FI165" i="2"/>
  <c r="FJ165" i="2"/>
  <c r="FK165" i="2"/>
  <c r="FL165" i="2"/>
  <c r="FM165" i="2"/>
  <c r="FN165" i="2"/>
  <c r="FO165" i="2"/>
  <c r="FP165" i="2"/>
  <c r="FQ165" i="2"/>
  <c r="FR165" i="2"/>
  <c r="FS165" i="2"/>
  <c r="FT165" i="2"/>
  <c r="FU165" i="2"/>
  <c r="FV165" i="2"/>
  <c r="FW165" i="2"/>
  <c r="FX165" i="2"/>
  <c r="FY165" i="2"/>
  <c r="FZ165" i="2"/>
  <c r="GA165" i="2"/>
  <c r="GB165" i="2"/>
  <c r="GC165" i="2"/>
  <c r="GD165" i="2"/>
  <c r="GE165" i="2"/>
  <c r="GF165" i="2"/>
  <c r="GG165" i="2"/>
  <c r="GH165" i="2"/>
  <c r="GI165" i="2"/>
  <c r="GJ165" i="2"/>
  <c r="GK165" i="2"/>
  <c r="GL165" i="2"/>
  <c r="GM165" i="2"/>
  <c r="GN165" i="2"/>
  <c r="GO165" i="2"/>
  <c r="GP165" i="2"/>
  <c r="GQ165" i="2"/>
  <c r="GR165" i="2"/>
  <c r="GS165" i="2"/>
  <c r="GT165" i="2"/>
  <c r="GU165" i="2"/>
  <c r="GV165" i="2"/>
  <c r="GW165" i="2"/>
  <c r="GX165" i="2"/>
  <c r="GY165" i="2"/>
  <c r="GZ165" i="2"/>
  <c r="HA165" i="2"/>
  <c r="HB165" i="2"/>
  <c r="HC165" i="2"/>
  <c r="HD165" i="2"/>
  <c r="HE165" i="2"/>
  <c r="HF165" i="2"/>
  <c r="HG165" i="2"/>
  <c r="HH165" i="2"/>
  <c r="HI165" i="2"/>
  <c r="HJ165" i="2"/>
  <c r="HK165" i="2"/>
  <c r="HL165" i="2"/>
  <c r="HM165" i="2"/>
  <c r="HN165" i="2"/>
  <c r="HO165" i="2"/>
  <c r="HP165" i="2"/>
  <c r="HQ165" i="2"/>
  <c r="HR165" i="2"/>
  <c r="HS165" i="2"/>
  <c r="HT165" i="2"/>
  <c r="HU165" i="2"/>
  <c r="HV165" i="2"/>
  <c r="HW165" i="2"/>
  <c r="HX165" i="2"/>
  <c r="HY165" i="2"/>
  <c r="HZ165" i="2"/>
  <c r="IA165" i="2"/>
  <c r="IB165" i="2"/>
  <c r="IC165" i="2"/>
  <c r="ID165" i="2"/>
  <c r="IE165" i="2"/>
  <c r="IF165" i="2"/>
  <c r="IG165" i="2"/>
  <c r="IH165" i="2"/>
  <c r="II165" i="2"/>
  <c r="IJ165" i="2"/>
  <c r="IK165" i="2"/>
  <c r="IL165" i="2"/>
  <c r="IM165" i="2"/>
  <c r="IN165" i="2"/>
  <c r="IO165" i="2"/>
  <c r="IP165" i="2"/>
  <c r="IQ165" i="2"/>
  <c r="IR165" i="2"/>
  <c r="IS165" i="2"/>
  <c r="IT165" i="2"/>
  <c r="IU165" i="2"/>
  <c r="IV165" i="2"/>
  <c r="IW165" i="2"/>
  <c r="IX165" i="2"/>
  <c r="IY165" i="2"/>
  <c r="N165" i="2"/>
  <c r="EL166" i="2"/>
  <c r="EM166" i="2"/>
  <c r="EN166" i="2"/>
  <c r="EO166" i="2"/>
  <c r="EP166" i="2"/>
  <c r="EQ166" i="2"/>
  <c r="ER166" i="2"/>
  <c r="ES166" i="2"/>
  <c r="ET166" i="2"/>
  <c r="EU166" i="2"/>
  <c r="EV166" i="2"/>
  <c r="EW166" i="2"/>
  <c r="EX166" i="2"/>
  <c r="EY166" i="2"/>
  <c r="EZ166" i="2"/>
  <c r="FA166" i="2"/>
  <c r="FB166" i="2"/>
  <c r="FC166" i="2"/>
  <c r="FD166" i="2"/>
  <c r="FE166" i="2"/>
  <c r="FF166" i="2"/>
  <c r="FG166" i="2"/>
  <c r="FH166" i="2"/>
  <c r="FI166" i="2"/>
  <c r="FJ166" i="2"/>
  <c r="FK166" i="2"/>
  <c r="FL166" i="2"/>
  <c r="FM166" i="2"/>
  <c r="FN166" i="2"/>
  <c r="FO166" i="2"/>
  <c r="FP166" i="2"/>
  <c r="FQ166" i="2"/>
  <c r="FR166" i="2"/>
  <c r="FS166" i="2"/>
  <c r="FT166" i="2"/>
  <c r="FU166" i="2"/>
  <c r="FV166" i="2"/>
  <c r="FW166" i="2"/>
  <c r="FX166" i="2"/>
  <c r="FY166" i="2"/>
  <c r="FZ166" i="2"/>
  <c r="GA166" i="2"/>
  <c r="GB166" i="2"/>
  <c r="GC166" i="2"/>
  <c r="GD166" i="2"/>
  <c r="GE166" i="2"/>
  <c r="GF166" i="2"/>
  <c r="GG166" i="2"/>
  <c r="GH166" i="2"/>
  <c r="GI166" i="2"/>
  <c r="GJ166" i="2"/>
  <c r="GK166" i="2"/>
  <c r="GL166" i="2"/>
  <c r="GM166" i="2"/>
  <c r="GN166" i="2"/>
  <c r="GO166" i="2"/>
  <c r="GP166" i="2"/>
  <c r="GQ166" i="2"/>
  <c r="GR166" i="2"/>
  <c r="GS166" i="2"/>
  <c r="GT166" i="2"/>
  <c r="GU166" i="2"/>
  <c r="GV166" i="2"/>
  <c r="GW166" i="2"/>
  <c r="GX166" i="2"/>
  <c r="GY166" i="2"/>
  <c r="GZ166" i="2"/>
  <c r="HA166" i="2"/>
  <c r="HB166" i="2"/>
  <c r="HC166" i="2"/>
  <c r="HD166" i="2"/>
  <c r="HE166" i="2"/>
  <c r="HF166" i="2"/>
  <c r="HG166" i="2"/>
  <c r="HH166" i="2"/>
  <c r="HI166" i="2"/>
  <c r="HJ166" i="2"/>
  <c r="HK166" i="2"/>
  <c r="HL166" i="2"/>
  <c r="HM166" i="2"/>
  <c r="HN166" i="2"/>
  <c r="HO166" i="2"/>
  <c r="HP166" i="2"/>
  <c r="HQ166" i="2"/>
  <c r="HR166" i="2"/>
  <c r="HS166" i="2"/>
  <c r="HT166" i="2"/>
  <c r="HU166" i="2"/>
  <c r="HV166" i="2"/>
  <c r="HW166" i="2"/>
  <c r="HX166" i="2"/>
  <c r="HY166" i="2"/>
  <c r="HZ166" i="2"/>
  <c r="IA166" i="2"/>
  <c r="IB166" i="2"/>
  <c r="IC166" i="2"/>
  <c r="ID166" i="2"/>
  <c r="IE166" i="2"/>
  <c r="IF166" i="2"/>
  <c r="IG166" i="2"/>
  <c r="IH166" i="2"/>
  <c r="II166" i="2"/>
  <c r="IJ166" i="2"/>
  <c r="IK166" i="2"/>
  <c r="IL166" i="2"/>
  <c r="IM166" i="2"/>
  <c r="IN166" i="2"/>
  <c r="IO166" i="2"/>
  <c r="IP166" i="2"/>
  <c r="IQ166" i="2"/>
  <c r="IR166" i="2"/>
  <c r="IS166" i="2"/>
  <c r="IT166" i="2"/>
  <c r="IU166" i="2"/>
  <c r="IV166" i="2"/>
  <c r="IW166" i="2"/>
  <c r="IX166" i="2"/>
  <c r="IY166" i="2"/>
  <c r="N166" i="2"/>
  <c r="EL167" i="2"/>
  <c r="EM167" i="2"/>
  <c r="EN167" i="2"/>
  <c r="EO167" i="2"/>
  <c r="EP167" i="2"/>
  <c r="EQ167" i="2"/>
  <c r="ER167" i="2"/>
  <c r="ES167" i="2"/>
  <c r="ET167" i="2"/>
  <c r="EU167" i="2"/>
  <c r="EV167" i="2"/>
  <c r="EW167" i="2"/>
  <c r="EX167" i="2"/>
  <c r="EY167" i="2"/>
  <c r="EZ167" i="2"/>
  <c r="FA167" i="2"/>
  <c r="FB167" i="2"/>
  <c r="FC167" i="2"/>
  <c r="FD167" i="2"/>
  <c r="FE167" i="2"/>
  <c r="FF167" i="2"/>
  <c r="FG167" i="2"/>
  <c r="FH167" i="2"/>
  <c r="FI167" i="2"/>
  <c r="FJ167" i="2"/>
  <c r="FK167" i="2"/>
  <c r="FL167" i="2"/>
  <c r="FM167" i="2"/>
  <c r="FN167" i="2"/>
  <c r="FO167" i="2"/>
  <c r="FP167" i="2"/>
  <c r="FQ167" i="2"/>
  <c r="FR167" i="2"/>
  <c r="FS167" i="2"/>
  <c r="FT167" i="2"/>
  <c r="FU167" i="2"/>
  <c r="FV167" i="2"/>
  <c r="FW167" i="2"/>
  <c r="FX167" i="2"/>
  <c r="FY167" i="2"/>
  <c r="FZ167" i="2"/>
  <c r="GA167" i="2"/>
  <c r="GB167" i="2"/>
  <c r="GC167" i="2"/>
  <c r="GD167" i="2"/>
  <c r="GE167" i="2"/>
  <c r="GF167" i="2"/>
  <c r="GG167" i="2"/>
  <c r="GH167" i="2"/>
  <c r="GI167" i="2"/>
  <c r="GJ167" i="2"/>
  <c r="GK167" i="2"/>
  <c r="GL167" i="2"/>
  <c r="GM167" i="2"/>
  <c r="GN167" i="2"/>
  <c r="GO167" i="2"/>
  <c r="GP167" i="2"/>
  <c r="GQ167" i="2"/>
  <c r="GR167" i="2"/>
  <c r="GS167" i="2"/>
  <c r="GT167" i="2"/>
  <c r="GU167" i="2"/>
  <c r="GV167" i="2"/>
  <c r="GW167" i="2"/>
  <c r="GX167" i="2"/>
  <c r="GY167" i="2"/>
  <c r="GZ167" i="2"/>
  <c r="HA167" i="2"/>
  <c r="HB167" i="2"/>
  <c r="HC167" i="2"/>
  <c r="HD167" i="2"/>
  <c r="HE167" i="2"/>
  <c r="HF167" i="2"/>
  <c r="HG167" i="2"/>
  <c r="HH167" i="2"/>
  <c r="HI167" i="2"/>
  <c r="HJ167" i="2"/>
  <c r="HK167" i="2"/>
  <c r="HL167" i="2"/>
  <c r="HM167" i="2"/>
  <c r="HN167" i="2"/>
  <c r="HO167" i="2"/>
  <c r="HP167" i="2"/>
  <c r="HQ167" i="2"/>
  <c r="HR167" i="2"/>
  <c r="HS167" i="2"/>
  <c r="HT167" i="2"/>
  <c r="HU167" i="2"/>
  <c r="HV167" i="2"/>
  <c r="HW167" i="2"/>
  <c r="HX167" i="2"/>
  <c r="HY167" i="2"/>
  <c r="HZ167" i="2"/>
  <c r="IA167" i="2"/>
  <c r="IB167" i="2"/>
  <c r="IC167" i="2"/>
  <c r="ID167" i="2"/>
  <c r="IE167" i="2"/>
  <c r="IF167" i="2"/>
  <c r="IG167" i="2"/>
  <c r="IH167" i="2"/>
  <c r="II167" i="2"/>
  <c r="IJ167" i="2"/>
  <c r="IK167" i="2"/>
  <c r="IL167" i="2"/>
  <c r="IM167" i="2"/>
  <c r="IN167" i="2"/>
  <c r="IO167" i="2"/>
  <c r="IP167" i="2"/>
  <c r="IQ167" i="2"/>
  <c r="IR167" i="2"/>
  <c r="IS167" i="2"/>
  <c r="IT167" i="2"/>
  <c r="IU167" i="2"/>
  <c r="IV167" i="2"/>
  <c r="IW167" i="2"/>
  <c r="IX167" i="2"/>
  <c r="IY167" i="2"/>
  <c r="N167" i="2"/>
  <c r="EL168" i="2"/>
  <c r="EM168" i="2"/>
  <c r="EN168" i="2"/>
  <c r="EO168" i="2"/>
  <c r="EP168" i="2"/>
  <c r="EQ168" i="2"/>
  <c r="ER168" i="2"/>
  <c r="ES168" i="2"/>
  <c r="ET168" i="2"/>
  <c r="EU168" i="2"/>
  <c r="EV168" i="2"/>
  <c r="EW168" i="2"/>
  <c r="EX168" i="2"/>
  <c r="EY168" i="2"/>
  <c r="EZ168" i="2"/>
  <c r="FA168" i="2"/>
  <c r="FB168" i="2"/>
  <c r="FC168" i="2"/>
  <c r="FD168" i="2"/>
  <c r="FE168" i="2"/>
  <c r="FF168" i="2"/>
  <c r="FG168" i="2"/>
  <c r="FH168" i="2"/>
  <c r="FI168" i="2"/>
  <c r="FJ168" i="2"/>
  <c r="FK168" i="2"/>
  <c r="FL168" i="2"/>
  <c r="FM168" i="2"/>
  <c r="FN168" i="2"/>
  <c r="FO168" i="2"/>
  <c r="FP168" i="2"/>
  <c r="FQ168" i="2"/>
  <c r="FR168" i="2"/>
  <c r="FS168" i="2"/>
  <c r="FT168" i="2"/>
  <c r="FU168" i="2"/>
  <c r="FV168" i="2"/>
  <c r="FW168" i="2"/>
  <c r="FX168" i="2"/>
  <c r="FY168" i="2"/>
  <c r="FZ168" i="2"/>
  <c r="GA168" i="2"/>
  <c r="GB168" i="2"/>
  <c r="GC168" i="2"/>
  <c r="GD168" i="2"/>
  <c r="GE168" i="2"/>
  <c r="GF168" i="2"/>
  <c r="GG168" i="2"/>
  <c r="GH168" i="2"/>
  <c r="GI168" i="2"/>
  <c r="GJ168" i="2"/>
  <c r="GK168" i="2"/>
  <c r="GL168" i="2"/>
  <c r="GM168" i="2"/>
  <c r="GN168" i="2"/>
  <c r="GO168" i="2"/>
  <c r="GP168" i="2"/>
  <c r="GQ168" i="2"/>
  <c r="GR168" i="2"/>
  <c r="GS168" i="2"/>
  <c r="GT168" i="2"/>
  <c r="GU168" i="2"/>
  <c r="GV168" i="2"/>
  <c r="GW168" i="2"/>
  <c r="GX168" i="2"/>
  <c r="GY168" i="2"/>
  <c r="GZ168" i="2"/>
  <c r="HA168" i="2"/>
  <c r="HB168" i="2"/>
  <c r="HC168" i="2"/>
  <c r="HD168" i="2"/>
  <c r="HE168" i="2"/>
  <c r="HF168" i="2"/>
  <c r="HG168" i="2"/>
  <c r="HH168" i="2"/>
  <c r="HI168" i="2"/>
  <c r="HJ168" i="2"/>
  <c r="HK168" i="2"/>
  <c r="HL168" i="2"/>
  <c r="HM168" i="2"/>
  <c r="HN168" i="2"/>
  <c r="HO168" i="2"/>
  <c r="HP168" i="2"/>
  <c r="HQ168" i="2"/>
  <c r="HR168" i="2"/>
  <c r="HS168" i="2"/>
  <c r="HT168" i="2"/>
  <c r="HU168" i="2"/>
  <c r="HV168" i="2"/>
  <c r="HW168" i="2"/>
  <c r="HX168" i="2"/>
  <c r="HY168" i="2"/>
  <c r="HZ168" i="2"/>
  <c r="IA168" i="2"/>
  <c r="IB168" i="2"/>
  <c r="IC168" i="2"/>
  <c r="ID168" i="2"/>
  <c r="IE168" i="2"/>
  <c r="IF168" i="2"/>
  <c r="IG168" i="2"/>
  <c r="IH168" i="2"/>
  <c r="II168" i="2"/>
  <c r="IJ168" i="2"/>
  <c r="IK168" i="2"/>
  <c r="IL168" i="2"/>
  <c r="IM168" i="2"/>
  <c r="IN168" i="2"/>
  <c r="IO168" i="2"/>
  <c r="IP168" i="2"/>
  <c r="IQ168" i="2"/>
  <c r="IR168" i="2"/>
  <c r="IS168" i="2"/>
  <c r="IT168" i="2"/>
  <c r="IU168" i="2"/>
  <c r="IV168" i="2"/>
  <c r="IW168" i="2"/>
  <c r="IX168" i="2"/>
  <c r="IY168" i="2"/>
  <c r="N168" i="2"/>
  <c r="EL169" i="2"/>
  <c r="EM169" i="2"/>
  <c r="EN169" i="2"/>
  <c r="EO169" i="2"/>
  <c r="EP169" i="2"/>
  <c r="EQ169" i="2"/>
  <c r="ER169" i="2"/>
  <c r="ES169" i="2"/>
  <c r="ET169" i="2"/>
  <c r="EU169" i="2"/>
  <c r="EV169" i="2"/>
  <c r="EW169" i="2"/>
  <c r="EX169" i="2"/>
  <c r="EY169" i="2"/>
  <c r="EZ169" i="2"/>
  <c r="FA169" i="2"/>
  <c r="FB169" i="2"/>
  <c r="FC169" i="2"/>
  <c r="FD169" i="2"/>
  <c r="FE169" i="2"/>
  <c r="FF169" i="2"/>
  <c r="FG169" i="2"/>
  <c r="FH169" i="2"/>
  <c r="FI169" i="2"/>
  <c r="FJ169" i="2"/>
  <c r="FK169" i="2"/>
  <c r="FL169" i="2"/>
  <c r="FM169" i="2"/>
  <c r="FN169" i="2"/>
  <c r="FO169" i="2"/>
  <c r="FP169" i="2"/>
  <c r="FQ169" i="2"/>
  <c r="FR169" i="2"/>
  <c r="FS169" i="2"/>
  <c r="FT169" i="2"/>
  <c r="FU169" i="2"/>
  <c r="FV169" i="2"/>
  <c r="FW169" i="2"/>
  <c r="FX169" i="2"/>
  <c r="FY169" i="2"/>
  <c r="FZ169" i="2"/>
  <c r="GA169" i="2"/>
  <c r="GB169" i="2"/>
  <c r="GC169" i="2"/>
  <c r="GD169" i="2"/>
  <c r="GE169" i="2"/>
  <c r="GF169" i="2"/>
  <c r="GG169" i="2"/>
  <c r="GH169" i="2"/>
  <c r="GI169" i="2"/>
  <c r="GJ169" i="2"/>
  <c r="GK169" i="2"/>
  <c r="GL169" i="2"/>
  <c r="GM169" i="2"/>
  <c r="GN169" i="2"/>
  <c r="GO169" i="2"/>
  <c r="GP169" i="2"/>
  <c r="GQ169" i="2"/>
  <c r="GR169" i="2"/>
  <c r="GS169" i="2"/>
  <c r="GT169" i="2"/>
  <c r="GU169" i="2"/>
  <c r="GV169" i="2"/>
  <c r="GW169" i="2"/>
  <c r="GX169" i="2"/>
  <c r="GY169" i="2"/>
  <c r="GZ169" i="2"/>
  <c r="HA169" i="2"/>
  <c r="HB169" i="2"/>
  <c r="HC169" i="2"/>
  <c r="HD169" i="2"/>
  <c r="HE169" i="2"/>
  <c r="HF169" i="2"/>
  <c r="HG169" i="2"/>
  <c r="HH169" i="2"/>
  <c r="HI169" i="2"/>
  <c r="HJ169" i="2"/>
  <c r="HK169" i="2"/>
  <c r="HL169" i="2"/>
  <c r="HM169" i="2"/>
  <c r="HN169" i="2"/>
  <c r="HO169" i="2"/>
  <c r="HP169" i="2"/>
  <c r="HQ169" i="2"/>
  <c r="HR169" i="2"/>
  <c r="HS169" i="2"/>
  <c r="HT169" i="2"/>
  <c r="HU169" i="2"/>
  <c r="HV169" i="2"/>
  <c r="HW169" i="2"/>
  <c r="HX169" i="2"/>
  <c r="HY169" i="2"/>
  <c r="HZ169" i="2"/>
  <c r="IA169" i="2"/>
  <c r="IB169" i="2"/>
  <c r="IC169" i="2"/>
  <c r="ID169" i="2"/>
  <c r="IE169" i="2"/>
  <c r="IF169" i="2"/>
  <c r="IG169" i="2"/>
  <c r="IH169" i="2"/>
  <c r="II169" i="2"/>
  <c r="IJ169" i="2"/>
  <c r="IK169" i="2"/>
  <c r="IL169" i="2"/>
  <c r="IM169" i="2"/>
  <c r="IN169" i="2"/>
  <c r="IO169" i="2"/>
  <c r="IP169" i="2"/>
  <c r="IQ169" i="2"/>
  <c r="IR169" i="2"/>
  <c r="IS169" i="2"/>
  <c r="IT169" i="2"/>
  <c r="IU169" i="2"/>
  <c r="IV169" i="2"/>
  <c r="IW169" i="2"/>
  <c r="IX169" i="2"/>
  <c r="IY169" i="2"/>
  <c r="N169" i="2"/>
  <c r="EL170" i="2"/>
  <c r="EM170" i="2"/>
  <c r="EN170" i="2"/>
  <c r="EO170" i="2"/>
  <c r="EP170" i="2"/>
  <c r="EQ170" i="2"/>
  <c r="ER170" i="2"/>
  <c r="ES170" i="2"/>
  <c r="ET170" i="2"/>
  <c r="EU170" i="2"/>
  <c r="EV170" i="2"/>
  <c r="EW170" i="2"/>
  <c r="EX170" i="2"/>
  <c r="EY170" i="2"/>
  <c r="EZ170" i="2"/>
  <c r="FA170" i="2"/>
  <c r="FB170" i="2"/>
  <c r="FC170" i="2"/>
  <c r="FD170" i="2"/>
  <c r="FE170" i="2"/>
  <c r="FF170" i="2"/>
  <c r="FG170" i="2"/>
  <c r="FH170" i="2"/>
  <c r="FI170" i="2"/>
  <c r="FJ170" i="2"/>
  <c r="FK170" i="2"/>
  <c r="FL170" i="2"/>
  <c r="FM170" i="2"/>
  <c r="FN170" i="2"/>
  <c r="FO170" i="2"/>
  <c r="FP170" i="2"/>
  <c r="FQ170" i="2"/>
  <c r="FR170" i="2"/>
  <c r="FS170" i="2"/>
  <c r="FT170" i="2"/>
  <c r="FU170" i="2"/>
  <c r="FV170" i="2"/>
  <c r="FW170" i="2"/>
  <c r="FX170" i="2"/>
  <c r="FY170" i="2"/>
  <c r="FZ170" i="2"/>
  <c r="GA170" i="2"/>
  <c r="GB170" i="2"/>
  <c r="GC170" i="2"/>
  <c r="GD170" i="2"/>
  <c r="GE170" i="2"/>
  <c r="GF170" i="2"/>
  <c r="GG170" i="2"/>
  <c r="GH170" i="2"/>
  <c r="GI170" i="2"/>
  <c r="GJ170" i="2"/>
  <c r="GK170" i="2"/>
  <c r="GL170" i="2"/>
  <c r="GM170" i="2"/>
  <c r="GN170" i="2"/>
  <c r="GO170" i="2"/>
  <c r="GP170" i="2"/>
  <c r="GQ170" i="2"/>
  <c r="GR170" i="2"/>
  <c r="GS170" i="2"/>
  <c r="GT170" i="2"/>
  <c r="GU170" i="2"/>
  <c r="GV170" i="2"/>
  <c r="GW170" i="2"/>
  <c r="GX170" i="2"/>
  <c r="GY170" i="2"/>
  <c r="GZ170" i="2"/>
  <c r="HA170" i="2"/>
  <c r="HB170" i="2"/>
  <c r="HC170" i="2"/>
  <c r="HD170" i="2"/>
  <c r="HE170" i="2"/>
  <c r="HF170" i="2"/>
  <c r="HG170" i="2"/>
  <c r="HH170" i="2"/>
  <c r="HI170" i="2"/>
  <c r="HJ170" i="2"/>
  <c r="HK170" i="2"/>
  <c r="HL170" i="2"/>
  <c r="HM170" i="2"/>
  <c r="HN170" i="2"/>
  <c r="HO170" i="2"/>
  <c r="HP170" i="2"/>
  <c r="HQ170" i="2"/>
  <c r="HR170" i="2"/>
  <c r="HS170" i="2"/>
  <c r="HT170" i="2"/>
  <c r="HU170" i="2"/>
  <c r="HV170" i="2"/>
  <c r="HW170" i="2"/>
  <c r="HX170" i="2"/>
  <c r="HY170" i="2"/>
  <c r="HZ170" i="2"/>
  <c r="IA170" i="2"/>
  <c r="IB170" i="2"/>
  <c r="IC170" i="2"/>
  <c r="ID170" i="2"/>
  <c r="IE170" i="2"/>
  <c r="IF170" i="2"/>
  <c r="IG170" i="2"/>
  <c r="IH170" i="2"/>
  <c r="II170" i="2"/>
  <c r="IJ170" i="2"/>
  <c r="IK170" i="2"/>
  <c r="IL170" i="2"/>
  <c r="IM170" i="2"/>
  <c r="IN170" i="2"/>
  <c r="IO170" i="2"/>
  <c r="IP170" i="2"/>
  <c r="IQ170" i="2"/>
  <c r="IR170" i="2"/>
  <c r="IS170" i="2"/>
  <c r="IT170" i="2"/>
  <c r="IU170" i="2"/>
  <c r="IV170" i="2"/>
  <c r="IW170" i="2"/>
  <c r="IX170" i="2"/>
  <c r="IY170" i="2"/>
  <c r="N170" i="2"/>
  <c r="EL142" i="2"/>
  <c r="EM142" i="2"/>
  <c r="EN142" i="2"/>
  <c r="EO142" i="2"/>
  <c r="EP142" i="2"/>
  <c r="EQ142" i="2"/>
  <c r="ER142" i="2"/>
  <c r="ES142" i="2"/>
  <c r="ET142" i="2"/>
  <c r="EU142" i="2"/>
  <c r="EV142" i="2"/>
  <c r="EW142" i="2"/>
  <c r="EX142" i="2"/>
  <c r="EY142" i="2"/>
  <c r="EZ142" i="2"/>
  <c r="FA142" i="2"/>
  <c r="FB142" i="2"/>
  <c r="FC142" i="2"/>
  <c r="FD142" i="2"/>
  <c r="FE142" i="2"/>
  <c r="FF142" i="2"/>
  <c r="FG142" i="2"/>
  <c r="FH142" i="2"/>
  <c r="FI142" i="2"/>
  <c r="FJ142" i="2"/>
  <c r="FK142" i="2"/>
  <c r="FL142" i="2"/>
  <c r="GV142" i="2"/>
  <c r="GW142" i="2"/>
  <c r="GX142" i="2"/>
  <c r="GY142" i="2"/>
  <c r="GZ142" i="2"/>
  <c r="HA142" i="2"/>
  <c r="HB142" i="2"/>
  <c r="HC142" i="2"/>
  <c r="HD142" i="2"/>
  <c r="HE142" i="2"/>
  <c r="HF142" i="2"/>
  <c r="HG142" i="2"/>
  <c r="HH142" i="2"/>
  <c r="HI142" i="2"/>
  <c r="HJ142" i="2"/>
  <c r="HK142" i="2"/>
  <c r="HL142" i="2"/>
  <c r="HM142" i="2"/>
  <c r="HN142" i="2"/>
  <c r="HO142" i="2"/>
  <c r="HP142" i="2"/>
  <c r="IL142" i="2"/>
  <c r="IM142" i="2"/>
  <c r="IN142" i="2"/>
  <c r="IO142" i="2"/>
  <c r="IP142" i="2"/>
  <c r="IQ142" i="2"/>
  <c r="IR142" i="2"/>
  <c r="EN144" i="2"/>
  <c r="EO144" i="2"/>
  <c r="EP144" i="2"/>
  <c r="EQ144" i="2"/>
  <c r="ER144" i="2"/>
  <c r="ES144" i="2"/>
  <c r="ET144" i="2"/>
  <c r="EU144" i="2"/>
  <c r="EV144" i="2"/>
  <c r="EW144" i="2"/>
  <c r="FH144" i="2"/>
  <c r="FI144" i="2"/>
  <c r="FJ144" i="2"/>
  <c r="FK144" i="2"/>
  <c r="FL144" i="2"/>
  <c r="FW144" i="2"/>
  <c r="FX144" i="2"/>
  <c r="FY144" i="2"/>
  <c r="FZ144" i="2"/>
  <c r="GA144" i="2"/>
  <c r="GB144" i="2"/>
  <c r="GC144" i="2"/>
  <c r="GD144" i="2"/>
  <c r="GE144" i="2"/>
  <c r="GF144" i="2"/>
  <c r="GQ144" i="2"/>
  <c r="GR144" i="2"/>
  <c r="GS144" i="2"/>
  <c r="GT144" i="2"/>
  <c r="GU144" i="2"/>
  <c r="HF144" i="2"/>
  <c r="HG144" i="2"/>
  <c r="HH144" i="2"/>
  <c r="HI144" i="2"/>
  <c r="HJ144" i="2"/>
  <c r="HP144" i="2"/>
  <c r="IA144" i="2"/>
  <c r="IB144" i="2"/>
  <c r="IC144" i="2"/>
  <c r="ID144" i="2"/>
  <c r="IE144" i="2"/>
  <c r="IK144" i="2"/>
  <c r="IQ144" i="2"/>
  <c r="IX144" i="2"/>
  <c r="EL145" i="2"/>
  <c r="EM145" i="2"/>
  <c r="ET145" i="2"/>
  <c r="EU145" i="2"/>
  <c r="EV145" i="2"/>
  <c r="EW145" i="2"/>
  <c r="FD145" i="2"/>
  <c r="FE145" i="2"/>
  <c r="FF145" i="2"/>
  <c r="FG145" i="2"/>
  <c r="FL145" i="2"/>
  <c r="FQ145" i="2"/>
  <c r="FR145" i="2"/>
  <c r="FS145" i="2"/>
  <c r="FT145" i="2"/>
  <c r="FU145" i="2"/>
  <c r="FV145" i="2"/>
  <c r="GC145" i="2"/>
  <c r="GD145" i="2"/>
  <c r="GE145" i="2"/>
  <c r="GF145" i="2"/>
  <c r="GM145" i="2"/>
  <c r="GN145" i="2"/>
  <c r="GO145" i="2"/>
  <c r="GP145" i="2"/>
  <c r="GU145" i="2"/>
  <c r="HB145" i="2"/>
  <c r="HC145" i="2"/>
  <c r="HD145" i="2"/>
  <c r="HE145" i="2"/>
  <c r="HJ145" i="2"/>
  <c r="HO145" i="2"/>
  <c r="HW145" i="2"/>
  <c r="HX145" i="2"/>
  <c r="HY145" i="2"/>
  <c r="HZ145" i="2"/>
  <c r="IE145" i="2"/>
  <c r="IJ145" i="2"/>
  <c r="IP145" i="2"/>
  <c r="IW145" i="2"/>
  <c r="EM147" i="2"/>
  <c r="EO147" i="2"/>
  <c r="EP147" i="2"/>
  <c r="ES147" i="2"/>
  <c r="EV147" i="2"/>
  <c r="EY147" i="2"/>
  <c r="EZ147" i="2"/>
  <c r="FC147" i="2"/>
  <c r="FF147" i="2"/>
  <c r="FJ147" i="2"/>
  <c r="FM147" i="2"/>
  <c r="FO147" i="2"/>
  <c r="FP147" i="2"/>
  <c r="FR147" i="2"/>
  <c r="FS147" i="2"/>
  <c r="FV147" i="2"/>
  <c r="FX147" i="2"/>
  <c r="FY147" i="2"/>
  <c r="GB147" i="2"/>
  <c r="GE147" i="2"/>
  <c r="GH147" i="2"/>
  <c r="GI147" i="2"/>
  <c r="GL147" i="2"/>
  <c r="GO147" i="2"/>
  <c r="GS147" i="2"/>
  <c r="GW147" i="2"/>
  <c r="GX147" i="2"/>
  <c r="HA147" i="2"/>
  <c r="HD147" i="2"/>
  <c r="HH147" i="2"/>
  <c r="HM147" i="2"/>
  <c r="HR147" i="2"/>
  <c r="HS147" i="2"/>
  <c r="HV147" i="2"/>
  <c r="HY147" i="2"/>
  <c r="IC147" i="2"/>
  <c r="IH147" i="2"/>
  <c r="IN147" i="2"/>
  <c r="IU147" i="2"/>
  <c r="EL148" i="2"/>
  <c r="EN148" i="2"/>
  <c r="EP148" i="2"/>
  <c r="ER148" i="2"/>
  <c r="EU148" i="2"/>
  <c r="EX148" i="2"/>
  <c r="EZ148" i="2"/>
  <c r="FB148" i="2"/>
  <c r="FE148" i="2"/>
  <c r="FI148" i="2"/>
  <c r="FM148" i="2"/>
  <c r="FN148" i="2"/>
  <c r="FP148" i="2"/>
  <c r="FQ148" i="2"/>
  <c r="FS148" i="2"/>
  <c r="FU148" i="2"/>
  <c r="FW148" i="2"/>
  <c r="FY148" i="2"/>
  <c r="GA148" i="2"/>
  <c r="GD148" i="2"/>
  <c r="GG148" i="2"/>
  <c r="GI148" i="2"/>
  <c r="GK148" i="2"/>
  <c r="GN148" i="2"/>
  <c r="GR148" i="2"/>
  <c r="GV148" i="2"/>
  <c r="GX148" i="2"/>
  <c r="GZ148" i="2"/>
  <c r="HC148" i="2"/>
  <c r="HG148" i="2"/>
  <c r="HL148" i="2"/>
  <c r="HQ148" i="2"/>
  <c r="HS148" i="2"/>
  <c r="HU148" i="2"/>
  <c r="HX148" i="2"/>
  <c r="IB148" i="2"/>
  <c r="IG148" i="2"/>
  <c r="IM148" i="2"/>
  <c r="IT148" i="2"/>
  <c r="EN149" i="2"/>
  <c r="EO149" i="2"/>
  <c r="EQ149" i="2"/>
  <c r="ET149" i="2"/>
  <c r="EX149" i="2"/>
  <c r="EY149" i="2"/>
  <c r="FA149" i="2"/>
  <c r="FD149" i="2"/>
  <c r="FH149" i="2"/>
  <c r="FM149" i="2"/>
  <c r="FN149" i="2"/>
  <c r="FO149" i="2"/>
  <c r="FQ149" i="2"/>
  <c r="FR149" i="2"/>
  <c r="FT149" i="2"/>
  <c r="FW149" i="2"/>
  <c r="FX149" i="2"/>
  <c r="FZ149" i="2"/>
  <c r="GC149" i="2"/>
  <c r="GG149" i="2"/>
  <c r="GH149" i="2"/>
  <c r="GJ149" i="2"/>
  <c r="GM149" i="2"/>
  <c r="GQ149" i="2"/>
  <c r="GV149" i="2"/>
  <c r="GW149" i="2"/>
  <c r="GY149" i="2"/>
  <c r="HB149" i="2"/>
  <c r="HF149" i="2"/>
  <c r="HK149" i="2"/>
  <c r="HQ149" i="2"/>
  <c r="HR149" i="2"/>
  <c r="HT149" i="2"/>
  <c r="HW149" i="2"/>
  <c r="IA149" i="2"/>
  <c r="IF149" i="2"/>
  <c r="IL149" i="2"/>
  <c r="IS149" i="2"/>
  <c r="C166" i="2" l="1"/>
  <c r="C162" i="2"/>
  <c r="C167" i="2"/>
  <c r="C168" i="2"/>
  <c r="C169" i="2"/>
  <c r="C170" i="2"/>
  <c r="E33" i="2"/>
  <c r="A98" i="20" l="1"/>
  <c r="A80" i="20"/>
  <c r="R97" i="13"/>
  <c r="C7" i="13"/>
  <c r="F12" i="26" l="1"/>
  <c r="E220" i="2"/>
  <c r="F220" i="2"/>
  <c r="G220" i="2"/>
  <c r="H220" i="2"/>
  <c r="I220" i="2"/>
  <c r="J220" i="2"/>
  <c r="K220" i="2"/>
  <c r="L220" i="2"/>
  <c r="M220" i="2"/>
  <c r="D220" i="2"/>
  <c r="E218" i="2"/>
  <c r="F218" i="2"/>
  <c r="G218" i="2"/>
  <c r="H218" i="2"/>
  <c r="I218" i="2"/>
  <c r="J218" i="2"/>
  <c r="K218" i="2"/>
  <c r="L218" i="2"/>
  <c r="M218" i="2"/>
  <c r="D218" i="2"/>
  <c r="B81" i="5" l="1"/>
  <c r="B80" i="5"/>
  <c r="B79" i="5"/>
  <c r="AP85" i="27"/>
  <c r="AP83" i="27"/>
  <c r="AN82" i="27"/>
  <c r="AM82" i="27"/>
  <c r="AL82" i="27"/>
  <c r="AK82" i="27"/>
  <c r="AJ82" i="27"/>
  <c r="AI82" i="27"/>
  <c r="AH82" i="27"/>
  <c r="AG82" i="27"/>
  <c r="AF82" i="27"/>
  <c r="AE82" i="27"/>
  <c r="AD82" i="27"/>
  <c r="AC82" i="27"/>
  <c r="AB82" i="27"/>
  <c r="AA82" i="27"/>
  <c r="Z82" i="27"/>
  <c r="Y82" i="27"/>
  <c r="X82" i="27"/>
  <c r="W82" i="27"/>
  <c r="V82" i="27"/>
  <c r="U82" i="27"/>
  <c r="S82" i="27"/>
  <c r="Q82" i="27"/>
  <c r="P82" i="27"/>
  <c r="O82" i="27"/>
  <c r="N82" i="27"/>
  <c r="M82" i="27"/>
  <c r="L82" i="27"/>
  <c r="K82" i="27"/>
  <c r="J82" i="27"/>
  <c r="I82" i="27"/>
  <c r="H82" i="27"/>
  <c r="G82" i="27"/>
  <c r="F82" i="27"/>
  <c r="E82" i="27"/>
  <c r="D82" i="27"/>
  <c r="C82" i="27"/>
  <c r="B82" i="27"/>
  <c r="AT81" i="27"/>
  <c r="AP81" i="27"/>
  <c r="AT80" i="27"/>
  <c r="AP80" i="27"/>
  <c r="AT79" i="27"/>
  <c r="AP79" i="27"/>
  <c r="AT78" i="27"/>
  <c r="AP78" i="27"/>
  <c r="AT77" i="27"/>
  <c r="AP77" i="27"/>
  <c r="AT76" i="27"/>
  <c r="AP76" i="27"/>
  <c r="AT75" i="27"/>
  <c r="AP75" i="27"/>
  <c r="AT74" i="27"/>
  <c r="AP74" i="27"/>
  <c r="AT73" i="27"/>
  <c r="AP73" i="27"/>
  <c r="AT72" i="27"/>
  <c r="AP72" i="27"/>
  <c r="AT71" i="27"/>
  <c r="AN71" i="27"/>
  <c r="AM71" i="27"/>
  <c r="AL71" i="27"/>
  <c r="AK71" i="27"/>
  <c r="AJ71" i="27"/>
  <c r="AI71" i="27"/>
  <c r="AH71" i="27"/>
  <c r="AG71" i="27"/>
  <c r="AF71" i="27"/>
  <c r="AE71" i="27"/>
  <c r="AD71" i="27"/>
  <c r="AC71" i="27"/>
  <c r="AB71" i="27"/>
  <c r="AA71" i="27"/>
  <c r="Z71" i="27"/>
  <c r="Y71" i="27"/>
  <c r="X71" i="27"/>
  <c r="W71" i="27"/>
  <c r="V71" i="27"/>
  <c r="U71" i="27"/>
  <c r="T71" i="27"/>
  <c r="S71" i="27"/>
  <c r="Q71" i="27"/>
  <c r="P71" i="27"/>
  <c r="O71" i="27"/>
  <c r="N71" i="27"/>
  <c r="M71" i="27"/>
  <c r="L71" i="27"/>
  <c r="K71" i="27"/>
  <c r="J71" i="27"/>
  <c r="I71" i="27"/>
  <c r="H71" i="27"/>
  <c r="G71" i="27"/>
  <c r="F71" i="27"/>
  <c r="E71" i="27"/>
  <c r="D71" i="27"/>
  <c r="C71" i="27"/>
  <c r="B71" i="27"/>
  <c r="AT70" i="27"/>
  <c r="AP70" i="27"/>
  <c r="AT69" i="27"/>
  <c r="AP69" i="27"/>
  <c r="AT68" i="27"/>
  <c r="AP68" i="27"/>
  <c r="AT67" i="27"/>
  <c r="AP67" i="27"/>
  <c r="AT66" i="27"/>
  <c r="AP66" i="27"/>
  <c r="AT65" i="27"/>
  <c r="AP65" i="27"/>
  <c r="AT64" i="27"/>
  <c r="AP64" i="27"/>
  <c r="AT63" i="27"/>
  <c r="AP63" i="27"/>
  <c r="AT62" i="27"/>
  <c r="AP62" i="27"/>
  <c r="AT61" i="27"/>
  <c r="AP61" i="27"/>
  <c r="AT60" i="27"/>
  <c r="AP60" i="27"/>
  <c r="AT59" i="27"/>
  <c r="AP59" i="27"/>
  <c r="AT58" i="27"/>
  <c r="AP58" i="27"/>
  <c r="AT57" i="27"/>
  <c r="AP57" i="27"/>
  <c r="AT56" i="27"/>
  <c r="AP56" i="27"/>
  <c r="AT55" i="27"/>
  <c r="AP55" i="27"/>
  <c r="AT54" i="27"/>
  <c r="AP54" i="27"/>
  <c r="AT53" i="27"/>
  <c r="AP53" i="27"/>
  <c r="AT52" i="27"/>
  <c r="AP52" i="27"/>
  <c r="AT51" i="27"/>
  <c r="AP51" i="27"/>
  <c r="AT50" i="27"/>
  <c r="AP50" i="27"/>
  <c r="AT49" i="27"/>
  <c r="AP49" i="27"/>
  <c r="AT48" i="27"/>
  <c r="AP48" i="27"/>
  <c r="AT47" i="27"/>
  <c r="AP47" i="27"/>
  <c r="AT46" i="27"/>
  <c r="AP46" i="27"/>
  <c r="AT45" i="27"/>
  <c r="AP45" i="27"/>
  <c r="AT44" i="27"/>
  <c r="AP44" i="27"/>
  <c r="AT43" i="27"/>
  <c r="AP43" i="27"/>
  <c r="AT42" i="27"/>
  <c r="AP42" i="27"/>
  <c r="AT41" i="27"/>
  <c r="AP41" i="27"/>
  <c r="AT40" i="27"/>
  <c r="AP40" i="27"/>
  <c r="AT39" i="27"/>
  <c r="AP39" i="27"/>
  <c r="AT38" i="27"/>
  <c r="AP38" i="27"/>
  <c r="AT37" i="27"/>
  <c r="AP37" i="27"/>
  <c r="AT36" i="27"/>
  <c r="AP36" i="27"/>
  <c r="AT35" i="27"/>
  <c r="AP35" i="27"/>
  <c r="AT34" i="27"/>
  <c r="AP34" i="27"/>
  <c r="AT33" i="27"/>
  <c r="AP33" i="27"/>
  <c r="AT32" i="27"/>
  <c r="AP32" i="27"/>
  <c r="AT31" i="27"/>
  <c r="AP31" i="27"/>
  <c r="AT30" i="27"/>
  <c r="AP30" i="27"/>
  <c r="AT29" i="27"/>
  <c r="AP29" i="27"/>
  <c r="AT28" i="27"/>
  <c r="AP28" i="27"/>
  <c r="AT27" i="27"/>
  <c r="AP27" i="27"/>
  <c r="AT26" i="27"/>
  <c r="AP26" i="27"/>
  <c r="AT25" i="27"/>
  <c r="AP25" i="27"/>
  <c r="AT24" i="27"/>
  <c r="AP24" i="27"/>
  <c r="AT23" i="27"/>
  <c r="AP23" i="27"/>
  <c r="AT22" i="27"/>
  <c r="AP22" i="27"/>
  <c r="AT21" i="27"/>
  <c r="AP21" i="27"/>
  <c r="AT20" i="27"/>
  <c r="AP20" i="27"/>
  <c r="AT19" i="27"/>
  <c r="AP19" i="27"/>
  <c r="AT18" i="27"/>
  <c r="AP18" i="27"/>
  <c r="AT17" i="27"/>
  <c r="T17" i="27"/>
  <c r="AT16" i="27"/>
  <c r="AP16" i="27"/>
  <c r="AT15" i="27"/>
  <c r="AP15" i="27"/>
  <c r="AT14" i="27"/>
  <c r="AP14" i="27"/>
  <c r="AT13" i="27"/>
  <c r="AP13" i="27"/>
  <c r="AT12" i="27"/>
  <c r="AP12" i="27"/>
  <c r="AT11" i="27"/>
  <c r="AP11" i="27"/>
  <c r="AT10" i="27"/>
  <c r="AP10" i="27"/>
  <c r="AT9" i="27"/>
  <c r="AP9" i="27"/>
  <c r="AT8" i="27"/>
  <c r="AP8" i="27"/>
  <c r="AT7" i="27"/>
  <c r="AP7" i="27"/>
  <c r="AT6" i="27"/>
  <c r="AP6" i="27"/>
  <c r="AT5" i="27"/>
  <c r="AP5" i="27"/>
  <c r="AT4" i="27"/>
  <c r="AP4" i="27"/>
  <c r="AT3" i="27"/>
  <c r="AP3" i="27"/>
  <c r="AT2" i="27"/>
  <c r="AN2" i="27"/>
  <c r="AM2" i="27"/>
  <c r="AL2" i="27"/>
  <c r="AK2" i="27"/>
  <c r="AJ2" i="27"/>
  <c r="AI2" i="27"/>
  <c r="AH2" i="27"/>
  <c r="AG2" i="27"/>
  <c r="AF2" i="27"/>
  <c r="AE2" i="27"/>
  <c r="AD2" i="27"/>
  <c r="AC2" i="27"/>
  <c r="AB2" i="27"/>
  <c r="AA2" i="27"/>
  <c r="Z2" i="27"/>
  <c r="Y2" i="27"/>
  <c r="X2" i="27"/>
  <c r="W2" i="27"/>
  <c r="V2" i="27"/>
  <c r="U2" i="27"/>
  <c r="T2" i="27"/>
  <c r="S2" i="27"/>
  <c r="R2" i="27"/>
  <c r="Q2" i="27"/>
  <c r="P2" i="27"/>
  <c r="O2" i="27"/>
  <c r="N2" i="27"/>
  <c r="M2" i="27"/>
  <c r="L2" i="27"/>
  <c r="K2" i="27"/>
  <c r="J2" i="27"/>
  <c r="I2" i="27"/>
  <c r="H2" i="27"/>
  <c r="G2" i="27"/>
  <c r="F2" i="27"/>
  <c r="E2" i="27"/>
  <c r="D2" i="27"/>
  <c r="C2" i="27"/>
  <c r="B2" i="27"/>
  <c r="L146" i="11" l="1"/>
  <c r="L154" i="11"/>
  <c r="L149" i="11"/>
  <c r="L147" i="11"/>
  <c r="L148" i="11"/>
  <c r="L150" i="11"/>
  <c r="L152" i="11"/>
  <c r="L142" i="11"/>
  <c r="L151" i="11"/>
  <c r="L143" i="11"/>
  <c r="L145" i="11"/>
  <c r="L153" i="11"/>
  <c r="L144" i="11"/>
  <c r="T154" i="11"/>
  <c r="T151" i="11"/>
  <c r="T143" i="11"/>
  <c r="T146" i="11"/>
  <c r="T152" i="11"/>
  <c r="T144" i="11"/>
  <c r="T153" i="11"/>
  <c r="T145" i="11"/>
  <c r="T147" i="11"/>
  <c r="T149" i="11"/>
  <c r="T150" i="11"/>
  <c r="T142" i="11"/>
  <c r="T148" i="11"/>
  <c r="T82" i="27"/>
  <c r="AP82" i="27" s="1"/>
  <c r="R152" i="11"/>
  <c r="R148" i="11"/>
  <c r="R144" i="11"/>
  <c r="R149" i="11"/>
  <c r="R154" i="11"/>
  <c r="R142" i="11"/>
  <c r="R153" i="11"/>
  <c r="R145" i="11"/>
  <c r="R146" i="11"/>
  <c r="R151" i="11"/>
  <c r="R147" i="11"/>
  <c r="R143" i="11"/>
  <c r="R150" i="11"/>
  <c r="AP17" i="27"/>
  <c r="AP71" i="27"/>
  <c r="AP2" i="27"/>
  <c r="T107" i="11" l="1"/>
  <c r="L107" i="11"/>
  <c r="R107" i="11"/>
  <c r="A165" i="2"/>
  <c r="AP70" i="5" l="1"/>
  <c r="F24" i="26" l="1"/>
  <c r="F28" i="26"/>
  <c r="F38" i="26"/>
  <c r="F40" i="26"/>
  <c r="F41" i="26"/>
  <c r="F43" i="26"/>
  <c r="F50" i="26"/>
  <c r="F51" i="26"/>
  <c r="F52" i="26"/>
  <c r="F56" i="26"/>
  <c r="F57" i="26"/>
  <c r="F60" i="26"/>
  <c r="F64" i="26"/>
  <c r="F66" i="26"/>
  <c r="F69" i="26"/>
  <c r="F70" i="26"/>
  <c r="F72" i="26"/>
  <c r="F73" i="26"/>
  <c r="F75" i="26"/>
  <c r="F76" i="26"/>
  <c r="F77" i="26"/>
  <c r="F78" i="26"/>
  <c r="F79" i="26"/>
  <c r="F80" i="26"/>
  <c r="F82" i="26"/>
  <c r="F90" i="26"/>
  <c r="F92" i="26"/>
  <c r="F93" i="26"/>
  <c r="F94" i="26"/>
  <c r="F95" i="26"/>
  <c r="F96" i="26"/>
  <c r="F98" i="26"/>
  <c r="F99" i="26"/>
  <c r="F100" i="26"/>
  <c r="F101" i="26"/>
  <c r="F106" i="26"/>
  <c r="F109" i="26"/>
  <c r="F111" i="26"/>
  <c r="F112" i="26"/>
  <c r="F113" i="26"/>
  <c r="F114" i="26"/>
  <c r="F115" i="26"/>
  <c r="F116" i="26"/>
  <c r="F118" i="26"/>
  <c r="F120" i="26"/>
  <c r="F121" i="26"/>
  <c r="F125" i="26"/>
  <c r="F126" i="26"/>
  <c r="F127" i="26"/>
  <c r="F128" i="26"/>
  <c r="F129" i="26"/>
  <c r="F130" i="26"/>
  <c r="F132" i="26"/>
  <c r="F133" i="26"/>
  <c r="F134" i="26"/>
  <c r="F138" i="26"/>
  <c r="F139" i="26"/>
  <c r="F140" i="26"/>
  <c r="F142" i="26"/>
  <c r="F143" i="26"/>
  <c r="F145" i="26"/>
  <c r="F146" i="26"/>
  <c r="F147" i="26"/>
  <c r="F148" i="26"/>
  <c r="F149" i="26"/>
  <c r="F150" i="26"/>
  <c r="F151" i="26"/>
  <c r="F152" i="26"/>
  <c r="F153" i="26"/>
  <c r="F154" i="26"/>
  <c r="F155" i="26"/>
  <c r="F156" i="26"/>
  <c r="F157" i="26"/>
  <c r="F158" i="26"/>
  <c r="F159" i="26"/>
  <c r="F160" i="26"/>
  <c r="F161" i="26"/>
  <c r="F162" i="26"/>
  <c r="F163" i="26"/>
  <c r="F164" i="26"/>
  <c r="F165" i="26"/>
  <c r="F166" i="26"/>
  <c r="F167" i="26"/>
  <c r="F168" i="26"/>
  <c r="F169" i="26"/>
  <c r="F170" i="26"/>
  <c r="F171" i="26"/>
  <c r="F173" i="26"/>
  <c r="F175" i="26"/>
  <c r="F178" i="26"/>
  <c r="F179" i="26"/>
  <c r="F180" i="26"/>
  <c r="F181" i="26"/>
  <c r="F182" i="26"/>
  <c r="F183" i="26"/>
  <c r="F184" i="26"/>
  <c r="F185" i="26"/>
  <c r="F186" i="26"/>
  <c r="F187" i="26"/>
  <c r="F188" i="26"/>
  <c r="F189" i="26"/>
  <c r="F190" i="26"/>
  <c r="F191" i="26"/>
  <c r="F192" i="26"/>
  <c r="F193" i="26"/>
  <c r="F194" i="26"/>
  <c r="F195" i="26"/>
  <c r="F196" i="26"/>
  <c r="F197" i="26"/>
  <c r="F198" i="26"/>
  <c r="F199" i="26"/>
  <c r="F200" i="26"/>
  <c r="F201" i="26"/>
  <c r="F202" i="26"/>
  <c r="F203" i="26"/>
  <c r="F204" i="26"/>
  <c r="F205" i="26"/>
  <c r="F206" i="26"/>
  <c r="F207" i="26"/>
  <c r="F208" i="26"/>
  <c r="F209" i="26"/>
  <c r="F210" i="26"/>
  <c r="F211" i="26"/>
  <c r="F212" i="26"/>
  <c r="F213" i="26"/>
  <c r="F214" i="26"/>
  <c r="F215" i="26"/>
  <c r="F216" i="26"/>
  <c r="F217" i="26"/>
  <c r="F218" i="26"/>
  <c r="F219" i="26"/>
  <c r="F220" i="26"/>
  <c r="F221" i="26"/>
  <c r="F222" i="26"/>
  <c r="F223" i="26"/>
  <c r="F224" i="26"/>
  <c r="F227" i="26"/>
  <c r="F230" i="26"/>
  <c r="F231" i="26"/>
  <c r="F232" i="26"/>
  <c r="F233" i="26"/>
  <c r="F104" i="2" l="1"/>
  <c r="F105" i="2"/>
  <c r="F106" i="2"/>
  <c r="F107" i="2"/>
  <c r="F108" i="2"/>
  <c r="F109" i="2"/>
  <c r="F110" i="2"/>
  <c r="F111" i="2"/>
  <c r="F112" i="2"/>
  <c r="F113" i="2"/>
  <c r="F114" i="2"/>
  <c r="F115" i="2"/>
  <c r="F116" i="2"/>
  <c r="F117" i="2"/>
  <c r="F118" i="2"/>
  <c r="F119" i="2"/>
  <c r="F120" i="2"/>
  <c r="F121" i="2"/>
  <c r="F122" i="2"/>
  <c r="F123" i="2"/>
  <c r="F124" i="2"/>
  <c r="F125" i="2"/>
  <c r="F126" i="2"/>
  <c r="F127" i="2"/>
  <c r="F128" i="2"/>
  <c r="F103" i="2"/>
  <c r="E610" i="26"/>
  <c r="E609" i="26"/>
  <c r="E608" i="26"/>
  <c r="E607" i="26"/>
  <c r="E606" i="26"/>
  <c r="E605" i="26"/>
  <c r="E604" i="26"/>
  <c r="E603" i="26"/>
  <c r="E602" i="26"/>
  <c r="E601" i="26"/>
  <c r="E600" i="26"/>
  <c r="E599" i="26"/>
  <c r="E598" i="26"/>
  <c r="E597" i="26"/>
  <c r="E596" i="26"/>
  <c r="E595" i="26"/>
  <c r="E594" i="26"/>
  <c r="E593" i="26"/>
  <c r="E592" i="26"/>
  <c r="E591" i="26"/>
  <c r="E590" i="26"/>
  <c r="E589" i="26"/>
  <c r="E588" i="26"/>
  <c r="E587" i="26"/>
  <c r="E586" i="26"/>
  <c r="J261" i="2"/>
  <c r="E9" i="26"/>
  <c r="E10" i="26"/>
  <c r="E11" i="26"/>
  <c r="E12" i="26"/>
  <c r="E13" i="26"/>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E104" i="26"/>
  <c r="E105" i="26"/>
  <c r="E106" i="26"/>
  <c r="E107" i="26"/>
  <c r="E108" i="26"/>
  <c r="E109" i="26"/>
  <c r="E110" i="26"/>
  <c r="E111" i="26"/>
  <c r="E112" i="26"/>
  <c r="E113" i="26"/>
  <c r="E114" i="26"/>
  <c r="E115" i="26"/>
  <c r="E116" i="26"/>
  <c r="E117" i="26"/>
  <c r="E118" i="26"/>
  <c r="E119" i="26"/>
  <c r="E120" i="26"/>
  <c r="E121" i="26"/>
  <c r="E122" i="26"/>
  <c r="E123" i="26"/>
  <c r="E124" i="26"/>
  <c r="E125" i="26"/>
  <c r="E126" i="26"/>
  <c r="E127" i="26"/>
  <c r="E128" i="26"/>
  <c r="E129" i="26"/>
  <c r="E130" i="26"/>
  <c r="E131" i="26"/>
  <c r="E132" i="26"/>
  <c r="E133" i="26"/>
  <c r="E134" i="26"/>
  <c r="E135" i="26"/>
  <c r="E136" i="26"/>
  <c r="E137" i="26"/>
  <c r="E138" i="26"/>
  <c r="E139" i="26"/>
  <c r="E140" i="26"/>
  <c r="E141" i="26"/>
  <c r="E142" i="26"/>
  <c r="E143" i="26"/>
  <c r="E144" i="26"/>
  <c r="E145" i="26"/>
  <c r="E146" i="26"/>
  <c r="E147" i="26"/>
  <c r="E148" i="26"/>
  <c r="E149" i="26"/>
  <c r="E150" i="26"/>
  <c r="E151" i="26"/>
  <c r="E152" i="26"/>
  <c r="E153" i="26"/>
  <c r="E154" i="26"/>
  <c r="E155" i="26"/>
  <c r="E156" i="26"/>
  <c r="E157" i="26"/>
  <c r="E158" i="26"/>
  <c r="E159" i="26"/>
  <c r="E160" i="26"/>
  <c r="E161" i="26"/>
  <c r="E162" i="26"/>
  <c r="E163" i="26"/>
  <c r="E164" i="26"/>
  <c r="E165" i="26"/>
  <c r="E166" i="26"/>
  <c r="E167" i="26"/>
  <c r="E168" i="26"/>
  <c r="E169" i="26"/>
  <c r="E170" i="26"/>
  <c r="E171" i="26"/>
  <c r="E172" i="26"/>
  <c r="E173" i="26"/>
  <c r="E174" i="26"/>
  <c r="E175" i="26"/>
  <c r="E176" i="26"/>
  <c r="E177" i="26"/>
  <c r="E178" i="26"/>
  <c r="E179" i="26"/>
  <c r="E180" i="26"/>
  <c r="E181" i="26"/>
  <c r="E182" i="26"/>
  <c r="E183" i="26"/>
  <c r="E184" i="26"/>
  <c r="E185" i="26"/>
  <c r="E186" i="26"/>
  <c r="E187" i="26"/>
  <c r="E188" i="26"/>
  <c r="E189" i="26"/>
  <c r="E190" i="26"/>
  <c r="E191" i="26"/>
  <c r="E192" i="26"/>
  <c r="E193" i="26"/>
  <c r="E194" i="26"/>
  <c r="E195" i="26"/>
  <c r="E196" i="26"/>
  <c r="E197" i="26"/>
  <c r="E198" i="26"/>
  <c r="E199" i="26"/>
  <c r="E200" i="26"/>
  <c r="E201" i="26"/>
  <c r="E202" i="26"/>
  <c r="E203" i="26"/>
  <c r="E204" i="26"/>
  <c r="E205" i="26"/>
  <c r="E206" i="26"/>
  <c r="E207" i="26"/>
  <c r="E208" i="26"/>
  <c r="E209" i="26"/>
  <c r="E210" i="26"/>
  <c r="E211" i="26"/>
  <c r="E212" i="26"/>
  <c r="E213" i="26"/>
  <c r="E214" i="26"/>
  <c r="E215" i="26"/>
  <c r="E216" i="26"/>
  <c r="E217" i="26"/>
  <c r="E218" i="26"/>
  <c r="E219" i="26"/>
  <c r="E220" i="26"/>
  <c r="E221" i="26"/>
  <c r="E222" i="26"/>
  <c r="E223" i="26"/>
  <c r="E224" i="26"/>
  <c r="E225" i="26"/>
  <c r="E226" i="26"/>
  <c r="E227" i="26"/>
  <c r="E228" i="26"/>
  <c r="E229" i="26"/>
  <c r="E230" i="26"/>
  <c r="E231" i="26"/>
  <c r="E232" i="26"/>
  <c r="E233" i="26"/>
  <c r="E234" i="26"/>
  <c r="E8" i="26"/>
  <c r="P161" i="2" l="1"/>
  <c r="Q161" i="2"/>
  <c r="R161" i="2"/>
  <c r="S161" i="2"/>
  <c r="T161" i="2"/>
  <c r="U161" i="2"/>
  <c r="V161" i="2"/>
  <c r="W161" i="2"/>
  <c r="X161" i="2"/>
  <c r="Y161" i="2"/>
  <c r="Z161" i="2"/>
  <c r="AA161" i="2"/>
  <c r="AB161" i="2"/>
  <c r="AC161" i="2"/>
  <c r="AD161" i="2"/>
  <c r="AE161" i="2"/>
  <c r="AF161" i="2"/>
  <c r="AG161" i="2"/>
  <c r="AH161" i="2"/>
  <c r="AI161" i="2"/>
  <c r="AJ161" i="2"/>
  <c r="AK161" i="2"/>
  <c r="AL161" i="2"/>
  <c r="AM161" i="2"/>
  <c r="AN161" i="2"/>
  <c r="AO161" i="2"/>
  <c r="AP161" i="2"/>
  <c r="AQ161" i="2"/>
  <c r="AR161" i="2"/>
  <c r="AS161" i="2"/>
  <c r="AT161" i="2"/>
  <c r="AU161" i="2"/>
  <c r="AV161" i="2"/>
  <c r="AW161" i="2"/>
  <c r="AX161" i="2"/>
  <c r="AY161" i="2"/>
  <c r="AZ161" i="2"/>
  <c r="BA161" i="2"/>
  <c r="BB161" i="2"/>
  <c r="BC161" i="2"/>
  <c r="BD161" i="2"/>
  <c r="BE161" i="2"/>
  <c r="BF161" i="2"/>
  <c r="BG161" i="2"/>
  <c r="BH161" i="2"/>
  <c r="BI161" i="2"/>
  <c r="BJ161" i="2"/>
  <c r="BK161" i="2"/>
  <c r="BL161" i="2"/>
  <c r="BM161" i="2"/>
  <c r="BN161" i="2"/>
  <c r="BO161" i="2"/>
  <c r="BP161" i="2"/>
  <c r="BQ161" i="2"/>
  <c r="BR161" i="2"/>
  <c r="BS161" i="2"/>
  <c r="BT161" i="2"/>
  <c r="BU161" i="2"/>
  <c r="BV161" i="2"/>
  <c r="BW161" i="2"/>
  <c r="BX161" i="2"/>
  <c r="BY161" i="2"/>
  <c r="BZ161" i="2"/>
  <c r="CA161" i="2"/>
  <c r="CB161" i="2"/>
  <c r="CC161" i="2"/>
  <c r="CD161" i="2"/>
  <c r="CE161" i="2"/>
  <c r="CF161" i="2"/>
  <c r="CG161" i="2"/>
  <c r="CH161" i="2"/>
  <c r="CI161" i="2"/>
  <c r="CJ161" i="2"/>
  <c r="CK161" i="2"/>
  <c r="CL161" i="2"/>
  <c r="CM161" i="2"/>
  <c r="CN161" i="2"/>
  <c r="CO161" i="2"/>
  <c r="CP161" i="2"/>
  <c r="CQ161" i="2"/>
  <c r="CR161" i="2"/>
  <c r="CS161" i="2"/>
  <c r="CT161" i="2"/>
  <c r="CU161" i="2"/>
  <c r="CV161" i="2"/>
  <c r="CW161" i="2"/>
  <c r="CX161" i="2"/>
  <c r="CY161" i="2"/>
  <c r="CZ161" i="2"/>
  <c r="DA161" i="2"/>
  <c r="DB161" i="2"/>
  <c r="DC161" i="2"/>
  <c r="DD161" i="2"/>
  <c r="DE161" i="2"/>
  <c r="DF161" i="2"/>
  <c r="DG161" i="2"/>
  <c r="DH161" i="2"/>
  <c r="DI161" i="2"/>
  <c r="DJ161" i="2"/>
  <c r="DK161" i="2"/>
  <c r="DL161" i="2"/>
  <c r="DM161" i="2"/>
  <c r="DN161" i="2"/>
  <c r="DO161" i="2"/>
  <c r="DP161" i="2"/>
  <c r="DQ161" i="2"/>
  <c r="DR161" i="2"/>
  <c r="DS161" i="2"/>
  <c r="DT161" i="2"/>
  <c r="DU161" i="2"/>
  <c r="DV161" i="2"/>
  <c r="DW161" i="2"/>
  <c r="DX161" i="2"/>
  <c r="DY161" i="2"/>
  <c r="DZ161" i="2"/>
  <c r="EA161" i="2"/>
  <c r="EB161" i="2"/>
  <c r="EC161" i="2"/>
  <c r="ED161" i="2"/>
  <c r="EE161" i="2"/>
  <c r="EF161" i="2"/>
  <c r="EG161" i="2"/>
  <c r="EH161" i="2"/>
  <c r="EI161" i="2"/>
  <c r="EJ161" i="2"/>
  <c r="EK161" i="2"/>
  <c r="P162" i="2"/>
  <c r="Q162" i="2"/>
  <c r="R162" i="2"/>
  <c r="S162" i="2"/>
  <c r="T162" i="2"/>
  <c r="U162" i="2"/>
  <c r="V162" i="2"/>
  <c r="W162" i="2"/>
  <c r="X162" i="2"/>
  <c r="Y162" i="2"/>
  <c r="Z162" i="2"/>
  <c r="AA162" i="2"/>
  <c r="AB162" i="2"/>
  <c r="AC162" i="2"/>
  <c r="AD162" i="2"/>
  <c r="AE162" i="2"/>
  <c r="AF162" i="2"/>
  <c r="AG162" i="2"/>
  <c r="AH162" i="2"/>
  <c r="AI162" i="2"/>
  <c r="AJ162" i="2"/>
  <c r="AK162" i="2"/>
  <c r="AL162" i="2"/>
  <c r="AM162" i="2"/>
  <c r="AN162" i="2"/>
  <c r="AO162" i="2"/>
  <c r="AP162" i="2"/>
  <c r="AQ162" i="2"/>
  <c r="AR162" i="2"/>
  <c r="AS162" i="2"/>
  <c r="AT162" i="2"/>
  <c r="AU162" i="2"/>
  <c r="AV162" i="2"/>
  <c r="AW162" i="2"/>
  <c r="AX162" i="2"/>
  <c r="AY162" i="2"/>
  <c r="AZ162" i="2"/>
  <c r="BA162" i="2"/>
  <c r="BB162" i="2"/>
  <c r="BC162" i="2"/>
  <c r="BD162" i="2"/>
  <c r="BE162" i="2"/>
  <c r="BF162" i="2"/>
  <c r="BG162" i="2"/>
  <c r="BH162" i="2"/>
  <c r="BI162" i="2"/>
  <c r="BJ162" i="2"/>
  <c r="BK162" i="2"/>
  <c r="BL162" i="2"/>
  <c r="BM162" i="2"/>
  <c r="BN162" i="2"/>
  <c r="BO162" i="2"/>
  <c r="BP162" i="2"/>
  <c r="BQ162" i="2"/>
  <c r="BR162" i="2"/>
  <c r="BS162" i="2"/>
  <c r="BT162" i="2"/>
  <c r="BU162" i="2"/>
  <c r="BV162" i="2"/>
  <c r="BW162" i="2"/>
  <c r="BX162" i="2"/>
  <c r="BY162" i="2"/>
  <c r="BZ162" i="2"/>
  <c r="CA162" i="2"/>
  <c r="CB162" i="2"/>
  <c r="CC162" i="2"/>
  <c r="CD162" i="2"/>
  <c r="CE162" i="2"/>
  <c r="CF162" i="2"/>
  <c r="CG162" i="2"/>
  <c r="CH162" i="2"/>
  <c r="CI162" i="2"/>
  <c r="CJ162" i="2"/>
  <c r="CK162" i="2"/>
  <c r="CL162" i="2"/>
  <c r="CM162" i="2"/>
  <c r="CN162" i="2"/>
  <c r="CO162" i="2"/>
  <c r="CP162" i="2"/>
  <c r="CQ162" i="2"/>
  <c r="CR162" i="2"/>
  <c r="CS162" i="2"/>
  <c r="CT162" i="2"/>
  <c r="CU162" i="2"/>
  <c r="CV162" i="2"/>
  <c r="CW162" i="2"/>
  <c r="CX162" i="2"/>
  <c r="CY162" i="2"/>
  <c r="CZ162" i="2"/>
  <c r="DA162" i="2"/>
  <c r="DB162" i="2"/>
  <c r="DC162" i="2"/>
  <c r="DD162" i="2"/>
  <c r="DE162" i="2"/>
  <c r="DF162" i="2"/>
  <c r="DG162" i="2"/>
  <c r="DH162" i="2"/>
  <c r="DI162" i="2"/>
  <c r="DJ162" i="2"/>
  <c r="DK162" i="2"/>
  <c r="DL162" i="2"/>
  <c r="DM162" i="2"/>
  <c r="DN162" i="2"/>
  <c r="DO162" i="2"/>
  <c r="DP162" i="2"/>
  <c r="DQ162" i="2"/>
  <c r="DR162" i="2"/>
  <c r="DS162" i="2"/>
  <c r="DT162" i="2"/>
  <c r="DU162" i="2"/>
  <c r="DV162" i="2"/>
  <c r="DW162" i="2"/>
  <c r="DX162" i="2"/>
  <c r="DY162" i="2"/>
  <c r="DZ162" i="2"/>
  <c r="EA162" i="2"/>
  <c r="EB162" i="2"/>
  <c r="EC162" i="2"/>
  <c r="ED162" i="2"/>
  <c r="EE162" i="2"/>
  <c r="EF162" i="2"/>
  <c r="EG162" i="2"/>
  <c r="EH162" i="2"/>
  <c r="EI162" i="2"/>
  <c r="EJ162" i="2"/>
  <c r="EK162" i="2"/>
  <c r="P163" i="2"/>
  <c r="Q163" i="2"/>
  <c r="R163" i="2"/>
  <c r="S163" i="2"/>
  <c r="T163" i="2"/>
  <c r="U163" i="2"/>
  <c r="V163" i="2"/>
  <c r="W163" i="2"/>
  <c r="X163" i="2"/>
  <c r="Y163" i="2"/>
  <c r="Z163" i="2"/>
  <c r="AA163" i="2"/>
  <c r="AB163" i="2"/>
  <c r="AC163" i="2"/>
  <c r="AD163" i="2"/>
  <c r="AE163" i="2"/>
  <c r="AF163" i="2"/>
  <c r="AG163" i="2"/>
  <c r="AH163" i="2"/>
  <c r="AI163" i="2"/>
  <c r="AJ163" i="2"/>
  <c r="AK163" i="2"/>
  <c r="AL163" i="2"/>
  <c r="AM163" i="2"/>
  <c r="AN163" i="2"/>
  <c r="AO163" i="2"/>
  <c r="AP163" i="2"/>
  <c r="AQ163" i="2"/>
  <c r="AR163" i="2"/>
  <c r="AS163" i="2"/>
  <c r="AT163" i="2"/>
  <c r="AU163" i="2"/>
  <c r="AV163" i="2"/>
  <c r="AW163" i="2"/>
  <c r="AX163" i="2"/>
  <c r="AY163" i="2"/>
  <c r="AZ163" i="2"/>
  <c r="BA163" i="2"/>
  <c r="BB163" i="2"/>
  <c r="BC163" i="2"/>
  <c r="BD163" i="2"/>
  <c r="BE163" i="2"/>
  <c r="BF163" i="2"/>
  <c r="BG163" i="2"/>
  <c r="BH163" i="2"/>
  <c r="BI163" i="2"/>
  <c r="BJ163" i="2"/>
  <c r="BK163" i="2"/>
  <c r="BL163" i="2"/>
  <c r="BM163" i="2"/>
  <c r="BN163" i="2"/>
  <c r="BO163" i="2"/>
  <c r="BP163" i="2"/>
  <c r="BQ163" i="2"/>
  <c r="BR163" i="2"/>
  <c r="BS163" i="2"/>
  <c r="BT163" i="2"/>
  <c r="BU163" i="2"/>
  <c r="BV163" i="2"/>
  <c r="BW163" i="2"/>
  <c r="BX163" i="2"/>
  <c r="BY163" i="2"/>
  <c r="BZ163" i="2"/>
  <c r="CA163" i="2"/>
  <c r="CB163" i="2"/>
  <c r="CC163" i="2"/>
  <c r="CD163" i="2"/>
  <c r="CE163" i="2"/>
  <c r="CF163" i="2"/>
  <c r="CG163" i="2"/>
  <c r="CH163" i="2"/>
  <c r="CI163" i="2"/>
  <c r="CJ163" i="2"/>
  <c r="CK163" i="2"/>
  <c r="CL163" i="2"/>
  <c r="CM163" i="2"/>
  <c r="CN163" i="2"/>
  <c r="CO163" i="2"/>
  <c r="CP163" i="2"/>
  <c r="CQ163" i="2"/>
  <c r="CR163" i="2"/>
  <c r="CS163" i="2"/>
  <c r="CT163" i="2"/>
  <c r="CU163" i="2"/>
  <c r="CV163" i="2"/>
  <c r="CW163" i="2"/>
  <c r="CX163" i="2"/>
  <c r="CY163" i="2"/>
  <c r="CZ163" i="2"/>
  <c r="DA163" i="2"/>
  <c r="DB163" i="2"/>
  <c r="DC163" i="2"/>
  <c r="DD163" i="2"/>
  <c r="DE163" i="2"/>
  <c r="DF163" i="2"/>
  <c r="DG163" i="2"/>
  <c r="DH163" i="2"/>
  <c r="DI163" i="2"/>
  <c r="DJ163" i="2"/>
  <c r="DK163" i="2"/>
  <c r="DL163" i="2"/>
  <c r="DM163" i="2"/>
  <c r="DN163" i="2"/>
  <c r="DO163" i="2"/>
  <c r="DP163" i="2"/>
  <c r="DQ163" i="2"/>
  <c r="DR163" i="2"/>
  <c r="DS163" i="2"/>
  <c r="DT163" i="2"/>
  <c r="DU163" i="2"/>
  <c r="DV163" i="2"/>
  <c r="DW163" i="2"/>
  <c r="DX163" i="2"/>
  <c r="DY163" i="2"/>
  <c r="DZ163" i="2"/>
  <c r="EA163" i="2"/>
  <c r="EB163" i="2"/>
  <c r="EC163" i="2"/>
  <c r="ED163" i="2"/>
  <c r="EE163" i="2"/>
  <c r="EF163" i="2"/>
  <c r="EG163" i="2"/>
  <c r="EH163" i="2"/>
  <c r="EI163" i="2"/>
  <c r="EJ163" i="2"/>
  <c r="EK163" i="2"/>
  <c r="P164" i="2"/>
  <c r="Q164" i="2"/>
  <c r="R164" i="2"/>
  <c r="S164" i="2"/>
  <c r="T164" i="2"/>
  <c r="U164" i="2"/>
  <c r="V164" i="2"/>
  <c r="W164" i="2"/>
  <c r="X164" i="2"/>
  <c r="Y164" i="2"/>
  <c r="Z164" i="2"/>
  <c r="AA164" i="2"/>
  <c r="AB164" i="2"/>
  <c r="AC164" i="2"/>
  <c r="AD164" i="2"/>
  <c r="AE164" i="2"/>
  <c r="AF164" i="2"/>
  <c r="AG164" i="2"/>
  <c r="AH164" i="2"/>
  <c r="AI164" i="2"/>
  <c r="AJ164" i="2"/>
  <c r="AK164" i="2"/>
  <c r="AL164" i="2"/>
  <c r="AM164" i="2"/>
  <c r="AN164" i="2"/>
  <c r="AO164" i="2"/>
  <c r="AP164" i="2"/>
  <c r="AQ164" i="2"/>
  <c r="AR164" i="2"/>
  <c r="AS164" i="2"/>
  <c r="AT164" i="2"/>
  <c r="AU164" i="2"/>
  <c r="AV164" i="2"/>
  <c r="AW164" i="2"/>
  <c r="AX164" i="2"/>
  <c r="AY164" i="2"/>
  <c r="AZ164" i="2"/>
  <c r="BA164" i="2"/>
  <c r="BB164" i="2"/>
  <c r="BC164" i="2"/>
  <c r="BD164" i="2"/>
  <c r="BE164" i="2"/>
  <c r="BF164" i="2"/>
  <c r="BG164" i="2"/>
  <c r="BH164" i="2"/>
  <c r="BI164" i="2"/>
  <c r="BJ164" i="2"/>
  <c r="BK164" i="2"/>
  <c r="BL164" i="2"/>
  <c r="BM164" i="2"/>
  <c r="BN164" i="2"/>
  <c r="BO164" i="2"/>
  <c r="BP164" i="2"/>
  <c r="BQ164" i="2"/>
  <c r="BR164" i="2"/>
  <c r="BS164" i="2"/>
  <c r="BT164" i="2"/>
  <c r="BU164" i="2"/>
  <c r="BV164" i="2"/>
  <c r="BW164" i="2"/>
  <c r="BX164" i="2"/>
  <c r="BY164" i="2"/>
  <c r="BZ164" i="2"/>
  <c r="CA164" i="2"/>
  <c r="CB164" i="2"/>
  <c r="CC164" i="2"/>
  <c r="CD164" i="2"/>
  <c r="CE164" i="2"/>
  <c r="CF164" i="2"/>
  <c r="CG164" i="2"/>
  <c r="CH164" i="2"/>
  <c r="CI164" i="2"/>
  <c r="CJ164" i="2"/>
  <c r="CK164" i="2"/>
  <c r="CL164" i="2"/>
  <c r="CM164" i="2"/>
  <c r="CN164" i="2"/>
  <c r="CO164" i="2"/>
  <c r="CP164" i="2"/>
  <c r="CQ164" i="2"/>
  <c r="CR164" i="2"/>
  <c r="CS164" i="2"/>
  <c r="CT164" i="2"/>
  <c r="CU164" i="2"/>
  <c r="CV164" i="2"/>
  <c r="CW164" i="2"/>
  <c r="CX164" i="2"/>
  <c r="CY164" i="2"/>
  <c r="CZ164" i="2"/>
  <c r="DA164" i="2"/>
  <c r="DB164" i="2"/>
  <c r="DC164" i="2"/>
  <c r="DD164" i="2"/>
  <c r="DE164" i="2"/>
  <c r="DF164" i="2"/>
  <c r="DG164" i="2"/>
  <c r="DH164" i="2"/>
  <c r="DI164" i="2"/>
  <c r="DJ164" i="2"/>
  <c r="DK164" i="2"/>
  <c r="DL164" i="2"/>
  <c r="DM164" i="2"/>
  <c r="DN164" i="2"/>
  <c r="DO164" i="2"/>
  <c r="DP164" i="2"/>
  <c r="DQ164" i="2"/>
  <c r="DR164" i="2"/>
  <c r="DS164" i="2"/>
  <c r="DT164" i="2"/>
  <c r="DU164" i="2"/>
  <c r="DV164" i="2"/>
  <c r="DW164" i="2"/>
  <c r="DX164" i="2"/>
  <c r="DY164" i="2"/>
  <c r="DZ164" i="2"/>
  <c r="EA164" i="2"/>
  <c r="EB164" i="2"/>
  <c r="EC164" i="2"/>
  <c r="ED164" i="2"/>
  <c r="EE164" i="2"/>
  <c r="EF164" i="2"/>
  <c r="EG164" i="2"/>
  <c r="EH164" i="2"/>
  <c r="EI164" i="2"/>
  <c r="EJ164" i="2"/>
  <c r="EK164" i="2"/>
  <c r="P165" i="2"/>
  <c r="Q165" i="2"/>
  <c r="R165" i="2"/>
  <c r="S165" i="2"/>
  <c r="T165" i="2"/>
  <c r="U165" i="2"/>
  <c r="V165" i="2"/>
  <c r="W165" i="2"/>
  <c r="X165" i="2"/>
  <c r="Y165" i="2"/>
  <c r="Z165" i="2"/>
  <c r="AA165" i="2"/>
  <c r="AB165" i="2"/>
  <c r="AC165" i="2"/>
  <c r="AD165" i="2"/>
  <c r="AE165" i="2"/>
  <c r="AF165" i="2"/>
  <c r="AG165" i="2"/>
  <c r="AH165" i="2"/>
  <c r="AI165" i="2"/>
  <c r="AJ165" i="2"/>
  <c r="AK165" i="2"/>
  <c r="AL165" i="2"/>
  <c r="AM165" i="2"/>
  <c r="AN165" i="2"/>
  <c r="AO165" i="2"/>
  <c r="AP165" i="2"/>
  <c r="AQ165" i="2"/>
  <c r="AR165" i="2"/>
  <c r="AS165" i="2"/>
  <c r="AT165" i="2"/>
  <c r="AU165" i="2"/>
  <c r="AV165" i="2"/>
  <c r="AW165" i="2"/>
  <c r="AX165" i="2"/>
  <c r="AY165" i="2"/>
  <c r="AZ165" i="2"/>
  <c r="BA165" i="2"/>
  <c r="BB165" i="2"/>
  <c r="BC165" i="2"/>
  <c r="BD165" i="2"/>
  <c r="BE165" i="2"/>
  <c r="BF165" i="2"/>
  <c r="BG165" i="2"/>
  <c r="BH165" i="2"/>
  <c r="BI165" i="2"/>
  <c r="BJ165" i="2"/>
  <c r="BK165" i="2"/>
  <c r="BL165" i="2"/>
  <c r="BM165" i="2"/>
  <c r="BN165" i="2"/>
  <c r="BO165" i="2"/>
  <c r="BP165" i="2"/>
  <c r="BQ165" i="2"/>
  <c r="BR165" i="2"/>
  <c r="BS165" i="2"/>
  <c r="BT165" i="2"/>
  <c r="BU165" i="2"/>
  <c r="BV165" i="2"/>
  <c r="BW165" i="2"/>
  <c r="BX165" i="2"/>
  <c r="BY165" i="2"/>
  <c r="BZ165" i="2"/>
  <c r="CA165" i="2"/>
  <c r="CB165" i="2"/>
  <c r="CC165" i="2"/>
  <c r="CD165" i="2"/>
  <c r="CE165" i="2"/>
  <c r="CF165" i="2"/>
  <c r="CG165" i="2"/>
  <c r="CH165" i="2"/>
  <c r="CI165" i="2"/>
  <c r="CJ165" i="2"/>
  <c r="CK165" i="2"/>
  <c r="CL165" i="2"/>
  <c r="CM165" i="2"/>
  <c r="CN165" i="2"/>
  <c r="CO165" i="2"/>
  <c r="CP165" i="2"/>
  <c r="CQ165" i="2"/>
  <c r="CR165" i="2"/>
  <c r="CS165" i="2"/>
  <c r="CT165" i="2"/>
  <c r="CU165" i="2"/>
  <c r="CV165" i="2"/>
  <c r="CW165" i="2"/>
  <c r="CX165" i="2"/>
  <c r="CY165" i="2"/>
  <c r="CZ165" i="2"/>
  <c r="DA165" i="2"/>
  <c r="DB165" i="2"/>
  <c r="DC165" i="2"/>
  <c r="DD165" i="2"/>
  <c r="DE165" i="2"/>
  <c r="DF165" i="2"/>
  <c r="DG165" i="2"/>
  <c r="DH165" i="2"/>
  <c r="DI165" i="2"/>
  <c r="DJ165" i="2"/>
  <c r="DK165" i="2"/>
  <c r="DL165" i="2"/>
  <c r="DM165" i="2"/>
  <c r="DN165" i="2"/>
  <c r="DO165" i="2"/>
  <c r="DP165" i="2"/>
  <c r="DQ165" i="2"/>
  <c r="DR165" i="2"/>
  <c r="DS165" i="2"/>
  <c r="DT165" i="2"/>
  <c r="DU165" i="2"/>
  <c r="DV165" i="2"/>
  <c r="DW165" i="2"/>
  <c r="DX165" i="2"/>
  <c r="DY165" i="2"/>
  <c r="DZ165" i="2"/>
  <c r="EA165" i="2"/>
  <c r="EB165" i="2"/>
  <c r="EC165" i="2"/>
  <c r="ED165" i="2"/>
  <c r="EE165" i="2"/>
  <c r="EF165" i="2"/>
  <c r="EG165" i="2"/>
  <c r="EH165" i="2"/>
  <c r="EI165" i="2"/>
  <c r="EJ165" i="2"/>
  <c r="EK165" i="2"/>
  <c r="P166" i="2"/>
  <c r="Q166" i="2"/>
  <c r="R166" i="2"/>
  <c r="S166" i="2"/>
  <c r="T166" i="2"/>
  <c r="U166" i="2"/>
  <c r="V166" i="2"/>
  <c r="W166" i="2"/>
  <c r="X166" i="2"/>
  <c r="Y166" i="2"/>
  <c r="Z166" i="2"/>
  <c r="AA166" i="2"/>
  <c r="AB166" i="2"/>
  <c r="AC166" i="2"/>
  <c r="AD166" i="2"/>
  <c r="AE166" i="2"/>
  <c r="AF166" i="2"/>
  <c r="AG166" i="2"/>
  <c r="AH166" i="2"/>
  <c r="AI166" i="2"/>
  <c r="AJ166" i="2"/>
  <c r="AK166" i="2"/>
  <c r="AL166" i="2"/>
  <c r="AM166" i="2"/>
  <c r="AN166" i="2"/>
  <c r="AO166" i="2"/>
  <c r="AP166" i="2"/>
  <c r="AQ166" i="2"/>
  <c r="AR166" i="2"/>
  <c r="AS166" i="2"/>
  <c r="AT166" i="2"/>
  <c r="AU166" i="2"/>
  <c r="AV166" i="2"/>
  <c r="AW166" i="2"/>
  <c r="AX166" i="2"/>
  <c r="AY166" i="2"/>
  <c r="AZ166" i="2"/>
  <c r="BA166" i="2"/>
  <c r="BB166" i="2"/>
  <c r="BC166" i="2"/>
  <c r="BD166" i="2"/>
  <c r="BE166" i="2"/>
  <c r="BF166" i="2"/>
  <c r="BG166" i="2"/>
  <c r="BH166" i="2"/>
  <c r="BI166" i="2"/>
  <c r="BJ166" i="2"/>
  <c r="BK166" i="2"/>
  <c r="BL166" i="2"/>
  <c r="BM166" i="2"/>
  <c r="BN166" i="2"/>
  <c r="BO166" i="2"/>
  <c r="BP166" i="2"/>
  <c r="BQ166" i="2"/>
  <c r="BR166" i="2"/>
  <c r="BS166" i="2"/>
  <c r="BT166" i="2"/>
  <c r="BU166" i="2"/>
  <c r="BV166" i="2"/>
  <c r="BW166" i="2"/>
  <c r="BX166" i="2"/>
  <c r="BY166" i="2"/>
  <c r="BZ166" i="2"/>
  <c r="CA166" i="2"/>
  <c r="CB166" i="2"/>
  <c r="CC166" i="2"/>
  <c r="CD166" i="2"/>
  <c r="CE166" i="2"/>
  <c r="CF166" i="2"/>
  <c r="CG166" i="2"/>
  <c r="CH166" i="2"/>
  <c r="CI166" i="2"/>
  <c r="CJ166" i="2"/>
  <c r="CK166" i="2"/>
  <c r="CL166" i="2"/>
  <c r="CM166" i="2"/>
  <c r="CN166" i="2"/>
  <c r="CO166" i="2"/>
  <c r="CP166" i="2"/>
  <c r="CQ166" i="2"/>
  <c r="CR166" i="2"/>
  <c r="CS166" i="2"/>
  <c r="CT166" i="2"/>
  <c r="CU166" i="2"/>
  <c r="CV166" i="2"/>
  <c r="CW166" i="2"/>
  <c r="CX166" i="2"/>
  <c r="CY166" i="2"/>
  <c r="CZ166" i="2"/>
  <c r="DA166" i="2"/>
  <c r="DB166" i="2"/>
  <c r="DC166" i="2"/>
  <c r="DD166" i="2"/>
  <c r="DE166" i="2"/>
  <c r="DF166" i="2"/>
  <c r="DG166" i="2"/>
  <c r="DH166" i="2"/>
  <c r="DI166" i="2"/>
  <c r="DJ166" i="2"/>
  <c r="DK166" i="2"/>
  <c r="DL166" i="2"/>
  <c r="DM166" i="2"/>
  <c r="DN166" i="2"/>
  <c r="DO166" i="2"/>
  <c r="DP166" i="2"/>
  <c r="DQ166" i="2"/>
  <c r="DR166" i="2"/>
  <c r="DS166" i="2"/>
  <c r="DT166" i="2"/>
  <c r="DU166" i="2"/>
  <c r="DV166" i="2"/>
  <c r="DW166" i="2"/>
  <c r="DX166" i="2"/>
  <c r="DY166" i="2"/>
  <c r="DZ166" i="2"/>
  <c r="EA166" i="2"/>
  <c r="EB166" i="2"/>
  <c r="EC166" i="2"/>
  <c r="ED166" i="2"/>
  <c r="EE166" i="2"/>
  <c r="EF166" i="2"/>
  <c r="EG166" i="2"/>
  <c r="EH166" i="2"/>
  <c r="EI166" i="2"/>
  <c r="EJ166" i="2"/>
  <c r="EK166" i="2"/>
  <c r="P167" i="2"/>
  <c r="Q167" i="2"/>
  <c r="R167" i="2"/>
  <c r="S167" i="2"/>
  <c r="T167" i="2"/>
  <c r="U167" i="2"/>
  <c r="V167" i="2"/>
  <c r="W167" i="2"/>
  <c r="X167" i="2"/>
  <c r="Y167" i="2"/>
  <c r="Z167" i="2"/>
  <c r="AA167" i="2"/>
  <c r="AB167" i="2"/>
  <c r="AC167" i="2"/>
  <c r="AD167" i="2"/>
  <c r="AE167" i="2"/>
  <c r="AF167" i="2"/>
  <c r="AG167" i="2"/>
  <c r="AH167" i="2"/>
  <c r="AI167" i="2"/>
  <c r="AJ167" i="2"/>
  <c r="AK167" i="2"/>
  <c r="AL167" i="2"/>
  <c r="AM167" i="2"/>
  <c r="AN167" i="2"/>
  <c r="AO167" i="2"/>
  <c r="AP167" i="2"/>
  <c r="AQ167" i="2"/>
  <c r="AR167" i="2"/>
  <c r="AS167" i="2"/>
  <c r="AT167" i="2"/>
  <c r="AU167" i="2"/>
  <c r="AV167" i="2"/>
  <c r="AW167" i="2"/>
  <c r="AX167" i="2"/>
  <c r="AY167" i="2"/>
  <c r="AZ167" i="2"/>
  <c r="BA167" i="2"/>
  <c r="BB167" i="2"/>
  <c r="BC167" i="2"/>
  <c r="BD167" i="2"/>
  <c r="BE167" i="2"/>
  <c r="BF167" i="2"/>
  <c r="BG167" i="2"/>
  <c r="BH167" i="2"/>
  <c r="BI167" i="2"/>
  <c r="BJ167" i="2"/>
  <c r="BK167" i="2"/>
  <c r="BL167" i="2"/>
  <c r="BM167" i="2"/>
  <c r="BN167" i="2"/>
  <c r="BO167" i="2"/>
  <c r="BP167" i="2"/>
  <c r="BQ167" i="2"/>
  <c r="BR167" i="2"/>
  <c r="BS167" i="2"/>
  <c r="BT167" i="2"/>
  <c r="BU167" i="2"/>
  <c r="BV167" i="2"/>
  <c r="BW167" i="2"/>
  <c r="BX167" i="2"/>
  <c r="BY167" i="2"/>
  <c r="BZ167" i="2"/>
  <c r="CA167" i="2"/>
  <c r="CB167" i="2"/>
  <c r="CC167" i="2"/>
  <c r="CD167" i="2"/>
  <c r="CE167" i="2"/>
  <c r="CF167" i="2"/>
  <c r="CG167" i="2"/>
  <c r="CH167" i="2"/>
  <c r="CI167" i="2"/>
  <c r="CJ167" i="2"/>
  <c r="CK167" i="2"/>
  <c r="CL167" i="2"/>
  <c r="CM167" i="2"/>
  <c r="CN167" i="2"/>
  <c r="CO167" i="2"/>
  <c r="CP167" i="2"/>
  <c r="CQ167" i="2"/>
  <c r="CR167" i="2"/>
  <c r="CS167" i="2"/>
  <c r="CT167" i="2"/>
  <c r="CU167" i="2"/>
  <c r="CV167" i="2"/>
  <c r="CW167" i="2"/>
  <c r="CX167" i="2"/>
  <c r="CY167" i="2"/>
  <c r="CZ167" i="2"/>
  <c r="DA167" i="2"/>
  <c r="DB167" i="2"/>
  <c r="DC167" i="2"/>
  <c r="DD167" i="2"/>
  <c r="DE167" i="2"/>
  <c r="DF167" i="2"/>
  <c r="DG167" i="2"/>
  <c r="DH167" i="2"/>
  <c r="DI167" i="2"/>
  <c r="DJ167" i="2"/>
  <c r="DK167" i="2"/>
  <c r="DL167" i="2"/>
  <c r="DM167" i="2"/>
  <c r="DN167" i="2"/>
  <c r="DO167" i="2"/>
  <c r="DP167" i="2"/>
  <c r="DQ167" i="2"/>
  <c r="DR167" i="2"/>
  <c r="DS167" i="2"/>
  <c r="DT167" i="2"/>
  <c r="DU167" i="2"/>
  <c r="DV167" i="2"/>
  <c r="DW167" i="2"/>
  <c r="DX167" i="2"/>
  <c r="DY167" i="2"/>
  <c r="DZ167" i="2"/>
  <c r="EA167" i="2"/>
  <c r="EB167" i="2"/>
  <c r="EC167" i="2"/>
  <c r="ED167" i="2"/>
  <c r="EE167" i="2"/>
  <c r="EF167" i="2"/>
  <c r="EG167" i="2"/>
  <c r="EH167" i="2"/>
  <c r="EI167" i="2"/>
  <c r="EJ167" i="2"/>
  <c r="EK167" i="2"/>
  <c r="P168" i="2"/>
  <c r="Q168" i="2"/>
  <c r="R168" i="2"/>
  <c r="S168" i="2"/>
  <c r="T168" i="2"/>
  <c r="U168" i="2"/>
  <c r="V168" i="2"/>
  <c r="W168" i="2"/>
  <c r="X168" i="2"/>
  <c r="Y168" i="2"/>
  <c r="Z168" i="2"/>
  <c r="AA168" i="2"/>
  <c r="AB168" i="2"/>
  <c r="AC168" i="2"/>
  <c r="AD168" i="2"/>
  <c r="AE168" i="2"/>
  <c r="AF168" i="2"/>
  <c r="AG168" i="2"/>
  <c r="AH168" i="2"/>
  <c r="AI168" i="2"/>
  <c r="AJ168" i="2"/>
  <c r="AK168" i="2"/>
  <c r="AL168" i="2"/>
  <c r="AM168" i="2"/>
  <c r="AN168" i="2"/>
  <c r="AO168" i="2"/>
  <c r="AP168" i="2"/>
  <c r="AQ168" i="2"/>
  <c r="AR168" i="2"/>
  <c r="AS168" i="2"/>
  <c r="AT168" i="2"/>
  <c r="AU168" i="2"/>
  <c r="AV168" i="2"/>
  <c r="AW168" i="2"/>
  <c r="AX168" i="2"/>
  <c r="AY168" i="2"/>
  <c r="AZ168" i="2"/>
  <c r="BA168" i="2"/>
  <c r="BB168" i="2"/>
  <c r="BC168" i="2"/>
  <c r="BD168" i="2"/>
  <c r="BE168" i="2"/>
  <c r="BF168" i="2"/>
  <c r="BG168" i="2"/>
  <c r="BH168" i="2"/>
  <c r="BI168" i="2"/>
  <c r="BJ168" i="2"/>
  <c r="BK168" i="2"/>
  <c r="BL168" i="2"/>
  <c r="BM168" i="2"/>
  <c r="BN168" i="2"/>
  <c r="BO168" i="2"/>
  <c r="BP168" i="2"/>
  <c r="BQ168" i="2"/>
  <c r="BR168" i="2"/>
  <c r="BS168" i="2"/>
  <c r="BT168" i="2"/>
  <c r="BU168" i="2"/>
  <c r="BV168" i="2"/>
  <c r="BW168" i="2"/>
  <c r="BX168" i="2"/>
  <c r="BY168" i="2"/>
  <c r="BZ168" i="2"/>
  <c r="CA168" i="2"/>
  <c r="CB168" i="2"/>
  <c r="CC168" i="2"/>
  <c r="CD168" i="2"/>
  <c r="CE168" i="2"/>
  <c r="CF168" i="2"/>
  <c r="CG168" i="2"/>
  <c r="CH168" i="2"/>
  <c r="CI168" i="2"/>
  <c r="CJ168" i="2"/>
  <c r="CK168" i="2"/>
  <c r="CL168" i="2"/>
  <c r="CM168" i="2"/>
  <c r="CN168" i="2"/>
  <c r="CO168" i="2"/>
  <c r="CP168" i="2"/>
  <c r="CQ168" i="2"/>
  <c r="CR168" i="2"/>
  <c r="CS168" i="2"/>
  <c r="CT168" i="2"/>
  <c r="CU168" i="2"/>
  <c r="CV168" i="2"/>
  <c r="CW168" i="2"/>
  <c r="CX168" i="2"/>
  <c r="CY168" i="2"/>
  <c r="CZ168" i="2"/>
  <c r="DA168" i="2"/>
  <c r="DB168" i="2"/>
  <c r="DC168" i="2"/>
  <c r="DD168" i="2"/>
  <c r="DE168" i="2"/>
  <c r="DF168" i="2"/>
  <c r="DG168" i="2"/>
  <c r="DH168" i="2"/>
  <c r="DI168" i="2"/>
  <c r="DJ168" i="2"/>
  <c r="DK168" i="2"/>
  <c r="DL168" i="2"/>
  <c r="DM168" i="2"/>
  <c r="DN168" i="2"/>
  <c r="DO168" i="2"/>
  <c r="DP168" i="2"/>
  <c r="DQ168" i="2"/>
  <c r="DR168" i="2"/>
  <c r="DS168" i="2"/>
  <c r="DT168" i="2"/>
  <c r="DU168" i="2"/>
  <c r="DV168" i="2"/>
  <c r="DW168" i="2"/>
  <c r="DX168" i="2"/>
  <c r="DY168" i="2"/>
  <c r="DZ168" i="2"/>
  <c r="EA168" i="2"/>
  <c r="EB168" i="2"/>
  <c r="EC168" i="2"/>
  <c r="ED168" i="2"/>
  <c r="EE168" i="2"/>
  <c r="EF168" i="2"/>
  <c r="EG168" i="2"/>
  <c r="EH168" i="2"/>
  <c r="EI168" i="2"/>
  <c r="EJ168" i="2"/>
  <c r="EK168" i="2"/>
  <c r="P169" i="2"/>
  <c r="Q169" i="2"/>
  <c r="R169" i="2"/>
  <c r="S169" i="2"/>
  <c r="T169" i="2"/>
  <c r="U169" i="2"/>
  <c r="V169" i="2"/>
  <c r="W169" i="2"/>
  <c r="X169" i="2"/>
  <c r="Y169" i="2"/>
  <c r="Z169" i="2"/>
  <c r="AA169" i="2"/>
  <c r="AB169" i="2"/>
  <c r="AC169" i="2"/>
  <c r="AD169" i="2"/>
  <c r="AE169" i="2"/>
  <c r="AF169" i="2"/>
  <c r="AG169" i="2"/>
  <c r="AH169" i="2"/>
  <c r="AI169" i="2"/>
  <c r="AJ169" i="2"/>
  <c r="AK169" i="2"/>
  <c r="AL169" i="2"/>
  <c r="AM169" i="2"/>
  <c r="AN169" i="2"/>
  <c r="AO169" i="2"/>
  <c r="AP169" i="2"/>
  <c r="AQ169" i="2"/>
  <c r="AR169" i="2"/>
  <c r="AS169" i="2"/>
  <c r="AT169" i="2"/>
  <c r="AU169" i="2"/>
  <c r="AV169" i="2"/>
  <c r="AW169" i="2"/>
  <c r="AX169" i="2"/>
  <c r="AY169" i="2"/>
  <c r="AZ169" i="2"/>
  <c r="BA169" i="2"/>
  <c r="BB169" i="2"/>
  <c r="BC169" i="2"/>
  <c r="BD169" i="2"/>
  <c r="BE169" i="2"/>
  <c r="BF169" i="2"/>
  <c r="BG169" i="2"/>
  <c r="BH169" i="2"/>
  <c r="BI169" i="2"/>
  <c r="BJ169" i="2"/>
  <c r="BK169" i="2"/>
  <c r="BL169" i="2"/>
  <c r="BM169" i="2"/>
  <c r="BN169" i="2"/>
  <c r="BO169" i="2"/>
  <c r="BP169" i="2"/>
  <c r="BQ169" i="2"/>
  <c r="BR169" i="2"/>
  <c r="BS169" i="2"/>
  <c r="BT169" i="2"/>
  <c r="BU169" i="2"/>
  <c r="BV169" i="2"/>
  <c r="BW169" i="2"/>
  <c r="BX169" i="2"/>
  <c r="BY169" i="2"/>
  <c r="BZ169" i="2"/>
  <c r="CA169" i="2"/>
  <c r="CB169" i="2"/>
  <c r="CC169" i="2"/>
  <c r="CD169" i="2"/>
  <c r="CE169" i="2"/>
  <c r="CF169" i="2"/>
  <c r="CG169" i="2"/>
  <c r="CH169" i="2"/>
  <c r="CI169" i="2"/>
  <c r="CJ169" i="2"/>
  <c r="CK169" i="2"/>
  <c r="CL169" i="2"/>
  <c r="CM169" i="2"/>
  <c r="CN169" i="2"/>
  <c r="CO169" i="2"/>
  <c r="CP169" i="2"/>
  <c r="CQ169" i="2"/>
  <c r="CR169" i="2"/>
  <c r="CS169" i="2"/>
  <c r="CT169" i="2"/>
  <c r="CU169" i="2"/>
  <c r="CV169" i="2"/>
  <c r="CW169" i="2"/>
  <c r="CX169" i="2"/>
  <c r="CY169" i="2"/>
  <c r="CZ169" i="2"/>
  <c r="DA169" i="2"/>
  <c r="DB169" i="2"/>
  <c r="DC169" i="2"/>
  <c r="DD169" i="2"/>
  <c r="DE169" i="2"/>
  <c r="DF169" i="2"/>
  <c r="DG169" i="2"/>
  <c r="DH169" i="2"/>
  <c r="DI169" i="2"/>
  <c r="DJ169" i="2"/>
  <c r="DK169" i="2"/>
  <c r="DL169" i="2"/>
  <c r="DM169" i="2"/>
  <c r="DN169" i="2"/>
  <c r="DO169" i="2"/>
  <c r="DP169" i="2"/>
  <c r="DQ169" i="2"/>
  <c r="DR169" i="2"/>
  <c r="DS169" i="2"/>
  <c r="DT169" i="2"/>
  <c r="DU169" i="2"/>
  <c r="DV169" i="2"/>
  <c r="DW169" i="2"/>
  <c r="DX169" i="2"/>
  <c r="DY169" i="2"/>
  <c r="DZ169" i="2"/>
  <c r="EA169" i="2"/>
  <c r="EB169" i="2"/>
  <c r="EC169" i="2"/>
  <c r="ED169" i="2"/>
  <c r="EE169" i="2"/>
  <c r="EF169" i="2"/>
  <c r="EG169" i="2"/>
  <c r="EH169" i="2"/>
  <c r="EI169" i="2"/>
  <c r="EJ169" i="2"/>
  <c r="EK169" i="2"/>
  <c r="P170" i="2"/>
  <c r="Q170" i="2"/>
  <c r="R170" i="2"/>
  <c r="S170" i="2"/>
  <c r="T170" i="2"/>
  <c r="U170" i="2"/>
  <c r="V170" i="2"/>
  <c r="W170" i="2"/>
  <c r="X170" i="2"/>
  <c r="Y170" i="2"/>
  <c r="Z170" i="2"/>
  <c r="AA170" i="2"/>
  <c r="AB170" i="2"/>
  <c r="AC170" i="2"/>
  <c r="AD170" i="2"/>
  <c r="AE170" i="2"/>
  <c r="AF170" i="2"/>
  <c r="AG170" i="2"/>
  <c r="AH170" i="2"/>
  <c r="AI170" i="2"/>
  <c r="AJ170" i="2"/>
  <c r="AK170" i="2"/>
  <c r="AL170" i="2"/>
  <c r="AM170" i="2"/>
  <c r="AN170" i="2"/>
  <c r="AO170" i="2"/>
  <c r="AP170" i="2"/>
  <c r="AQ170" i="2"/>
  <c r="AR170" i="2"/>
  <c r="AS170" i="2"/>
  <c r="AT170" i="2"/>
  <c r="AU170" i="2"/>
  <c r="AV170" i="2"/>
  <c r="AW170" i="2"/>
  <c r="AX170" i="2"/>
  <c r="AY170" i="2"/>
  <c r="AZ170" i="2"/>
  <c r="BA170" i="2"/>
  <c r="BB170" i="2"/>
  <c r="BC170" i="2"/>
  <c r="BD170" i="2"/>
  <c r="BE170" i="2"/>
  <c r="BF170" i="2"/>
  <c r="BG170" i="2"/>
  <c r="BH170" i="2"/>
  <c r="BI170" i="2"/>
  <c r="BJ170" i="2"/>
  <c r="BK170" i="2"/>
  <c r="BL170" i="2"/>
  <c r="BM170" i="2"/>
  <c r="BN170" i="2"/>
  <c r="BO170" i="2"/>
  <c r="BP170" i="2"/>
  <c r="BQ170" i="2"/>
  <c r="BR170" i="2"/>
  <c r="BS170" i="2"/>
  <c r="BT170" i="2"/>
  <c r="BU170" i="2"/>
  <c r="BV170" i="2"/>
  <c r="BW170" i="2"/>
  <c r="BX170" i="2"/>
  <c r="BY170" i="2"/>
  <c r="BZ170" i="2"/>
  <c r="CA170" i="2"/>
  <c r="CB170" i="2"/>
  <c r="CC170" i="2"/>
  <c r="CD170" i="2"/>
  <c r="CE170" i="2"/>
  <c r="CF170" i="2"/>
  <c r="CG170" i="2"/>
  <c r="CH170" i="2"/>
  <c r="CI170" i="2"/>
  <c r="CJ170" i="2"/>
  <c r="CK170" i="2"/>
  <c r="CL170" i="2"/>
  <c r="CM170" i="2"/>
  <c r="CN170" i="2"/>
  <c r="CO170" i="2"/>
  <c r="CP170" i="2"/>
  <c r="CQ170" i="2"/>
  <c r="CR170" i="2"/>
  <c r="CS170" i="2"/>
  <c r="CT170" i="2"/>
  <c r="CU170" i="2"/>
  <c r="CV170" i="2"/>
  <c r="CW170" i="2"/>
  <c r="CX170" i="2"/>
  <c r="CY170" i="2"/>
  <c r="CZ170" i="2"/>
  <c r="DA170" i="2"/>
  <c r="DB170" i="2"/>
  <c r="DC170" i="2"/>
  <c r="DD170" i="2"/>
  <c r="DE170" i="2"/>
  <c r="DF170" i="2"/>
  <c r="DG170" i="2"/>
  <c r="DH170" i="2"/>
  <c r="DI170" i="2"/>
  <c r="DJ170" i="2"/>
  <c r="DK170" i="2"/>
  <c r="DL170" i="2"/>
  <c r="DM170" i="2"/>
  <c r="DN170" i="2"/>
  <c r="DO170" i="2"/>
  <c r="DP170" i="2"/>
  <c r="DQ170" i="2"/>
  <c r="DR170" i="2"/>
  <c r="DS170" i="2"/>
  <c r="DT170" i="2"/>
  <c r="DU170" i="2"/>
  <c r="DV170" i="2"/>
  <c r="DW170" i="2"/>
  <c r="DX170" i="2"/>
  <c r="DY170" i="2"/>
  <c r="DZ170" i="2"/>
  <c r="EA170" i="2"/>
  <c r="EB170" i="2"/>
  <c r="EC170" i="2"/>
  <c r="ED170" i="2"/>
  <c r="EE170" i="2"/>
  <c r="EF170" i="2"/>
  <c r="EG170" i="2"/>
  <c r="EH170" i="2"/>
  <c r="EI170" i="2"/>
  <c r="EJ170" i="2"/>
  <c r="EK170" i="2"/>
  <c r="O170" i="2"/>
  <c r="O169" i="2"/>
  <c r="O168" i="2"/>
  <c r="O167" i="2"/>
  <c r="O166" i="2"/>
  <c r="O165" i="2"/>
  <c r="O164" i="2"/>
  <c r="O163" i="2"/>
  <c r="O162" i="2"/>
  <c r="F4" i="24" l="1"/>
  <c r="E4" i="24"/>
  <c r="O161" i="2" l="1"/>
  <c r="Q144" i="2"/>
  <c r="R144" i="2"/>
  <c r="S144" i="2"/>
  <c r="T144" i="2"/>
  <c r="U144" i="2"/>
  <c r="W144" i="2"/>
  <c r="X144" i="2"/>
  <c r="Y144" i="2"/>
  <c r="Z144" i="2"/>
  <c r="AA144" i="2"/>
  <c r="AG144" i="2"/>
  <c r="AH144" i="2"/>
  <c r="AI144" i="2"/>
  <c r="AJ144" i="2"/>
  <c r="AK144" i="2"/>
  <c r="AL144" i="2"/>
  <c r="AM144" i="2"/>
  <c r="AN144" i="2"/>
  <c r="AO144" i="2"/>
  <c r="AP144" i="2"/>
  <c r="AV144" i="2"/>
  <c r="BB144" i="2"/>
  <c r="BC144" i="2"/>
  <c r="BD144" i="2"/>
  <c r="BE144" i="2"/>
  <c r="BQ144" i="2"/>
  <c r="BR144" i="2"/>
  <c r="BS144" i="2"/>
  <c r="BT144" i="2"/>
  <c r="BU144" i="2"/>
  <c r="BV144" i="2"/>
  <c r="BW144" i="2"/>
  <c r="BX144" i="2"/>
  <c r="BY144" i="2"/>
  <c r="CK144" i="2"/>
  <c r="CL144" i="2"/>
  <c r="CM144" i="2"/>
  <c r="CN144" i="2"/>
  <c r="CO144" i="2"/>
  <c r="CP144" i="2"/>
  <c r="CQ144" i="2"/>
  <c r="CR144" i="2"/>
  <c r="CS144" i="2"/>
  <c r="DD144" i="2"/>
  <c r="DE144" i="2"/>
  <c r="DF144" i="2"/>
  <c r="DG144" i="2"/>
  <c r="DH144" i="2"/>
  <c r="DT144" i="2"/>
  <c r="DU144" i="2"/>
  <c r="DV144" i="2"/>
  <c r="DW144" i="2"/>
  <c r="EC144" i="2"/>
  <c r="P145" i="2"/>
  <c r="R145" i="2"/>
  <c r="S145" i="2"/>
  <c r="T145" i="2"/>
  <c r="U145" i="2"/>
  <c r="V145" i="2"/>
  <c r="X145" i="2"/>
  <c r="Y145" i="2"/>
  <c r="Z145" i="2"/>
  <c r="AA145" i="2"/>
  <c r="AC145" i="2"/>
  <c r="AD145" i="2"/>
  <c r="AE145" i="2"/>
  <c r="AF145" i="2"/>
  <c r="AK145" i="2"/>
  <c r="AL145" i="2"/>
  <c r="AM145" i="2"/>
  <c r="AN145" i="2"/>
  <c r="AO145" i="2"/>
  <c r="AP145" i="2"/>
  <c r="AS145" i="2"/>
  <c r="AT145" i="2"/>
  <c r="AU145" i="2"/>
  <c r="AZ145" i="2"/>
  <c r="BA145" i="2"/>
  <c r="BJ145" i="2"/>
  <c r="BK145" i="2"/>
  <c r="BM145" i="2"/>
  <c r="BN145" i="2"/>
  <c r="BO145" i="2"/>
  <c r="BV145" i="2"/>
  <c r="BW145" i="2"/>
  <c r="BX145" i="2"/>
  <c r="BY145" i="2"/>
  <c r="CE145" i="2"/>
  <c r="CF145" i="2"/>
  <c r="CG145" i="2"/>
  <c r="CH145" i="2"/>
  <c r="CI145" i="2"/>
  <c r="CQ145" i="2"/>
  <c r="CR145" i="2"/>
  <c r="CS145" i="2"/>
  <c r="DH145" i="2"/>
  <c r="DO145" i="2"/>
  <c r="DP145" i="2"/>
  <c r="DQ145" i="2"/>
  <c r="DR145" i="2"/>
  <c r="EB145" i="2"/>
  <c r="EH145" i="2"/>
  <c r="P147" i="2"/>
  <c r="Q147" i="2"/>
  <c r="R147" i="2"/>
  <c r="T147" i="2"/>
  <c r="U147" i="2"/>
  <c r="V147" i="2"/>
  <c r="W147" i="2"/>
  <c r="X147" i="2"/>
  <c r="Z147" i="2"/>
  <c r="AA147" i="2"/>
  <c r="AB147" i="2"/>
  <c r="AC147" i="2"/>
  <c r="AE147" i="2"/>
  <c r="AF147" i="2"/>
  <c r="AG147" i="2"/>
  <c r="AI147" i="2"/>
  <c r="AJ147" i="2"/>
  <c r="AL147" i="2"/>
  <c r="AM147" i="2"/>
  <c r="AP147" i="2"/>
  <c r="AQ147" i="2"/>
  <c r="AR147" i="2"/>
  <c r="AU147" i="2"/>
  <c r="AV147" i="2"/>
  <c r="AX147" i="2"/>
  <c r="BA147" i="2"/>
  <c r="BB147" i="2"/>
  <c r="BE147" i="2"/>
  <c r="BH147" i="2"/>
  <c r="BK147" i="2"/>
  <c r="BL147" i="2"/>
  <c r="BO147" i="2"/>
  <c r="BQ147" i="2"/>
  <c r="BZ147" i="2"/>
  <c r="CC147" i="2"/>
  <c r="CF147" i="2"/>
  <c r="CL147" i="2"/>
  <c r="CU147" i="2"/>
  <c r="CV147" i="2"/>
  <c r="CY147" i="2"/>
  <c r="DB147" i="2"/>
  <c r="DF147" i="2"/>
  <c r="DJ147" i="2"/>
  <c r="DU147" i="2"/>
  <c r="EF147" i="2"/>
  <c r="P148" i="2"/>
  <c r="Q148" i="2"/>
  <c r="R148" i="2"/>
  <c r="S148" i="2"/>
  <c r="U148" i="2"/>
  <c r="V148" i="2"/>
  <c r="W148" i="2"/>
  <c r="X148" i="2"/>
  <c r="Y148" i="2"/>
  <c r="AA148" i="2"/>
  <c r="AB148" i="2"/>
  <c r="AC148" i="2"/>
  <c r="AD148" i="2"/>
  <c r="AF148" i="2"/>
  <c r="AG148" i="2"/>
  <c r="AH148" i="2"/>
  <c r="AJ148" i="2"/>
  <c r="AK148" i="2"/>
  <c r="AM148" i="2"/>
  <c r="AO148" i="2"/>
  <c r="AQ148" i="2"/>
  <c r="AR148" i="2"/>
  <c r="AS148" i="2"/>
  <c r="AV148" i="2"/>
  <c r="AW148" i="2"/>
  <c r="AY148" i="2"/>
  <c r="BB148" i="2"/>
  <c r="BF148" i="2"/>
  <c r="BJ148" i="2"/>
  <c r="BL148" i="2"/>
  <c r="BN148" i="2"/>
  <c r="BP148" i="2"/>
  <c r="BR148" i="2"/>
  <c r="BT148" i="2"/>
  <c r="BW148" i="2"/>
  <c r="CA148" i="2"/>
  <c r="CD148" i="2"/>
  <c r="CV148" i="2"/>
  <c r="DA148" i="2"/>
  <c r="DK148" i="2"/>
  <c r="DM148" i="2"/>
  <c r="DP148" i="2"/>
  <c r="DT148" i="2"/>
  <c r="EE148" i="2"/>
  <c r="P149" i="2"/>
  <c r="Q149" i="2"/>
  <c r="R149" i="2"/>
  <c r="S149" i="2"/>
  <c r="T149" i="2"/>
  <c r="V149" i="2"/>
  <c r="W149" i="2"/>
  <c r="X149" i="2"/>
  <c r="Y149" i="2"/>
  <c r="Z149" i="2"/>
  <c r="AB149" i="2"/>
  <c r="AC149" i="2"/>
  <c r="AD149" i="2"/>
  <c r="AE149" i="2"/>
  <c r="AG149" i="2"/>
  <c r="AH149" i="2"/>
  <c r="AI149" i="2"/>
  <c r="AK149" i="2"/>
  <c r="AL149" i="2"/>
  <c r="AN149" i="2"/>
  <c r="AQ149" i="2"/>
  <c r="AR149" i="2"/>
  <c r="AS149" i="2"/>
  <c r="AT149" i="2"/>
  <c r="AW149" i="2"/>
  <c r="AX149" i="2"/>
  <c r="AZ149" i="2"/>
  <c r="BC149" i="2"/>
  <c r="BF149" i="2"/>
  <c r="BG149" i="2"/>
  <c r="BM149" i="2"/>
  <c r="BQ149" i="2"/>
  <c r="BS149" i="2"/>
  <c r="BV149" i="2"/>
  <c r="CA149" i="2"/>
  <c r="CB149" i="2"/>
  <c r="CE149" i="2"/>
  <c r="CK149" i="2"/>
  <c r="CU149" i="2"/>
  <c r="CW149" i="2"/>
  <c r="CZ149" i="2"/>
  <c r="DD149" i="2"/>
  <c r="DJ149" i="2"/>
  <c r="DL149" i="2"/>
  <c r="DO149" i="2"/>
  <c r="ED149" i="2"/>
  <c r="O149" i="2"/>
  <c r="O148" i="2"/>
  <c r="O147" i="2"/>
  <c r="O145" i="2"/>
  <c r="O144" i="2"/>
  <c r="AP71" i="23" l="1"/>
  <c r="AH71" i="23"/>
  <c r="Z71" i="23"/>
  <c r="R71" i="23"/>
  <c r="J71" i="23"/>
  <c r="AO70" i="23"/>
  <c r="AG70" i="23"/>
  <c r="Y70" i="23"/>
  <c r="Q70" i="23"/>
  <c r="I70" i="23"/>
  <c r="AN69" i="23"/>
  <c r="AF69" i="23"/>
  <c r="X69" i="23"/>
  <c r="P69" i="23"/>
  <c r="H69" i="23"/>
  <c r="AM64" i="23"/>
  <c r="AE64" i="23"/>
  <c r="W64" i="23"/>
  <c r="O64" i="23"/>
  <c r="G64" i="23"/>
  <c r="AL63" i="23"/>
  <c r="AD63" i="23"/>
  <c r="V63" i="23"/>
  <c r="N63" i="23"/>
  <c r="F63" i="23"/>
  <c r="AK62" i="23"/>
  <c r="AC62" i="23"/>
  <c r="U62" i="23"/>
  <c r="M62" i="23"/>
  <c r="E62" i="23"/>
  <c r="AJ61" i="23"/>
  <c r="AB61" i="23"/>
  <c r="T61" i="23"/>
  <c r="L61" i="23"/>
  <c r="D61" i="23"/>
  <c r="AE62" i="23"/>
  <c r="AO71" i="23"/>
  <c r="AG71" i="23"/>
  <c r="Y71" i="23"/>
  <c r="Q71" i="23"/>
  <c r="I71" i="23"/>
  <c r="AN70" i="23"/>
  <c r="AF70" i="23"/>
  <c r="X70" i="23"/>
  <c r="P70" i="23"/>
  <c r="H70" i="23"/>
  <c r="AM69" i="23"/>
  <c r="AE69" i="23"/>
  <c r="W69" i="23"/>
  <c r="O69" i="23"/>
  <c r="G69" i="23"/>
  <c r="AL64" i="23"/>
  <c r="AD64" i="23"/>
  <c r="V64" i="23"/>
  <c r="N64" i="23"/>
  <c r="F64" i="23"/>
  <c r="AK63" i="23"/>
  <c r="AC63" i="23"/>
  <c r="U63" i="23"/>
  <c r="M63" i="23"/>
  <c r="E63" i="23"/>
  <c r="AJ62" i="23"/>
  <c r="AB62" i="23"/>
  <c r="T62" i="23"/>
  <c r="L62" i="23"/>
  <c r="D62" i="23"/>
  <c r="AI61" i="23"/>
  <c r="AA61" i="23"/>
  <c r="S61" i="23"/>
  <c r="K61" i="23"/>
  <c r="AI70" i="23"/>
  <c r="J69" i="23"/>
  <c r="AF63" i="23"/>
  <c r="G62" i="23"/>
  <c r="AN71" i="23"/>
  <c r="AF71" i="23"/>
  <c r="X71" i="23"/>
  <c r="P71" i="23"/>
  <c r="H71" i="23"/>
  <c r="AM70" i="23"/>
  <c r="AE70" i="23"/>
  <c r="W70" i="23"/>
  <c r="O70" i="23"/>
  <c r="G70" i="23"/>
  <c r="AL69" i="23"/>
  <c r="AD69" i="23"/>
  <c r="V69" i="23"/>
  <c r="N69" i="23"/>
  <c r="F69" i="23"/>
  <c r="AK64" i="23"/>
  <c r="AC64" i="23"/>
  <c r="U64" i="23"/>
  <c r="M64" i="23"/>
  <c r="E64" i="23"/>
  <c r="AJ63" i="23"/>
  <c r="AB63" i="23"/>
  <c r="T63" i="23"/>
  <c r="L63" i="23"/>
  <c r="D63" i="23"/>
  <c r="AI62" i="23"/>
  <c r="AA62" i="23"/>
  <c r="S62" i="23"/>
  <c r="K62" i="23"/>
  <c r="AP61" i="23"/>
  <c r="AH61" i="23"/>
  <c r="Z61" i="23"/>
  <c r="R61" i="23"/>
  <c r="J61" i="23"/>
  <c r="AB71" i="23"/>
  <c r="AA70" i="23"/>
  <c r="S70" i="23"/>
  <c r="AH69" i="23"/>
  <c r="Y64" i="23"/>
  <c r="X63" i="23"/>
  <c r="O62" i="23"/>
  <c r="AM71" i="23"/>
  <c r="AE71" i="23"/>
  <c r="W71" i="23"/>
  <c r="O71" i="23"/>
  <c r="G71" i="23"/>
  <c r="AL70" i="23"/>
  <c r="AD70" i="23"/>
  <c r="V70" i="23"/>
  <c r="N70" i="23"/>
  <c r="F70" i="23"/>
  <c r="AK69" i="23"/>
  <c r="AC69" i="23"/>
  <c r="U69" i="23"/>
  <c r="M69" i="23"/>
  <c r="E69" i="23"/>
  <c r="AJ64" i="23"/>
  <c r="AB64" i="23"/>
  <c r="T64" i="23"/>
  <c r="L64" i="23"/>
  <c r="D64" i="23"/>
  <c r="AI63" i="23"/>
  <c r="AA63" i="23"/>
  <c r="S63" i="23"/>
  <c r="K63" i="23"/>
  <c r="AP62" i="23"/>
  <c r="AH62" i="23"/>
  <c r="Z62" i="23"/>
  <c r="R62" i="23"/>
  <c r="J62" i="23"/>
  <c r="AO61" i="23"/>
  <c r="AG61" i="23"/>
  <c r="Y61" i="23"/>
  <c r="Q61" i="23"/>
  <c r="I61" i="23"/>
  <c r="L71" i="23"/>
  <c r="Z69" i="23"/>
  <c r="Q64" i="23"/>
  <c r="H63" i="23"/>
  <c r="AL61" i="23"/>
  <c r="F61" i="23"/>
  <c r="AL71" i="23"/>
  <c r="AD71" i="23"/>
  <c r="V71" i="23"/>
  <c r="N71" i="23"/>
  <c r="F71" i="23"/>
  <c r="AK70" i="23"/>
  <c r="AC70" i="23"/>
  <c r="U70" i="23"/>
  <c r="M70" i="23"/>
  <c r="E70" i="23"/>
  <c r="AJ69" i="23"/>
  <c r="AB69" i="23"/>
  <c r="T69" i="23"/>
  <c r="L69" i="23"/>
  <c r="D69" i="23"/>
  <c r="AI64" i="23"/>
  <c r="AA64" i="23"/>
  <c r="S64" i="23"/>
  <c r="K64" i="23"/>
  <c r="AP63" i="23"/>
  <c r="AH63" i="23"/>
  <c r="Z63" i="23"/>
  <c r="R63" i="23"/>
  <c r="J63" i="23"/>
  <c r="AO62" i="23"/>
  <c r="AG62" i="23"/>
  <c r="Y62" i="23"/>
  <c r="Q62" i="23"/>
  <c r="I62" i="23"/>
  <c r="AN61" i="23"/>
  <c r="AF61" i="23"/>
  <c r="X61" i="23"/>
  <c r="P61" i="23"/>
  <c r="H61" i="23"/>
  <c r="D71" i="23"/>
  <c r="AP69" i="23"/>
  <c r="AG64" i="23"/>
  <c r="I64" i="23"/>
  <c r="AM62" i="23"/>
  <c r="AD61" i="23"/>
  <c r="AK71" i="23"/>
  <c r="AC71" i="23"/>
  <c r="U71" i="23"/>
  <c r="M71" i="23"/>
  <c r="E71" i="23"/>
  <c r="AJ70" i="23"/>
  <c r="AB70" i="23"/>
  <c r="T70" i="23"/>
  <c r="L70" i="23"/>
  <c r="D70" i="23"/>
  <c r="AI69" i="23"/>
  <c r="AA69" i="23"/>
  <c r="S69" i="23"/>
  <c r="K69" i="23"/>
  <c r="AP64" i="23"/>
  <c r="AH64" i="23"/>
  <c r="Z64" i="23"/>
  <c r="R64" i="23"/>
  <c r="J64" i="23"/>
  <c r="AO63" i="23"/>
  <c r="AG63" i="23"/>
  <c r="Y63" i="23"/>
  <c r="Q63" i="23"/>
  <c r="I63" i="23"/>
  <c r="AN62" i="23"/>
  <c r="AF62" i="23"/>
  <c r="X62" i="23"/>
  <c r="P62" i="23"/>
  <c r="H62" i="23"/>
  <c r="AM61" i="23"/>
  <c r="AE61" i="23"/>
  <c r="W61" i="23"/>
  <c r="O61" i="23"/>
  <c r="G61" i="23"/>
  <c r="AJ71" i="23"/>
  <c r="R69" i="23"/>
  <c r="P63" i="23"/>
  <c r="V61" i="23"/>
  <c r="AI71" i="23"/>
  <c r="AA71" i="23"/>
  <c r="S71" i="23"/>
  <c r="K71" i="23"/>
  <c r="AP70" i="23"/>
  <c r="AH70" i="23"/>
  <c r="Z70" i="23"/>
  <c r="R70" i="23"/>
  <c r="J70" i="23"/>
  <c r="AO69" i="23"/>
  <c r="AG69" i="23"/>
  <c r="Y69" i="23"/>
  <c r="Q69" i="23"/>
  <c r="I69" i="23"/>
  <c r="AN64" i="23"/>
  <c r="AF64" i="23"/>
  <c r="X64" i="23"/>
  <c r="P64" i="23"/>
  <c r="H64" i="23"/>
  <c r="AM63" i="23"/>
  <c r="AE63" i="23"/>
  <c r="W63" i="23"/>
  <c r="O63" i="23"/>
  <c r="G63" i="23"/>
  <c r="AL62" i="23"/>
  <c r="AD62" i="23"/>
  <c r="V62" i="23"/>
  <c r="N62" i="23"/>
  <c r="F62" i="23"/>
  <c r="AK61" i="23"/>
  <c r="AC61" i="23"/>
  <c r="U61" i="23"/>
  <c r="M61" i="23"/>
  <c r="E61" i="23"/>
  <c r="T71" i="23"/>
  <c r="K70" i="23"/>
  <c r="AO64" i="23"/>
  <c r="AN63" i="23"/>
  <c r="W62" i="23"/>
  <c r="N61" i="23"/>
  <c r="AC90" i="23" l="1"/>
  <c r="AP90" i="23"/>
  <c r="AK90" i="23"/>
  <c r="AJ90" i="23"/>
  <c r="K90" i="23"/>
  <c r="G90" i="23"/>
  <c r="H90" i="23"/>
  <c r="I90" i="23"/>
  <c r="S90" i="23"/>
  <c r="O90" i="23"/>
  <c r="P90" i="23"/>
  <c r="Q90" i="23"/>
  <c r="J90" i="23"/>
  <c r="AA90" i="23"/>
  <c r="AB90" i="23"/>
  <c r="E90" i="23"/>
  <c r="X90" i="23"/>
  <c r="Y90" i="23"/>
  <c r="AI90" i="23"/>
  <c r="M90" i="23"/>
  <c r="AE90" i="23"/>
  <c r="AF90" i="23"/>
  <c r="AL90" i="23"/>
  <c r="AG90" i="23"/>
  <c r="Z90" i="23"/>
  <c r="L90" i="23"/>
  <c r="W90" i="23"/>
  <c r="AD90" i="23"/>
  <c r="F90" i="23"/>
  <c r="R90" i="23"/>
  <c r="N90" i="23"/>
  <c r="U90" i="23"/>
  <c r="V90" i="23"/>
  <c r="AM90" i="23"/>
  <c r="AN90" i="23"/>
  <c r="AO90" i="23"/>
  <c r="AH90" i="23"/>
  <c r="T90" i="23"/>
  <c r="D90" i="23"/>
  <c r="M170" i="2"/>
  <c r="L169" i="2"/>
  <c r="K168" i="2"/>
  <c r="J167" i="2"/>
  <c r="I166" i="2"/>
  <c r="B4" i="24" s="1"/>
  <c r="C4" i="24" s="1"/>
  <c r="C10" i="24" s="1"/>
  <c r="H165" i="2"/>
  <c r="C165" i="2" s="1"/>
  <c r="G164" i="2"/>
  <c r="C164" i="2" s="1"/>
  <c r="F163" i="2"/>
  <c r="C163" i="2" s="1"/>
  <c r="E162" i="2"/>
  <c r="D161" i="2"/>
  <c r="C161" i="2" s="1"/>
  <c r="B2" i="20" s="1"/>
  <c r="C179" i="2" l="1"/>
  <c r="C180" i="2"/>
  <c r="B82" i="5" s="1"/>
  <c r="N257" i="2"/>
  <c r="B5" i="26" s="1"/>
  <c r="F8" i="26" s="1"/>
  <c r="N258" i="2"/>
  <c r="B109" i="5" l="1"/>
  <c r="F45" i="26"/>
  <c r="F68" i="26" l="1"/>
  <c r="F81" i="26" l="1"/>
  <c r="Q16" i="19" l="1"/>
  <c r="Q17" i="19"/>
  <c r="Q18" i="19"/>
  <c r="Q19" i="19"/>
  <c r="Q20" i="19"/>
  <c r="Q15" i="19"/>
  <c r="S15" i="19" s="1"/>
  <c r="T15" i="19" s="1"/>
  <c r="R16" i="19"/>
  <c r="R17" i="19"/>
  <c r="R18" i="19"/>
  <c r="R19" i="19"/>
  <c r="R20" i="19"/>
  <c r="R15" i="19"/>
  <c r="F131" i="26" l="1"/>
  <c r="S18" i="19"/>
  <c r="T18" i="19" s="1"/>
  <c r="S17" i="19"/>
  <c r="T17" i="19" s="1"/>
  <c r="S16" i="19"/>
  <c r="T16" i="19" s="1"/>
  <c r="S20" i="19"/>
  <c r="T20" i="19" s="1"/>
  <c r="S19" i="19"/>
  <c r="T19" i="19" s="1"/>
  <c r="AO103" i="5"/>
  <c r="AO105" i="5" s="1"/>
  <c r="AN103" i="5"/>
  <c r="AN105" i="5" s="1"/>
  <c r="AM103" i="5"/>
  <c r="AM105" i="5" s="1"/>
  <c r="AL103" i="5"/>
  <c r="AL105" i="5" s="1"/>
  <c r="AK103" i="5"/>
  <c r="AK105" i="5" s="1"/>
  <c r="AJ103" i="5"/>
  <c r="AJ105" i="5" s="1"/>
  <c r="AI103" i="5"/>
  <c r="AI105" i="5" s="1"/>
  <c r="AH103" i="5"/>
  <c r="AH105" i="5" s="1"/>
  <c r="AG103" i="5"/>
  <c r="AG105" i="5" s="1"/>
  <c r="AF103" i="5"/>
  <c r="AF105" i="5" s="1"/>
  <c r="AE103" i="5"/>
  <c r="AE105" i="5" s="1"/>
  <c r="AD103" i="5"/>
  <c r="AD105" i="5" s="1"/>
  <c r="AC103" i="5"/>
  <c r="AC105" i="5" s="1"/>
  <c r="AB103" i="5"/>
  <c r="AB105" i="5" s="1"/>
  <c r="AA103" i="5"/>
  <c r="AA105" i="5" s="1"/>
  <c r="Z103" i="5"/>
  <c r="Z105" i="5" s="1"/>
  <c r="Y103" i="5"/>
  <c r="Y105" i="5" s="1"/>
  <c r="X103" i="5"/>
  <c r="X105" i="5" s="1"/>
  <c r="W103" i="5"/>
  <c r="W105" i="5" s="1"/>
  <c r="V103" i="5"/>
  <c r="V105" i="5" s="1"/>
  <c r="U103" i="5"/>
  <c r="U105" i="5" s="1"/>
  <c r="T103" i="5"/>
  <c r="T105" i="5" s="1"/>
  <c r="S103" i="5"/>
  <c r="S105" i="5" s="1"/>
  <c r="R103" i="5"/>
  <c r="R105" i="5" s="1"/>
  <c r="Q103" i="5"/>
  <c r="Q105" i="5" s="1"/>
  <c r="P103" i="5"/>
  <c r="P105" i="5" s="1"/>
  <c r="O103" i="5"/>
  <c r="O105" i="5" s="1"/>
  <c r="N103" i="5"/>
  <c r="N105" i="5" s="1"/>
  <c r="M103" i="5"/>
  <c r="M105" i="5" s="1"/>
  <c r="L103" i="5"/>
  <c r="L105" i="5" s="1"/>
  <c r="K103" i="5"/>
  <c r="K105" i="5" s="1"/>
  <c r="J103" i="5"/>
  <c r="J105" i="5" s="1"/>
  <c r="I103" i="5"/>
  <c r="I105" i="5" s="1"/>
  <c r="H103" i="5"/>
  <c r="H105" i="5" s="1"/>
  <c r="G103" i="5"/>
  <c r="G105" i="5" s="1"/>
  <c r="F103" i="5"/>
  <c r="F105" i="5" s="1"/>
  <c r="E103" i="5"/>
  <c r="E105" i="5" s="1"/>
  <c r="D103" i="5"/>
  <c r="D105" i="5" s="1"/>
  <c r="C103" i="5"/>
  <c r="C105" i="5" s="1"/>
  <c r="T21" i="19" l="1"/>
  <c r="C7" i="10" l="1"/>
  <c r="D7" i="10"/>
  <c r="E7" i="10"/>
  <c r="F7" i="10"/>
  <c r="G7" i="10"/>
  <c r="H7" i="10"/>
  <c r="I7" i="10"/>
  <c r="J7" i="10"/>
  <c r="K7" i="10"/>
  <c r="L7" i="10"/>
  <c r="M7" i="10"/>
  <c r="N7" i="10"/>
  <c r="O7" i="10"/>
  <c r="P7" i="10"/>
  <c r="Q7" i="10"/>
  <c r="R7" i="10"/>
  <c r="S7" i="10"/>
  <c r="T7" i="10"/>
  <c r="U7" i="10"/>
  <c r="V7" i="10"/>
  <c r="W7" i="10"/>
  <c r="X7" i="10"/>
  <c r="Y7" i="10"/>
  <c r="Z7" i="10"/>
  <c r="AA7" i="10"/>
  <c r="AB7" i="10"/>
  <c r="AC7" i="10"/>
  <c r="AD7" i="10"/>
  <c r="AE7" i="10"/>
  <c r="AF7" i="10"/>
  <c r="AG7" i="10"/>
  <c r="AH7" i="10"/>
  <c r="AI7" i="10"/>
  <c r="AJ7" i="10"/>
  <c r="AK7" i="10"/>
  <c r="AL7" i="10"/>
  <c r="AM7" i="10"/>
  <c r="AN7" i="10"/>
  <c r="B7" i="10"/>
  <c r="D32" i="21" l="1"/>
  <c r="E32" i="21"/>
  <c r="F32" i="21"/>
  <c r="G32" i="21"/>
  <c r="H32" i="21"/>
  <c r="I32" i="21"/>
  <c r="J32" i="21"/>
  <c r="K32" i="21"/>
  <c r="L32" i="21"/>
  <c r="M32" i="21"/>
  <c r="N32" i="21"/>
  <c r="O32" i="21"/>
  <c r="P32" i="21"/>
  <c r="Q32" i="21"/>
  <c r="R32" i="21"/>
  <c r="S32" i="21"/>
  <c r="T32" i="21"/>
  <c r="U32" i="21"/>
  <c r="V32" i="21"/>
  <c r="W32" i="21"/>
  <c r="X32" i="21"/>
  <c r="Y32" i="21"/>
  <c r="Z32" i="21"/>
  <c r="AA32" i="21"/>
  <c r="AB32" i="21"/>
  <c r="AC32" i="21"/>
  <c r="AD32" i="21"/>
  <c r="AE32" i="21"/>
  <c r="AF32" i="21"/>
  <c r="AG32" i="21"/>
  <c r="AH32" i="21"/>
  <c r="AI32" i="21"/>
  <c r="AJ32" i="21"/>
  <c r="AK32" i="21"/>
  <c r="AL32" i="21"/>
  <c r="AM32" i="21"/>
  <c r="AN32" i="21"/>
  <c r="AO32" i="21"/>
  <c r="D33" i="21"/>
  <c r="E33" i="21"/>
  <c r="F33" i="21"/>
  <c r="G33" i="21"/>
  <c r="H33" i="21"/>
  <c r="I33" i="21"/>
  <c r="J33" i="21"/>
  <c r="K33" i="21"/>
  <c r="L33" i="21"/>
  <c r="M33" i="21"/>
  <c r="N33" i="21"/>
  <c r="O33" i="21"/>
  <c r="P33" i="21"/>
  <c r="Q33" i="21"/>
  <c r="R33" i="21"/>
  <c r="S33" i="21"/>
  <c r="T33" i="21"/>
  <c r="U33" i="21"/>
  <c r="V33" i="21"/>
  <c r="W33" i="21"/>
  <c r="X33" i="21"/>
  <c r="Y33" i="21"/>
  <c r="Z33" i="21"/>
  <c r="AA33" i="21"/>
  <c r="AB33" i="21"/>
  <c r="AC33" i="21"/>
  <c r="AD33" i="21"/>
  <c r="AE33" i="21"/>
  <c r="AF33" i="21"/>
  <c r="AG33" i="21"/>
  <c r="AH33" i="21"/>
  <c r="AI33" i="21"/>
  <c r="AJ33" i="21"/>
  <c r="AK33" i="21"/>
  <c r="AL33" i="21"/>
  <c r="AM33" i="21"/>
  <c r="AN33" i="21"/>
  <c r="AO33" i="21"/>
  <c r="D34" i="21"/>
  <c r="E34" i="21"/>
  <c r="F34" i="21"/>
  <c r="G34" i="21"/>
  <c r="H34" i="21"/>
  <c r="I34" i="21"/>
  <c r="J34" i="21"/>
  <c r="K34" i="21"/>
  <c r="L34" i="21"/>
  <c r="M34" i="21"/>
  <c r="N34" i="21"/>
  <c r="O34" i="21"/>
  <c r="P34" i="21"/>
  <c r="Q34" i="21"/>
  <c r="R34" i="21"/>
  <c r="S34" i="21"/>
  <c r="T34" i="21"/>
  <c r="U34" i="21"/>
  <c r="V34" i="21"/>
  <c r="W34" i="21"/>
  <c r="X34" i="21"/>
  <c r="Y34" i="21"/>
  <c r="Z34" i="21"/>
  <c r="AA34" i="21"/>
  <c r="AB34" i="21"/>
  <c r="AC34" i="21"/>
  <c r="AD34" i="21"/>
  <c r="AE34" i="21"/>
  <c r="AF34" i="21"/>
  <c r="AG34" i="21"/>
  <c r="AH34" i="21"/>
  <c r="AI34" i="21"/>
  <c r="AJ34" i="21"/>
  <c r="AK34" i="21"/>
  <c r="AL34" i="21"/>
  <c r="AM34" i="21"/>
  <c r="AN34" i="21"/>
  <c r="AO34" i="21"/>
  <c r="C34" i="21"/>
  <c r="C33" i="21"/>
  <c r="C32" i="21"/>
  <c r="D27" i="21"/>
  <c r="E27" i="21"/>
  <c r="F27" i="21"/>
  <c r="G27" i="21"/>
  <c r="H27" i="21"/>
  <c r="I27" i="21"/>
  <c r="J27" i="21"/>
  <c r="K27" i="21"/>
  <c r="L27" i="21"/>
  <c r="M27" i="21"/>
  <c r="N27" i="21"/>
  <c r="O27" i="21"/>
  <c r="P27" i="21"/>
  <c r="Q27" i="21"/>
  <c r="R27" i="21"/>
  <c r="S27" i="21"/>
  <c r="T27" i="21"/>
  <c r="U27" i="21"/>
  <c r="V27" i="21"/>
  <c r="W27" i="21"/>
  <c r="X27" i="21"/>
  <c r="Y27" i="21"/>
  <c r="Z27" i="21"/>
  <c r="AA27" i="21"/>
  <c r="AB27" i="21"/>
  <c r="AC27" i="21"/>
  <c r="AD27" i="21"/>
  <c r="AE27" i="21"/>
  <c r="AF27" i="21"/>
  <c r="AG27" i="21"/>
  <c r="AH27" i="21"/>
  <c r="AI27" i="21"/>
  <c r="AJ27" i="21"/>
  <c r="AK27" i="21"/>
  <c r="AL27" i="21"/>
  <c r="AM27" i="21"/>
  <c r="AN27" i="21"/>
  <c r="AO27" i="21"/>
  <c r="D28" i="21"/>
  <c r="E28" i="21"/>
  <c r="F28" i="21"/>
  <c r="G28" i="21"/>
  <c r="H28" i="21"/>
  <c r="I28" i="21"/>
  <c r="J28" i="21"/>
  <c r="K28" i="21"/>
  <c r="L28" i="21"/>
  <c r="M28" i="21"/>
  <c r="N28" i="21"/>
  <c r="O28" i="21"/>
  <c r="P28" i="21"/>
  <c r="Q28" i="21"/>
  <c r="R28" i="21"/>
  <c r="S28" i="21"/>
  <c r="T28" i="21"/>
  <c r="U28" i="21"/>
  <c r="V28" i="21"/>
  <c r="W28" i="21"/>
  <c r="X28" i="21"/>
  <c r="Y28" i="21"/>
  <c r="Z28" i="21"/>
  <c r="AA28" i="21"/>
  <c r="AB28" i="21"/>
  <c r="AC28" i="21"/>
  <c r="AD28" i="21"/>
  <c r="AE28" i="21"/>
  <c r="AF28" i="21"/>
  <c r="AG28" i="21"/>
  <c r="AH28" i="21"/>
  <c r="AI28" i="21"/>
  <c r="AJ28" i="21"/>
  <c r="AK28" i="21"/>
  <c r="AL28" i="21"/>
  <c r="AM28" i="21"/>
  <c r="AN28" i="21"/>
  <c r="AO28" i="21"/>
  <c r="D29" i="21"/>
  <c r="E29" i="21"/>
  <c r="F29" i="21"/>
  <c r="G29" i="21"/>
  <c r="H29" i="21"/>
  <c r="I29" i="21"/>
  <c r="J29" i="21"/>
  <c r="K29" i="21"/>
  <c r="L29" i="21"/>
  <c r="M29" i="21"/>
  <c r="N29" i="21"/>
  <c r="O29" i="21"/>
  <c r="P29" i="21"/>
  <c r="Q29" i="21"/>
  <c r="R29" i="21"/>
  <c r="S29" i="21"/>
  <c r="T29" i="21"/>
  <c r="U29" i="21"/>
  <c r="V29" i="21"/>
  <c r="W29" i="21"/>
  <c r="X29" i="21"/>
  <c r="Y29" i="21"/>
  <c r="Z29" i="21"/>
  <c r="AA29" i="21"/>
  <c r="AB29" i="21"/>
  <c r="AC29" i="21"/>
  <c r="AD29" i="21"/>
  <c r="AE29" i="21"/>
  <c r="AF29" i="21"/>
  <c r="AG29" i="21"/>
  <c r="AH29" i="21"/>
  <c r="AI29" i="21"/>
  <c r="AJ29" i="21"/>
  <c r="AK29" i="21"/>
  <c r="AL29" i="21"/>
  <c r="AM29" i="21"/>
  <c r="AN29" i="21"/>
  <c r="AO29" i="21"/>
  <c r="C29" i="21"/>
  <c r="C28" i="21"/>
  <c r="C27" i="21"/>
  <c r="BF7" i="19" l="1"/>
  <c r="BB7" i="19"/>
  <c r="BF6" i="19"/>
  <c r="BB6" i="19"/>
  <c r="BF5" i="19"/>
  <c r="BB5" i="19"/>
  <c r="BF4" i="19"/>
  <c r="BB4" i="19"/>
  <c r="BF3" i="19"/>
  <c r="BB3" i="19"/>
  <c r="AX3" i="19"/>
  <c r="AX4" i="19"/>
  <c r="AX5" i="19"/>
  <c r="AX6" i="19"/>
  <c r="AX7" i="19"/>
  <c r="AQ7" i="19"/>
  <c r="AQ6" i="19"/>
  <c r="AQ5" i="19"/>
  <c r="AQ4" i="19"/>
  <c r="AJ7" i="19"/>
  <c r="AJ6" i="19"/>
  <c r="AJ5" i="19"/>
  <c r="AJ4" i="19"/>
  <c r="AJ3" i="19"/>
  <c r="AC7" i="19"/>
  <c r="AC6" i="19"/>
  <c r="AC5" i="19"/>
  <c r="AC4" i="19"/>
  <c r="AC3" i="19"/>
  <c r="V7" i="19"/>
  <c r="R7" i="19"/>
  <c r="V6" i="19"/>
  <c r="R6" i="19"/>
  <c r="V5" i="19"/>
  <c r="R5" i="19"/>
  <c r="V4" i="19"/>
  <c r="R4" i="19"/>
  <c r="V3" i="19"/>
  <c r="R3" i="19"/>
  <c r="N7" i="19"/>
  <c r="N6" i="19"/>
  <c r="N5" i="19"/>
  <c r="N4" i="19"/>
  <c r="N3" i="19"/>
  <c r="M251" i="2" l="1"/>
  <c r="A232" i="2"/>
  <c r="AN24" i="11"/>
  <c r="AM24" i="11"/>
  <c r="AL24" i="11"/>
  <c r="AK24" i="11"/>
  <c r="AJ24" i="11"/>
  <c r="AI24" i="11"/>
  <c r="AH24" i="11"/>
  <c r="AG24" i="11"/>
  <c r="AF24" i="11"/>
  <c r="AE24" i="11"/>
  <c r="AD24" i="11"/>
  <c r="AC24" i="11"/>
  <c r="AB24" i="11"/>
  <c r="AA24" i="11"/>
  <c r="Z24" i="11"/>
  <c r="Y24" i="11"/>
  <c r="X24" i="11"/>
  <c r="W24" i="11"/>
  <c r="V24" i="11"/>
  <c r="U24" i="11"/>
  <c r="T24" i="11"/>
  <c r="S24" i="11"/>
  <c r="R24" i="11"/>
  <c r="Q24" i="11"/>
  <c r="P24" i="11"/>
  <c r="O24" i="11"/>
  <c r="N24" i="11"/>
  <c r="M24" i="11"/>
  <c r="L24" i="11"/>
  <c r="K24" i="11"/>
  <c r="J24" i="11"/>
  <c r="I24" i="11"/>
  <c r="H24" i="11"/>
  <c r="G24" i="11"/>
  <c r="F24" i="11"/>
  <c r="E24" i="11"/>
  <c r="D24" i="11"/>
  <c r="C24" i="11"/>
  <c r="B24" i="11"/>
  <c r="AP24" i="11" l="1"/>
  <c r="AL8" i="14"/>
  <c r="AD8" i="14"/>
  <c r="V8" i="14"/>
  <c r="N8" i="14"/>
  <c r="F8" i="14"/>
  <c r="AK6" i="14"/>
  <c r="AC6" i="14"/>
  <c r="U6" i="14"/>
  <c r="M6" i="14"/>
  <c r="E6" i="14"/>
  <c r="S6" i="14"/>
  <c r="C6" i="14"/>
  <c r="AA8" i="14"/>
  <c r="S8" i="14"/>
  <c r="C8" i="14"/>
  <c r="Z6" i="14"/>
  <c r="J6" i="14"/>
  <c r="Z8" i="14"/>
  <c r="R8" i="14"/>
  <c r="B8" i="14"/>
  <c r="Q6" i="14"/>
  <c r="AG8" i="14"/>
  <c r="Q8" i="14"/>
  <c r="AN6" i="14"/>
  <c r="X6" i="14"/>
  <c r="H6" i="14"/>
  <c r="AF8" i="14"/>
  <c r="P8" i="14"/>
  <c r="AM6" i="14"/>
  <c r="AE6" i="14"/>
  <c r="O6" i="14"/>
  <c r="AM8" i="14"/>
  <c r="W8" i="14"/>
  <c r="G8" i="14"/>
  <c r="AD6" i="14"/>
  <c r="N6" i="14"/>
  <c r="AK8" i="14"/>
  <c r="AC8" i="14"/>
  <c r="U8" i="14"/>
  <c r="M8" i="14"/>
  <c r="E8" i="14"/>
  <c r="AJ6" i="14"/>
  <c r="AB6" i="14"/>
  <c r="T6" i="14"/>
  <c r="L6" i="14"/>
  <c r="D6" i="14"/>
  <c r="AJ8" i="14"/>
  <c r="AB8" i="14"/>
  <c r="T8" i="14"/>
  <c r="L8" i="14"/>
  <c r="D8" i="14"/>
  <c r="AI6" i="14"/>
  <c r="AA6" i="14"/>
  <c r="K6" i="14"/>
  <c r="AI8" i="14"/>
  <c r="K8" i="14"/>
  <c r="AH6" i="14"/>
  <c r="R6" i="14"/>
  <c r="AH8" i="14"/>
  <c r="J8" i="14"/>
  <c r="AG6" i="14"/>
  <c r="Y6" i="14"/>
  <c r="I6" i="14"/>
  <c r="Y8" i="14"/>
  <c r="I8" i="14"/>
  <c r="AF6" i="14"/>
  <c r="P6" i="14"/>
  <c r="AN8" i="14"/>
  <c r="X8" i="14"/>
  <c r="H8" i="14"/>
  <c r="W6" i="14"/>
  <c r="G6" i="14"/>
  <c r="AE8" i="14"/>
  <c r="O8" i="14"/>
  <c r="AL6" i="14"/>
  <c r="V6" i="14"/>
  <c r="F6" i="14"/>
  <c r="B6" i="14"/>
  <c r="N84" i="7"/>
  <c r="O84" i="7"/>
  <c r="P84" i="7"/>
  <c r="Q84" i="7"/>
  <c r="R84" i="7"/>
  <c r="S84" i="7"/>
  <c r="T84" i="7"/>
  <c r="U84" i="7"/>
  <c r="V84" i="7"/>
  <c r="W84" i="7"/>
  <c r="X84" i="7"/>
  <c r="Y84" i="7"/>
  <c r="Z84" i="7"/>
  <c r="AA84" i="7"/>
  <c r="AB84" i="7"/>
  <c r="AC84" i="7"/>
  <c r="AD84" i="7"/>
  <c r="AE84" i="7"/>
  <c r="AF84" i="7"/>
  <c r="AG84" i="7"/>
  <c r="AH84" i="7"/>
  <c r="AI84" i="7"/>
  <c r="AJ84" i="7"/>
  <c r="AK84" i="7"/>
  <c r="AL84" i="7"/>
  <c r="AM84" i="7"/>
  <c r="AN84" i="7"/>
  <c r="AO84" i="7"/>
  <c r="AP84" i="7"/>
  <c r="AQ84" i="7"/>
  <c r="AR84" i="7"/>
  <c r="AS84" i="7"/>
  <c r="AT84" i="7"/>
  <c r="AU84" i="7"/>
  <c r="AV84" i="7"/>
  <c r="AW84" i="7"/>
  <c r="AX84" i="7"/>
  <c r="AY84" i="7"/>
  <c r="AZ84" i="7"/>
  <c r="N87" i="7"/>
  <c r="O87" i="7"/>
  <c r="P87" i="7"/>
  <c r="Q87" i="7"/>
  <c r="R87" i="7"/>
  <c r="S87" i="7"/>
  <c r="T87" i="7"/>
  <c r="U87" i="7"/>
  <c r="V87" i="7"/>
  <c r="W87" i="7"/>
  <c r="X87" i="7"/>
  <c r="Y87" i="7"/>
  <c r="Z87" i="7"/>
  <c r="AA87" i="7"/>
  <c r="AB87" i="7"/>
  <c r="AC87" i="7"/>
  <c r="AD87" i="7"/>
  <c r="AE87" i="7"/>
  <c r="AF87" i="7"/>
  <c r="AG87" i="7"/>
  <c r="AH87" i="7"/>
  <c r="AI87" i="7"/>
  <c r="AJ87" i="7"/>
  <c r="AK87" i="7"/>
  <c r="AL87" i="7"/>
  <c r="AM87" i="7"/>
  <c r="AN87" i="7"/>
  <c r="AO87" i="7"/>
  <c r="AP87" i="7"/>
  <c r="AQ87" i="7"/>
  <c r="AR87" i="7"/>
  <c r="AS87" i="7"/>
  <c r="AT87" i="7"/>
  <c r="AU87" i="7"/>
  <c r="AV87" i="7"/>
  <c r="AW87" i="7"/>
  <c r="AX87" i="7"/>
  <c r="AY87" i="7"/>
  <c r="AZ87" i="7"/>
  <c r="N88" i="7"/>
  <c r="O88" i="7"/>
  <c r="P88" i="7"/>
  <c r="Q88" i="7"/>
  <c r="R88" i="7"/>
  <c r="S88" i="7"/>
  <c r="T88" i="7"/>
  <c r="U88" i="7"/>
  <c r="V88" i="7"/>
  <c r="W88" i="7"/>
  <c r="X88" i="7"/>
  <c r="Y88" i="7"/>
  <c r="Z88" i="7"/>
  <c r="AA88" i="7"/>
  <c r="AB88" i="7"/>
  <c r="AC88" i="7"/>
  <c r="AD88" i="7"/>
  <c r="AE88" i="7"/>
  <c r="AF88" i="7"/>
  <c r="AG88" i="7"/>
  <c r="AH88" i="7"/>
  <c r="AI88" i="7"/>
  <c r="AJ88" i="7"/>
  <c r="AK88" i="7"/>
  <c r="AL88" i="7"/>
  <c r="AM88" i="7"/>
  <c r="AN88" i="7"/>
  <c r="AO88" i="7"/>
  <c r="AP88" i="7"/>
  <c r="AQ88" i="7"/>
  <c r="AR88" i="7"/>
  <c r="AS88" i="7"/>
  <c r="AT88" i="7"/>
  <c r="AU88" i="7"/>
  <c r="AV88" i="7"/>
  <c r="AW88" i="7"/>
  <c r="AX88" i="7"/>
  <c r="AY88" i="7"/>
  <c r="AZ88" i="7"/>
  <c r="N89" i="7"/>
  <c r="O89" i="7"/>
  <c r="P89" i="7"/>
  <c r="Q89" i="7"/>
  <c r="R89" i="7"/>
  <c r="S89" i="7"/>
  <c r="T89" i="7"/>
  <c r="U89" i="7"/>
  <c r="V89" i="7"/>
  <c r="W89" i="7"/>
  <c r="X89" i="7"/>
  <c r="Y89" i="7"/>
  <c r="Z89" i="7"/>
  <c r="AA89" i="7"/>
  <c r="AB89" i="7"/>
  <c r="AC89" i="7"/>
  <c r="AD89" i="7"/>
  <c r="AE89" i="7"/>
  <c r="AF89" i="7"/>
  <c r="AG89" i="7"/>
  <c r="AH89" i="7"/>
  <c r="AI89" i="7"/>
  <c r="AJ89" i="7"/>
  <c r="AK89" i="7"/>
  <c r="AL89" i="7"/>
  <c r="AM89" i="7"/>
  <c r="AN89" i="7"/>
  <c r="AO89" i="7"/>
  <c r="AP89" i="7"/>
  <c r="AQ89" i="7"/>
  <c r="AR89" i="7"/>
  <c r="AS89" i="7"/>
  <c r="AT89" i="7"/>
  <c r="AU89" i="7"/>
  <c r="AV89" i="7"/>
  <c r="AW89" i="7"/>
  <c r="AX89" i="7"/>
  <c r="AY89" i="7"/>
  <c r="AZ89" i="7"/>
  <c r="N90" i="7"/>
  <c r="O90" i="7"/>
  <c r="P90" i="7"/>
  <c r="Q90" i="7"/>
  <c r="R90" i="7"/>
  <c r="S90" i="7"/>
  <c r="T90" i="7"/>
  <c r="U90" i="7"/>
  <c r="V90" i="7"/>
  <c r="W90" i="7"/>
  <c r="X90" i="7"/>
  <c r="Y90" i="7"/>
  <c r="Z90" i="7"/>
  <c r="AA90" i="7"/>
  <c r="AB90" i="7"/>
  <c r="AC90" i="7"/>
  <c r="AD90" i="7"/>
  <c r="AE90" i="7"/>
  <c r="AF90" i="7"/>
  <c r="AG90" i="7"/>
  <c r="AH90" i="7"/>
  <c r="AI90" i="7"/>
  <c r="AJ90" i="7"/>
  <c r="AK90" i="7"/>
  <c r="AL90" i="7"/>
  <c r="AM90" i="7"/>
  <c r="AN90" i="7"/>
  <c r="AO90" i="7"/>
  <c r="AP90" i="7"/>
  <c r="AQ90" i="7"/>
  <c r="AR90" i="7"/>
  <c r="AS90" i="7"/>
  <c r="AT90" i="7"/>
  <c r="AU90" i="7"/>
  <c r="AV90" i="7"/>
  <c r="AW90" i="7"/>
  <c r="AX90" i="7"/>
  <c r="AY90" i="7"/>
  <c r="AZ90" i="7"/>
  <c r="N91" i="7"/>
  <c r="O91" i="7"/>
  <c r="P91" i="7"/>
  <c r="Q91" i="7"/>
  <c r="R91" i="7"/>
  <c r="S91" i="7"/>
  <c r="T91" i="7"/>
  <c r="U91" i="7"/>
  <c r="V91" i="7"/>
  <c r="W91" i="7"/>
  <c r="X91" i="7"/>
  <c r="Y91" i="7"/>
  <c r="Z91" i="7"/>
  <c r="AA91" i="7"/>
  <c r="AB91" i="7"/>
  <c r="AC91" i="7"/>
  <c r="AD91" i="7"/>
  <c r="AE91" i="7"/>
  <c r="AF91" i="7"/>
  <c r="AG91" i="7"/>
  <c r="AH91" i="7"/>
  <c r="AI91" i="7"/>
  <c r="AJ91" i="7"/>
  <c r="AK91" i="7"/>
  <c r="AL91" i="7"/>
  <c r="AM91" i="7"/>
  <c r="AN91" i="7"/>
  <c r="AO91" i="7"/>
  <c r="AP91" i="7"/>
  <c r="AQ91" i="7"/>
  <c r="AR91" i="7"/>
  <c r="AS91" i="7"/>
  <c r="AT91" i="7"/>
  <c r="AU91" i="7"/>
  <c r="AV91" i="7"/>
  <c r="AW91" i="7"/>
  <c r="AX91" i="7"/>
  <c r="AY91" i="7"/>
  <c r="AZ91" i="7"/>
  <c r="N92" i="7"/>
  <c r="O92" i="7"/>
  <c r="P92" i="7"/>
  <c r="Q92" i="7"/>
  <c r="R92" i="7"/>
  <c r="S92" i="7"/>
  <c r="T92" i="7"/>
  <c r="U92" i="7"/>
  <c r="V92" i="7"/>
  <c r="W92" i="7"/>
  <c r="X92" i="7"/>
  <c r="Y92" i="7"/>
  <c r="Z92" i="7"/>
  <c r="AA92" i="7"/>
  <c r="AB92" i="7"/>
  <c r="AC92" i="7"/>
  <c r="AD92" i="7"/>
  <c r="AE92" i="7"/>
  <c r="AF92" i="7"/>
  <c r="AG92" i="7"/>
  <c r="AH92" i="7"/>
  <c r="AI92" i="7"/>
  <c r="AJ92" i="7"/>
  <c r="AK92" i="7"/>
  <c r="AL92" i="7"/>
  <c r="AM92" i="7"/>
  <c r="AN92" i="7"/>
  <c r="AO92" i="7"/>
  <c r="AP92" i="7"/>
  <c r="AQ92" i="7"/>
  <c r="AR92" i="7"/>
  <c r="AS92" i="7"/>
  <c r="AT92" i="7"/>
  <c r="AU92" i="7"/>
  <c r="AV92" i="7"/>
  <c r="AW92" i="7"/>
  <c r="AX92" i="7"/>
  <c r="AY92" i="7"/>
  <c r="AZ92" i="7"/>
  <c r="N93" i="7"/>
  <c r="O93" i="7"/>
  <c r="P93" i="7"/>
  <c r="Q93" i="7"/>
  <c r="R93" i="7"/>
  <c r="S93" i="7"/>
  <c r="T93" i="7"/>
  <c r="U93" i="7"/>
  <c r="V93" i="7"/>
  <c r="W93" i="7"/>
  <c r="X93" i="7"/>
  <c r="Y93" i="7"/>
  <c r="Z93" i="7"/>
  <c r="AA93" i="7"/>
  <c r="AB93" i="7"/>
  <c r="AC93" i="7"/>
  <c r="AD93" i="7"/>
  <c r="AE93" i="7"/>
  <c r="AF93" i="7"/>
  <c r="AG93" i="7"/>
  <c r="AH93" i="7"/>
  <c r="AI93" i="7"/>
  <c r="AJ93" i="7"/>
  <c r="AK93" i="7"/>
  <c r="AL93" i="7"/>
  <c r="AM93" i="7"/>
  <c r="AN93" i="7"/>
  <c r="AO93" i="7"/>
  <c r="AP93" i="7"/>
  <c r="AQ93" i="7"/>
  <c r="AR93" i="7"/>
  <c r="AS93" i="7"/>
  <c r="AT93" i="7"/>
  <c r="AU93" i="7"/>
  <c r="AV93" i="7"/>
  <c r="AW93" i="7"/>
  <c r="AX93" i="7"/>
  <c r="AY93" i="7"/>
  <c r="AZ93" i="7"/>
  <c r="N94" i="7"/>
  <c r="O94" i="7"/>
  <c r="P94" i="7"/>
  <c r="Q94" i="7"/>
  <c r="R94" i="7"/>
  <c r="S94" i="7"/>
  <c r="T94" i="7"/>
  <c r="U94" i="7"/>
  <c r="V94" i="7"/>
  <c r="W94" i="7"/>
  <c r="X94" i="7"/>
  <c r="Y94" i="7"/>
  <c r="Z94" i="7"/>
  <c r="AA94" i="7"/>
  <c r="AB94" i="7"/>
  <c r="AC94" i="7"/>
  <c r="AD94" i="7"/>
  <c r="AE94" i="7"/>
  <c r="AF94" i="7"/>
  <c r="AG94" i="7"/>
  <c r="AH94" i="7"/>
  <c r="AI94" i="7"/>
  <c r="AJ94" i="7"/>
  <c r="AK94" i="7"/>
  <c r="AL94" i="7"/>
  <c r="AM94" i="7"/>
  <c r="AN94" i="7"/>
  <c r="AO94" i="7"/>
  <c r="AP94" i="7"/>
  <c r="AQ94" i="7"/>
  <c r="AR94" i="7"/>
  <c r="AS94" i="7"/>
  <c r="AT94" i="7"/>
  <c r="AU94" i="7"/>
  <c r="AV94" i="7"/>
  <c r="AW94" i="7"/>
  <c r="AX94" i="7"/>
  <c r="AY94" i="7"/>
  <c r="AZ94" i="7"/>
  <c r="N95" i="7"/>
  <c r="O95" i="7"/>
  <c r="P95" i="7"/>
  <c r="Q95" i="7"/>
  <c r="R95" i="7"/>
  <c r="S95" i="7"/>
  <c r="T95" i="7"/>
  <c r="U95" i="7"/>
  <c r="V95" i="7"/>
  <c r="W95" i="7"/>
  <c r="X95" i="7"/>
  <c r="Y95" i="7"/>
  <c r="Z95" i="7"/>
  <c r="AA95" i="7"/>
  <c r="AB95" i="7"/>
  <c r="AC95" i="7"/>
  <c r="AD95" i="7"/>
  <c r="AE95" i="7"/>
  <c r="AF95" i="7"/>
  <c r="AG95" i="7"/>
  <c r="AH95" i="7"/>
  <c r="AI95" i="7"/>
  <c r="AJ95" i="7"/>
  <c r="AK95" i="7"/>
  <c r="AL95" i="7"/>
  <c r="AM95" i="7"/>
  <c r="AN95" i="7"/>
  <c r="AO95" i="7"/>
  <c r="AP95" i="7"/>
  <c r="AQ95" i="7"/>
  <c r="AR95" i="7"/>
  <c r="AS95" i="7"/>
  <c r="AT95" i="7"/>
  <c r="AU95" i="7"/>
  <c r="AV95" i="7"/>
  <c r="AW95" i="7"/>
  <c r="AX95" i="7"/>
  <c r="AY95" i="7"/>
  <c r="AZ95" i="7"/>
  <c r="N96" i="7"/>
  <c r="O96" i="7"/>
  <c r="P96" i="7"/>
  <c r="Q96" i="7"/>
  <c r="R96" i="7"/>
  <c r="S96" i="7"/>
  <c r="T96" i="7"/>
  <c r="U96" i="7"/>
  <c r="V96" i="7"/>
  <c r="W96" i="7"/>
  <c r="X96" i="7"/>
  <c r="Y96" i="7"/>
  <c r="Z96" i="7"/>
  <c r="AA96" i="7"/>
  <c r="AB96" i="7"/>
  <c r="AC96" i="7"/>
  <c r="AD96" i="7"/>
  <c r="AE96" i="7"/>
  <c r="AF96" i="7"/>
  <c r="AG96" i="7"/>
  <c r="AH96" i="7"/>
  <c r="AI96" i="7"/>
  <c r="AJ96" i="7"/>
  <c r="AK96" i="7"/>
  <c r="AL96" i="7"/>
  <c r="AM96" i="7"/>
  <c r="AN96" i="7"/>
  <c r="AO96" i="7"/>
  <c r="AP96" i="7"/>
  <c r="AQ96" i="7"/>
  <c r="AR96" i="7"/>
  <c r="AS96" i="7"/>
  <c r="AT96" i="7"/>
  <c r="AU96" i="7"/>
  <c r="AV96" i="7"/>
  <c r="AW96" i="7"/>
  <c r="AX96" i="7"/>
  <c r="AY96" i="7"/>
  <c r="AZ96" i="7"/>
  <c r="N97" i="7"/>
  <c r="O97" i="7"/>
  <c r="P97" i="7"/>
  <c r="Q97" i="7"/>
  <c r="R97" i="7"/>
  <c r="S97" i="7"/>
  <c r="T97" i="7"/>
  <c r="U97" i="7"/>
  <c r="V97" i="7"/>
  <c r="W97" i="7"/>
  <c r="X97" i="7"/>
  <c r="Y97" i="7"/>
  <c r="Z97" i="7"/>
  <c r="AA97" i="7"/>
  <c r="AB97" i="7"/>
  <c r="AC97" i="7"/>
  <c r="AD97" i="7"/>
  <c r="AE97" i="7"/>
  <c r="AF97" i="7"/>
  <c r="AG97" i="7"/>
  <c r="AH97" i="7"/>
  <c r="AI97" i="7"/>
  <c r="AJ97" i="7"/>
  <c r="AK97" i="7"/>
  <c r="AL97" i="7"/>
  <c r="AM97" i="7"/>
  <c r="AN97" i="7"/>
  <c r="AO97" i="7"/>
  <c r="AP97" i="7"/>
  <c r="AQ97" i="7"/>
  <c r="AR97" i="7"/>
  <c r="AS97" i="7"/>
  <c r="AT97" i="7"/>
  <c r="AU97" i="7"/>
  <c r="AV97" i="7"/>
  <c r="AW97" i="7"/>
  <c r="AX97" i="7"/>
  <c r="AY97" i="7"/>
  <c r="AZ97" i="7"/>
  <c r="N98" i="7"/>
  <c r="O98" i="7"/>
  <c r="P98" i="7"/>
  <c r="Q98" i="7"/>
  <c r="R98" i="7"/>
  <c r="S98" i="7"/>
  <c r="T98" i="7"/>
  <c r="U98" i="7"/>
  <c r="V98" i="7"/>
  <c r="W98" i="7"/>
  <c r="X98" i="7"/>
  <c r="Y98" i="7"/>
  <c r="Z98" i="7"/>
  <c r="AA98" i="7"/>
  <c r="AB98" i="7"/>
  <c r="AC98" i="7"/>
  <c r="AD98" i="7"/>
  <c r="AE98" i="7"/>
  <c r="AF98" i="7"/>
  <c r="AG98" i="7"/>
  <c r="AH98" i="7"/>
  <c r="AI98" i="7"/>
  <c r="AJ98" i="7"/>
  <c r="AK98" i="7"/>
  <c r="AL98" i="7"/>
  <c r="AM98" i="7"/>
  <c r="AN98" i="7"/>
  <c r="AO98" i="7"/>
  <c r="AP98" i="7"/>
  <c r="AQ98" i="7"/>
  <c r="AR98" i="7"/>
  <c r="AS98" i="7"/>
  <c r="AT98" i="7"/>
  <c r="AU98" i="7"/>
  <c r="AV98" i="7"/>
  <c r="AW98" i="7"/>
  <c r="AX98" i="7"/>
  <c r="AY98" i="7"/>
  <c r="AZ98" i="7"/>
  <c r="N99" i="7"/>
  <c r="O99" i="7"/>
  <c r="P99" i="7"/>
  <c r="Q99" i="7"/>
  <c r="R99" i="7"/>
  <c r="S99" i="7"/>
  <c r="T99" i="7"/>
  <c r="U99" i="7"/>
  <c r="V99" i="7"/>
  <c r="W99" i="7"/>
  <c r="X99" i="7"/>
  <c r="Y99" i="7"/>
  <c r="Z99" i="7"/>
  <c r="AA99" i="7"/>
  <c r="AB99" i="7"/>
  <c r="AC99" i="7"/>
  <c r="AD99" i="7"/>
  <c r="AE99" i="7"/>
  <c r="AF99" i="7"/>
  <c r="AG99" i="7"/>
  <c r="AH99" i="7"/>
  <c r="AI99" i="7"/>
  <c r="AJ99" i="7"/>
  <c r="AK99" i="7"/>
  <c r="AL99" i="7"/>
  <c r="AM99" i="7"/>
  <c r="AN99" i="7"/>
  <c r="AO99" i="7"/>
  <c r="AP99" i="7"/>
  <c r="AQ99" i="7"/>
  <c r="AR99" i="7"/>
  <c r="AS99" i="7"/>
  <c r="AT99" i="7"/>
  <c r="AU99" i="7"/>
  <c r="AV99" i="7"/>
  <c r="AW99" i="7"/>
  <c r="AX99" i="7"/>
  <c r="AY99" i="7"/>
  <c r="AZ99" i="7"/>
  <c r="N100" i="7"/>
  <c r="O100" i="7"/>
  <c r="P100" i="7"/>
  <c r="Q100" i="7"/>
  <c r="R100" i="7"/>
  <c r="S100" i="7"/>
  <c r="T100" i="7"/>
  <c r="U100" i="7"/>
  <c r="V100" i="7"/>
  <c r="W100" i="7"/>
  <c r="X100" i="7"/>
  <c r="Y100" i="7"/>
  <c r="Z100" i="7"/>
  <c r="AA100" i="7"/>
  <c r="AB100" i="7"/>
  <c r="AC100" i="7"/>
  <c r="AD100" i="7"/>
  <c r="AE100" i="7"/>
  <c r="AF100" i="7"/>
  <c r="AG100" i="7"/>
  <c r="AH100" i="7"/>
  <c r="AI100" i="7"/>
  <c r="AJ100" i="7"/>
  <c r="AK100" i="7"/>
  <c r="AL100" i="7"/>
  <c r="AM100" i="7"/>
  <c r="AN100" i="7"/>
  <c r="AO100" i="7"/>
  <c r="AP100" i="7"/>
  <c r="AQ100" i="7"/>
  <c r="AR100" i="7"/>
  <c r="AS100" i="7"/>
  <c r="AT100" i="7"/>
  <c r="AU100" i="7"/>
  <c r="AV100" i="7"/>
  <c r="AW100" i="7"/>
  <c r="AX100" i="7"/>
  <c r="AY100" i="7"/>
  <c r="AZ100" i="7"/>
  <c r="N101" i="7"/>
  <c r="O101" i="7"/>
  <c r="P101" i="7"/>
  <c r="Q101" i="7"/>
  <c r="R101" i="7"/>
  <c r="S101" i="7"/>
  <c r="T101" i="7"/>
  <c r="U101" i="7"/>
  <c r="V101" i="7"/>
  <c r="W101" i="7"/>
  <c r="X101" i="7"/>
  <c r="Y101" i="7"/>
  <c r="Z101" i="7"/>
  <c r="AA101" i="7"/>
  <c r="AB101" i="7"/>
  <c r="AC101" i="7"/>
  <c r="AD101" i="7"/>
  <c r="AE101" i="7"/>
  <c r="AF101" i="7"/>
  <c r="AG101" i="7"/>
  <c r="AH101" i="7"/>
  <c r="AI101" i="7"/>
  <c r="AJ101" i="7"/>
  <c r="AK101" i="7"/>
  <c r="AL101" i="7"/>
  <c r="AM101" i="7"/>
  <c r="AN101" i="7"/>
  <c r="AO101" i="7"/>
  <c r="AP101" i="7"/>
  <c r="AQ101" i="7"/>
  <c r="AR101" i="7"/>
  <c r="AS101" i="7"/>
  <c r="AT101" i="7"/>
  <c r="AU101" i="7"/>
  <c r="AV101" i="7"/>
  <c r="AW101" i="7"/>
  <c r="AX101" i="7"/>
  <c r="AY101" i="7"/>
  <c r="AZ101" i="7"/>
  <c r="N102" i="7"/>
  <c r="O102" i="7"/>
  <c r="P102" i="7"/>
  <c r="Q102" i="7"/>
  <c r="R102" i="7"/>
  <c r="S102" i="7"/>
  <c r="T102" i="7"/>
  <c r="U102" i="7"/>
  <c r="V102" i="7"/>
  <c r="W102" i="7"/>
  <c r="X102" i="7"/>
  <c r="Y102" i="7"/>
  <c r="Z102" i="7"/>
  <c r="AA102" i="7"/>
  <c r="AB102" i="7"/>
  <c r="AC102" i="7"/>
  <c r="AD102" i="7"/>
  <c r="AE102" i="7"/>
  <c r="AF102" i="7"/>
  <c r="AG102" i="7"/>
  <c r="AH102" i="7"/>
  <c r="AI102" i="7"/>
  <c r="AJ102" i="7"/>
  <c r="AK102" i="7"/>
  <c r="AL102" i="7"/>
  <c r="AM102" i="7"/>
  <c r="AN102" i="7"/>
  <c r="AO102" i="7"/>
  <c r="AP102" i="7"/>
  <c r="AQ102" i="7"/>
  <c r="AR102" i="7"/>
  <c r="AS102" i="7"/>
  <c r="AT102" i="7"/>
  <c r="AU102" i="7"/>
  <c r="AV102" i="7"/>
  <c r="AW102" i="7"/>
  <c r="AX102" i="7"/>
  <c r="AY102" i="7"/>
  <c r="AZ102" i="7"/>
  <c r="L112" i="7"/>
  <c r="Y112" i="7" s="1"/>
  <c r="M112" i="7"/>
  <c r="P112" i="7" s="1"/>
  <c r="L113" i="7"/>
  <c r="M113" i="7"/>
  <c r="AW113" i="7" s="1"/>
  <c r="L114" i="7"/>
  <c r="AA114" i="7" s="1"/>
  <c r="M114" i="7"/>
  <c r="L115" i="7"/>
  <c r="M115" i="7"/>
  <c r="AR115" i="7" s="1"/>
  <c r="L116" i="7"/>
  <c r="T116" i="7" s="1"/>
  <c r="M116" i="7"/>
  <c r="AY116" i="7" s="1"/>
  <c r="L117" i="7"/>
  <c r="M117" i="7"/>
  <c r="AL117" i="7" s="1"/>
  <c r="L118" i="7"/>
  <c r="M118" i="7"/>
  <c r="AU118" i="7" s="1"/>
  <c r="L119" i="7"/>
  <c r="W119" i="7" s="1"/>
  <c r="M119" i="7"/>
  <c r="L120" i="7"/>
  <c r="X120" i="7" s="1"/>
  <c r="M120" i="7"/>
  <c r="O120" i="7" s="1"/>
  <c r="L121" i="7"/>
  <c r="M121" i="7"/>
  <c r="AW121" i="7" s="1"/>
  <c r="L122" i="7"/>
  <c r="M122" i="7"/>
  <c r="U122" i="7" s="1"/>
  <c r="L123" i="7"/>
  <c r="M123" i="7"/>
  <c r="L124" i="7"/>
  <c r="M124" i="7"/>
  <c r="AS124" i="7" s="1"/>
  <c r="L125" i="7"/>
  <c r="M125" i="7"/>
  <c r="AL125" i="7" s="1"/>
  <c r="L126" i="7"/>
  <c r="M126" i="7"/>
  <c r="L127" i="7"/>
  <c r="M127" i="7"/>
  <c r="D7" i="16"/>
  <c r="C7" i="16"/>
  <c r="AA124" i="7" l="1"/>
  <c r="AL127" i="7"/>
  <c r="AC126" i="7"/>
  <c r="AC118" i="7"/>
  <c r="AQ107" i="7"/>
  <c r="AA107" i="7"/>
  <c r="S107" i="7"/>
  <c r="AD127" i="7"/>
  <c r="R123" i="7"/>
  <c r="X121" i="7"/>
  <c r="AJ117" i="7"/>
  <c r="AV113" i="7"/>
  <c r="AS117" i="7"/>
  <c r="AN125" i="7"/>
  <c r="AH119" i="7"/>
  <c r="R119" i="7"/>
  <c r="AB113" i="7"/>
  <c r="AK117" i="7"/>
  <c r="P127" i="7"/>
  <c r="AR117" i="7"/>
  <c r="AC107" i="7"/>
  <c r="AH127" i="7"/>
  <c r="P125" i="7"/>
  <c r="AK122" i="7"/>
  <c r="N123" i="7"/>
  <c r="R127" i="7"/>
  <c r="AC122" i="7"/>
  <c r="AF125" i="7"/>
  <c r="V115" i="7"/>
  <c r="AN112" i="7"/>
  <c r="AN119" i="7"/>
  <c r="AF119" i="7"/>
  <c r="AO112" i="7"/>
  <c r="AD126" i="7"/>
  <c r="Q119" i="7"/>
  <c r="AT114" i="7"/>
  <c r="AM112" i="7"/>
  <c r="AT127" i="7"/>
  <c r="Y126" i="7"/>
  <c r="N119" i="7"/>
  <c r="X117" i="7"/>
  <c r="AG112" i="7"/>
  <c r="AE119" i="7"/>
  <c r="R126" i="7"/>
  <c r="AF113" i="7"/>
  <c r="AE127" i="7"/>
  <c r="AX127" i="7"/>
  <c r="AF127" i="7"/>
  <c r="N126" i="7"/>
  <c r="Q124" i="7"/>
  <c r="N118" i="7"/>
  <c r="AB117" i="7"/>
  <c r="AT115" i="7"/>
  <c r="AN113" i="7"/>
  <c r="AJ127" i="7"/>
  <c r="T127" i="7"/>
  <c r="AY126" i="7"/>
  <c r="AQ126" i="7"/>
  <c r="AI126" i="7"/>
  <c r="AA126" i="7"/>
  <c r="S126" i="7"/>
  <c r="AP125" i="7"/>
  <c r="Z125" i="7"/>
  <c r="R125" i="7"/>
  <c r="AO124" i="7"/>
  <c r="AG124" i="7"/>
  <c r="Y124" i="7"/>
  <c r="AM122" i="7"/>
  <c r="AE122" i="7"/>
  <c r="W122" i="7"/>
  <c r="O122" i="7"/>
  <c r="AL121" i="7"/>
  <c r="AD121" i="7"/>
  <c r="V121" i="7"/>
  <c r="N121" i="7"/>
  <c r="AK120" i="7"/>
  <c r="U120" i="7"/>
  <c r="AJ119" i="7"/>
  <c r="T119" i="7"/>
  <c r="AY118" i="7"/>
  <c r="AQ118" i="7"/>
  <c r="AA118" i="7"/>
  <c r="S118" i="7"/>
  <c r="AP117" i="7"/>
  <c r="AH117" i="7"/>
  <c r="Z117" i="7"/>
  <c r="R117" i="7"/>
  <c r="AW107" i="7"/>
  <c r="AO107" i="7"/>
  <c r="AG107" i="7"/>
  <c r="Y107" i="7"/>
  <c r="Q107" i="7"/>
  <c r="W114" i="7"/>
  <c r="AT113" i="7"/>
  <c r="AL113" i="7"/>
  <c r="AD113" i="7"/>
  <c r="V113" i="7"/>
  <c r="N113" i="7"/>
  <c r="AC106" i="7"/>
  <c r="X127" i="7"/>
  <c r="AQ121" i="7"/>
  <c r="W117" i="7"/>
  <c r="AI127" i="7"/>
  <c r="AA127" i="7"/>
  <c r="S127" i="7"/>
  <c r="AX126" i="7"/>
  <c r="AP126" i="7"/>
  <c r="AH126" i="7"/>
  <c r="Z126" i="7"/>
  <c r="AD122" i="7"/>
  <c r="V122" i="7"/>
  <c r="N122" i="7"/>
  <c r="AI119" i="7"/>
  <c r="AA119" i="7"/>
  <c r="S119" i="7"/>
  <c r="AX118" i="7"/>
  <c r="AW117" i="7"/>
  <c r="AS113" i="7"/>
  <c r="AK113" i="7"/>
  <c r="U113" i="7"/>
  <c r="AU126" i="7"/>
  <c r="AN127" i="7"/>
  <c r="W127" i="7"/>
  <c r="AT126" i="7"/>
  <c r="AR125" i="7"/>
  <c r="AN121" i="7"/>
  <c r="AM119" i="7"/>
  <c r="AZ117" i="7"/>
  <c r="U117" i="7"/>
  <c r="AX114" i="7"/>
  <c r="X113" i="7"/>
  <c r="AF112" i="7"/>
  <c r="AP127" i="7"/>
  <c r="Z127" i="7"/>
  <c r="AX119" i="7"/>
  <c r="AZ113" i="7"/>
  <c r="AR113" i="7"/>
  <c r="AJ113" i="7"/>
  <c r="T113" i="7"/>
  <c r="AM127" i="7"/>
  <c r="V127" i="7"/>
  <c r="AE126" i="7"/>
  <c r="P121" i="7"/>
  <c r="S114" i="7"/>
  <c r="P113" i="7"/>
  <c r="W112" i="7"/>
  <c r="AW127" i="7"/>
  <c r="AO127" i="7"/>
  <c r="Y127" i="7"/>
  <c r="Q127" i="7"/>
  <c r="AO119" i="7"/>
  <c r="AG119" i="7"/>
  <c r="Y119" i="7"/>
  <c r="AU117" i="7"/>
  <c r="AE117" i="7"/>
  <c r="O117" i="7"/>
  <c r="AV127" i="7"/>
  <c r="AX122" i="7"/>
  <c r="AS118" i="7"/>
  <c r="Q112" i="7"/>
  <c r="AO118" i="7"/>
  <c r="O112" i="7"/>
  <c r="AG127" i="7"/>
  <c r="N127" i="7"/>
  <c r="O126" i="7"/>
  <c r="S122" i="7"/>
  <c r="P120" i="7"/>
  <c r="V119" i="7"/>
  <c r="AD118" i="7"/>
  <c r="AZ120" i="7"/>
  <c r="AH118" i="7"/>
  <c r="AJ121" i="7"/>
  <c r="AM118" i="7"/>
  <c r="AS116" i="7"/>
  <c r="AY124" i="7"/>
  <c r="AZ123" i="7"/>
  <c r="AF121" i="7"/>
  <c r="AJ116" i="7"/>
  <c r="AD115" i="7"/>
  <c r="AU125" i="7"/>
  <c r="O125" i="7"/>
  <c r="U123" i="7"/>
  <c r="AZ107" i="7"/>
  <c r="AW126" i="7"/>
  <c r="AG126" i="7"/>
  <c r="Q126" i="7"/>
  <c r="AS125" i="7"/>
  <c r="T125" i="7"/>
  <c r="S124" i="7"/>
  <c r="AR123" i="7"/>
  <c r="AA122" i="7"/>
  <c r="AR121" i="7"/>
  <c r="T121" i="7"/>
  <c r="AT118" i="7"/>
  <c r="AE118" i="7"/>
  <c r="O118" i="7"/>
  <c r="S116" i="7"/>
  <c r="V114" i="7"/>
  <c r="AV112" i="7"/>
  <c r="X112" i="7"/>
  <c r="N103" i="7"/>
  <c r="N104" i="7" s="1"/>
  <c r="AS127" i="7"/>
  <c r="AK127" i="7"/>
  <c r="AC127" i="7"/>
  <c r="AZ126" i="7"/>
  <c r="AR126" i="7"/>
  <c r="AJ126" i="7"/>
  <c r="AB126" i="7"/>
  <c r="T126" i="7"/>
  <c r="AY125" i="7"/>
  <c r="AQ125" i="7"/>
  <c r="AI125" i="7"/>
  <c r="AA125" i="7"/>
  <c r="S125" i="7"/>
  <c r="AO106" i="7"/>
  <c r="AG106" i="7"/>
  <c r="Y106" i="7"/>
  <c r="Q106" i="7"/>
  <c r="AU121" i="7"/>
  <c r="AM121" i="7"/>
  <c r="AE121" i="7"/>
  <c r="W121" i="7"/>
  <c r="O121" i="7"/>
  <c r="AC119" i="7"/>
  <c r="AZ118" i="7"/>
  <c r="AR118" i="7"/>
  <c r="AJ118" i="7"/>
  <c r="AB118" i="7"/>
  <c r="T118" i="7"/>
  <c r="AY117" i="7"/>
  <c r="AQ117" i="7"/>
  <c r="AI117" i="7"/>
  <c r="S117" i="7"/>
  <c r="AX107" i="7"/>
  <c r="AP107" i="7"/>
  <c r="AH107" i="7"/>
  <c r="Z107" i="7"/>
  <c r="R107" i="7"/>
  <c r="AO129" i="7"/>
  <c r="AQ123" i="7"/>
  <c r="AZ116" i="7"/>
  <c r="AD129" i="7"/>
  <c r="AD130" i="7" s="1"/>
  <c r="Z118" i="7"/>
  <c r="AR120" i="7"/>
  <c r="AP118" i="7"/>
  <c r="AK125" i="7"/>
  <c r="AL123" i="7"/>
  <c r="Z119" i="7"/>
  <c r="AQ114" i="7"/>
  <c r="AB107" i="7"/>
  <c r="AY123" i="7"/>
  <c r="V118" i="7"/>
  <c r="AC115" i="7"/>
  <c r="AI114" i="7"/>
  <c r="S129" i="7"/>
  <c r="Y118" i="7"/>
  <c r="W126" i="7"/>
  <c r="AJ125" i="7"/>
  <c r="AH123" i="7"/>
  <c r="AW120" i="7"/>
  <c r="W118" i="7"/>
  <c r="P126" i="7"/>
  <c r="T122" i="7"/>
  <c r="AR107" i="7"/>
  <c r="V126" i="7"/>
  <c r="AH125" i="7"/>
  <c r="AB123" i="7"/>
  <c r="AZ121" i="7"/>
  <c r="AU120" i="7"/>
  <c r="AD119" i="7"/>
  <c r="AI116" i="7"/>
  <c r="AL126" i="7"/>
  <c r="U126" i="7"/>
  <c r="AX125" i="7"/>
  <c r="AB125" i="7"/>
  <c r="AC124" i="7"/>
  <c r="AT123" i="7"/>
  <c r="Z123" i="7"/>
  <c r="AI122" i="7"/>
  <c r="AV121" i="7"/>
  <c r="AA121" i="7"/>
  <c r="AG120" i="7"/>
  <c r="AV119" i="7"/>
  <c r="X119" i="7"/>
  <c r="AW118" i="7"/>
  <c r="AI118" i="7"/>
  <c r="U118" i="7"/>
  <c r="P117" i="7"/>
  <c r="AC116" i="7"/>
  <c r="AB115" i="7"/>
  <c r="AC114" i="7"/>
  <c r="AE112" i="7"/>
  <c r="AD106" i="7"/>
  <c r="AP123" i="7"/>
  <c r="AU123" i="7"/>
  <c r="R118" i="7"/>
  <c r="AS126" i="7"/>
  <c r="AS114" i="7"/>
  <c r="AO126" i="7"/>
  <c r="AL118" i="7"/>
  <c r="AK123" i="7"/>
  <c r="AM126" i="7"/>
  <c r="AZ125" i="7"/>
  <c r="AI124" i="7"/>
  <c r="AJ122" i="7"/>
  <c r="AB121" i="7"/>
  <c r="AW119" i="7"/>
  <c r="AK118" i="7"/>
  <c r="AK126" i="7"/>
  <c r="AV125" i="7"/>
  <c r="U125" i="7"/>
  <c r="AS123" i="7"/>
  <c r="AT121" i="7"/>
  <c r="AE120" i="7"/>
  <c r="AT119" i="7"/>
  <c r="AG118" i="7"/>
  <c r="Q118" i="7"/>
  <c r="N115" i="7"/>
  <c r="S130" i="7"/>
  <c r="AW103" i="7"/>
  <c r="AW129" i="7"/>
  <c r="Q103" i="7"/>
  <c r="Q129" i="7"/>
  <c r="X103" i="7"/>
  <c r="X129" i="7"/>
  <c r="AE103" i="7"/>
  <c r="AE113" i="7"/>
  <c r="AE129" i="7"/>
  <c r="AT129" i="7"/>
  <c r="AT106" i="7"/>
  <c r="N129" i="7"/>
  <c r="N106" i="7"/>
  <c r="AS129" i="7"/>
  <c r="AS106" i="7"/>
  <c r="U106" i="7"/>
  <c r="U103" i="7"/>
  <c r="U104" i="7" s="1"/>
  <c r="U129" i="7"/>
  <c r="U107" i="7"/>
  <c r="U121" i="7"/>
  <c r="AL107" i="7"/>
  <c r="AQ129" i="7"/>
  <c r="AL116" i="7"/>
  <c r="AT116" i="7"/>
  <c r="O116" i="7"/>
  <c r="AU116" i="7"/>
  <c r="P116" i="7"/>
  <c r="R116" i="7"/>
  <c r="Z116" i="7"/>
  <c r="AH116" i="7"/>
  <c r="AP116" i="7"/>
  <c r="AQ116" i="7"/>
  <c r="AB116" i="7"/>
  <c r="AR116" i="7"/>
  <c r="AW116" i="7"/>
  <c r="U116" i="7"/>
  <c r="AK116" i="7"/>
  <c r="AW106" i="7"/>
  <c r="AW123" i="7"/>
  <c r="AG103" i="7"/>
  <c r="AG104" i="7" s="1"/>
  <c r="AN103" i="7"/>
  <c r="AN107" i="7"/>
  <c r="AN129" i="7"/>
  <c r="AM103" i="7"/>
  <c r="AM113" i="7"/>
  <c r="AM129" i="7"/>
  <c r="AM106" i="7"/>
  <c r="AL106" i="7"/>
  <c r="AL129" i="7"/>
  <c r="AL103" i="7"/>
  <c r="AL124" i="7"/>
  <c r="AT124" i="7"/>
  <c r="O124" i="7"/>
  <c r="AU124" i="7"/>
  <c r="P124" i="7"/>
  <c r="R124" i="7"/>
  <c r="Z124" i="7"/>
  <c r="AH124" i="7"/>
  <c r="AP124" i="7"/>
  <c r="AZ124" i="7"/>
  <c r="AQ124" i="7"/>
  <c r="U124" i="7"/>
  <c r="AK124" i="7"/>
  <c r="AB124" i="7"/>
  <c r="AR124" i="7"/>
  <c r="AE107" i="7"/>
  <c r="AE114" i="7"/>
  <c r="AY129" i="7"/>
  <c r="Y103" i="7"/>
  <c r="Y129" i="7"/>
  <c r="AF103" i="7"/>
  <c r="AF107" i="7"/>
  <c r="AU103" i="7"/>
  <c r="AU113" i="7"/>
  <c r="AU129" i="7"/>
  <c r="AU106" i="7"/>
  <c r="O103" i="7"/>
  <c r="O113" i="7"/>
  <c r="O129" i="7"/>
  <c r="O106" i="7"/>
  <c r="V106" i="7"/>
  <c r="V103" i="7"/>
  <c r="AW124" i="7"/>
  <c r="AM107" i="7"/>
  <c r="AC112" i="7"/>
  <c r="AC103" i="7"/>
  <c r="AC129" i="7"/>
  <c r="W123" i="7"/>
  <c r="X123" i="7"/>
  <c r="AF123" i="7"/>
  <c r="AN123" i="7"/>
  <c r="S123" i="7"/>
  <c r="AC123" i="7"/>
  <c r="T123" i="7"/>
  <c r="AD123" i="7"/>
  <c r="AM123" i="7"/>
  <c r="AV123" i="7"/>
  <c r="AO123" i="7"/>
  <c r="AE123" i="7"/>
  <c r="Y123" i="7"/>
  <c r="Q123" i="7"/>
  <c r="AI123" i="7"/>
  <c r="AJ123" i="7"/>
  <c r="AX123" i="7"/>
  <c r="V123" i="7"/>
  <c r="AA123" i="7"/>
  <c r="AP129" i="7"/>
  <c r="X107" i="7"/>
  <c r="AX129" i="7"/>
  <c r="R129" i="7"/>
  <c r="AX120" i="7"/>
  <c r="S120" i="7"/>
  <c r="AA120" i="7"/>
  <c r="AI120" i="7"/>
  <c r="N120" i="7"/>
  <c r="V120" i="7"/>
  <c r="AD120" i="7"/>
  <c r="Y120" i="7"/>
  <c r="AM120" i="7"/>
  <c r="AN120" i="7"/>
  <c r="AC120" i="7"/>
  <c r="AO120" i="7"/>
  <c r="T120" i="7"/>
  <c r="AF120" i="7"/>
  <c r="AJ120" i="7"/>
  <c r="L129" i="7"/>
  <c r="L128" i="7"/>
  <c r="Q120" i="7"/>
  <c r="AA129" i="7"/>
  <c r="W120" i="7"/>
  <c r="AV120" i="7"/>
  <c r="W107" i="7"/>
  <c r="AT103" i="7"/>
  <c r="AG129" i="7"/>
  <c r="V107" i="7"/>
  <c r="AS103" i="7"/>
  <c r="AO103" i="7"/>
  <c r="AO104" i="7" s="1"/>
  <c r="AV103" i="7"/>
  <c r="AV129" i="7"/>
  <c r="AV107" i="7"/>
  <c r="P103" i="7"/>
  <c r="P129" i="7"/>
  <c r="P107" i="7"/>
  <c r="W103" i="7"/>
  <c r="W113" i="7"/>
  <c r="W129" i="7"/>
  <c r="W106" i="7"/>
  <c r="AD103" i="7"/>
  <c r="V129" i="7"/>
  <c r="AU107" i="7"/>
  <c r="AU114" i="7"/>
  <c r="O107" i="7"/>
  <c r="O114" i="7"/>
  <c r="AK106" i="7"/>
  <c r="AK103" i="7"/>
  <c r="AK129" i="7"/>
  <c r="AG123" i="7"/>
  <c r="AF129" i="7"/>
  <c r="AM114" i="7"/>
  <c r="AE106" i="7"/>
  <c r="AR103" i="7"/>
  <c r="AS107" i="7"/>
  <c r="AS121" i="7"/>
  <c r="AK107" i="7"/>
  <c r="AK121" i="7"/>
  <c r="AT107" i="7"/>
  <c r="AD107" i="7"/>
  <c r="AD114" i="7"/>
  <c r="N107" i="7"/>
  <c r="N114" i="7"/>
  <c r="AZ106" i="7"/>
  <c r="AZ103" i="7"/>
  <c r="AZ104" i="7" s="1"/>
  <c r="AZ129" i="7"/>
  <c r="AR106" i="7"/>
  <c r="AR129" i="7"/>
  <c r="AJ112" i="7"/>
  <c r="AJ106" i="7"/>
  <c r="AJ103" i="7"/>
  <c r="AJ129" i="7"/>
  <c r="N124" i="7"/>
  <c r="V124" i="7"/>
  <c r="AD124" i="7"/>
  <c r="W124" i="7"/>
  <c r="AE124" i="7"/>
  <c r="AM124" i="7"/>
  <c r="AF124" i="7"/>
  <c r="AV124" i="7"/>
  <c r="X124" i="7"/>
  <c r="AN124" i="7"/>
  <c r="AX124" i="7"/>
  <c r="P119" i="7"/>
  <c r="Q116" i="7"/>
  <c r="AL114" i="7"/>
  <c r="X114" i="7"/>
  <c r="P122" i="7"/>
  <c r="AW122" i="7"/>
  <c r="R122" i="7"/>
  <c r="AB122" i="7"/>
  <c r="AL122" i="7"/>
  <c r="AY122" i="7"/>
  <c r="AP122" i="7"/>
  <c r="AZ122" i="7"/>
  <c r="AH122" i="7"/>
  <c r="AR122" i="7"/>
  <c r="AI107" i="7"/>
  <c r="AI121" i="7"/>
  <c r="AN106" i="7"/>
  <c r="AN118" i="7"/>
  <c r="P106" i="7"/>
  <c r="P118" i="7"/>
  <c r="AJ114" i="7"/>
  <c r="AJ107" i="7"/>
  <c r="AQ113" i="7"/>
  <c r="AQ103" i="7"/>
  <c r="AQ106" i="7"/>
  <c r="AH106" i="7"/>
  <c r="AH103" i="7"/>
  <c r="AY107" i="7"/>
  <c r="AY121" i="7"/>
  <c r="AF106" i="7"/>
  <c r="AF118" i="7"/>
  <c r="T114" i="7"/>
  <c r="T107" i="7"/>
  <c r="AI103" i="7"/>
  <c r="AI106" i="7"/>
  <c r="S103" i="7"/>
  <c r="S104" i="7" s="1"/>
  <c r="S106" i="7"/>
  <c r="AP106" i="7"/>
  <c r="AP103" i="7"/>
  <c r="R106" i="7"/>
  <c r="R103" i="7"/>
  <c r="AS115" i="7"/>
  <c r="R112" i="7"/>
  <c r="Z112" i="7"/>
  <c r="AH112" i="7"/>
  <c r="AP112" i="7"/>
  <c r="AQ112" i="7"/>
  <c r="AY112" i="7"/>
  <c r="AB112" i="7"/>
  <c r="AR112" i="7"/>
  <c r="AZ112" i="7"/>
  <c r="AL112" i="7"/>
  <c r="AT112" i="7"/>
  <c r="AW112" i="7"/>
  <c r="U112" i="7"/>
  <c r="AK112" i="7"/>
  <c r="AI129" i="7"/>
  <c r="AQ127" i="7"/>
  <c r="AC125" i="7"/>
  <c r="N125" i="7"/>
  <c r="V125" i="7"/>
  <c r="AD125" i="7"/>
  <c r="AM125" i="7"/>
  <c r="W125" i="7"/>
  <c r="AE125" i="7"/>
  <c r="Q125" i="7"/>
  <c r="Y125" i="7"/>
  <c r="AG125" i="7"/>
  <c r="AO125" i="7"/>
  <c r="AS122" i="7"/>
  <c r="Z122" i="7"/>
  <c r="W115" i="7"/>
  <c r="AE115" i="7"/>
  <c r="AM115" i="7"/>
  <c r="X115" i="7"/>
  <c r="AF115" i="7"/>
  <c r="AN115" i="7"/>
  <c r="AV115" i="7"/>
  <c r="Q115" i="7"/>
  <c r="Y115" i="7"/>
  <c r="AG115" i="7"/>
  <c r="AO115" i="7"/>
  <c r="S115" i="7"/>
  <c r="AA115" i="7"/>
  <c r="AI115" i="7"/>
  <c r="AX115" i="7"/>
  <c r="T115" i="7"/>
  <c r="AJ115" i="7"/>
  <c r="AU112" i="7"/>
  <c r="AB103" i="7"/>
  <c r="AB104" i="7" s="1"/>
  <c r="AU122" i="7"/>
  <c r="AV106" i="7"/>
  <c r="AV118" i="7"/>
  <c r="X106" i="7"/>
  <c r="X118" i="7"/>
  <c r="AY113" i="7"/>
  <c r="AY103" i="7"/>
  <c r="AY106" i="7"/>
  <c r="AA103" i="7"/>
  <c r="AA104" i="7" s="1"/>
  <c r="AA106" i="7"/>
  <c r="AX106" i="7"/>
  <c r="AX103" i="7"/>
  <c r="Z106" i="7"/>
  <c r="Z103" i="7"/>
  <c r="Z129" i="7"/>
  <c r="AT122" i="7"/>
  <c r="S121" i="7"/>
  <c r="AQ119" i="7"/>
  <c r="AY119" i="7"/>
  <c r="AB119" i="7"/>
  <c r="AR119" i="7"/>
  <c r="AZ119" i="7"/>
  <c r="O119" i="7"/>
  <c r="AU119" i="7"/>
  <c r="U119" i="7"/>
  <c r="AP119" i="7"/>
  <c r="AS119" i="7"/>
  <c r="AK119" i="7"/>
  <c r="O115" i="7"/>
  <c r="AU115" i="7"/>
  <c r="P115" i="7"/>
  <c r="AW115" i="7"/>
  <c r="AQ115" i="7"/>
  <c r="AY115" i="7"/>
  <c r="R115" i="7"/>
  <c r="AH115" i="7"/>
  <c r="AZ115" i="7"/>
  <c r="AK115" i="7"/>
  <c r="U115" i="7"/>
  <c r="Z115" i="7"/>
  <c r="AP115" i="7"/>
  <c r="AH129" i="7"/>
  <c r="X125" i="7"/>
  <c r="AJ124" i="7"/>
  <c r="T124" i="7"/>
  <c r="AQ122" i="7"/>
  <c r="AL119" i="7"/>
  <c r="AC117" i="7"/>
  <c r="N117" i="7"/>
  <c r="V117" i="7"/>
  <c r="AD117" i="7"/>
  <c r="Q117" i="7"/>
  <c r="Y117" i="7"/>
  <c r="AG117" i="7"/>
  <c r="AO117" i="7"/>
  <c r="AV117" i="7"/>
  <c r="AA117" i="7"/>
  <c r="AM117" i="7"/>
  <c r="AX117" i="7"/>
  <c r="AN117" i="7"/>
  <c r="T117" i="7"/>
  <c r="AF117" i="7"/>
  <c r="AL115" i="7"/>
  <c r="AS112" i="7"/>
  <c r="AB106" i="7"/>
  <c r="T112" i="7"/>
  <c r="T106" i="7"/>
  <c r="AU127" i="7"/>
  <c r="O127" i="7"/>
  <c r="AV126" i="7"/>
  <c r="AN126" i="7"/>
  <c r="AF126" i="7"/>
  <c r="X126" i="7"/>
  <c r="AW125" i="7"/>
  <c r="O123" i="7"/>
  <c r="P123" i="7"/>
  <c r="X122" i="7"/>
  <c r="AS120" i="7"/>
  <c r="AG116" i="7"/>
  <c r="AY114" i="7"/>
  <c r="AK114" i="7"/>
  <c r="U114" i="7"/>
  <c r="AX112" i="7"/>
  <c r="U127" i="7"/>
  <c r="N116" i="7"/>
  <c r="V116" i="7"/>
  <c r="AD116" i="7"/>
  <c r="W116" i="7"/>
  <c r="AE116" i="7"/>
  <c r="AM116" i="7"/>
  <c r="X116" i="7"/>
  <c r="AF116" i="7"/>
  <c r="AN116" i="7"/>
  <c r="AV116" i="7"/>
  <c r="AX116" i="7"/>
  <c r="AB129" i="7"/>
  <c r="T129" i="7"/>
  <c r="AZ127" i="7"/>
  <c r="AR127" i="7"/>
  <c r="AB127" i="7"/>
  <c r="AT125" i="7"/>
  <c r="Q121" i="7"/>
  <c r="Y121" i="7"/>
  <c r="AG121" i="7"/>
  <c r="AO121" i="7"/>
  <c r="AX121" i="7"/>
  <c r="AC121" i="7"/>
  <c r="AB120" i="7"/>
  <c r="AA116" i="7"/>
  <c r="Q113" i="7"/>
  <c r="Y113" i="7"/>
  <c r="AG113" i="7"/>
  <c r="AO113" i="7"/>
  <c r="AX113" i="7"/>
  <c r="S113" i="7"/>
  <c r="AA113" i="7"/>
  <c r="AI113" i="7"/>
  <c r="AC113" i="7"/>
  <c r="T103" i="7"/>
  <c r="T104" i="7" s="1"/>
  <c r="AY127" i="7"/>
  <c r="R120" i="7"/>
  <c r="Z120" i="7"/>
  <c r="AH120" i="7"/>
  <c r="AP120" i="7"/>
  <c r="AQ120" i="7"/>
  <c r="AY120" i="7"/>
  <c r="AL120" i="7"/>
  <c r="AT120" i="7"/>
  <c r="AO116" i="7"/>
  <c r="Y116" i="7"/>
  <c r="P114" i="7"/>
  <c r="AW114" i="7"/>
  <c r="R114" i="7"/>
  <c r="Z114" i="7"/>
  <c r="AH114" i="7"/>
  <c r="AP114" i="7"/>
  <c r="AB114" i="7"/>
  <c r="AR114" i="7"/>
  <c r="AZ114" i="7"/>
  <c r="AD112" i="7"/>
  <c r="V112" i="7"/>
  <c r="N112" i="7"/>
  <c r="AO122" i="7"/>
  <c r="AG122" i="7"/>
  <c r="Y122" i="7"/>
  <c r="Q122" i="7"/>
  <c r="AP121" i="7"/>
  <c r="AH121" i="7"/>
  <c r="Z121" i="7"/>
  <c r="R121" i="7"/>
  <c r="AT117" i="7"/>
  <c r="AO114" i="7"/>
  <c r="AG114" i="7"/>
  <c r="Y114" i="7"/>
  <c r="Q114" i="7"/>
  <c r="AP113" i="7"/>
  <c r="AH113" i="7"/>
  <c r="Z113" i="7"/>
  <c r="R113" i="7"/>
  <c r="AI112" i="7"/>
  <c r="AA112" i="7"/>
  <c r="S112" i="7"/>
  <c r="AV122" i="7"/>
  <c r="AN122" i="7"/>
  <c r="AF122" i="7"/>
  <c r="AV114" i="7"/>
  <c r="AN114" i="7"/>
  <c r="AF114" i="7"/>
  <c r="AQ276" i="2"/>
  <c r="Q108" i="7" l="1"/>
  <c r="AC108" i="7"/>
  <c r="AC109" i="7" s="1"/>
  <c r="Q109" i="7"/>
  <c r="Y108" i="7"/>
  <c r="Y109" i="7" s="1"/>
  <c r="S136" i="7"/>
  <c r="AY108" i="7"/>
  <c r="AY109" i="7" s="1"/>
  <c r="Q104" i="7"/>
  <c r="AO108" i="7"/>
  <c r="AO109" i="7" s="1"/>
  <c r="S128" i="7"/>
  <c r="AU128" i="7"/>
  <c r="AE128" i="7"/>
  <c r="AB128" i="7"/>
  <c r="AB130" i="7" s="1"/>
  <c r="AI108" i="7"/>
  <c r="AI109" i="7" s="1"/>
  <c r="AR108" i="7"/>
  <c r="AR109" i="7" s="1"/>
  <c r="W128" i="7"/>
  <c r="W130" i="7" s="1"/>
  <c r="AC104" i="7"/>
  <c r="O128" i="7"/>
  <c r="O130" i="7" s="1"/>
  <c r="AK128" i="7"/>
  <c r="AK130" i="7" s="1"/>
  <c r="Y104" i="7"/>
  <c r="X128" i="7"/>
  <c r="X130" i="7" s="1"/>
  <c r="AF128" i="7"/>
  <c r="AF130" i="7" s="1"/>
  <c r="AJ108" i="7"/>
  <c r="AJ109" i="7" s="1"/>
  <c r="T128" i="7"/>
  <c r="T130" i="7" s="1"/>
  <c r="AV128" i="7"/>
  <c r="AV130" i="7" s="1"/>
  <c r="N128" i="7"/>
  <c r="N130" i="7" s="1"/>
  <c r="Q128" i="7"/>
  <c r="Q130" i="7" s="1"/>
  <c r="P128" i="7"/>
  <c r="AY104" i="7"/>
  <c r="AM128" i="7"/>
  <c r="AM130" i="7" s="1"/>
  <c r="AQ108" i="7"/>
  <c r="AQ109" i="7" s="1"/>
  <c r="BB103" i="7"/>
  <c r="AD128" i="7"/>
  <c r="AK108" i="7"/>
  <c r="AK109" i="7" s="1"/>
  <c r="AG108" i="7"/>
  <c r="AG109" i="7" s="1"/>
  <c r="V128" i="7"/>
  <c r="AH108" i="7"/>
  <c r="AH109" i="7" s="1"/>
  <c r="AH104" i="7"/>
  <c r="AV136" i="7"/>
  <c r="AX108" i="7"/>
  <c r="AX109" i="7" s="1"/>
  <c r="AX104" i="7"/>
  <c r="U128" i="7"/>
  <c r="U130" i="7" s="1"/>
  <c r="AQ128" i="7"/>
  <c r="AQ130" i="7" s="1"/>
  <c r="AJ128" i="7"/>
  <c r="AJ130" i="7" s="1"/>
  <c r="W136" i="7"/>
  <c r="AV104" i="7"/>
  <c r="AV108" i="7"/>
  <c r="AV109" i="7" s="1"/>
  <c r="AT108" i="7"/>
  <c r="AT109" i="7" s="1"/>
  <c r="AT104" i="7"/>
  <c r="AU104" i="7"/>
  <c r="AU108" i="7"/>
  <c r="AU109" i="7" s="1"/>
  <c r="N108" i="7"/>
  <c r="N109" i="7" s="1"/>
  <c r="U136" i="7"/>
  <c r="N136" i="7"/>
  <c r="BB129" i="7"/>
  <c r="Q136" i="7"/>
  <c r="AX128" i="7"/>
  <c r="AX130" i="7" s="1"/>
  <c r="AS128" i="7"/>
  <c r="AS130" i="7" s="1"/>
  <c r="AW128" i="7"/>
  <c r="AW130" i="7" s="1"/>
  <c r="AP128" i="7"/>
  <c r="AP130" i="7" s="1"/>
  <c r="AP108" i="7"/>
  <c r="AP109" i="7" s="1"/>
  <c r="AP104" i="7"/>
  <c r="AR136" i="7"/>
  <c r="R136" i="7"/>
  <c r="AC136" i="7"/>
  <c r="AO136" i="7"/>
  <c r="AD108" i="7"/>
  <c r="AD109" i="7" s="1"/>
  <c r="AD104" i="7"/>
  <c r="AU130" i="7"/>
  <c r="AU136" i="7"/>
  <c r="AL108" i="7"/>
  <c r="AL109" i="7" s="1"/>
  <c r="AL104" i="7"/>
  <c r="AH136" i="7"/>
  <c r="AL136" i="7"/>
  <c r="AK104" i="7"/>
  <c r="AT136" i="7"/>
  <c r="AA128" i="7"/>
  <c r="AA130" i="7" s="1"/>
  <c r="T136" i="7"/>
  <c r="AI104" i="7"/>
  <c r="AC128" i="7"/>
  <c r="AC130" i="7" s="1"/>
  <c r="AE130" i="7"/>
  <c r="AE136" i="7"/>
  <c r="X136" i="7"/>
  <c r="R108" i="7"/>
  <c r="R109" i="7" s="1"/>
  <c r="R104" i="7"/>
  <c r="AN104" i="7"/>
  <c r="AN108" i="7"/>
  <c r="AN109" i="7" s="1"/>
  <c r="X104" i="7"/>
  <c r="X108" i="7"/>
  <c r="X109" i="7" s="1"/>
  <c r="Z136" i="7"/>
  <c r="AT128" i="7"/>
  <c r="AT130" i="7" s="1"/>
  <c r="AF136" i="7"/>
  <c r="W104" i="7"/>
  <c r="W108" i="7"/>
  <c r="W109" i="7" s="1"/>
  <c r="AX136" i="7"/>
  <c r="O136" i="7"/>
  <c r="AF104" i="7"/>
  <c r="AF108" i="7"/>
  <c r="AF109" i="7" s="1"/>
  <c r="AM136" i="7"/>
  <c r="AW136" i="7"/>
  <c r="AO128" i="7"/>
  <c r="AO130" i="7" s="1"/>
  <c r="AA108" i="7"/>
  <c r="AA109" i="7" s="1"/>
  <c r="AL128" i="7"/>
  <c r="AL130" i="7" s="1"/>
  <c r="AD136" i="7"/>
  <c r="Y136" i="7"/>
  <c r="AQ136" i="7"/>
  <c r="AW108" i="7"/>
  <c r="AW109" i="7" s="1"/>
  <c r="AI128" i="7"/>
  <c r="AI130" i="7" s="1"/>
  <c r="AG128" i="7"/>
  <c r="AG130" i="7" s="1"/>
  <c r="AB136" i="7"/>
  <c r="AQ104" i="7"/>
  <c r="AZ128" i="7"/>
  <c r="AZ130" i="7" s="1"/>
  <c r="R128" i="7"/>
  <c r="R130" i="7" s="1"/>
  <c r="S108" i="7"/>
  <c r="S109" i="7" s="1"/>
  <c r="AZ108" i="7"/>
  <c r="AZ109" i="7" s="1"/>
  <c r="P136" i="7"/>
  <c r="P130" i="7"/>
  <c r="AS108" i="7"/>
  <c r="AS109" i="7" s="1"/>
  <c r="AP136" i="7"/>
  <c r="O104" i="7"/>
  <c r="O108" i="7"/>
  <c r="O109" i="7" s="1"/>
  <c r="AM104" i="7"/>
  <c r="AM108" i="7"/>
  <c r="AM109" i="7" s="1"/>
  <c r="AJ104" i="7"/>
  <c r="Z108" i="7"/>
  <c r="Z109" i="7" s="1"/>
  <c r="Z104" i="7"/>
  <c r="AI136" i="7"/>
  <c r="AA136" i="7"/>
  <c r="AY128" i="7"/>
  <c r="AY130" i="7" s="1"/>
  <c r="AG136" i="7"/>
  <c r="V108" i="7"/>
  <c r="V109" i="7" s="1"/>
  <c r="V104" i="7"/>
  <c r="AH128" i="7"/>
  <c r="AH130" i="7" s="1"/>
  <c r="AY136" i="7"/>
  <c r="U108" i="7"/>
  <c r="U109" i="7" s="1"/>
  <c r="Z128" i="7"/>
  <c r="Z130" i="7" s="1"/>
  <c r="AZ136" i="7"/>
  <c r="AR104" i="7"/>
  <c r="AN128" i="7"/>
  <c r="AN130" i="7" s="1"/>
  <c r="T108" i="7"/>
  <c r="T109" i="7" s="1"/>
  <c r="Y128" i="7"/>
  <c r="Y130" i="7" s="1"/>
  <c r="AW104" i="7"/>
  <c r="AB108" i="7"/>
  <c r="AB109" i="7" s="1"/>
  <c r="AR128" i="7"/>
  <c r="AR130" i="7" s="1"/>
  <c r="AJ136" i="7"/>
  <c r="AK136" i="7"/>
  <c r="V136" i="7"/>
  <c r="V130" i="7"/>
  <c r="P104" i="7"/>
  <c r="P108" i="7"/>
  <c r="P109" i="7" s="1"/>
  <c r="AS104" i="7"/>
  <c r="AN136" i="7"/>
  <c r="AS136" i="7"/>
  <c r="AE104" i="7"/>
  <c r="AE108" i="7"/>
  <c r="AE109" i="7" s="1"/>
  <c r="AN10" i="18"/>
  <c r="AM10" i="18"/>
  <c r="AL10" i="18"/>
  <c r="AK10" i="18"/>
  <c r="AJ10" i="18"/>
  <c r="AI10" i="18"/>
  <c r="AH10" i="18"/>
  <c r="AG10" i="18"/>
  <c r="AF10" i="18"/>
  <c r="AE10" i="18"/>
  <c r="AD10" i="18"/>
  <c r="AC10" i="18"/>
  <c r="AB10" i="18"/>
  <c r="AA10" i="18"/>
  <c r="Z10" i="18"/>
  <c r="Y10" i="18"/>
  <c r="X10" i="18"/>
  <c r="W10" i="18"/>
  <c r="V10" i="18"/>
  <c r="U10" i="18"/>
  <c r="T10" i="18"/>
  <c r="S10" i="18"/>
  <c r="R10" i="18"/>
  <c r="Q10" i="18"/>
  <c r="P10" i="18"/>
  <c r="O10" i="18"/>
  <c r="N10" i="18"/>
  <c r="M10" i="18"/>
  <c r="L10" i="18"/>
  <c r="K10" i="18"/>
  <c r="J10" i="18"/>
  <c r="I10" i="18"/>
  <c r="H10" i="18"/>
  <c r="G10" i="18"/>
  <c r="F10" i="18"/>
  <c r="E10" i="18"/>
  <c r="D10" i="18"/>
  <c r="C10" i="18"/>
  <c r="AN9" i="18"/>
  <c r="AM9" i="18"/>
  <c r="AL9" i="18"/>
  <c r="AK9" i="18"/>
  <c r="AJ9" i="18"/>
  <c r="AI9" i="18"/>
  <c r="AH9" i="18"/>
  <c r="AG9" i="18"/>
  <c r="AF9" i="18"/>
  <c r="AE9" i="18"/>
  <c r="AD9" i="18"/>
  <c r="AC9" i="18"/>
  <c r="AB9" i="18"/>
  <c r="AA9" i="18"/>
  <c r="Z9" i="18"/>
  <c r="Y9" i="18"/>
  <c r="X9" i="18"/>
  <c r="W9" i="18"/>
  <c r="V9" i="18"/>
  <c r="U9" i="18"/>
  <c r="T9" i="18"/>
  <c r="S9" i="18"/>
  <c r="R9" i="18"/>
  <c r="Q9" i="18"/>
  <c r="P9" i="18"/>
  <c r="O9" i="18"/>
  <c r="N9" i="18"/>
  <c r="M9" i="18"/>
  <c r="L9" i="18"/>
  <c r="K9" i="18"/>
  <c r="J9" i="18"/>
  <c r="I9" i="18"/>
  <c r="H9" i="18"/>
  <c r="G9" i="18"/>
  <c r="F9" i="18"/>
  <c r="E9" i="18"/>
  <c r="D9" i="18"/>
  <c r="C9" i="18"/>
  <c r="B10" i="18"/>
  <c r="B9" i="18"/>
  <c r="Q59" i="20" l="1"/>
  <c r="Q60" i="20"/>
  <c r="Q62" i="20"/>
  <c r="AH60" i="20"/>
  <c r="AH59" i="20"/>
  <c r="AH62" i="20"/>
  <c r="AB66" i="20"/>
  <c r="AB69" i="20"/>
  <c r="AB67" i="20"/>
  <c r="AB70" i="20"/>
  <c r="C59" i="20"/>
  <c r="C60" i="20"/>
  <c r="C62" i="20"/>
  <c r="AI59" i="20"/>
  <c r="AI60" i="20"/>
  <c r="AI62" i="20"/>
  <c r="AC70" i="20"/>
  <c r="AC69" i="20"/>
  <c r="AC66" i="20"/>
  <c r="AC67" i="20"/>
  <c r="AJ60" i="20"/>
  <c r="AJ62" i="20"/>
  <c r="AJ59" i="20"/>
  <c r="W69" i="20"/>
  <c r="W66" i="20"/>
  <c r="W70" i="20"/>
  <c r="W67" i="20"/>
  <c r="I59" i="20"/>
  <c r="I60" i="20"/>
  <c r="I62" i="20"/>
  <c r="AG59" i="20"/>
  <c r="AG60" i="20"/>
  <c r="AG62" i="20"/>
  <c r="K70" i="20"/>
  <c r="K67" i="20"/>
  <c r="K69" i="20"/>
  <c r="K66" i="20"/>
  <c r="AI70" i="20"/>
  <c r="AI67" i="20"/>
  <c r="AI69" i="20"/>
  <c r="AI66" i="20"/>
  <c r="R60" i="20"/>
  <c r="R59" i="20"/>
  <c r="R62" i="20"/>
  <c r="T69" i="20"/>
  <c r="T66" i="20"/>
  <c r="T67" i="20"/>
  <c r="T70" i="20"/>
  <c r="S59" i="20"/>
  <c r="S60" i="20"/>
  <c r="S62" i="20"/>
  <c r="U69" i="20"/>
  <c r="U66" i="20"/>
  <c r="U70" i="20"/>
  <c r="U67" i="20"/>
  <c r="D60" i="20"/>
  <c r="D62" i="20"/>
  <c r="D59" i="20"/>
  <c r="V69" i="20"/>
  <c r="V66" i="20"/>
  <c r="V70" i="20"/>
  <c r="V67" i="20"/>
  <c r="E60" i="20"/>
  <c r="E62" i="20"/>
  <c r="E59" i="20"/>
  <c r="AK60" i="20"/>
  <c r="AK62" i="20"/>
  <c r="AK59" i="20"/>
  <c r="AE69" i="20"/>
  <c r="AE66" i="20"/>
  <c r="AE70" i="20"/>
  <c r="AE67" i="20"/>
  <c r="AM69" i="20"/>
  <c r="AM66" i="20"/>
  <c r="AM70" i="20"/>
  <c r="AM67" i="20"/>
  <c r="F62" i="20"/>
  <c r="F59" i="20"/>
  <c r="F60" i="20"/>
  <c r="N62" i="20"/>
  <c r="N59" i="20"/>
  <c r="N60" i="20"/>
  <c r="V62" i="20"/>
  <c r="V59" i="20"/>
  <c r="V60" i="20"/>
  <c r="AD62" i="20"/>
  <c r="AD59" i="20"/>
  <c r="AD60" i="20"/>
  <c r="AL62" i="20"/>
  <c r="AL59" i="20"/>
  <c r="AL60" i="20"/>
  <c r="H70" i="20"/>
  <c r="H67" i="20"/>
  <c r="H66" i="20"/>
  <c r="H69" i="20"/>
  <c r="P70" i="20"/>
  <c r="P67" i="20"/>
  <c r="P69" i="20"/>
  <c r="P66" i="20"/>
  <c r="X70" i="20"/>
  <c r="X67" i="20"/>
  <c r="X69" i="20"/>
  <c r="X66" i="20"/>
  <c r="AF70" i="20"/>
  <c r="AF67" i="20"/>
  <c r="AF69" i="20"/>
  <c r="AF66" i="20"/>
  <c r="AN70" i="20"/>
  <c r="AN67" i="20"/>
  <c r="AN69" i="20"/>
  <c r="AN66" i="20"/>
  <c r="B62" i="20"/>
  <c r="B63" i="20"/>
  <c r="B60" i="20"/>
  <c r="B59" i="20"/>
  <c r="S70" i="20"/>
  <c r="S67" i="20"/>
  <c r="S69" i="20"/>
  <c r="S66" i="20"/>
  <c r="J59" i="20"/>
  <c r="J60" i="20"/>
  <c r="J62" i="20"/>
  <c r="L66" i="20"/>
  <c r="L69" i="20"/>
  <c r="L67" i="20"/>
  <c r="L70" i="20"/>
  <c r="K59" i="20"/>
  <c r="K60" i="20"/>
  <c r="K62" i="20"/>
  <c r="AA59" i="20"/>
  <c r="AA60" i="20"/>
  <c r="AA62" i="20"/>
  <c r="E69" i="20"/>
  <c r="E66" i="20"/>
  <c r="E70" i="20"/>
  <c r="E67" i="20"/>
  <c r="AK69" i="20"/>
  <c r="AK66" i="20"/>
  <c r="AK67" i="20"/>
  <c r="AK70" i="20"/>
  <c r="T63" i="20"/>
  <c r="T60" i="20"/>
  <c r="T62" i="20"/>
  <c r="T59" i="20"/>
  <c r="F69" i="20"/>
  <c r="F66" i="20"/>
  <c r="F70" i="20"/>
  <c r="F67" i="20"/>
  <c r="AD69" i="20"/>
  <c r="AD66" i="20"/>
  <c r="AD70" i="20"/>
  <c r="AD67" i="20"/>
  <c r="U60" i="20"/>
  <c r="U62" i="20"/>
  <c r="U59" i="20"/>
  <c r="G69" i="20"/>
  <c r="G66" i="20"/>
  <c r="G70" i="20"/>
  <c r="G67" i="20"/>
  <c r="O62" i="20"/>
  <c r="O59" i="20"/>
  <c r="O60" i="20"/>
  <c r="W62" i="20"/>
  <c r="W59" i="20"/>
  <c r="W60" i="20"/>
  <c r="AM62" i="20"/>
  <c r="AM59" i="20"/>
  <c r="AM60" i="20"/>
  <c r="Q70" i="20"/>
  <c r="Q67" i="20"/>
  <c r="Q69" i="20"/>
  <c r="Q66" i="20"/>
  <c r="Y67" i="20"/>
  <c r="Y66" i="20"/>
  <c r="Y70" i="20"/>
  <c r="Y69" i="20"/>
  <c r="AG70" i="20"/>
  <c r="AG67" i="20"/>
  <c r="AG69" i="20"/>
  <c r="AG66" i="20"/>
  <c r="Y59" i="20"/>
  <c r="Y60" i="20"/>
  <c r="Y62" i="20"/>
  <c r="C69" i="20"/>
  <c r="C67" i="20"/>
  <c r="C66" i="20"/>
  <c r="C70" i="20"/>
  <c r="AA70" i="20"/>
  <c r="AA67" i="20"/>
  <c r="AA69" i="20"/>
  <c r="AA66" i="20"/>
  <c r="B69" i="20"/>
  <c r="B70" i="20"/>
  <c r="B67" i="20"/>
  <c r="B66" i="20"/>
  <c r="Z59" i="20"/>
  <c r="Z60" i="20"/>
  <c r="Z62" i="20"/>
  <c r="D70" i="20"/>
  <c r="D69" i="20"/>
  <c r="D67" i="20"/>
  <c r="D66" i="20"/>
  <c r="AJ69" i="20"/>
  <c r="AJ66" i="20"/>
  <c r="AJ67" i="20"/>
  <c r="AJ70" i="20"/>
  <c r="M67" i="20"/>
  <c r="M69" i="20"/>
  <c r="M66" i="20"/>
  <c r="M70" i="20"/>
  <c r="L63" i="20"/>
  <c r="L62" i="20"/>
  <c r="L60" i="20"/>
  <c r="L59" i="20"/>
  <c r="AB62" i="20"/>
  <c r="AB60" i="20"/>
  <c r="AB59" i="20"/>
  <c r="N69" i="20"/>
  <c r="N66" i="20"/>
  <c r="N70" i="20"/>
  <c r="N67" i="20"/>
  <c r="AL69" i="20"/>
  <c r="AL66" i="20"/>
  <c r="AL70" i="20"/>
  <c r="AL67" i="20"/>
  <c r="M60" i="20"/>
  <c r="M62" i="20"/>
  <c r="M59" i="20"/>
  <c r="AC60" i="20"/>
  <c r="AC62" i="20"/>
  <c r="AC59" i="20"/>
  <c r="O69" i="20"/>
  <c r="O66" i="20"/>
  <c r="O70" i="20"/>
  <c r="O67" i="20"/>
  <c r="G62" i="20"/>
  <c r="G59" i="20"/>
  <c r="G60" i="20"/>
  <c r="AE62" i="20"/>
  <c r="AE59" i="20"/>
  <c r="AE60" i="20"/>
  <c r="I70" i="20"/>
  <c r="I67" i="20"/>
  <c r="I69" i="20"/>
  <c r="I66" i="20"/>
  <c r="H59" i="20"/>
  <c r="H60" i="20"/>
  <c r="H62" i="20"/>
  <c r="P59" i="20"/>
  <c r="P60" i="20"/>
  <c r="P62" i="20"/>
  <c r="X59" i="20"/>
  <c r="X60" i="20"/>
  <c r="X62" i="20"/>
  <c r="AF59" i="20"/>
  <c r="AF60" i="20"/>
  <c r="AF62" i="20"/>
  <c r="AN59" i="20"/>
  <c r="AN60" i="20"/>
  <c r="AN62" i="20"/>
  <c r="J70" i="20"/>
  <c r="J67" i="20"/>
  <c r="J69" i="20"/>
  <c r="J66" i="20"/>
  <c r="R70" i="20"/>
  <c r="R67" i="20"/>
  <c r="R69" i="20"/>
  <c r="R66" i="20"/>
  <c r="Z70" i="20"/>
  <c r="Z67" i="20"/>
  <c r="Z69" i="20"/>
  <c r="Z66" i="20"/>
  <c r="AH70" i="20"/>
  <c r="AH67" i="20"/>
  <c r="AH69" i="20"/>
  <c r="AH66" i="20"/>
  <c r="AJ63" i="20"/>
  <c r="C63" i="20"/>
  <c r="K63" i="20"/>
  <c r="S63" i="20"/>
  <c r="AA63" i="20"/>
  <c r="AI63" i="20"/>
  <c r="D63" i="20"/>
  <c r="AB63" i="20"/>
  <c r="F63" i="20"/>
  <c r="V63" i="20"/>
  <c r="BB136" i="7"/>
  <c r="U63" i="20"/>
  <c r="AD63" i="20"/>
  <c r="G63" i="20"/>
  <c r="AE63" i="20"/>
  <c r="AM63" i="20"/>
  <c r="H63" i="20"/>
  <c r="P63" i="20"/>
  <c r="X63" i="20"/>
  <c r="AF63" i="20"/>
  <c r="AN63" i="20"/>
  <c r="M63" i="20"/>
  <c r="AK63" i="20"/>
  <c r="N63" i="20"/>
  <c r="AL63" i="20"/>
  <c r="O63" i="20"/>
  <c r="I63" i="20"/>
  <c r="J63" i="20"/>
  <c r="R63" i="20"/>
  <c r="Z63" i="20"/>
  <c r="AH63" i="20"/>
  <c r="E63" i="20"/>
  <c r="Q63" i="20"/>
  <c r="Y63" i="20"/>
  <c r="AG63" i="20"/>
  <c r="AC63" i="20"/>
  <c r="W63" i="20"/>
  <c r="AQ8" i="18"/>
  <c r="AP8" i="18"/>
  <c r="AO8" i="18"/>
  <c r="D21" i="9" l="1"/>
  <c r="D5" i="9"/>
  <c r="F36" i="24" l="1"/>
  <c r="E36" i="24"/>
  <c r="B36" i="24"/>
  <c r="B31" i="24"/>
  <c r="B33" i="24" s="1"/>
  <c r="F26" i="24"/>
  <c r="E26" i="24"/>
  <c r="F25" i="24"/>
  <c r="E25" i="24"/>
  <c r="F21" i="24"/>
  <c r="B20" i="24"/>
  <c r="F19" i="24"/>
  <c r="E19" i="24"/>
  <c r="E20" i="24" s="1"/>
  <c r="F18" i="24"/>
  <c r="E31" i="24" l="1"/>
  <c r="E33" i="24" s="1"/>
  <c r="E34" i="24" s="1"/>
  <c r="B34" i="24"/>
  <c r="F31" i="24"/>
  <c r="F33" i="24" s="1"/>
  <c r="F20" i="24"/>
  <c r="F34" i="24" l="1"/>
  <c r="E10" i="24"/>
  <c r="F14" i="24" l="1"/>
  <c r="F13" i="24"/>
  <c r="F12" i="24"/>
  <c r="F11" i="24"/>
  <c r="B10" i="24" l="1"/>
  <c r="A62" i="24" l="1"/>
  <c r="A65" i="24" s="1"/>
  <c r="C38" i="2"/>
  <c r="A15" i="2" l="1"/>
  <c r="C17" i="19"/>
  <c r="C18" i="19" s="1"/>
  <c r="A11" i="30" l="1"/>
  <c r="B23" i="29"/>
  <c r="B33" i="29" s="1"/>
  <c r="B106" i="23"/>
  <c r="B108" i="23"/>
  <c r="B104" i="23"/>
  <c r="B107" i="23" s="1"/>
  <c r="D107" i="23" s="1"/>
  <c r="D108" i="23" l="1"/>
  <c r="E26" i="23"/>
  <c r="E27" i="23" s="1"/>
  <c r="F26" i="23"/>
  <c r="F27" i="23" s="1"/>
  <c r="G26" i="23"/>
  <c r="G27" i="23" s="1"/>
  <c r="H26" i="23"/>
  <c r="H27" i="23" s="1"/>
  <c r="I26" i="23"/>
  <c r="I27" i="23" s="1"/>
  <c r="J26" i="23"/>
  <c r="J27" i="23" s="1"/>
  <c r="K26" i="23"/>
  <c r="K27" i="23" s="1"/>
  <c r="L26" i="23"/>
  <c r="L27" i="23" s="1"/>
  <c r="M26" i="23"/>
  <c r="M27" i="23" s="1"/>
  <c r="N26" i="23"/>
  <c r="N27" i="23" s="1"/>
  <c r="O26" i="23"/>
  <c r="O27" i="23" s="1"/>
  <c r="P26" i="23"/>
  <c r="P27" i="23" s="1"/>
  <c r="Q26" i="23"/>
  <c r="Q27" i="23" s="1"/>
  <c r="R26" i="23"/>
  <c r="R27" i="23" s="1"/>
  <c r="S26" i="23"/>
  <c r="S27" i="23" s="1"/>
  <c r="T26" i="23"/>
  <c r="T27" i="23" s="1"/>
  <c r="U26" i="23"/>
  <c r="U27" i="23" s="1"/>
  <c r="V26" i="23"/>
  <c r="V27" i="23" s="1"/>
  <c r="W26" i="23"/>
  <c r="W27" i="23" s="1"/>
  <c r="X26" i="23"/>
  <c r="X27" i="23" s="1"/>
  <c r="Y26" i="23"/>
  <c r="Y27" i="23" s="1"/>
  <c r="Z26" i="23"/>
  <c r="Z27" i="23" s="1"/>
  <c r="AA26" i="23"/>
  <c r="AA27" i="23" s="1"/>
  <c r="AB26" i="23"/>
  <c r="AB27" i="23" s="1"/>
  <c r="AC26" i="23"/>
  <c r="AC27" i="23" s="1"/>
  <c r="AD26" i="23"/>
  <c r="AD27" i="23" s="1"/>
  <c r="AE26" i="23"/>
  <c r="AE27" i="23" s="1"/>
  <c r="AF26" i="23"/>
  <c r="AF27" i="23" s="1"/>
  <c r="AG26" i="23"/>
  <c r="AG27" i="23" s="1"/>
  <c r="AH26" i="23"/>
  <c r="AH27" i="23" s="1"/>
  <c r="AI26" i="23"/>
  <c r="AI27" i="23" s="1"/>
  <c r="AJ26" i="23"/>
  <c r="AJ27" i="23" s="1"/>
  <c r="AK26" i="23"/>
  <c r="AK27" i="23" s="1"/>
  <c r="AL26" i="23"/>
  <c r="AL27" i="23" s="1"/>
  <c r="AM26" i="23"/>
  <c r="AM27" i="23" s="1"/>
  <c r="AN26" i="23"/>
  <c r="AN27" i="23" s="1"/>
  <c r="AO26" i="23"/>
  <c r="AO27" i="23" s="1"/>
  <c r="AP26" i="23"/>
  <c r="AP27" i="23" s="1"/>
  <c r="E18" i="23"/>
  <c r="E19" i="23" s="1"/>
  <c r="F18" i="23"/>
  <c r="F19" i="23" s="1"/>
  <c r="G18" i="23"/>
  <c r="G19" i="23" s="1"/>
  <c r="H18" i="23"/>
  <c r="H19" i="23" s="1"/>
  <c r="I18" i="23"/>
  <c r="I19" i="23" s="1"/>
  <c r="J18" i="23"/>
  <c r="J19" i="23" s="1"/>
  <c r="K18" i="23"/>
  <c r="K19" i="23" s="1"/>
  <c r="L18" i="23"/>
  <c r="L19" i="23" s="1"/>
  <c r="M18" i="23"/>
  <c r="M19" i="23" s="1"/>
  <c r="N18" i="23"/>
  <c r="N19" i="23" s="1"/>
  <c r="O18" i="23"/>
  <c r="O19" i="23" s="1"/>
  <c r="P18" i="23"/>
  <c r="P19" i="23" s="1"/>
  <c r="Q18" i="23"/>
  <c r="Q19" i="23" s="1"/>
  <c r="R18" i="23"/>
  <c r="R19" i="23" s="1"/>
  <c r="S18" i="23"/>
  <c r="S19" i="23" s="1"/>
  <c r="T18" i="23"/>
  <c r="T19" i="23" s="1"/>
  <c r="U18" i="23"/>
  <c r="U19" i="23" s="1"/>
  <c r="V18" i="23"/>
  <c r="V19" i="23" s="1"/>
  <c r="W18" i="23"/>
  <c r="W19" i="23" s="1"/>
  <c r="X18" i="23"/>
  <c r="X19" i="23" s="1"/>
  <c r="Y18" i="23"/>
  <c r="Y19" i="23" s="1"/>
  <c r="Z18" i="23"/>
  <c r="Z19" i="23" s="1"/>
  <c r="AA18" i="23"/>
  <c r="AA19" i="23" s="1"/>
  <c r="AB18" i="23"/>
  <c r="AB19" i="23" s="1"/>
  <c r="AC18" i="23"/>
  <c r="AC19" i="23" s="1"/>
  <c r="AD18" i="23"/>
  <c r="AD19" i="23" s="1"/>
  <c r="AE18" i="23"/>
  <c r="AE19" i="23" s="1"/>
  <c r="AF18" i="23"/>
  <c r="AF19" i="23" s="1"/>
  <c r="AG18" i="23"/>
  <c r="AG19" i="23" s="1"/>
  <c r="AH18" i="23"/>
  <c r="AH19" i="23" s="1"/>
  <c r="AI18" i="23"/>
  <c r="AI19" i="23" s="1"/>
  <c r="AJ18" i="23"/>
  <c r="AJ19" i="23" s="1"/>
  <c r="AK18" i="23"/>
  <c r="AK19" i="23" s="1"/>
  <c r="AL18" i="23"/>
  <c r="AL19" i="23" s="1"/>
  <c r="AM18" i="23"/>
  <c r="AM19" i="23" s="1"/>
  <c r="AN18" i="23"/>
  <c r="AN19" i="23" s="1"/>
  <c r="AO18" i="23"/>
  <c r="AO19" i="23" s="1"/>
  <c r="AP18" i="23"/>
  <c r="AP19" i="23" s="1"/>
  <c r="D26" i="23" l="1"/>
  <c r="D27" i="23" s="1"/>
  <c r="D18" i="23"/>
  <c r="D19" i="23" s="1"/>
  <c r="R65" i="23" l="1"/>
  <c r="Z65" i="23"/>
  <c r="J65" i="23"/>
  <c r="AH65" i="23"/>
  <c r="AP65" i="23"/>
  <c r="H72" i="23"/>
  <c r="N65" i="23"/>
  <c r="AD65" i="23"/>
  <c r="AI65" i="23"/>
  <c r="K65" i="23"/>
  <c r="AA65" i="23"/>
  <c r="AE65" i="23"/>
  <c r="AO72" i="23"/>
  <c r="S65" i="23"/>
  <c r="T65" i="23"/>
  <c r="F65" i="23"/>
  <c r="AL65" i="23"/>
  <c r="AM65" i="23"/>
  <c r="L65" i="23"/>
  <c r="AJ65" i="23"/>
  <c r="AK65" i="23"/>
  <c r="V65" i="23"/>
  <c r="AB65" i="23"/>
  <c r="E65" i="23"/>
  <c r="U65" i="23"/>
  <c r="I65" i="23"/>
  <c r="Q65" i="23"/>
  <c r="Y65" i="23"/>
  <c r="AG65" i="23"/>
  <c r="AO65" i="23"/>
  <c r="M65" i="23"/>
  <c r="AC65" i="23"/>
  <c r="G72" i="23"/>
  <c r="O72" i="23"/>
  <c r="W72" i="23"/>
  <c r="AE72" i="23"/>
  <c r="AM72" i="23"/>
  <c r="I72" i="23"/>
  <c r="Y72" i="23"/>
  <c r="K72" i="23"/>
  <c r="S72" i="23"/>
  <c r="AA72" i="23"/>
  <c r="AI72" i="23"/>
  <c r="T72" i="23"/>
  <c r="AJ72" i="23"/>
  <c r="G65" i="23"/>
  <c r="O65" i="23"/>
  <c r="W65" i="23"/>
  <c r="E72" i="23"/>
  <c r="M72" i="23"/>
  <c r="U72" i="23"/>
  <c r="AC72" i="23"/>
  <c r="AK72" i="23"/>
  <c r="AN72" i="23"/>
  <c r="H65" i="23"/>
  <c r="P65" i="23"/>
  <c r="X65" i="23"/>
  <c r="AF65" i="23"/>
  <c r="AN65" i="23"/>
  <c r="N72" i="23"/>
  <c r="AD72" i="23"/>
  <c r="Q72" i="23"/>
  <c r="X72" i="23"/>
  <c r="AF72" i="23"/>
  <c r="P72" i="23"/>
  <c r="AG72" i="23"/>
  <c r="J72" i="23"/>
  <c r="R72" i="23"/>
  <c r="Z72" i="23"/>
  <c r="AH72" i="23"/>
  <c r="AP72" i="23"/>
  <c r="L72" i="23"/>
  <c r="AB72" i="23"/>
  <c r="F72" i="23"/>
  <c r="V72" i="23"/>
  <c r="AL72" i="23"/>
  <c r="A5" i="23" l="1"/>
  <c r="D10" i="23"/>
  <c r="E10" i="23"/>
  <c r="F10" i="23"/>
  <c r="G10" i="23"/>
  <c r="H10" i="23"/>
  <c r="I10" i="23"/>
  <c r="J10" i="23"/>
  <c r="K10" i="23"/>
  <c r="L10" i="23"/>
  <c r="M10" i="23"/>
  <c r="N10" i="23"/>
  <c r="O10" i="23"/>
  <c r="P10" i="23"/>
  <c r="Q10" i="23"/>
  <c r="R10" i="23"/>
  <c r="S10" i="23"/>
  <c r="T10" i="23"/>
  <c r="U10" i="23"/>
  <c r="V10" i="23"/>
  <c r="W10" i="23"/>
  <c r="X10" i="23"/>
  <c r="Y10" i="23"/>
  <c r="Z10" i="23"/>
  <c r="AA10" i="23"/>
  <c r="AB10" i="23"/>
  <c r="AC10" i="23"/>
  <c r="AD10" i="23"/>
  <c r="AE10" i="23"/>
  <c r="AF10" i="23"/>
  <c r="AG10" i="23"/>
  <c r="AH10" i="23"/>
  <c r="AI10" i="23"/>
  <c r="AJ10" i="23"/>
  <c r="AK10" i="23"/>
  <c r="AL10" i="23"/>
  <c r="AM10" i="23"/>
  <c r="AN10" i="23"/>
  <c r="AO10" i="23"/>
  <c r="AP10" i="23"/>
  <c r="D11" i="23"/>
  <c r="E11" i="23"/>
  <c r="F11" i="23"/>
  <c r="G11" i="23"/>
  <c r="H11" i="23"/>
  <c r="I11" i="23"/>
  <c r="J11" i="23"/>
  <c r="K11" i="23"/>
  <c r="L11" i="23"/>
  <c r="M11" i="23"/>
  <c r="N11" i="23"/>
  <c r="O11" i="23"/>
  <c r="P11" i="23"/>
  <c r="Q11" i="23"/>
  <c r="R11" i="23"/>
  <c r="S11" i="23"/>
  <c r="T11" i="23"/>
  <c r="U11" i="23"/>
  <c r="V11" i="23"/>
  <c r="W11" i="23"/>
  <c r="X11" i="23"/>
  <c r="Y11" i="23"/>
  <c r="Z11" i="23"/>
  <c r="AA11" i="23"/>
  <c r="AB11" i="23"/>
  <c r="AC11" i="23"/>
  <c r="AD11" i="23"/>
  <c r="AE11" i="23"/>
  <c r="AF11" i="23"/>
  <c r="AG11" i="23"/>
  <c r="AH11" i="23"/>
  <c r="AI11" i="23"/>
  <c r="AJ11" i="23"/>
  <c r="AK11" i="23"/>
  <c r="AL11" i="23"/>
  <c r="AM11" i="23"/>
  <c r="AN11" i="23"/>
  <c r="AO11" i="23"/>
  <c r="AP11" i="23"/>
  <c r="C13" i="4"/>
  <c r="N146" i="23"/>
  <c r="O146" i="23"/>
  <c r="P146" i="23"/>
  <c r="Q146" i="23"/>
  <c r="Y146" i="23"/>
  <c r="Z146" i="23"/>
  <c r="AA146" i="23"/>
  <c r="N147" i="23"/>
  <c r="O147" i="23"/>
  <c r="P147" i="23"/>
  <c r="Q147" i="23"/>
  <c r="Y147" i="23"/>
  <c r="Z147" i="23"/>
  <c r="AA147" i="23"/>
  <c r="N148" i="23"/>
  <c r="O148" i="23"/>
  <c r="P148" i="23"/>
  <c r="Q148" i="23"/>
  <c r="Y148" i="23"/>
  <c r="Z148" i="23"/>
  <c r="AA148" i="23"/>
  <c r="N149" i="23"/>
  <c r="O149" i="23"/>
  <c r="P149" i="23"/>
  <c r="Q149" i="23"/>
  <c r="Y149" i="23"/>
  <c r="Z149" i="23"/>
  <c r="AA149" i="23"/>
  <c r="N150" i="23"/>
  <c r="O150" i="23"/>
  <c r="P150" i="23"/>
  <c r="Q150" i="23"/>
  <c r="Y150" i="23"/>
  <c r="Z150" i="23"/>
  <c r="AA150" i="23"/>
  <c r="N151" i="23"/>
  <c r="O151" i="23"/>
  <c r="P151" i="23"/>
  <c r="Q151" i="23"/>
  <c r="Y151" i="23"/>
  <c r="Z151" i="23"/>
  <c r="AA151" i="23"/>
  <c r="F156" i="23"/>
  <c r="I156" i="23" s="1"/>
  <c r="J156" i="23" s="1"/>
  <c r="N156" i="23"/>
  <c r="P156" i="23" s="1"/>
  <c r="R156" i="23" s="1"/>
  <c r="F157" i="23"/>
  <c r="I157" i="23" s="1"/>
  <c r="J157" i="23" s="1"/>
  <c r="N157" i="23"/>
  <c r="P157" i="23" s="1"/>
  <c r="F158" i="23"/>
  <c r="I158" i="23" s="1"/>
  <c r="J158" i="23" s="1"/>
  <c r="N158" i="23"/>
  <c r="P158" i="23" s="1"/>
  <c r="R158" i="23" s="1"/>
  <c r="F159" i="23"/>
  <c r="I159" i="23" s="1"/>
  <c r="J159" i="23" s="1"/>
  <c r="N159" i="23"/>
  <c r="P159" i="23" s="1"/>
  <c r="F160" i="23"/>
  <c r="I160" i="23" s="1"/>
  <c r="J160" i="23" s="1"/>
  <c r="N160" i="23"/>
  <c r="P160" i="23" s="1"/>
  <c r="F161" i="23"/>
  <c r="I161" i="23" s="1"/>
  <c r="J161" i="23" s="1"/>
  <c r="N161" i="23"/>
  <c r="P161" i="23" s="1"/>
  <c r="R161" i="23" s="1"/>
  <c r="F162" i="23"/>
  <c r="I162" i="23" s="1"/>
  <c r="J162" i="23" s="1"/>
  <c r="N162" i="23"/>
  <c r="P162" i="23" s="1"/>
  <c r="F163" i="23"/>
  <c r="I163" i="23" s="1"/>
  <c r="J163" i="23" s="1"/>
  <c r="N163" i="23"/>
  <c r="P163" i="23" s="1"/>
  <c r="R163" i="23" s="1"/>
  <c r="F164" i="23"/>
  <c r="I164" i="23" s="1"/>
  <c r="J164" i="23" s="1"/>
  <c r="N164" i="23"/>
  <c r="P164" i="23" s="1"/>
  <c r="F165" i="23"/>
  <c r="I165" i="23" s="1"/>
  <c r="J165" i="23" s="1"/>
  <c r="N165" i="23"/>
  <c r="P165" i="23" s="1"/>
  <c r="F166" i="23"/>
  <c r="I166" i="23" s="1"/>
  <c r="J166" i="23" s="1"/>
  <c r="N166" i="23"/>
  <c r="P166" i="23" s="1"/>
  <c r="R166" i="23" s="1"/>
  <c r="F167" i="23"/>
  <c r="I167" i="23" s="1"/>
  <c r="J167" i="23" s="1"/>
  <c r="N167" i="23"/>
  <c r="P167" i="23" s="1"/>
  <c r="F168" i="23"/>
  <c r="I168" i="23" s="1"/>
  <c r="J168" i="23" s="1"/>
  <c r="N168" i="23"/>
  <c r="P168" i="23" s="1"/>
  <c r="R168" i="23" s="1"/>
  <c r="F169" i="23"/>
  <c r="I169" i="23" s="1"/>
  <c r="J169" i="23" s="1"/>
  <c r="N169" i="23" s="1"/>
  <c r="P169" i="23" s="1"/>
  <c r="R169" i="23" s="1"/>
  <c r="F170" i="23"/>
  <c r="I170" i="23" s="1"/>
  <c r="J170" i="23" s="1"/>
  <c r="N170" i="23" s="1"/>
  <c r="P170" i="23" s="1"/>
  <c r="F171" i="23"/>
  <c r="I171" i="23" s="1"/>
  <c r="J171" i="23" s="1"/>
  <c r="N171" i="23"/>
  <c r="P171" i="23" s="1"/>
  <c r="F172" i="23"/>
  <c r="I172" i="23" s="1"/>
  <c r="J172" i="23" s="1"/>
  <c r="N172" i="23"/>
  <c r="P172" i="23" s="1"/>
  <c r="R172" i="23" s="1"/>
  <c r="S172" i="23" s="1"/>
  <c r="N173" i="23"/>
  <c r="P173" i="23" s="1"/>
  <c r="A3" i="22"/>
  <c r="B7" i="22"/>
  <c r="B8" i="22" s="1"/>
  <c r="B52" i="20" s="1"/>
  <c r="C7" i="22"/>
  <c r="C8" i="22" s="1"/>
  <c r="C52" i="20" s="1"/>
  <c r="D7" i="22"/>
  <c r="D8" i="22" s="1"/>
  <c r="D52" i="20" s="1"/>
  <c r="E7" i="22"/>
  <c r="E8" i="22" s="1"/>
  <c r="E52" i="20" s="1"/>
  <c r="F7" i="22"/>
  <c r="F8" i="22" s="1"/>
  <c r="F52" i="20" s="1"/>
  <c r="G7" i="22"/>
  <c r="G8" i="22" s="1"/>
  <c r="G52" i="20" s="1"/>
  <c r="H7" i="22"/>
  <c r="H8" i="22" s="1"/>
  <c r="H52" i="20" s="1"/>
  <c r="I7" i="22"/>
  <c r="J7" i="22"/>
  <c r="J8" i="22" s="1"/>
  <c r="J52" i="20" s="1"/>
  <c r="K7" i="22"/>
  <c r="K8" i="22" s="1"/>
  <c r="K52" i="20" s="1"/>
  <c r="L7" i="22"/>
  <c r="L8" i="22" s="1"/>
  <c r="L52" i="20" s="1"/>
  <c r="M7" i="22"/>
  <c r="M8" i="22" s="1"/>
  <c r="M52" i="20" s="1"/>
  <c r="N7" i="22"/>
  <c r="N8" i="22" s="1"/>
  <c r="N52" i="20" s="1"/>
  <c r="O7" i="22"/>
  <c r="O8" i="22" s="1"/>
  <c r="O52" i="20" s="1"/>
  <c r="P7" i="22"/>
  <c r="P8" i="22" s="1"/>
  <c r="P52" i="20" s="1"/>
  <c r="Q7" i="22"/>
  <c r="Q8" i="22" s="1"/>
  <c r="Q52" i="20" s="1"/>
  <c r="R7" i="22"/>
  <c r="R8" i="22" s="1"/>
  <c r="R52" i="20" s="1"/>
  <c r="S7" i="22"/>
  <c r="S8" i="22" s="1"/>
  <c r="S52" i="20" s="1"/>
  <c r="T7" i="22"/>
  <c r="T8" i="22" s="1"/>
  <c r="T52" i="20" s="1"/>
  <c r="U7" i="22"/>
  <c r="U8" i="22" s="1"/>
  <c r="U52" i="20" s="1"/>
  <c r="V7" i="22"/>
  <c r="V8" i="22" s="1"/>
  <c r="V52" i="20" s="1"/>
  <c r="W7" i="22"/>
  <c r="W8" i="22" s="1"/>
  <c r="W52" i="20" s="1"/>
  <c r="X7" i="22"/>
  <c r="X8" i="22" s="1"/>
  <c r="X52" i="20" s="1"/>
  <c r="Y7" i="22"/>
  <c r="Y8" i="22" s="1"/>
  <c r="Y52" i="20" s="1"/>
  <c r="Z7" i="22"/>
  <c r="Z8" i="22" s="1"/>
  <c r="Z52" i="20" s="1"/>
  <c r="AA7" i="22"/>
  <c r="AA8" i="22" s="1"/>
  <c r="AA52" i="20" s="1"/>
  <c r="AB7" i="22"/>
  <c r="AB8" i="22" s="1"/>
  <c r="AB52" i="20" s="1"/>
  <c r="AC7" i="22"/>
  <c r="AC8" i="22" s="1"/>
  <c r="AC52" i="20" s="1"/>
  <c r="AD7" i="22"/>
  <c r="AD8" i="22" s="1"/>
  <c r="AD52" i="20" s="1"/>
  <c r="AE7" i="22"/>
  <c r="AE8" i="22" s="1"/>
  <c r="AE52" i="20" s="1"/>
  <c r="AF7" i="22"/>
  <c r="AF8" i="22" s="1"/>
  <c r="AF52" i="20" s="1"/>
  <c r="AG7" i="22"/>
  <c r="AG8" i="22" s="1"/>
  <c r="AG52" i="20" s="1"/>
  <c r="AH7" i="22"/>
  <c r="AH8" i="22" s="1"/>
  <c r="AH52" i="20" s="1"/>
  <c r="AI7" i="22"/>
  <c r="AI8" i="22" s="1"/>
  <c r="AI52" i="20" s="1"/>
  <c r="AJ7" i="22"/>
  <c r="AJ8" i="22" s="1"/>
  <c r="AJ52" i="20" s="1"/>
  <c r="AK7" i="22"/>
  <c r="AK8" i="22" s="1"/>
  <c r="AK52" i="20" s="1"/>
  <c r="AL7" i="22"/>
  <c r="AL8" i="22" s="1"/>
  <c r="AL52" i="20" s="1"/>
  <c r="AM7" i="22"/>
  <c r="AM8" i="22" s="1"/>
  <c r="AM52" i="20" s="1"/>
  <c r="AN7" i="22"/>
  <c r="AN8" i="22" s="1"/>
  <c r="AN52" i="20" s="1"/>
  <c r="I8" i="22"/>
  <c r="I52" i="20" s="1"/>
  <c r="R17" i="22"/>
  <c r="B5" i="21"/>
  <c r="C11" i="21"/>
  <c r="C13" i="21" s="1"/>
  <c r="D11" i="21"/>
  <c r="D13" i="21" s="1"/>
  <c r="E11" i="21"/>
  <c r="F11" i="21"/>
  <c r="F13" i="21" s="1"/>
  <c r="G11" i="21"/>
  <c r="H11" i="21"/>
  <c r="I11" i="21"/>
  <c r="I14" i="21" s="1"/>
  <c r="J11" i="21"/>
  <c r="K11" i="21"/>
  <c r="L11" i="21"/>
  <c r="M11" i="21"/>
  <c r="M13" i="21" s="1"/>
  <c r="N11" i="21"/>
  <c r="N14" i="21" s="1"/>
  <c r="O11" i="21"/>
  <c r="O14" i="21" s="1"/>
  <c r="P11" i="21"/>
  <c r="Q11" i="21"/>
  <c r="R11" i="21"/>
  <c r="R12" i="21" s="1"/>
  <c r="S11" i="21"/>
  <c r="S14" i="21" s="1"/>
  <c r="T11" i="21"/>
  <c r="T14" i="21" s="1"/>
  <c r="U11" i="21"/>
  <c r="U14" i="21" s="1"/>
  <c r="V11" i="21"/>
  <c r="V14" i="21" s="1"/>
  <c r="W11" i="21"/>
  <c r="X11" i="21"/>
  <c r="Y11" i="21"/>
  <c r="Z11" i="21"/>
  <c r="AA11" i="21"/>
  <c r="AA13" i="21" s="1"/>
  <c r="AB11" i="21"/>
  <c r="AB12" i="21" s="1"/>
  <c r="AC11" i="21"/>
  <c r="AD11" i="21"/>
  <c r="AD13" i="21" s="1"/>
  <c r="AE11" i="21"/>
  <c r="AF11" i="21"/>
  <c r="AG11" i="21"/>
  <c r="AG13" i="21" s="1"/>
  <c r="AH11" i="21"/>
  <c r="AH12" i="21" s="1"/>
  <c r="AI11" i="21"/>
  <c r="AI14" i="21" s="1"/>
  <c r="AJ11" i="21"/>
  <c r="AJ13" i="21" s="1"/>
  <c r="AK11" i="21"/>
  <c r="AK12" i="21" s="1"/>
  <c r="AL11" i="21"/>
  <c r="AL14" i="21" s="1"/>
  <c r="AM11" i="21"/>
  <c r="AN11" i="21"/>
  <c r="AO11" i="21"/>
  <c r="AO14" i="21" s="1"/>
  <c r="C19" i="21"/>
  <c r="D19" i="21"/>
  <c r="D20" i="21" s="1"/>
  <c r="E19" i="21"/>
  <c r="F19" i="21"/>
  <c r="F20" i="21" s="1"/>
  <c r="G19" i="21"/>
  <c r="G20" i="21" s="1"/>
  <c r="H19" i="21"/>
  <c r="H20" i="21" s="1"/>
  <c r="I19" i="21"/>
  <c r="J19" i="21"/>
  <c r="K19" i="21"/>
  <c r="K20" i="21" s="1"/>
  <c r="L19" i="21"/>
  <c r="L20" i="21" s="1"/>
  <c r="M19" i="21"/>
  <c r="N19" i="21"/>
  <c r="N20" i="21" s="1"/>
  <c r="O19" i="21"/>
  <c r="O20" i="21" s="1"/>
  <c r="P19" i="21"/>
  <c r="P20" i="21" s="1"/>
  <c r="Q19" i="21"/>
  <c r="R19" i="21"/>
  <c r="S19" i="21"/>
  <c r="S20" i="21" s="1"/>
  <c r="T19" i="21"/>
  <c r="T20" i="21" s="1"/>
  <c r="U19" i="21"/>
  <c r="V19" i="21"/>
  <c r="V20" i="21" s="1"/>
  <c r="W19" i="21"/>
  <c r="W20" i="21" s="1"/>
  <c r="X19" i="21"/>
  <c r="X20" i="21" s="1"/>
  <c r="Y19" i="21"/>
  <c r="Y20" i="21" s="1"/>
  <c r="Z19" i="21"/>
  <c r="AA19" i="21"/>
  <c r="AB19" i="21"/>
  <c r="AB20" i="21" s="1"/>
  <c r="AC19" i="21"/>
  <c r="AD19" i="21"/>
  <c r="AE19" i="21"/>
  <c r="AE20" i="21" s="1"/>
  <c r="AF19" i="21"/>
  <c r="AF20" i="21" s="1"/>
  <c r="AG19" i="21"/>
  <c r="AH19" i="21"/>
  <c r="AI19" i="21"/>
  <c r="AJ19" i="21"/>
  <c r="AJ20" i="21" s="1"/>
  <c r="AK19" i="21"/>
  <c r="AL19" i="21"/>
  <c r="AM19" i="21"/>
  <c r="AN19" i="21"/>
  <c r="AN20" i="21" s="1"/>
  <c r="AO19" i="21"/>
  <c r="J21" i="21"/>
  <c r="D92" i="21"/>
  <c r="E91" i="21" s="1"/>
  <c r="A6" i="20"/>
  <c r="B73" i="20"/>
  <c r="C73" i="20"/>
  <c r="D73" i="20"/>
  <c r="E73" i="20"/>
  <c r="F73" i="20"/>
  <c r="G73" i="20"/>
  <c r="H73" i="20"/>
  <c r="I73" i="20"/>
  <c r="J73" i="20"/>
  <c r="K73" i="20"/>
  <c r="M73" i="20"/>
  <c r="N73" i="20"/>
  <c r="O73" i="20"/>
  <c r="P73" i="20"/>
  <c r="Q73" i="20"/>
  <c r="S73" i="20"/>
  <c r="U73" i="20"/>
  <c r="V73" i="20"/>
  <c r="W73" i="20"/>
  <c r="X73" i="20"/>
  <c r="Y73" i="20"/>
  <c r="Z73" i="20"/>
  <c r="AA73" i="20"/>
  <c r="AB73" i="20"/>
  <c r="AC73" i="20"/>
  <c r="AD73" i="20"/>
  <c r="AE73" i="20"/>
  <c r="AF73" i="20"/>
  <c r="AG73" i="20"/>
  <c r="AH73" i="20"/>
  <c r="AI73" i="20"/>
  <c r="AJ73" i="20"/>
  <c r="AK73" i="20"/>
  <c r="AL73" i="20"/>
  <c r="AM73" i="20"/>
  <c r="AN73" i="20"/>
  <c r="B74" i="20"/>
  <c r="C74" i="20"/>
  <c r="D74" i="20"/>
  <c r="E74" i="20"/>
  <c r="F74" i="20"/>
  <c r="G74" i="20"/>
  <c r="H74" i="20"/>
  <c r="I74" i="20"/>
  <c r="J74" i="20"/>
  <c r="K74" i="20"/>
  <c r="M74" i="20"/>
  <c r="N74" i="20"/>
  <c r="O74" i="20"/>
  <c r="P74" i="20"/>
  <c r="Q74" i="20"/>
  <c r="S74" i="20"/>
  <c r="U74" i="20"/>
  <c r="V74" i="20"/>
  <c r="W74" i="20"/>
  <c r="X74" i="20"/>
  <c r="Y74" i="20"/>
  <c r="Z74" i="20"/>
  <c r="AA74" i="20"/>
  <c r="AB74" i="20"/>
  <c r="AC74" i="20"/>
  <c r="AD74" i="20"/>
  <c r="AE74" i="20"/>
  <c r="AF74" i="20"/>
  <c r="AG74" i="20"/>
  <c r="AH74" i="20"/>
  <c r="AI74" i="20"/>
  <c r="AJ74" i="20"/>
  <c r="AK74" i="20"/>
  <c r="AL74" i="20"/>
  <c r="AM74" i="20"/>
  <c r="AN74" i="20"/>
  <c r="B77" i="20"/>
  <c r="C77" i="20"/>
  <c r="D77" i="20"/>
  <c r="E77" i="20"/>
  <c r="F77" i="20"/>
  <c r="G77" i="20"/>
  <c r="H77" i="20"/>
  <c r="I77" i="20"/>
  <c r="J77" i="20"/>
  <c r="K77" i="20"/>
  <c r="M77" i="20"/>
  <c r="N77" i="20"/>
  <c r="O77" i="20"/>
  <c r="P77" i="20"/>
  <c r="Q77" i="20"/>
  <c r="S77" i="20"/>
  <c r="U77" i="20"/>
  <c r="V77" i="20"/>
  <c r="W77" i="20"/>
  <c r="X77" i="20"/>
  <c r="Y77" i="20"/>
  <c r="Z77" i="20"/>
  <c r="AA77" i="20"/>
  <c r="AB77" i="20"/>
  <c r="AC77" i="20"/>
  <c r="AD77" i="20"/>
  <c r="AE77" i="20"/>
  <c r="AF77" i="20"/>
  <c r="AG77" i="20"/>
  <c r="AH77" i="20"/>
  <c r="AI77" i="20"/>
  <c r="AJ77" i="20"/>
  <c r="AK77" i="20"/>
  <c r="AL77" i="20"/>
  <c r="AM77" i="20"/>
  <c r="AN77" i="20"/>
  <c r="G3" i="19"/>
  <c r="G4" i="19"/>
  <c r="G5" i="19"/>
  <c r="G6" i="19"/>
  <c r="G7" i="19"/>
  <c r="D25" i="19"/>
  <c r="D26" i="19"/>
  <c r="A7" i="18"/>
  <c r="B11" i="18"/>
  <c r="B12" i="18" s="1"/>
  <c r="C11" i="18"/>
  <c r="C12" i="18" s="1"/>
  <c r="D11" i="18"/>
  <c r="D12" i="18" s="1"/>
  <c r="E11" i="18"/>
  <c r="E12" i="18" s="1"/>
  <c r="F11" i="18"/>
  <c r="F12" i="18" s="1"/>
  <c r="G11" i="18"/>
  <c r="G12" i="18" s="1"/>
  <c r="H11" i="18"/>
  <c r="H12" i="18" s="1"/>
  <c r="I11" i="18"/>
  <c r="J11" i="18"/>
  <c r="J12" i="18" s="1"/>
  <c r="K11" i="18"/>
  <c r="K12" i="18" s="1"/>
  <c r="L11" i="18"/>
  <c r="L12" i="18" s="1"/>
  <c r="M11" i="18"/>
  <c r="M12" i="18" s="1"/>
  <c r="N11" i="18"/>
  <c r="N12" i="18" s="1"/>
  <c r="O11" i="18"/>
  <c r="O12" i="18" s="1"/>
  <c r="P11" i="18"/>
  <c r="P12" i="18" s="1"/>
  <c r="Q11" i="18"/>
  <c r="Q12" i="18" s="1"/>
  <c r="R11" i="18"/>
  <c r="R12" i="18" s="1"/>
  <c r="S11" i="18"/>
  <c r="S12" i="18" s="1"/>
  <c r="T11" i="18"/>
  <c r="T12" i="18" s="1"/>
  <c r="U11" i="18"/>
  <c r="U12" i="18" s="1"/>
  <c r="V11" i="18"/>
  <c r="V12" i="18" s="1"/>
  <c r="W11" i="18"/>
  <c r="W12" i="18" s="1"/>
  <c r="X11" i="18"/>
  <c r="X12" i="18" s="1"/>
  <c r="Y11" i="18"/>
  <c r="Y12" i="18" s="1"/>
  <c r="Z11" i="18"/>
  <c r="Z12" i="18" s="1"/>
  <c r="AA11" i="18"/>
  <c r="AA12" i="18" s="1"/>
  <c r="AB11" i="18"/>
  <c r="AB12" i="18" s="1"/>
  <c r="AC11" i="18"/>
  <c r="AC12" i="18" s="1"/>
  <c r="AD11" i="18"/>
  <c r="AD12" i="18" s="1"/>
  <c r="AE11" i="18"/>
  <c r="AE12" i="18" s="1"/>
  <c r="AF11" i="18"/>
  <c r="AF12" i="18" s="1"/>
  <c r="AG11" i="18"/>
  <c r="AG12" i="18" s="1"/>
  <c r="AH11" i="18"/>
  <c r="AH12" i="18" s="1"/>
  <c r="AI11" i="18"/>
  <c r="AI12" i="18" s="1"/>
  <c r="AJ11" i="18"/>
  <c r="AJ12" i="18" s="1"/>
  <c r="AK11" i="18"/>
  <c r="AK12" i="18" s="1"/>
  <c r="AL11" i="18"/>
  <c r="AL12" i="18" s="1"/>
  <c r="AM11" i="18"/>
  <c r="AM12" i="18" s="1"/>
  <c r="AN11" i="18"/>
  <c r="AN12" i="18" s="1"/>
  <c r="I12" i="18"/>
  <c r="B13" i="18"/>
  <c r="C13" i="18"/>
  <c r="D13" i="18"/>
  <c r="E13" i="18"/>
  <c r="F13" i="18"/>
  <c r="G13" i="18"/>
  <c r="H13" i="18"/>
  <c r="I13" i="18"/>
  <c r="J13" i="18"/>
  <c r="K13" i="18"/>
  <c r="L13" i="18"/>
  <c r="M13" i="18"/>
  <c r="N13" i="18"/>
  <c r="O13" i="18"/>
  <c r="P13" i="18"/>
  <c r="Q13" i="18"/>
  <c r="R13" i="18"/>
  <c r="S13" i="18"/>
  <c r="T13" i="18"/>
  <c r="U13" i="18"/>
  <c r="V13" i="18"/>
  <c r="W13" i="18"/>
  <c r="X13" i="18"/>
  <c r="Y13" i="18"/>
  <c r="Z13" i="18"/>
  <c r="AA13" i="18"/>
  <c r="AB13" i="18"/>
  <c r="AC13" i="18"/>
  <c r="AD13" i="18"/>
  <c r="AE13" i="18"/>
  <c r="AF13" i="18"/>
  <c r="AG13" i="18"/>
  <c r="AH13" i="18"/>
  <c r="AI13" i="18"/>
  <c r="AJ13" i="18"/>
  <c r="AK13" i="18"/>
  <c r="AL13" i="18"/>
  <c r="AM13" i="18"/>
  <c r="AN13" i="18"/>
  <c r="B14" i="18"/>
  <c r="C14" i="18"/>
  <c r="D14" i="18"/>
  <c r="E14" i="18"/>
  <c r="F14" i="18"/>
  <c r="G14" i="18"/>
  <c r="H14" i="18"/>
  <c r="I14" i="18"/>
  <c r="J14" i="18"/>
  <c r="K14" i="18"/>
  <c r="L14" i="18"/>
  <c r="M14" i="18"/>
  <c r="N14" i="18"/>
  <c r="O14" i="18"/>
  <c r="P14" i="18"/>
  <c r="Q14" i="18"/>
  <c r="R14" i="18"/>
  <c r="S14" i="18"/>
  <c r="T14" i="18"/>
  <c r="U14" i="18"/>
  <c r="V14" i="18"/>
  <c r="W14" i="18"/>
  <c r="X14" i="18"/>
  <c r="Y14" i="18"/>
  <c r="Z14" i="18"/>
  <c r="AA14" i="18"/>
  <c r="AB14" i="18"/>
  <c r="AC14" i="18"/>
  <c r="AD14" i="18"/>
  <c r="AE14" i="18"/>
  <c r="AF14" i="18"/>
  <c r="AG14" i="18"/>
  <c r="AH14" i="18"/>
  <c r="AI14" i="18"/>
  <c r="AJ14" i="18"/>
  <c r="AK14" i="18"/>
  <c r="AL14" i="18"/>
  <c r="AM14" i="18"/>
  <c r="AN14" i="18"/>
  <c r="U15" i="18"/>
  <c r="S15" i="18"/>
  <c r="E15" i="18"/>
  <c r="A3" i="17"/>
  <c r="AO9" i="17"/>
  <c r="K35" i="17"/>
  <c r="O35" i="17"/>
  <c r="W35" i="17"/>
  <c r="AJ35" i="17"/>
  <c r="AL35" i="17"/>
  <c r="N15" i="16"/>
  <c r="O15" i="16"/>
  <c r="P15" i="16"/>
  <c r="E16" i="16"/>
  <c r="E19" i="16" s="1"/>
  <c r="N16" i="16"/>
  <c r="O16" i="16"/>
  <c r="P16" i="16"/>
  <c r="N17" i="16"/>
  <c r="O17" i="16"/>
  <c r="P17" i="16"/>
  <c r="N18" i="16"/>
  <c r="O18" i="16"/>
  <c r="P18" i="16"/>
  <c r="C19" i="16"/>
  <c r="D19" i="16"/>
  <c r="N21" i="16"/>
  <c r="O21" i="16"/>
  <c r="P21" i="16"/>
  <c r="N22" i="16"/>
  <c r="O22" i="16"/>
  <c r="P22" i="16"/>
  <c r="N23" i="16"/>
  <c r="O23" i="16"/>
  <c r="P23" i="16"/>
  <c r="N24" i="16"/>
  <c r="O24" i="16"/>
  <c r="P24" i="16"/>
  <c r="N25" i="16"/>
  <c r="O25" i="16"/>
  <c r="P25" i="16"/>
  <c r="E26" i="16"/>
  <c r="I32" i="16"/>
  <c r="J32" i="16"/>
  <c r="K32" i="16"/>
  <c r="N32" i="16"/>
  <c r="O32" i="16"/>
  <c r="P32" i="16"/>
  <c r="S32" i="16"/>
  <c r="T32" i="16"/>
  <c r="U32" i="16"/>
  <c r="I33" i="16"/>
  <c r="J33" i="16"/>
  <c r="K33" i="16"/>
  <c r="N33" i="16"/>
  <c r="O33" i="16"/>
  <c r="P33" i="16"/>
  <c r="S33" i="16"/>
  <c r="T33" i="16"/>
  <c r="U33" i="16"/>
  <c r="I34" i="16"/>
  <c r="J34" i="16"/>
  <c r="K34" i="16"/>
  <c r="N34" i="16"/>
  <c r="O34" i="16"/>
  <c r="P34" i="16"/>
  <c r="S34" i="16"/>
  <c r="T34" i="16"/>
  <c r="U34" i="16"/>
  <c r="I35" i="16"/>
  <c r="J35" i="16"/>
  <c r="K35" i="16"/>
  <c r="N35" i="16"/>
  <c r="O35" i="16"/>
  <c r="P35" i="16"/>
  <c r="S35" i="16"/>
  <c r="T35" i="16"/>
  <c r="U35" i="16"/>
  <c r="I36" i="16"/>
  <c r="J36" i="16"/>
  <c r="K36" i="16"/>
  <c r="N36" i="16"/>
  <c r="O36" i="16"/>
  <c r="P36" i="16"/>
  <c r="S36" i="16"/>
  <c r="T36" i="16"/>
  <c r="U36" i="16"/>
  <c r="I37" i="16"/>
  <c r="J37" i="16"/>
  <c r="K37" i="16"/>
  <c r="N37" i="16"/>
  <c r="O37" i="16"/>
  <c r="P37" i="16"/>
  <c r="S37" i="16"/>
  <c r="T37" i="16"/>
  <c r="U37" i="16"/>
  <c r="I38" i="16"/>
  <c r="J38" i="16"/>
  <c r="K38" i="16"/>
  <c r="N38" i="16"/>
  <c r="O38" i="16"/>
  <c r="P38" i="16"/>
  <c r="S38" i="16"/>
  <c r="T38" i="16"/>
  <c r="U38" i="16"/>
  <c r="I39" i="16"/>
  <c r="J39" i="16"/>
  <c r="K39" i="16"/>
  <c r="N39" i="16"/>
  <c r="O39" i="16"/>
  <c r="P39" i="16"/>
  <c r="S39" i="16"/>
  <c r="T39" i="16"/>
  <c r="U39" i="16"/>
  <c r="I40" i="16"/>
  <c r="J40" i="16"/>
  <c r="K40" i="16"/>
  <c r="N40" i="16"/>
  <c r="O40" i="16"/>
  <c r="P40" i="16"/>
  <c r="S40" i="16"/>
  <c r="T40" i="16"/>
  <c r="U40" i="16"/>
  <c r="I41" i="16"/>
  <c r="J41" i="16"/>
  <c r="K41" i="16"/>
  <c r="N41" i="16"/>
  <c r="O41" i="16"/>
  <c r="P41" i="16"/>
  <c r="S41" i="16"/>
  <c r="T41" i="16"/>
  <c r="U41" i="16"/>
  <c r="I42" i="16"/>
  <c r="J42" i="16"/>
  <c r="K42" i="16"/>
  <c r="N42" i="16"/>
  <c r="O42" i="16"/>
  <c r="P42" i="16"/>
  <c r="S42" i="16"/>
  <c r="T42" i="16"/>
  <c r="U42" i="16"/>
  <c r="I43" i="16"/>
  <c r="J43" i="16"/>
  <c r="K43" i="16"/>
  <c r="N43" i="16"/>
  <c r="O43" i="16"/>
  <c r="P43" i="16"/>
  <c r="S43" i="16"/>
  <c r="T43" i="16"/>
  <c r="U43" i="16"/>
  <c r="I44" i="16"/>
  <c r="J44" i="16"/>
  <c r="K44" i="16"/>
  <c r="N44" i="16"/>
  <c r="O44" i="16"/>
  <c r="P44" i="16"/>
  <c r="S44" i="16"/>
  <c r="T44" i="16"/>
  <c r="U44" i="16"/>
  <c r="I45" i="16"/>
  <c r="J45" i="16"/>
  <c r="K45" i="16"/>
  <c r="N45" i="16"/>
  <c r="O45" i="16"/>
  <c r="P45" i="16"/>
  <c r="S45" i="16"/>
  <c r="T45" i="16"/>
  <c r="U45" i="16"/>
  <c r="I46" i="16"/>
  <c r="J46" i="16"/>
  <c r="K46" i="16"/>
  <c r="N46" i="16"/>
  <c r="O46" i="16"/>
  <c r="P46" i="16"/>
  <c r="S46" i="16"/>
  <c r="T46" i="16"/>
  <c r="U46" i="16"/>
  <c r="I47" i="16"/>
  <c r="J47" i="16"/>
  <c r="K47" i="16"/>
  <c r="N47" i="16"/>
  <c r="O47" i="16"/>
  <c r="P47" i="16"/>
  <c r="S47" i="16"/>
  <c r="T47" i="16"/>
  <c r="U47" i="16"/>
  <c r="I48" i="16"/>
  <c r="J48" i="16"/>
  <c r="K48" i="16"/>
  <c r="N48" i="16"/>
  <c r="O48" i="16"/>
  <c r="P48" i="16"/>
  <c r="S48" i="16"/>
  <c r="T48" i="16"/>
  <c r="U48" i="16"/>
  <c r="I49" i="16"/>
  <c r="J49" i="16"/>
  <c r="K49" i="16"/>
  <c r="N49" i="16"/>
  <c r="O49" i="16"/>
  <c r="P49" i="16"/>
  <c r="S49" i="16"/>
  <c r="T49" i="16"/>
  <c r="U49" i="16"/>
  <c r="I50" i="16"/>
  <c r="J50" i="16"/>
  <c r="K50" i="16"/>
  <c r="N50" i="16"/>
  <c r="O50" i="16"/>
  <c r="P50" i="16"/>
  <c r="S50" i="16"/>
  <c r="T50" i="16"/>
  <c r="U50" i="16"/>
  <c r="I51" i="16"/>
  <c r="J51" i="16"/>
  <c r="K51" i="16"/>
  <c r="N51" i="16"/>
  <c r="O51" i="16"/>
  <c r="P51" i="16"/>
  <c r="S51" i="16"/>
  <c r="T51" i="16"/>
  <c r="U51" i="16"/>
  <c r="I52" i="16"/>
  <c r="J52" i="16"/>
  <c r="K52" i="16"/>
  <c r="N52" i="16"/>
  <c r="O52" i="16"/>
  <c r="P52" i="16"/>
  <c r="S52" i="16"/>
  <c r="T52" i="16"/>
  <c r="U52" i="16"/>
  <c r="I53" i="16"/>
  <c r="J53" i="16"/>
  <c r="K53" i="16"/>
  <c r="N53" i="16"/>
  <c r="O53" i="16"/>
  <c r="P53" i="16"/>
  <c r="S53" i="16"/>
  <c r="T53" i="16"/>
  <c r="U53" i="16"/>
  <c r="I54" i="16"/>
  <c r="J54" i="16"/>
  <c r="K54" i="16"/>
  <c r="N54" i="16"/>
  <c r="O54" i="16"/>
  <c r="P54" i="16"/>
  <c r="S54" i="16"/>
  <c r="T54" i="16"/>
  <c r="U54" i="16"/>
  <c r="I55" i="16"/>
  <c r="J55" i="16"/>
  <c r="K55" i="16"/>
  <c r="N55" i="16"/>
  <c r="O55" i="16"/>
  <c r="P55" i="16"/>
  <c r="S55" i="16"/>
  <c r="T55" i="16"/>
  <c r="U55" i="16"/>
  <c r="I56" i="16"/>
  <c r="J56" i="16"/>
  <c r="K56" i="16"/>
  <c r="N56" i="16"/>
  <c r="O56" i="16"/>
  <c r="P56" i="16"/>
  <c r="S56" i="16"/>
  <c r="T56" i="16"/>
  <c r="U56" i="16"/>
  <c r="I57" i="16"/>
  <c r="J57" i="16"/>
  <c r="K57" i="16"/>
  <c r="N57" i="16"/>
  <c r="O57" i="16"/>
  <c r="P57" i="16"/>
  <c r="S57" i="16"/>
  <c r="T57" i="16"/>
  <c r="U57" i="16"/>
  <c r="I58" i="16"/>
  <c r="J58" i="16"/>
  <c r="K58" i="16"/>
  <c r="N58" i="16"/>
  <c r="O58" i="16"/>
  <c r="P58" i="16"/>
  <c r="S58" i="16"/>
  <c r="T58" i="16"/>
  <c r="U58" i="16"/>
  <c r="I59" i="16"/>
  <c r="J59" i="16"/>
  <c r="K59" i="16"/>
  <c r="N59" i="16"/>
  <c r="O59" i="16"/>
  <c r="P59" i="16"/>
  <c r="S59" i="16"/>
  <c r="T59" i="16"/>
  <c r="U59" i="16"/>
  <c r="I60" i="16"/>
  <c r="J60" i="16"/>
  <c r="K60" i="16"/>
  <c r="N60" i="16"/>
  <c r="O60" i="16"/>
  <c r="P60" i="16"/>
  <c r="S60" i="16"/>
  <c r="T60" i="16"/>
  <c r="U60" i="16"/>
  <c r="I61" i="16"/>
  <c r="J61" i="16"/>
  <c r="K61" i="16"/>
  <c r="N61" i="16"/>
  <c r="O61" i="16"/>
  <c r="P61" i="16"/>
  <c r="S61" i="16"/>
  <c r="T61" i="16"/>
  <c r="U61" i="16"/>
  <c r="I62" i="16"/>
  <c r="J62" i="16"/>
  <c r="K62" i="16"/>
  <c r="N62" i="16"/>
  <c r="O62" i="16"/>
  <c r="P62" i="16"/>
  <c r="S62" i="16"/>
  <c r="T62" i="16"/>
  <c r="U62" i="16"/>
  <c r="I63" i="16"/>
  <c r="J63" i="16"/>
  <c r="K63" i="16"/>
  <c r="N63" i="16"/>
  <c r="O63" i="16"/>
  <c r="P63" i="16"/>
  <c r="S63" i="16"/>
  <c r="T63" i="16"/>
  <c r="U63" i="16"/>
  <c r="I64" i="16"/>
  <c r="J64" i="16"/>
  <c r="K64" i="16"/>
  <c r="N64" i="16"/>
  <c r="O64" i="16"/>
  <c r="P64" i="16"/>
  <c r="S64" i="16"/>
  <c r="T64" i="16"/>
  <c r="U64" i="16"/>
  <c r="I65" i="16"/>
  <c r="J65" i="16"/>
  <c r="K65" i="16"/>
  <c r="N65" i="16"/>
  <c r="O65" i="16"/>
  <c r="P65" i="16"/>
  <c r="S65" i="16"/>
  <c r="T65" i="16"/>
  <c r="U65" i="16"/>
  <c r="I66" i="16"/>
  <c r="J66" i="16"/>
  <c r="K66" i="16"/>
  <c r="N66" i="16"/>
  <c r="O66" i="16"/>
  <c r="P66" i="16"/>
  <c r="S66" i="16"/>
  <c r="T66" i="16"/>
  <c r="U66" i="16"/>
  <c r="I67" i="16"/>
  <c r="J67" i="16"/>
  <c r="K67" i="16"/>
  <c r="N67" i="16"/>
  <c r="O67" i="16"/>
  <c r="P67" i="16"/>
  <c r="S67" i="16"/>
  <c r="T67" i="16"/>
  <c r="U67" i="16"/>
  <c r="I68" i="16"/>
  <c r="J68" i="16"/>
  <c r="K68" i="16"/>
  <c r="N68" i="16"/>
  <c r="O68" i="16"/>
  <c r="P68" i="16"/>
  <c r="S68" i="16"/>
  <c r="T68" i="16"/>
  <c r="U68" i="16"/>
  <c r="I69" i="16"/>
  <c r="J69" i="16"/>
  <c r="K69" i="16"/>
  <c r="N69" i="16"/>
  <c r="O69" i="16"/>
  <c r="P69" i="16"/>
  <c r="S69" i="16"/>
  <c r="T69" i="16"/>
  <c r="U69" i="16"/>
  <c r="I70" i="16"/>
  <c r="J70" i="16"/>
  <c r="K70" i="16"/>
  <c r="N70" i="16"/>
  <c r="O70" i="16"/>
  <c r="P70" i="16"/>
  <c r="S70" i="16"/>
  <c r="T70" i="16"/>
  <c r="U70" i="16"/>
  <c r="I71" i="16"/>
  <c r="J71" i="16"/>
  <c r="K71" i="16"/>
  <c r="N71" i="16"/>
  <c r="O71" i="16"/>
  <c r="P71" i="16"/>
  <c r="S71" i="16"/>
  <c r="T71" i="16"/>
  <c r="U71" i="16"/>
  <c r="I72" i="16"/>
  <c r="J72" i="16"/>
  <c r="K72" i="16"/>
  <c r="N72" i="16"/>
  <c r="O72" i="16"/>
  <c r="P72" i="16"/>
  <c r="S72" i="16"/>
  <c r="T72" i="16"/>
  <c r="U72" i="16"/>
  <c r="I73" i="16"/>
  <c r="J73" i="16"/>
  <c r="K73" i="16"/>
  <c r="N73" i="16"/>
  <c r="O73" i="16"/>
  <c r="P73" i="16"/>
  <c r="S73" i="16"/>
  <c r="T73" i="16"/>
  <c r="U73" i="16"/>
  <c r="I74" i="16"/>
  <c r="J74" i="16"/>
  <c r="K74" i="16"/>
  <c r="N74" i="16"/>
  <c r="O74" i="16"/>
  <c r="P74" i="16"/>
  <c r="S74" i="16"/>
  <c r="T74" i="16"/>
  <c r="U74" i="16"/>
  <c r="I75" i="16"/>
  <c r="J75" i="16"/>
  <c r="K75" i="16"/>
  <c r="N75" i="16"/>
  <c r="O75" i="16"/>
  <c r="P75" i="16"/>
  <c r="S75" i="16"/>
  <c r="T75" i="16"/>
  <c r="U75" i="16"/>
  <c r="I76" i="16"/>
  <c r="J76" i="16"/>
  <c r="K76" i="16"/>
  <c r="N76" i="16"/>
  <c r="O76" i="16"/>
  <c r="P76" i="16"/>
  <c r="S76" i="16"/>
  <c r="T76" i="16"/>
  <c r="U76" i="16"/>
  <c r="I77" i="16"/>
  <c r="J77" i="16"/>
  <c r="K77" i="16"/>
  <c r="N77" i="16"/>
  <c r="O77" i="16"/>
  <c r="P77" i="16"/>
  <c r="S77" i="16"/>
  <c r="T77" i="16"/>
  <c r="U77" i="16"/>
  <c r="I78" i="16"/>
  <c r="J78" i="16"/>
  <c r="K78" i="16"/>
  <c r="N78" i="16"/>
  <c r="O78" i="16"/>
  <c r="P78" i="16"/>
  <c r="S78" i="16"/>
  <c r="T78" i="16"/>
  <c r="U78" i="16"/>
  <c r="I79" i="16"/>
  <c r="J79" i="16"/>
  <c r="K79" i="16"/>
  <c r="N79" i="16"/>
  <c r="O79" i="16"/>
  <c r="P79" i="16"/>
  <c r="S79" i="16"/>
  <c r="T79" i="16"/>
  <c r="U79" i="16"/>
  <c r="I80" i="16"/>
  <c r="J80" i="16"/>
  <c r="K80" i="16"/>
  <c r="N80" i="16"/>
  <c r="O80" i="16"/>
  <c r="P80" i="16"/>
  <c r="S80" i="16"/>
  <c r="T80" i="16"/>
  <c r="U80" i="16"/>
  <c r="I81" i="16"/>
  <c r="J81" i="16"/>
  <c r="K81" i="16"/>
  <c r="N81" i="16"/>
  <c r="O81" i="16"/>
  <c r="P81" i="16"/>
  <c r="S81" i="16"/>
  <c r="T81" i="16"/>
  <c r="U81" i="16"/>
  <c r="A3" i="14"/>
  <c r="C34" i="13"/>
  <c r="B17" i="13" a="1"/>
  <c r="B17" i="13" s="1"/>
  <c r="C17" i="13" a="1"/>
  <c r="C17" i="13" s="1"/>
  <c r="D17" i="13" a="1"/>
  <c r="D17" i="13" s="1"/>
  <c r="E17" i="13" a="1"/>
  <c r="E17" i="13" s="1"/>
  <c r="B34" i="13"/>
  <c r="D34" i="13"/>
  <c r="E34" i="13"/>
  <c r="B35" i="13"/>
  <c r="C35" i="13"/>
  <c r="D35" i="13"/>
  <c r="E35" i="13"/>
  <c r="B36" i="13"/>
  <c r="C36" i="13"/>
  <c r="D36" i="13"/>
  <c r="E36" i="13"/>
  <c r="B39" i="13"/>
  <c r="C39" i="13"/>
  <c r="D39" i="13"/>
  <c r="E39" i="13"/>
  <c r="E50" i="13"/>
  <c r="F57" i="13"/>
  <c r="B58" i="13" s="1"/>
  <c r="B59" i="13" s="1"/>
  <c r="B60" i="13"/>
  <c r="C60" i="13"/>
  <c r="D60" i="13"/>
  <c r="E60" i="13"/>
  <c r="N70" i="13"/>
  <c r="N71" i="13"/>
  <c r="N72" i="13"/>
  <c r="X107" i="13"/>
  <c r="Y107" i="13"/>
  <c r="Z107" i="13"/>
  <c r="AA107" i="13"/>
  <c r="AB107" i="13"/>
  <c r="AC107" i="13"/>
  <c r="AD107" i="13"/>
  <c r="AE107" i="13"/>
  <c r="AF107" i="13"/>
  <c r="AG107" i="13"/>
  <c r="AH107" i="13"/>
  <c r="AI107" i="13"/>
  <c r="AJ107" i="13"/>
  <c r="AK107" i="13"/>
  <c r="AL107" i="13"/>
  <c r="AM107" i="13"/>
  <c r="AN107" i="13"/>
  <c r="AO107" i="13"/>
  <c r="AP107" i="13"/>
  <c r="AQ107" i="13"/>
  <c r="AR107" i="13"/>
  <c r="AS107" i="13"/>
  <c r="AT107" i="13"/>
  <c r="AU107" i="13"/>
  <c r="AV107" i="13"/>
  <c r="AW107" i="13"/>
  <c r="AX107" i="13"/>
  <c r="AY107" i="13"/>
  <c r="AZ107" i="13"/>
  <c r="BA107" i="13"/>
  <c r="BB107" i="13"/>
  <c r="BC107" i="13"/>
  <c r="BD107" i="13"/>
  <c r="BE107" i="13"/>
  <c r="BF107" i="13"/>
  <c r="BG107" i="13"/>
  <c r="BH107" i="13"/>
  <c r="BI107" i="13"/>
  <c r="BJ107" i="13"/>
  <c r="X108" i="13"/>
  <c r="Y108" i="13"/>
  <c r="Z108" i="13"/>
  <c r="AA108" i="13"/>
  <c r="AB108" i="13"/>
  <c r="AC108" i="13"/>
  <c r="AD108" i="13"/>
  <c r="AE108" i="13"/>
  <c r="AF108" i="13"/>
  <c r="AG108" i="13"/>
  <c r="AH108" i="13"/>
  <c r="AI108" i="13"/>
  <c r="AJ108" i="13"/>
  <c r="AK108" i="13"/>
  <c r="AL108" i="13"/>
  <c r="AM108" i="13"/>
  <c r="AN108" i="13"/>
  <c r="AO108" i="13"/>
  <c r="AP108" i="13"/>
  <c r="AQ108" i="13"/>
  <c r="AR108" i="13"/>
  <c r="AS108" i="13"/>
  <c r="AT108" i="13"/>
  <c r="AU108" i="13"/>
  <c r="AV108" i="13"/>
  <c r="AW108" i="13"/>
  <c r="AX108" i="13"/>
  <c r="AY108" i="13"/>
  <c r="AZ108" i="13"/>
  <c r="BA108" i="13"/>
  <c r="BB108" i="13"/>
  <c r="BC108" i="13"/>
  <c r="BD108" i="13"/>
  <c r="BE108" i="13"/>
  <c r="BF108" i="13"/>
  <c r="BG108" i="13"/>
  <c r="BH108" i="13"/>
  <c r="BI108" i="13"/>
  <c r="BJ108" i="13"/>
  <c r="X110" i="13"/>
  <c r="Y110" i="13"/>
  <c r="Z110" i="13"/>
  <c r="AA110" i="13"/>
  <c r="AB110" i="13"/>
  <c r="AC110" i="13"/>
  <c r="AD110" i="13"/>
  <c r="AE110" i="13"/>
  <c r="AF110" i="13"/>
  <c r="AG110" i="13"/>
  <c r="AH110" i="13"/>
  <c r="AI110" i="13"/>
  <c r="AJ110" i="13"/>
  <c r="AK110" i="13"/>
  <c r="AL110" i="13"/>
  <c r="AM110" i="13"/>
  <c r="AN110" i="13"/>
  <c r="AO110" i="13"/>
  <c r="AP110" i="13"/>
  <c r="AQ110" i="13"/>
  <c r="AR110" i="13"/>
  <c r="AS110" i="13"/>
  <c r="AT110" i="13"/>
  <c r="AU110" i="13"/>
  <c r="AV110" i="13"/>
  <c r="AW110" i="13"/>
  <c r="AX110" i="13"/>
  <c r="AY110" i="13"/>
  <c r="AZ110" i="13"/>
  <c r="BA110" i="13"/>
  <c r="BB110" i="13"/>
  <c r="BC110" i="13"/>
  <c r="BD110" i="13"/>
  <c r="BE110" i="13"/>
  <c r="BF110" i="13"/>
  <c r="BG110" i="13"/>
  <c r="BH110" i="13"/>
  <c r="BI110" i="13"/>
  <c r="BJ110" i="13"/>
  <c r="V114" i="13"/>
  <c r="V130" i="13" s="1"/>
  <c r="R117" i="13"/>
  <c r="R118" i="13"/>
  <c r="R175" i="13"/>
  <c r="R180" i="13"/>
  <c r="V183" i="13"/>
  <c r="V184" i="13"/>
  <c r="X212" i="13"/>
  <c r="Y212" i="13"/>
  <c r="Z212" i="13"/>
  <c r="AA212" i="13"/>
  <c r="AB212" i="13"/>
  <c r="AC212" i="13"/>
  <c r="AD212" i="13"/>
  <c r="AE212" i="13"/>
  <c r="AF212" i="13"/>
  <c r="AG212" i="13"/>
  <c r="AH212" i="13"/>
  <c r="AI212" i="13"/>
  <c r="AJ212" i="13"/>
  <c r="AK212" i="13"/>
  <c r="AL212" i="13"/>
  <c r="AM212" i="13"/>
  <c r="AN212" i="13"/>
  <c r="AO212" i="13"/>
  <c r="AP212" i="13"/>
  <c r="AQ212" i="13"/>
  <c r="AR212" i="13"/>
  <c r="AS212" i="13"/>
  <c r="AT212" i="13"/>
  <c r="AU212" i="13"/>
  <c r="AV212" i="13"/>
  <c r="AW212" i="13"/>
  <c r="AX212" i="13"/>
  <c r="AY212" i="13"/>
  <c r="AZ212" i="13"/>
  <c r="BA212" i="13"/>
  <c r="BB212" i="13"/>
  <c r="BC212" i="13"/>
  <c r="BD212" i="13"/>
  <c r="BE212" i="13"/>
  <c r="BF212" i="13"/>
  <c r="BG212" i="13"/>
  <c r="BH212" i="13"/>
  <c r="BI212" i="13"/>
  <c r="BJ212" i="13"/>
  <c r="X213" i="13"/>
  <c r="Y213" i="13"/>
  <c r="Z213" i="13"/>
  <c r="AA213" i="13"/>
  <c r="AB213" i="13"/>
  <c r="AC213" i="13"/>
  <c r="AD213" i="13"/>
  <c r="AE213" i="13"/>
  <c r="AF213" i="13"/>
  <c r="AG213" i="13"/>
  <c r="AH213" i="13"/>
  <c r="AI213" i="13"/>
  <c r="AJ213" i="13"/>
  <c r="AK213" i="13"/>
  <c r="AL213" i="13"/>
  <c r="AM213" i="13"/>
  <c r="AN213" i="13"/>
  <c r="AO213" i="13"/>
  <c r="AP213" i="13"/>
  <c r="AQ213" i="13"/>
  <c r="AR213" i="13"/>
  <c r="AS213" i="13"/>
  <c r="AT213" i="13"/>
  <c r="AU213" i="13"/>
  <c r="AV213" i="13"/>
  <c r="AW213" i="13"/>
  <c r="AX213" i="13"/>
  <c r="AY213" i="13"/>
  <c r="AZ213" i="13"/>
  <c r="BA213" i="13"/>
  <c r="BB213" i="13"/>
  <c r="BC213" i="13"/>
  <c r="BD213" i="13"/>
  <c r="BE213" i="13"/>
  <c r="BF213" i="13"/>
  <c r="BG213" i="13"/>
  <c r="BH213" i="13"/>
  <c r="BI213" i="13"/>
  <c r="BJ213" i="13"/>
  <c r="X214" i="13"/>
  <c r="Y214" i="13"/>
  <c r="Z214" i="13"/>
  <c r="AA214" i="13"/>
  <c r="AB214" i="13"/>
  <c r="AC214" i="13"/>
  <c r="AD214" i="13"/>
  <c r="AE214" i="13"/>
  <c r="AF214" i="13"/>
  <c r="AG214" i="13"/>
  <c r="AH214" i="13"/>
  <c r="AI214" i="13"/>
  <c r="AJ214" i="13"/>
  <c r="AK214" i="13"/>
  <c r="AL214" i="13"/>
  <c r="AM214" i="13"/>
  <c r="AN214" i="13"/>
  <c r="AO214" i="13"/>
  <c r="AP214" i="13"/>
  <c r="AQ214" i="13"/>
  <c r="AR214" i="13"/>
  <c r="AS214" i="13"/>
  <c r="AT214" i="13"/>
  <c r="AU214" i="13"/>
  <c r="AV214" i="13"/>
  <c r="AW214" i="13"/>
  <c r="AX214" i="13"/>
  <c r="AY214" i="13"/>
  <c r="AZ214" i="13"/>
  <c r="BA214" i="13"/>
  <c r="BB214" i="13"/>
  <c r="BC214" i="13"/>
  <c r="BD214" i="13"/>
  <c r="BE214" i="13"/>
  <c r="BF214" i="13"/>
  <c r="BG214" i="13"/>
  <c r="BH214" i="13"/>
  <c r="BI214" i="13"/>
  <c r="BJ214" i="13"/>
  <c r="X238" i="13"/>
  <c r="Y238" i="13"/>
  <c r="Z238" i="13"/>
  <c r="AA238" i="13"/>
  <c r="AB238" i="13"/>
  <c r="AC238" i="13"/>
  <c r="AD238" i="13"/>
  <c r="AE238" i="13"/>
  <c r="AF238" i="13"/>
  <c r="AG238" i="13"/>
  <c r="AH238" i="13"/>
  <c r="AI238" i="13"/>
  <c r="AJ238" i="13"/>
  <c r="AK238" i="13"/>
  <c r="AL238" i="13"/>
  <c r="AM238" i="13"/>
  <c r="AN238" i="13"/>
  <c r="AO238" i="13"/>
  <c r="AP238" i="13"/>
  <c r="AQ238" i="13"/>
  <c r="AR238" i="13"/>
  <c r="AS238" i="13"/>
  <c r="AT238" i="13"/>
  <c r="AU238" i="13"/>
  <c r="AV238" i="13"/>
  <c r="AW238" i="13"/>
  <c r="AX238" i="13"/>
  <c r="AY238" i="13"/>
  <c r="AZ238" i="13"/>
  <c r="BA238" i="13"/>
  <c r="BB238" i="13"/>
  <c r="BC238" i="13"/>
  <c r="BD238" i="13"/>
  <c r="BE238" i="13"/>
  <c r="BF238" i="13"/>
  <c r="BG238" i="13"/>
  <c r="BH238" i="13"/>
  <c r="BI238" i="13"/>
  <c r="BJ238" i="13"/>
  <c r="X239" i="13"/>
  <c r="Y239" i="13"/>
  <c r="Z239" i="13"/>
  <c r="AA239" i="13"/>
  <c r="AB239" i="13"/>
  <c r="AC239" i="13"/>
  <c r="AD239" i="13"/>
  <c r="AE239" i="13"/>
  <c r="AF239" i="13"/>
  <c r="AG239" i="13"/>
  <c r="AH239" i="13"/>
  <c r="AI239" i="13"/>
  <c r="AJ239" i="13"/>
  <c r="AK239" i="13"/>
  <c r="AL239" i="13"/>
  <c r="AM239" i="13"/>
  <c r="AN239" i="13"/>
  <c r="AO239" i="13"/>
  <c r="AP239" i="13"/>
  <c r="AQ239" i="13"/>
  <c r="AR239" i="13"/>
  <c r="AS239" i="13"/>
  <c r="AT239" i="13"/>
  <c r="AU239" i="13"/>
  <c r="AV239" i="13"/>
  <c r="AW239" i="13"/>
  <c r="AX239" i="13"/>
  <c r="AY239" i="13"/>
  <c r="AZ239" i="13"/>
  <c r="BA239" i="13"/>
  <c r="BB239" i="13"/>
  <c r="BC239" i="13"/>
  <c r="BD239" i="13"/>
  <c r="BE239" i="13"/>
  <c r="BF239" i="13"/>
  <c r="BG239" i="13"/>
  <c r="BH239" i="13"/>
  <c r="BI239" i="13"/>
  <c r="BJ239" i="13"/>
  <c r="X240" i="13"/>
  <c r="Y240" i="13"/>
  <c r="Z240" i="13"/>
  <c r="AA240" i="13"/>
  <c r="AB240" i="13"/>
  <c r="AC240" i="13"/>
  <c r="AD240" i="13"/>
  <c r="AE240" i="13"/>
  <c r="AF240" i="13"/>
  <c r="AG240" i="13"/>
  <c r="AH240" i="13"/>
  <c r="AI240" i="13"/>
  <c r="AJ240" i="13"/>
  <c r="AK240" i="13"/>
  <c r="AL240" i="13"/>
  <c r="AM240" i="13"/>
  <c r="AN240" i="13"/>
  <c r="AO240" i="13"/>
  <c r="AP240" i="13"/>
  <c r="AQ240" i="13"/>
  <c r="AR240" i="13"/>
  <c r="AS240" i="13"/>
  <c r="AT240" i="13"/>
  <c r="AU240" i="13"/>
  <c r="AV240" i="13"/>
  <c r="AW240" i="13"/>
  <c r="AX240" i="13"/>
  <c r="AY240" i="13"/>
  <c r="AZ240" i="13"/>
  <c r="BA240" i="13"/>
  <c r="BB240" i="13"/>
  <c r="BC240" i="13"/>
  <c r="BD240" i="13"/>
  <c r="BE240" i="13"/>
  <c r="BF240" i="13"/>
  <c r="BG240" i="13"/>
  <c r="BH240" i="13"/>
  <c r="BI240" i="13"/>
  <c r="BJ240" i="13"/>
  <c r="X241" i="13"/>
  <c r="Y241" i="13"/>
  <c r="Z241" i="13"/>
  <c r="AA241" i="13"/>
  <c r="AB241" i="13"/>
  <c r="AC241" i="13"/>
  <c r="AD241" i="13"/>
  <c r="AE241" i="13"/>
  <c r="AF241" i="13"/>
  <c r="AG241" i="13"/>
  <c r="AH241" i="13"/>
  <c r="AI241" i="13"/>
  <c r="AJ241" i="13"/>
  <c r="AK241" i="13"/>
  <c r="AL241" i="13"/>
  <c r="AM241" i="13"/>
  <c r="AN241" i="13"/>
  <c r="AO241" i="13"/>
  <c r="AP241" i="13"/>
  <c r="AQ241" i="13"/>
  <c r="AR241" i="13"/>
  <c r="AS241" i="13"/>
  <c r="AT241" i="13"/>
  <c r="AU241" i="13"/>
  <c r="AV241" i="13"/>
  <c r="AW241" i="13"/>
  <c r="AX241" i="13"/>
  <c r="AY241" i="13"/>
  <c r="AZ241" i="13"/>
  <c r="BA241" i="13"/>
  <c r="BB241" i="13"/>
  <c r="BC241" i="13"/>
  <c r="BD241" i="13"/>
  <c r="BE241" i="13"/>
  <c r="BF241" i="13"/>
  <c r="BG241" i="13"/>
  <c r="BH241" i="13"/>
  <c r="BI241" i="13"/>
  <c r="BJ241" i="13"/>
  <c r="X242" i="13"/>
  <c r="Y242" i="13"/>
  <c r="Z242" i="13"/>
  <c r="AA242" i="13"/>
  <c r="AB242" i="13"/>
  <c r="AC242" i="13"/>
  <c r="AD242" i="13"/>
  <c r="AE242" i="13"/>
  <c r="AF242" i="13"/>
  <c r="AG242" i="13"/>
  <c r="AH242" i="13"/>
  <c r="AI242" i="13"/>
  <c r="AJ242" i="13"/>
  <c r="AK242" i="13"/>
  <c r="AL242" i="13"/>
  <c r="AM242" i="13"/>
  <c r="AN242" i="13"/>
  <c r="AO242" i="13"/>
  <c r="AP242" i="13"/>
  <c r="AQ242" i="13"/>
  <c r="AR242" i="13"/>
  <c r="AS242" i="13"/>
  <c r="AT242" i="13"/>
  <c r="AU242" i="13"/>
  <c r="AV242" i="13"/>
  <c r="AW242" i="13"/>
  <c r="AX242" i="13"/>
  <c r="AY242" i="13"/>
  <c r="AZ242" i="13"/>
  <c r="BA242" i="13"/>
  <c r="BB242" i="13"/>
  <c r="BC242" i="13"/>
  <c r="BD242" i="13"/>
  <c r="BE242" i="13"/>
  <c r="BF242" i="13"/>
  <c r="BG242" i="13"/>
  <c r="BH242" i="13"/>
  <c r="BI242" i="13"/>
  <c r="BJ242" i="13"/>
  <c r="X243" i="13"/>
  <c r="Y243" i="13"/>
  <c r="Z243" i="13"/>
  <c r="AA243" i="13"/>
  <c r="AB243" i="13"/>
  <c r="AC243" i="13"/>
  <c r="AD243" i="13"/>
  <c r="AE243" i="13"/>
  <c r="AF243" i="13"/>
  <c r="AG243" i="13"/>
  <c r="AH243" i="13"/>
  <c r="AI243" i="13"/>
  <c r="AJ243" i="13"/>
  <c r="AK243" i="13"/>
  <c r="AL243" i="13"/>
  <c r="AM243" i="13"/>
  <c r="AN243" i="13"/>
  <c r="AO243" i="13"/>
  <c r="AP243" i="13"/>
  <c r="AQ243" i="13"/>
  <c r="AR243" i="13"/>
  <c r="AS243" i="13"/>
  <c r="AT243" i="13"/>
  <c r="AU243" i="13"/>
  <c r="AV243" i="13"/>
  <c r="AW243" i="13"/>
  <c r="AX243" i="13"/>
  <c r="AY243" i="13"/>
  <c r="AZ243" i="13"/>
  <c r="BA243" i="13"/>
  <c r="BB243" i="13"/>
  <c r="BC243" i="13"/>
  <c r="BD243" i="13"/>
  <c r="BE243" i="13"/>
  <c r="BF243" i="13"/>
  <c r="BG243" i="13"/>
  <c r="BH243" i="13"/>
  <c r="BI243" i="13"/>
  <c r="BJ243" i="13"/>
  <c r="X244" i="13"/>
  <c r="Y244" i="13"/>
  <c r="Z244" i="13"/>
  <c r="AA244" i="13"/>
  <c r="AB244" i="13"/>
  <c r="AC244" i="13"/>
  <c r="AD244" i="13"/>
  <c r="AE244" i="13"/>
  <c r="AF244" i="13"/>
  <c r="AG244" i="13"/>
  <c r="AH244" i="13"/>
  <c r="AI244" i="13"/>
  <c r="AJ244" i="13"/>
  <c r="AK244" i="13"/>
  <c r="AL244" i="13"/>
  <c r="AM244" i="13"/>
  <c r="AN244" i="13"/>
  <c r="AO244" i="13"/>
  <c r="AP244" i="13"/>
  <c r="AQ244" i="13"/>
  <c r="AR244" i="13"/>
  <c r="AS244" i="13"/>
  <c r="AT244" i="13"/>
  <c r="AU244" i="13"/>
  <c r="AV244" i="13"/>
  <c r="AW244" i="13"/>
  <c r="AX244" i="13"/>
  <c r="AY244" i="13"/>
  <c r="AZ244" i="13"/>
  <c r="BA244" i="13"/>
  <c r="BB244" i="13"/>
  <c r="BC244" i="13"/>
  <c r="BD244" i="13"/>
  <c r="BE244" i="13"/>
  <c r="BF244" i="13"/>
  <c r="BG244" i="13"/>
  <c r="BH244" i="13"/>
  <c r="BI244" i="13"/>
  <c r="BJ244" i="13"/>
  <c r="A3" i="12"/>
  <c r="A5" i="11"/>
  <c r="AP7" i="11"/>
  <c r="C12" i="11"/>
  <c r="C132" i="11" s="1"/>
  <c r="D12" i="11"/>
  <c r="D132" i="11" s="1"/>
  <c r="E12" i="11"/>
  <c r="E132" i="11" s="1"/>
  <c r="F12" i="11"/>
  <c r="F132" i="11" s="1"/>
  <c r="G12" i="11"/>
  <c r="G132" i="11" s="1"/>
  <c r="H12" i="11"/>
  <c r="H132" i="11" s="1"/>
  <c r="I12" i="11"/>
  <c r="I132" i="11" s="1"/>
  <c r="J12" i="11"/>
  <c r="J132" i="11" s="1"/>
  <c r="K12" i="11"/>
  <c r="K132" i="11" s="1"/>
  <c r="M12" i="11"/>
  <c r="M132" i="11" s="1"/>
  <c r="N12" i="11"/>
  <c r="N132" i="11" s="1"/>
  <c r="O12" i="11"/>
  <c r="O132" i="11" s="1"/>
  <c r="P12" i="11"/>
  <c r="P132" i="11" s="1"/>
  <c r="Q12" i="11"/>
  <c r="Q132" i="11" s="1"/>
  <c r="S12" i="11"/>
  <c r="S132" i="11" s="1"/>
  <c r="U12" i="11"/>
  <c r="U132" i="11" s="1"/>
  <c r="V12" i="11"/>
  <c r="V132" i="11" s="1"/>
  <c r="W12" i="11"/>
  <c r="W132" i="11" s="1"/>
  <c r="X12" i="11"/>
  <c r="X132" i="11" s="1"/>
  <c r="Y12" i="11"/>
  <c r="Y132" i="11" s="1"/>
  <c r="Z12" i="11"/>
  <c r="Z132" i="11" s="1"/>
  <c r="AA12" i="11"/>
  <c r="AA132" i="11" s="1"/>
  <c r="AB12" i="11"/>
  <c r="AB132" i="11" s="1"/>
  <c r="AC12" i="11"/>
  <c r="AC132" i="11" s="1"/>
  <c r="AD12" i="11"/>
  <c r="AD132" i="11" s="1"/>
  <c r="AE12" i="11"/>
  <c r="AE132" i="11" s="1"/>
  <c r="AF12" i="11"/>
  <c r="AF132" i="11" s="1"/>
  <c r="AG12" i="11"/>
  <c r="AG132" i="11" s="1"/>
  <c r="AH12" i="11"/>
  <c r="AH132" i="11" s="1"/>
  <c r="AI12" i="11"/>
  <c r="AI132" i="11" s="1"/>
  <c r="AJ12" i="11"/>
  <c r="AJ132" i="11" s="1"/>
  <c r="AK12" i="11"/>
  <c r="AK132" i="11" s="1"/>
  <c r="AL12" i="11"/>
  <c r="AL132" i="11" s="1"/>
  <c r="AM12" i="11"/>
  <c r="AM132" i="11" s="1"/>
  <c r="AN12" i="11"/>
  <c r="AN132" i="11" s="1"/>
  <c r="AP13" i="11"/>
  <c r="AP14" i="11"/>
  <c r="AP16" i="11"/>
  <c r="AT38" i="11"/>
  <c r="AT39" i="11"/>
  <c r="AT40" i="11"/>
  <c r="AT41" i="11"/>
  <c r="AT42" i="11"/>
  <c r="AT43" i="11"/>
  <c r="AT44" i="11"/>
  <c r="AT45" i="11"/>
  <c r="AT46" i="11"/>
  <c r="AT47" i="11"/>
  <c r="AT48" i="11"/>
  <c r="AT49" i="11"/>
  <c r="AT50" i="11"/>
  <c r="AT51" i="11"/>
  <c r="AT52" i="11"/>
  <c r="AT53" i="11"/>
  <c r="AT54" i="11"/>
  <c r="AT55" i="11"/>
  <c r="AT56" i="11"/>
  <c r="AT57" i="11"/>
  <c r="AT58" i="11"/>
  <c r="AT59" i="11"/>
  <c r="AT60" i="11"/>
  <c r="AT61" i="11"/>
  <c r="AT62" i="11"/>
  <c r="AT63" i="11"/>
  <c r="AT64" i="11"/>
  <c r="AT65" i="11"/>
  <c r="AT66" i="11"/>
  <c r="AT67" i="11"/>
  <c r="AT68" i="11"/>
  <c r="AT69" i="11"/>
  <c r="AT70" i="11"/>
  <c r="AT71" i="11"/>
  <c r="AT72" i="11"/>
  <c r="AT73" i="11"/>
  <c r="AT74" i="11"/>
  <c r="AT75" i="11"/>
  <c r="AT76" i="11"/>
  <c r="AT77" i="11"/>
  <c r="AT78" i="11"/>
  <c r="AT79" i="11"/>
  <c r="AT80" i="11"/>
  <c r="AT81" i="11"/>
  <c r="AT82" i="11"/>
  <c r="AT83" i="11"/>
  <c r="AT84" i="11"/>
  <c r="AT85" i="11"/>
  <c r="AT86" i="11"/>
  <c r="AT87" i="11"/>
  <c r="AT88" i="11"/>
  <c r="AT89" i="11"/>
  <c r="AT90" i="11"/>
  <c r="AT91" i="11"/>
  <c r="AT92" i="11"/>
  <c r="AT93" i="11"/>
  <c r="AT94" i="11"/>
  <c r="AT95" i="11"/>
  <c r="AT96" i="11"/>
  <c r="AT97" i="11"/>
  <c r="AT98" i="11"/>
  <c r="AT99" i="11"/>
  <c r="AT100" i="11"/>
  <c r="AT101" i="11"/>
  <c r="AT102" i="11"/>
  <c r="AT103" i="11"/>
  <c r="AT104" i="11"/>
  <c r="AT105" i="11"/>
  <c r="AT106" i="11"/>
  <c r="AT107" i="11"/>
  <c r="AT108" i="11"/>
  <c r="AT109" i="11"/>
  <c r="AT110" i="11"/>
  <c r="AT111" i="11"/>
  <c r="AT112" i="11"/>
  <c r="AT113" i="11"/>
  <c r="AT114" i="11"/>
  <c r="AT115" i="11"/>
  <c r="AT116" i="11"/>
  <c r="AT117" i="11"/>
  <c r="L118" i="11"/>
  <c r="L38" i="11" s="1"/>
  <c r="L4" i="11" s="1"/>
  <c r="R118" i="11"/>
  <c r="R38" i="11" s="1"/>
  <c r="R4" i="11" s="1"/>
  <c r="A3" i="10"/>
  <c r="B8" i="10"/>
  <c r="B9" i="10" s="1"/>
  <c r="C8" i="10"/>
  <c r="C9" i="10" s="1"/>
  <c r="D8" i="10"/>
  <c r="D9" i="10" s="1"/>
  <c r="E8" i="10"/>
  <c r="E9" i="10" s="1"/>
  <c r="F8" i="10"/>
  <c r="F9" i="10" s="1"/>
  <c r="G8" i="10"/>
  <c r="G9" i="10" s="1"/>
  <c r="H8" i="10"/>
  <c r="H9" i="10" s="1"/>
  <c r="I8" i="10"/>
  <c r="I9" i="10" s="1"/>
  <c r="J8" i="10"/>
  <c r="J9" i="10" s="1"/>
  <c r="K8" i="10"/>
  <c r="K9" i="10" s="1"/>
  <c r="L8" i="10"/>
  <c r="L9" i="10" s="1"/>
  <c r="M8" i="10"/>
  <c r="M9" i="10" s="1"/>
  <c r="N8" i="10"/>
  <c r="N9" i="10" s="1"/>
  <c r="O8" i="10"/>
  <c r="O9" i="10" s="1"/>
  <c r="P8" i="10"/>
  <c r="P9" i="10" s="1"/>
  <c r="Q8" i="10"/>
  <c r="Q9" i="10" s="1"/>
  <c r="R8" i="10"/>
  <c r="R9" i="10" s="1"/>
  <c r="S8" i="10"/>
  <c r="S9" i="10" s="1"/>
  <c r="T8" i="10"/>
  <c r="T9" i="10" s="1"/>
  <c r="U8" i="10"/>
  <c r="U9" i="10" s="1"/>
  <c r="V8" i="10"/>
  <c r="V9" i="10" s="1"/>
  <c r="W8" i="10"/>
  <c r="W9" i="10" s="1"/>
  <c r="X8" i="10"/>
  <c r="X9" i="10" s="1"/>
  <c r="Y8" i="10"/>
  <c r="Y9" i="10" s="1"/>
  <c r="Z8" i="10"/>
  <c r="Z9" i="10" s="1"/>
  <c r="AA8" i="10"/>
  <c r="AA9" i="10" s="1"/>
  <c r="AB8" i="10"/>
  <c r="AB9" i="10" s="1"/>
  <c r="AC8" i="10"/>
  <c r="AC9" i="10" s="1"/>
  <c r="AD8" i="10"/>
  <c r="AD9" i="10" s="1"/>
  <c r="AE8" i="10"/>
  <c r="AE9" i="10" s="1"/>
  <c r="AF8" i="10"/>
  <c r="AF9" i="10" s="1"/>
  <c r="AG8" i="10"/>
  <c r="AG9" i="10" s="1"/>
  <c r="AH8" i="10"/>
  <c r="AH9" i="10" s="1"/>
  <c r="AI8" i="10"/>
  <c r="AI9" i="10" s="1"/>
  <c r="AJ8" i="10"/>
  <c r="AJ9" i="10" s="1"/>
  <c r="AK8" i="10"/>
  <c r="AK9" i="10" s="1"/>
  <c r="AL8" i="10"/>
  <c r="AL9" i="10" s="1"/>
  <c r="AM8" i="10"/>
  <c r="AM9" i="10" s="1"/>
  <c r="AN8" i="10"/>
  <c r="AN9" i="10" s="1"/>
  <c r="B10" i="10"/>
  <c r="C10" i="10"/>
  <c r="D10" i="10"/>
  <c r="E10" i="10"/>
  <c r="F10" i="10"/>
  <c r="G10" i="10"/>
  <c r="H10" i="10"/>
  <c r="I10" i="10"/>
  <c r="J10" i="10"/>
  <c r="K10" i="10"/>
  <c r="L10" i="10"/>
  <c r="M10" i="10"/>
  <c r="N10" i="10"/>
  <c r="O10" i="10"/>
  <c r="P10" i="10"/>
  <c r="Q10" i="10"/>
  <c r="R10" i="10"/>
  <c r="S10" i="10"/>
  <c r="T10" i="10"/>
  <c r="U10" i="10"/>
  <c r="V10" i="10"/>
  <c r="W10" i="10"/>
  <c r="X10" i="10"/>
  <c r="Y10" i="10"/>
  <c r="Z10" i="10"/>
  <c r="AA10" i="10"/>
  <c r="AB10" i="10"/>
  <c r="AC10" i="10"/>
  <c r="AD10" i="10"/>
  <c r="AE10" i="10"/>
  <c r="AF10" i="10"/>
  <c r="AG10" i="10"/>
  <c r="AH10" i="10"/>
  <c r="AI10" i="10"/>
  <c r="AJ10" i="10"/>
  <c r="AK10" i="10"/>
  <c r="AL10" i="10"/>
  <c r="AM10" i="10"/>
  <c r="AN10" i="10"/>
  <c r="B11" i="10"/>
  <c r="C11" i="10"/>
  <c r="D11" i="10"/>
  <c r="E11" i="10"/>
  <c r="F11" i="10"/>
  <c r="G11" i="10"/>
  <c r="H11" i="10"/>
  <c r="I11" i="10"/>
  <c r="J11" i="10"/>
  <c r="K11" i="10"/>
  <c r="L11" i="10"/>
  <c r="M11" i="10"/>
  <c r="N11" i="10"/>
  <c r="O11" i="10"/>
  <c r="P11" i="10"/>
  <c r="Q11" i="10"/>
  <c r="R11" i="10"/>
  <c r="S11" i="10"/>
  <c r="T11" i="10"/>
  <c r="U11" i="10"/>
  <c r="V11" i="10"/>
  <c r="W11" i="10"/>
  <c r="X11" i="10"/>
  <c r="Y11" i="10"/>
  <c r="Z11" i="10"/>
  <c r="AA11" i="10"/>
  <c r="AB11" i="10"/>
  <c r="AC11" i="10"/>
  <c r="AD11" i="10"/>
  <c r="AE11" i="10"/>
  <c r="AF11" i="10"/>
  <c r="AG11" i="10"/>
  <c r="AH11" i="10"/>
  <c r="AI11" i="10"/>
  <c r="AJ11" i="10"/>
  <c r="AK11" i="10"/>
  <c r="AL11" i="10"/>
  <c r="AM11" i="10"/>
  <c r="AN11" i="10"/>
  <c r="O12" i="10"/>
  <c r="N12" i="10"/>
  <c r="C12" i="10"/>
  <c r="G12" i="10"/>
  <c r="B6" i="9"/>
  <c r="G6" i="9"/>
  <c r="B7" i="9"/>
  <c r="G7" i="9"/>
  <c r="I7" i="9" s="1"/>
  <c r="B8" i="9"/>
  <c r="G8" i="9"/>
  <c r="I8" i="9" s="1"/>
  <c r="B9" i="9"/>
  <c r="C9" i="9" s="1"/>
  <c r="G9" i="9"/>
  <c r="B10" i="9"/>
  <c r="D10" i="9" s="1"/>
  <c r="G10" i="9"/>
  <c r="H10" i="9" s="1"/>
  <c r="B11" i="9"/>
  <c r="D11" i="9" s="1"/>
  <c r="G11" i="9"/>
  <c r="H11" i="9" s="1"/>
  <c r="B12" i="9"/>
  <c r="D12" i="9" s="1"/>
  <c r="G12" i="9"/>
  <c r="I12" i="9" s="1"/>
  <c r="B13" i="9"/>
  <c r="C13" i="9" s="1"/>
  <c r="G13" i="9"/>
  <c r="B14" i="9"/>
  <c r="C14" i="9" s="1"/>
  <c r="G14" i="9"/>
  <c r="B15" i="9"/>
  <c r="C15" i="9" s="1"/>
  <c r="G15" i="9"/>
  <c r="B16" i="9"/>
  <c r="D16" i="9" s="1"/>
  <c r="G16" i="9"/>
  <c r="I16" i="9" s="1"/>
  <c r="B17" i="9"/>
  <c r="G17" i="9"/>
  <c r="B23" i="9"/>
  <c r="C23" i="9" s="1"/>
  <c r="G23" i="9"/>
  <c r="I23" i="9" s="1"/>
  <c r="B24" i="9"/>
  <c r="C24" i="9" s="1"/>
  <c r="G24" i="9"/>
  <c r="I24" i="9" s="1"/>
  <c r="B25" i="9"/>
  <c r="C25" i="9" s="1"/>
  <c r="G25" i="9"/>
  <c r="I25" i="9" s="1"/>
  <c r="B26" i="9"/>
  <c r="G26" i="9"/>
  <c r="I26" i="9" s="1"/>
  <c r="B27" i="9"/>
  <c r="C27" i="9" s="1"/>
  <c r="G27" i="9"/>
  <c r="H27" i="9" s="1"/>
  <c r="B28" i="9"/>
  <c r="G28" i="9"/>
  <c r="I28" i="9" s="1"/>
  <c r="B29" i="9"/>
  <c r="G29" i="9"/>
  <c r="I29" i="9" s="1"/>
  <c r="B30" i="9"/>
  <c r="G30" i="9"/>
  <c r="H30" i="9" s="1"/>
  <c r="B31" i="9"/>
  <c r="G31" i="9"/>
  <c r="H31" i="9" s="1"/>
  <c r="B32" i="9"/>
  <c r="C32" i="9" s="1"/>
  <c r="G32" i="9"/>
  <c r="I32" i="9" s="1"/>
  <c r="B33" i="9"/>
  <c r="G33" i="9"/>
  <c r="A3" i="5"/>
  <c r="C57" i="5"/>
  <c r="D57" i="5"/>
  <c r="D59" i="5" s="1"/>
  <c r="E57" i="5"/>
  <c r="F57" i="5"/>
  <c r="F59" i="5" s="1"/>
  <c r="G57" i="5"/>
  <c r="G59" i="5" s="1"/>
  <c r="H57" i="5"/>
  <c r="H59" i="5" s="1"/>
  <c r="I57" i="5"/>
  <c r="I59" i="5" s="1"/>
  <c r="J57" i="5"/>
  <c r="J59" i="5" s="1"/>
  <c r="J106" i="5" s="1"/>
  <c r="K57" i="5"/>
  <c r="L57" i="5"/>
  <c r="L59" i="5" s="1"/>
  <c r="M57" i="5"/>
  <c r="M59" i="5" s="1"/>
  <c r="N57" i="5"/>
  <c r="N59" i="5" s="1"/>
  <c r="O57" i="5"/>
  <c r="P57" i="5"/>
  <c r="P59" i="5" s="1"/>
  <c r="Q57" i="5"/>
  <c r="Q59" i="5" s="1"/>
  <c r="R57" i="5"/>
  <c r="S57" i="5"/>
  <c r="T57" i="5"/>
  <c r="T59" i="5" s="1"/>
  <c r="U57" i="5"/>
  <c r="U59" i="5" s="1"/>
  <c r="V57" i="5"/>
  <c r="V59" i="5" s="1"/>
  <c r="W57" i="5"/>
  <c r="X57" i="5"/>
  <c r="X59" i="5" s="1"/>
  <c r="Y57" i="5"/>
  <c r="Z57" i="5"/>
  <c r="AA57" i="5"/>
  <c r="AB57" i="5"/>
  <c r="AB59" i="5" s="1"/>
  <c r="AC57" i="5"/>
  <c r="AD57" i="5"/>
  <c r="AE57" i="5"/>
  <c r="AF57" i="5"/>
  <c r="AG57" i="5"/>
  <c r="AG59" i="5" s="1"/>
  <c r="AH57" i="5"/>
  <c r="AH59" i="5" s="1"/>
  <c r="AI57" i="5"/>
  <c r="AJ57" i="5"/>
  <c r="AJ59" i="5" s="1"/>
  <c r="AK57" i="5"/>
  <c r="AK59" i="5" s="1"/>
  <c r="AL57" i="5"/>
  <c r="AM57" i="5"/>
  <c r="AN57" i="5"/>
  <c r="AO57" i="5"/>
  <c r="AO59" i="5" s="1"/>
  <c r="J13" i="4"/>
  <c r="R13" i="4"/>
  <c r="Z13" i="4"/>
  <c r="AK22" i="21" l="1"/>
  <c r="AK20" i="21"/>
  <c r="Z21" i="21"/>
  <c r="Z20" i="21"/>
  <c r="AO21" i="21"/>
  <c r="AO20" i="21"/>
  <c r="AG21" i="21"/>
  <c r="AG20" i="21"/>
  <c r="Q21" i="21"/>
  <c r="Q20" i="21"/>
  <c r="I22" i="21"/>
  <c r="I20" i="21"/>
  <c r="M22" i="21"/>
  <c r="M20" i="21"/>
  <c r="AA21" i="21"/>
  <c r="AA20" i="21"/>
  <c r="AH21" i="21"/>
  <c r="AH20" i="21"/>
  <c r="J22" i="21"/>
  <c r="J20" i="21"/>
  <c r="U22" i="21"/>
  <c r="U20" i="21"/>
  <c r="AI21" i="21"/>
  <c r="AI20" i="21"/>
  <c r="R22" i="21"/>
  <c r="R20" i="21"/>
  <c r="AM21" i="21"/>
  <c r="AM20" i="21"/>
  <c r="AC22" i="21"/>
  <c r="AC20" i="21"/>
  <c r="E22" i="21"/>
  <c r="E20" i="21"/>
  <c r="C21" i="21"/>
  <c r="C20" i="21"/>
  <c r="AL22" i="21"/>
  <c r="AL20" i="21"/>
  <c r="AD21" i="21"/>
  <c r="AD20" i="21"/>
  <c r="AI80" i="23"/>
  <c r="AI81" i="23"/>
  <c r="AI82" i="23"/>
  <c r="AP77" i="23"/>
  <c r="AP76" i="23"/>
  <c r="AP75" i="23"/>
  <c r="AP78" i="23"/>
  <c r="AH77" i="23"/>
  <c r="AH78" i="23"/>
  <c r="AH75" i="23"/>
  <c r="AH76" i="23"/>
  <c r="AP81" i="23"/>
  <c r="AP80" i="23"/>
  <c r="AP82" i="23"/>
  <c r="R80" i="23"/>
  <c r="R81" i="23"/>
  <c r="R82" i="23"/>
  <c r="Q76" i="23"/>
  <c r="Q75" i="23"/>
  <c r="Q78" i="23"/>
  <c r="Q77" i="23"/>
  <c r="AO80" i="23"/>
  <c r="AO82" i="23"/>
  <c r="AO81" i="23"/>
  <c r="AG82" i="23"/>
  <c r="AG81" i="23"/>
  <c r="AG80" i="23"/>
  <c r="Y81" i="23"/>
  <c r="Y80" i="23"/>
  <c r="Y82" i="23"/>
  <c r="Q80" i="23"/>
  <c r="Q81" i="23"/>
  <c r="Q82" i="23"/>
  <c r="I80" i="23"/>
  <c r="I81" i="23"/>
  <c r="I82" i="23"/>
  <c r="AN78" i="23"/>
  <c r="AN75" i="23"/>
  <c r="AN77" i="23"/>
  <c r="AN76" i="23"/>
  <c r="H76" i="23"/>
  <c r="H75" i="23"/>
  <c r="H77" i="23"/>
  <c r="H78" i="23"/>
  <c r="AN81" i="23"/>
  <c r="AN80" i="23"/>
  <c r="AN82" i="23"/>
  <c r="AF81" i="23"/>
  <c r="AF80" i="23"/>
  <c r="AF82" i="23"/>
  <c r="X81" i="23"/>
  <c r="X82" i="23"/>
  <c r="X80" i="23"/>
  <c r="P81" i="23"/>
  <c r="P82" i="23"/>
  <c r="P80" i="23"/>
  <c r="H80" i="23"/>
  <c r="H81" i="23"/>
  <c r="H82" i="23"/>
  <c r="AM77" i="23"/>
  <c r="AM78" i="23"/>
  <c r="AM76" i="23"/>
  <c r="AM75" i="23"/>
  <c r="AE77" i="23"/>
  <c r="AE76" i="23"/>
  <c r="AE78" i="23"/>
  <c r="AE75" i="23"/>
  <c r="W76" i="23"/>
  <c r="W75" i="23"/>
  <c r="W77" i="23"/>
  <c r="W78" i="23"/>
  <c r="O76" i="23"/>
  <c r="O75" i="23"/>
  <c r="O77" i="23"/>
  <c r="O78" i="23"/>
  <c r="G75" i="23"/>
  <c r="G77" i="23"/>
  <c r="G78" i="23"/>
  <c r="G76" i="23"/>
  <c r="K81" i="23"/>
  <c r="K82" i="23"/>
  <c r="K80" i="23"/>
  <c r="J77" i="23"/>
  <c r="J78" i="23"/>
  <c r="J76" i="23"/>
  <c r="J75" i="23"/>
  <c r="J80" i="23"/>
  <c r="J81" i="23"/>
  <c r="J82" i="23"/>
  <c r="I78" i="23"/>
  <c r="I77" i="23"/>
  <c r="I76" i="23"/>
  <c r="I75" i="23"/>
  <c r="AF77" i="23"/>
  <c r="AF75" i="23"/>
  <c r="AF78" i="23"/>
  <c r="AF76" i="23"/>
  <c r="AM82" i="23"/>
  <c r="AM81" i="23"/>
  <c r="AM80" i="23"/>
  <c r="AE82" i="23"/>
  <c r="AE80" i="23"/>
  <c r="AE81" i="23"/>
  <c r="W82" i="23"/>
  <c r="W80" i="23"/>
  <c r="W81" i="23"/>
  <c r="O80" i="23"/>
  <c r="O82" i="23"/>
  <c r="O81" i="23"/>
  <c r="G80" i="23"/>
  <c r="G82" i="23"/>
  <c r="G81" i="23"/>
  <c r="AL76" i="23"/>
  <c r="AL77" i="23"/>
  <c r="AL78" i="23"/>
  <c r="AL75" i="23"/>
  <c r="AD78" i="23"/>
  <c r="AD75" i="23"/>
  <c r="AD77" i="23"/>
  <c r="AD76" i="23"/>
  <c r="V77" i="23"/>
  <c r="V76" i="23"/>
  <c r="V75" i="23"/>
  <c r="V78" i="23"/>
  <c r="N77" i="23"/>
  <c r="N76" i="23"/>
  <c r="N78" i="23"/>
  <c r="N75" i="23"/>
  <c r="F75" i="23"/>
  <c r="F76" i="23"/>
  <c r="F77" i="23"/>
  <c r="F78" i="23"/>
  <c r="S82" i="23"/>
  <c r="S80" i="23"/>
  <c r="S81" i="23"/>
  <c r="R75" i="23"/>
  <c r="R77" i="23"/>
  <c r="R76" i="23"/>
  <c r="R78" i="23"/>
  <c r="Z81" i="23"/>
  <c r="Z80" i="23"/>
  <c r="Z82" i="23"/>
  <c r="AG76" i="23"/>
  <c r="AG75" i="23"/>
  <c r="AG78" i="23"/>
  <c r="AG77" i="23"/>
  <c r="X75" i="23"/>
  <c r="X76" i="23"/>
  <c r="X78" i="23"/>
  <c r="X77" i="23"/>
  <c r="AL82" i="23"/>
  <c r="AL81" i="23"/>
  <c r="AL80" i="23"/>
  <c r="AD81" i="23"/>
  <c r="AD80" i="23"/>
  <c r="AD82" i="23"/>
  <c r="V81" i="23"/>
  <c r="V82" i="23"/>
  <c r="V80" i="23"/>
  <c r="N81" i="23"/>
  <c r="N80" i="23"/>
  <c r="N82" i="23"/>
  <c r="F80" i="23"/>
  <c r="F81" i="23"/>
  <c r="F82" i="23"/>
  <c r="AK75" i="23"/>
  <c r="AK77" i="23"/>
  <c r="AK76" i="23"/>
  <c r="AK78" i="23"/>
  <c r="AC77" i="23"/>
  <c r="AC76" i="23"/>
  <c r="AC78" i="23"/>
  <c r="AC75" i="23"/>
  <c r="U75" i="23"/>
  <c r="U78" i="23"/>
  <c r="U77" i="23"/>
  <c r="U76" i="23"/>
  <c r="M75" i="23"/>
  <c r="M76" i="23"/>
  <c r="M78" i="23"/>
  <c r="M77" i="23"/>
  <c r="E78" i="23"/>
  <c r="E76" i="23"/>
  <c r="E77" i="23"/>
  <c r="E75" i="23"/>
  <c r="AA81" i="23"/>
  <c r="AA80" i="23"/>
  <c r="AA82" i="23"/>
  <c r="Z75" i="23"/>
  <c r="Z78" i="23"/>
  <c r="Z76" i="23"/>
  <c r="Z77" i="23"/>
  <c r="AH82" i="23"/>
  <c r="AH81" i="23"/>
  <c r="AH80" i="23"/>
  <c r="AO78" i="23"/>
  <c r="AO75" i="23"/>
  <c r="AO77" i="23"/>
  <c r="AO76" i="23"/>
  <c r="Y77" i="23"/>
  <c r="Y78" i="23"/>
  <c r="Y76" i="23"/>
  <c r="Y75" i="23"/>
  <c r="P75" i="23"/>
  <c r="P76" i="23"/>
  <c r="P77" i="23"/>
  <c r="P78" i="23"/>
  <c r="AK82" i="23"/>
  <c r="AK80" i="23"/>
  <c r="AK81" i="23"/>
  <c r="AC82" i="23"/>
  <c r="AC80" i="23"/>
  <c r="AC81" i="23"/>
  <c r="U82" i="23"/>
  <c r="U81" i="23"/>
  <c r="U80" i="23"/>
  <c r="M81" i="23"/>
  <c r="M80" i="23"/>
  <c r="M82" i="23"/>
  <c r="E80" i="23"/>
  <c r="E81" i="23"/>
  <c r="E82" i="23"/>
  <c r="AJ76" i="23"/>
  <c r="AJ78" i="23"/>
  <c r="AJ75" i="23"/>
  <c r="AJ77" i="23"/>
  <c r="AB77" i="23"/>
  <c r="AB78" i="23"/>
  <c r="AB76" i="23"/>
  <c r="AB75" i="23"/>
  <c r="T78" i="23"/>
  <c r="T76" i="23"/>
  <c r="T77" i="23"/>
  <c r="T75" i="23"/>
  <c r="L76" i="23"/>
  <c r="L75" i="23"/>
  <c r="L78" i="23"/>
  <c r="L77" i="23"/>
  <c r="AJ81" i="23"/>
  <c r="AJ82" i="23"/>
  <c r="AJ80" i="23"/>
  <c r="AB81" i="23"/>
  <c r="AB82" i="23"/>
  <c r="AB80" i="23"/>
  <c r="T80" i="23"/>
  <c r="T82" i="23"/>
  <c r="T81" i="23"/>
  <c r="L82" i="23"/>
  <c r="L81" i="23"/>
  <c r="L80" i="23"/>
  <c r="AI76" i="23"/>
  <c r="AI78" i="23"/>
  <c r="AI77" i="23"/>
  <c r="AI75" i="23"/>
  <c r="AA77" i="23"/>
  <c r="AA75" i="23"/>
  <c r="AA76" i="23"/>
  <c r="AA78" i="23"/>
  <c r="S75" i="23"/>
  <c r="S76" i="23"/>
  <c r="S78" i="23"/>
  <c r="S77" i="23"/>
  <c r="K76" i="23"/>
  <c r="K78" i="23"/>
  <c r="K75" i="23"/>
  <c r="K77" i="23"/>
  <c r="A4" i="11"/>
  <c r="D157" i="2"/>
  <c r="D78" i="23"/>
  <c r="D77" i="23"/>
  <c r="D76" i="23"/>
  <c r="D75" i="23"/>
  <c r="D81" i="23"/>
  <c r="D82" i="23"/>
  <c r="D80" i="23"/>
  <c r="AI48" i="23"/>
  <c r="AI49" i="23"/>
  <c r="AI50" i="23"/>
  <c r="AA48" i="23"/>
  <c r="AA50" i="23"/>
  <c r="AA49" i="23"/>
  <c r="S48" i="23"/>
  <c r="S49" i="23"/>
  <c r="S50" i="23"/>
  <c r="K48" i="23"/>
  <c r="K50" i="23"/>
  <c r="K49" i="23"/>
  <c r="AN13" i="4"/>
  <c r="AP46" i="23"/>
  <c r="AP44" i="23"/>
  <c r="AP45" i="23"/>
  <c r="AP43" i="23"/>
  <c r="AF13" i="4"/>
  <c r="AH46" i="23"/>
  <c r="AH44" i="23"/>
  <c r="AH45" i="23"/>
  <c r="AH43" i="23"/>
  <c r="X13" i="4"/>
  <c r="Z46" i="23"/>
  <c r="Z45" i="23"/>
  <c r="Z43" i="23"/>
  <c r="Z44" i="23"/>
  <c r="P13" i="4"/>
  <c r="R46" i="23"/>
  <c r="R45" i="23"/>
  <c r="R43" i="23"/>
  <c r="R44" i="23"/>
  <c r="H13" i="4"/>
  <c r="J46" i="23"/>
  <c r="J44" i="23"/>
  <c r="J45" i="23"/>
  <c r="J43" i="23"/>
  <c r="AH48" i="23"/>
  <c r="AH49" i="23"/>
  <c r="AH50" i="23"/>
  <c r="R48" i="23"/>
  <c r="R49" i="23"/>
  <c r="R50" i="23"/>
  <c r="AM13" i="4"/>
  <c r="AO46" i="23"/>
  <c r="AO44" i="23"/>
  <c r="AO45" i="23"/>
  <c r="AO43" i="23"/>
  <c r="Y46" i="23"/>
  <c r="Y45" i="23"/>
  <c r="Y44" i="23"/>
  <c r="Y43" i="23"/>
  <c r="I46" i="23"/>
  <c r="I45" i="23"/>
  <c r="I44" i="23"/>
  <c r="I43" i="23"/>
  <c r="Y50" i="23"/>
  <c r="Y48" i="23"/>
  <c r="Y49" i="23"/>
  <c r="AN45" i="23"/>
  <c r="AN46" i="23"/>
  <c r="AN43" i="23"/>
  <c r="AN44" i="23"/>
  <c r="H45" i="23"/>
  <c r="H43" i="23"/>
  <c r="H46" i="23"/>
  <c r="H44" i="23"/>
  <c r="P50" i="23"/>
  <c r="P49" i="23"/>
  <c r="P48" i="23"/>
  <c r="AE45" i="23"/>
  <c r="AE46" i="23"/>
  <c r="AE44" i="23"/>
  <c r="AE43" i="23"/>
  <c r="O45" i="23"/>
  <c r="O46" i="23"/>
  <c r="O44" i="23"/>
  <c r="O43" i="23"/>
  <c r="AM50" i="23"/>
  <c r="AM49" i="23"/>
  <c r="AM48" i="23"/>
  <c r="O50" i="23"/>
  <c r="O49" i="23"/>
  <c r="O48" i="23"/>
  <c r="N44" i="23"/>
  <c r="N45" i="23"/>
  <c r="N46" i="23"/>
  <c r="N43" i="23"/>
  <c r="AL49" i="23"/>
  <c r="AL50" i="23"/>
  <c r="AL48" i="23"/>
  <c r="AD49" i="23"/>
  <c r="AD50" i="23"/>
  <c r="AD48" i="23"/>
  <c r="V49" i="23"/>
  <c r="V50" i="23"/>
  <c r="V48" i="23"/>
  <c r="N49" i="23"/>
  <c r="N50" i="23"/>
  <c r="N48" i="23"/>
  <c r="F49" i="23"/>
  <c r="F50" i="23"/>
  <c r="F48" i="23"/>
  <c r="AI13" i="4"/>
  <c r="AK44" i="23"/>
  <c r="AK45" i="23"/>
  <c r="AK43" i="23"/>
  <c r="AK46" i="23"/>
  <c r="AC44" i="23"/>
  <c r="AC43" i="23"/>
  <c r="AC45" i="23"/>
  <c r="AC46" i="23"/>
  <c r="U44" i="23"/>
  <c r="U46" i="23"/>
  <c r="U43" i="23"/>
  <c r="U45" i="23"/>
  <c r="M44" i="23"/>
  <c r="M45" i="23"/>
  <c r="M46" i="23"/>
  <c r="M43" i="23"/>
  <c r="E44" i="23"/>
  <c r="E45" i="23"/>
  <c r="E46" i="23"/>
  <c r="E43" i="23"/>
  <c r="AG48" i="23"/>
  <c r="AG49" i="23"/>
  <c r="AG50" i="23"/>
  <c r="Q48" i="23"/>
  <c r="Q49" i="23"/>
  <c r="Q50" i="23"/>
  <c r="AF45" i="23"/>
  <c r="AF46" i="23"/>
  <c r="AF44" i="23"/>
  <c r="AF43" i="23"/>
  <c r="X45" i="23"/>
  <c r="X46" i="23"/>
  <c r="X44" i="23"/>
  <c r="X43" i="23"/>
  <c r="AN50" i="23"/>
  <c r="AN49" i="23"/>
  <c r="AN48" i="23"/>
  <c r="X50" i="23"/>
  <c r="X49" i="23"/>
  <c r="X48" i="23"/>
  <c r="AM45" i="23"/>
  <c r="AM43" i="23"/>
  <c r="AM46" i="23"/>
  <c r="AM44" i="23"/>
  <c r="W45" i="23"/>
  <c r="W44" i="23"/>
  <c r="W46" i="23"/>
  <c r="W43" i="23"/>
  <c r="W50" i="23"/>
  <c r="W48" i="23"/>
  <c r="W49" i="23"/>
  <c r="V44" i="23"/>
  <c r="V46" i="23"/>
  <c r="V43" i="23"/>
  <c r="V45" i="23"/>
  <c r="AK49" i="23"/>
  <c r="AK48" i="23"/>
  <c r="AK50" i="23"/>
  <c r="AC49" i="23"/>
  <c r="AC50" i="23"/>
  <c r="AC48" i="23"/>
  <c r="U49" i="23"/>
  <c r="U50" i="23"/>
  <c r="U48" i="23"/>
  <c r="M49" i="23"/>
  <c r="M50" i="23"/>
  <c r="M48" i="23"/>
  <c r="E49" i="23"/>
  <c r="E50" i="23"/>
  <c r="E48" i="23"/>
  <c r="AJ43" i="23"/>
  <c r="AJ46" i="23"/>
  <c r="AJ45" i="23"/>
  <c r="AJ44" i="23"/>
  <c r="AB43" i="23"/>
  <c r="AB45" i="23"/>
  <c r="AB44" i="23"/>
  <c r="AB46" i="23"/>
  <c r="T43" i="23"/>
  <c r="T46" i="23"/>
  <c r="T44" i="23"/>
  <c r="T45" i="23"/>
  <c r="L43" i="23"/>
  <c r="L46" i="23"/>
  <c r="L44" i="23"/>
  <c r="L45" i="23"/>
  <c r="D43" i="23"/>
  <c r="D46" i="23"/>
  <c r="D45" i="23"/>
  <c r="D44" i="23"/>
  <c r="AP48" i="23"/>
  <c r="AP49" i="23"/>
  <c r="AP50" i="23"/>
  <c r="Z48" i="23"/>
  <c r="Z50" i="23"/>
  <c r="Z49" i="23"/>
  <c r="J48" i="23"/>
  <c r="J49" i="23"/>
  <c r="J50" i="23"/>
  <c r="AG46" i="23"/>
  <c r="AG44" i="23"/>
  <c r="AG45" i="23"/>
  <c r="AG43" i="23"/>
  <c r="Q46" i="23"/>
  <c r="Q45" i="23"/>
  <c r="Q43" i="23"/>
  <c r="Q44" i="23"/>
  <c r="AO49" i="23"/>
  <c r="AO48" i="23"/>
  <c r="AO50" i="23"/>
  <c r="I48" i="23"/>
  <c r="I49" i="23"/>
  <c r="I50" i="23"/>
  <c r="P45" i="23"/>
  <c r="P43" i="23"/>
  <c r="P46" i="23"/>
  <c r="P44" i="23"/>
  <c r="AF50" i="23"/>
  <c r="AF48" i="23"/>
  <c r="AF49" i="23"/>
  <c r="H50" i="23"/>
  <c r="H48" i="23"/>
  <c r="H49" i="23"/>
  <c r="G45" i="23"/>
  <c r="G43" i="23"/>
  <c r="G46" i="23"/>
  <c r="G44" i="23"/>
  <c r="AE50" i="23"/>
  <c r="AE48" i="23"/>
  <c r="AE49" i="23"/>
  <c r="G50" i="23"/>
  <c r="G48" i="23"/>
  <c r="G49" i="23"/>
  <c r="AL44" i="23"/>
  <c r="AL45" i="23"/>
  <c r="AL43" i="23"/>
  <c r="AL46" i="23"/>
  <c r="AD44" i="23"/>
  <c r="AD43" i="23"/>
  <c r="AD46" i="23"/>
  <c r="AD45" i="23"/>
  <c r="F44" i="23"/>
  <c r="F45" i="23"/>
  <c r="F43" i="23"/>
  <c r="F46" i="23"/>
  <c r="AH13" i="4"/>
  <c r="AJ48" i="23"/>
  <c r="AJ49" i="23"/>
  <c r="AJ50" i="23"/>
  <c r="AB48" i="23"/>
  <c r="AB49" i="23"/>
  <c r="AB50" i="23"/>
  <c r="T48" i="23"/>
  <c r="T49" i="23"/>
  <c r="T50" i="23"/>
  <c r="L48" i="23"/>
  <c r="L49" i="23"/>
  <c r="L50" i="23"/>
  <c r="D50" i="23"/>
  <c r="D49" i="23"/>
  <c r="D48" i="23"/>
  <c r="AI43" i="23"/>
  <c r="AI46" i="23"/>
  <c r="AI45" i="23"/>
  <c r="AI44" i="23"/>
  <c r="AA43" i="23"/>
  <c r="AA45" i="23"/>
  <c r="AA44" i="23"/>
  <c r="AA46" i="23"/>
  <c r="S43" i="23"/>
  <c r="S46" i="23"/>
  <c r="S44" i="23"/>
  <c r="S45" i="23"/>
  <c r="K43" i="23"/>
  <c r="K46" i="23"/>
  <c r="K44" i="23"/>
  <c r="K45" i="23"/>
  <c r="F65" i="5"/>
  <c r="F106" i="5"/>
  <c r="M65" i="5"/>
  <c r="M106" i="5"/>
  <c r="AJ65" i="5"/>
  <c r="AJ106" i="5"/>
  <c r="D65" i="5"/>
  <c r="D106" i="5"/>
  <c r="V65" i="5"/>
  <c r="V106" i="5"/>
  <c r="AK65" i="5"/>
  <c r="AK106" i="5"/>
  <c r="L65" i="5"/>
  <c r="L106" i="5"/>
  <c r="N65" i="5"/>
  <c r="N106" i="5"/>
  <c r="U65" i="5"/>
  <c r="U106" i="5"/>
  <c r="AB65" i="5"/>
  <c r="AB106" i="5"/>
  <c r="T65" i="5"/>
  <c r="T106" i="5"/>
  <c r="AH65" i="5"/>
  <c r="AH106" i="5"/>
  <c r="AO65" i="5"/>
  <c r="AO106" i="5"/>
  <c r="AG65" i="5"/>
  <c r="AG106" i="5"/>
  <c r="Q65" i="5"/>
  <c r="Q106" i="5"/>
  <c r="I65" i="5"/>
  <c r="I106" i="5"/>
  <c r="X65" i="5"/>
  <c r="X106" i="5"/>
  <c r="P65" i="5"/>
  <c r="P106" i="5"/>
  <c r="H65" i="5"/>
  <c r="H106" i="5"/>
  <c r="G65" i="5"/>
  <c r="G106" i="5"/>
  <c r="AO52" i="20"/>
  <c r="M76" i="20"/>
  <c r="AI4" i="3"/>
  <c r="AI123" i="11"/>
  <c r="AI115" i="11"/>
  <c r="AI116" i="11"/>
  <c r="AI112" i="11"/>
  <c r="AI108" i="11"/>
  <c r="AI114" i="11"/>
  <c r="AI117" i="11"/>
  <c r="AI111" i="11"/>
  <c r="AI113" i="11"/>
  <c r="AI110" i="11"/>
  <c r="AI109" i="11"/>
  <c r="AI148" i="11"/>
  <c r="AI151" i="11"/>
  <c r="AI143" i="11"/>
  <c r="AI154" i="11"/>
  <c r="AI149" i="11"/>
  <c r="AI146" i="11"/>
  <c r="AI145" i="11"/>
  <c r="AI147" i="11"/>
  <c r="AI150" i="11"/>
  <c r="AI152" i="11"/>
  <c r="AI144" i="11"/>
  <c r="AI153" i="11"/>
  <c r="AI142" i="11"/>
  <c r="H4" i="3"/>
  <c r="H123" i="11"/>
  <c r="H117" i="11"/>
  <c r="H113" i="11"/>
  <c r="H109" i="11"/>
  <c r="H114" i="11"/>
  <c r="H110" i="11"/>
  <c r="H115" i="11"/>
  <c r="H112" i="11"/>
  <c r="H116" i="11"/>
  <c r="H150" i="11"/>
  <c r="H142" i="11"/>
  <c r="H153" i="11"/>
  <c r="H145" i="11"/>
  <c r="H151" i="11"/>
  <c r="H143" i="11"/>
  <c r="H154" i="11"/>
  <c r="H146" i="11"/>
  <c r="H108" i="11"/>
  <c r="H148" i="11"/>
  <c r="H147" i="11"/>
  <c r="H149" i="11"/>
  <c r="H111" i="11"/>
  <c r="H152" i="11"/>
  <c r="H144" i="11"/>
  <c r="J63" i="5"/>
  <c r="J65" i="5"/>
  <c r="Y4" i="3"/>
  <c r="Y123" i="11"/>
  <c r="Y114" i="11"/>
  <c r="Y115" i="11"/>
  <c r="Y111" i="11"/>
  <c r="Y116" i="11"/>
  <c r="Y113" i="11"/>
  <c r="Y110" i="11"/>
  <c r="Y108" i="11"/>
  <c r="Y109" i="11"/>
  <c r="Y117" i="11"/>
  <c r="Y112" i="11"/>
  <c r="Y150" i="11"/>
  <c r="Y142" i="11"/>
  <c r="Y153" i="11"/>
  <c r="Y145" i="11"/>
  <c r="Y151" i="11"/>
  <c r="Y143" i="11"/>
  <c r="Y148" i="11"/>
  <c r="Y147" i="11"/>
  <c r="Y154" i="11"/>
  <c r="Y149" i="11"/>
  <c r="Y144" i="11"/>
  <c r="Y152" i="11"/>
  <c r="Y146" i="11"/>
  <c r="AA4" i="3"/>
  <c r="AA123" i="11"/>
  <c r="AA115" i="11"/>
  <c r="AA116" i="11"/>
  <c r="AA112" i="11"/>
  <c r="AA108" i="11"/>
  <c r="AA110" i="11"/>
  <c r="AA109" i="11"/>
  <c r="AA117" i="11"/>
  <c r="AA114" i="11"/>
  <c r="AA111" i="11"/>
  <c r="AA113" i="11"/>
  <c r="AA154" i="11"/>
  <c r="AA148" i="11"/>
  <c r="AA151" i="11"/>
  <c r="AA143" i="11"/>
  <c r="AA149" i="11"/>
  <c r="AA150" i="11"/>
  <c r="AA144" i="11"/>
  <c r="AA152" i="11"/>
  <c r="AA142" i="11"/>
  <c r="AA153" i="11"/>
  <c r="AA145" i="11"/>
  <c r="AA147" i="11"/>
  <c r="AA146" i="11"/>
  <c r="Z4" i="3"/>
  <c r="Z123" i="11"/>
  <c r="Z114" i="11"/>
  <c r="Z110" i="11"/>
  <c r="Z115" i="11"/>
  <c r="Z111" i="11"/>
  <c r="Z116" i="11"/>
  <c r="Z113" i="11"/>
  <c r="Z108" i="11"/>
  <c r="Z109" i="11"/>
  <c r="Z117" i="11"/>
  <c r="Z112" i="11"/>
  <c r="Z153" i="11"/>
  <c r="Z145" i="11"/>
  <c r="Z154" i="11"/>
  <c r="Z148" i="11"/>
  <c r="Z146" i="11"/>
  <c r="Z149" i="11"/>
  <c r="Z151" i="11"/>
  <c r="Z150" i="11"/>
  <c r="Z152" i="11"/>
  <c r="Z143" i="11"/>
  <c r="Z142" i="11"/>
  <c r="Z144" i="11"/>
  <c r="Z147" i="11"/>
  <c r="AG4" i="3"/>
  <c r="AG123" i="11"/>
  <c r="AG114" i="11"/>
  <c r="AG115" i="11"/>
  <c r="AG111" i="11"/>
  <c r="AG112" i="11"/>
  <c r="AG117" i="11"/>
  <c r="AG113" i="11"/>
  <c r="AG110" i="11"/>
  <c r="AG116" i="11"/>
  <c r="AG108" i="11"/>
  <c r="AG109" i="11"/>
  <c r="AG150" i="11"/>
  <c r="AG142" i="11"/>
  <c r="AG153" i="11"/>
  <c r="AG145" i="11"/>
  <c r="AG151" i="11"/>
  <c r="AG143" i="11"/>
  <c r="AG144" i="11"/>
  <c r="AG146" i="11"/>
  <c r="AG148" i="11"/>
  <c r="AG147" i="11"/>
  <c r="AG154" i="11"/>
  <c r="AG152" i="11"/>
  <c r="AG149" i="11"/>
  <c r="F4" i="3"/>
  <c r="F123" i="11"/>
  <c r="F116" i="11"/>
  <c r="F112" i="11"/>
  <c r="F108" i="11"/>
  <c r="F117" i="11"/>
  <c r="F113" i="11"/>
  <c r="F109" i="11"/>
  <c r="F115" i="11"/>
  <c r="F110" i="11"/>
  <c r="F111" i="11"/>
  <c r="F154" i="11"/>
  <c r="F114" i="11"/>
  <c r="F152" i="11"/>
  <c r="F144" i="11"/>
  <c r="F147" i="11"/>
  <c r="F153" i="11"/>
  <c r="F145" i="11"/>
  <c r="F148" i="11"/>
  <c r="F146" i="11"/>
  <c r="F149" i="11"/>
  <c r="F150" i="11"/>
  <c r="F143" i="11"/>
  <c r="F151" i="11"/>
  <c r="F142" i="11"/>
  <c r="AF4" i="3"/>
  <c r="AF123" i="11"/>
  <c r="AF117" i="11"/>
  <c r="AF113" i="11"/>
  <c r="AF109" i="11"/>
  <c r="AF114" i="11"/>
  <c r="AF110" i="11"/>
  <c r="AF112" i="11"/>
  <c r="AF115" i="11"/>
  <c r="AF111" i="11"/>
  <c r="AF108" i="11"/>
  <c r="AF147" i="11"/>
  <c r="AF150" i="11"/>
  <c r="AF142" i="11"/>
  <c r="AF116" i="11"/>
  <c r="AF148" i="11"/>
  <c r="AF153" i="11"/>
  <c r="AF152" i="11"/>
  <c r="AF145" i="11"/>
  <c r="AF144" i="11"/>
  <c r="AF146" i="11"/>
  <c r="AF143" i="11"/>
  <c r="AF149" i="11"/>
  <c r="AF151" i="11"/>
  <c r="AF154" i="11"/>
  <c r="X4" i="3"/>
  <c r="X123" i="11"/>
  <c r="X117" i="11"/>
  <c r="X113" i="11"/>
  <c r="X109" i="11"/>
  <c r="X114" i="11"/>
  <c r="X110" i="11"/>
  <c r="X116" i="11"/>
  <c r="X108" i="11"/>
  <c r="X115" i="11"/>
  <c r="X112" i="11"/>
  <c r="X147" i="11"/>
  <c r="X150" i="11"/>
  <c r="X142" i="11"/>
  <c r="X111" i="11"/>
  <c r="X154" i="11"/>
  <c r="X148" i="11"/>
  <c r="X151" i="11"/>
  <c r="X149" i="11"/>
  <c r="X145" i="11"/>
  <c r="X153" i="11"/>
  <c r="X146" i="11"/>
  <c r="X143" i="11"/>
  <c r="X144" i="11"/>
  <c r="X152" i="11"/>
  <c r="E4" i="3"/>
  <c r="E123" i="11"/>
  <c r="E116" i="11"/>
  <c r="E117" i="11"/>
  <c r="E113" i="11"/>
  <c r="E109" i="11"/>
  <c r="E108" i="11"/>
  <c r="E114" i="11"/>
  <c r="E115" i="11"/>
  <c r="E111" i="11"/>
  <c r="E149" i="11"/>
  <c r="E112" i="11"/>
  <c r="E152" i="11"/>
  <c r="E144" i="11"/>
  <c r="E150" i="11"/>
  <c r="E142" i="11"/>
  <c r="E110" i="11"/>
  <c r="E153" i="11"/>
  <c r="E143" i="11"/>
  <c r="E145" i="11"/>
  <c r="E146" i="11"/>
  <c r="E154" i="11"/>
  <c r="E147" i="11"/>
  <c r="E148" i="11"/>
  <c r="E151" i="11"/>
  <c r="AM4" i="3"/>
  <c r="AM123" i="11"/>
  <c r="AM117" i="11"/>
  <c r="AM113" i="11"/>
  <c r="AM114" i="11"/>
  <c r="AM110" i="11"/>
  <c r="AM109" i="11"/>
  <c r="AM108" i="11"/>
  <c r="AM116" i="11"/>
  <c r="AM111" i="11"/>
  <c r="AM112" i="11"/>
  <c r="AM115" i="11"/>
  <c r="AM154" i="11"/>
  <c r="AM152" i="11"/>
  <c r="AM144" i="11"/>
  <c r="AM147" i="11"/>
  <c r="AM153" i="11"/>
  <c r="AM145" i="11"/>
  <c r="AM150" i="11"/>
  <c r="AM149" i="11"/>
  <c r="AM143" i="11"/>
  <c r="AM151" i="11"/>
  <c r="AM142" i="11"/>
  <c r="AM146" i="11"/>
  <c r="AM148" i="11"/>
  <c r="W4" i="3"/>
  <c r="W123" i="11"/>
  <c r="W117" i="11"/>
  <c r="W113" i="11"/>
  <c r="W114" i="11"/>
  <c r="W110" i="11"/>
  <c r="W111" i="11"/>
  <c r="W116" i="11"/>
  <c r="W109" i="11"/>
  <c r="W154" i="11"/>
  <c r="W112" i="11"/>
  <c r="W108" i="11"/>
  <c r="W115" i="11"/>
  <c r="W152" i="11"/>
  <c r="W144" i="11"/>
  <c r="W147" i="11"/>
  <c r="W153" i="11"/>
  <c r="W145" i="11"/>
  <c r="W146" i="11"/>
  <c r="W148" i="11"/>
  <c r="W149" i="11"/>
  <c r="W150" i="11"/>
  <c r="W151" i="11"/>
  <c r="W142" i="11"/>
  <c r="W143" i="11"/>
  <c r="D4" i="3"/>
  <c r="D123" i="11"/>
  <c r="D115" i="11"/>
  <c r="D111" i="11"/>
  <c r="D116" i="11"/>
  <c r="D112" i="11"/>
  <c r="D108" i="11"/>
  <c r="D117" i="11"/>
  <c r="D114" i="11"/>
  <c r="D110" i="11"/>
  <c r="D113" i="11"/>
  <c r="D109" i="11"/>
  <c r="D154" i="11"/>
  <c r="D146" i="11"/>
  <c r="D149" i="11"/>
  <c r="D147" i="11"/>
  <c r="D152" i="11"/>
  <c r="D151" i="11"/>
  <c r="D153" i="11"/>
  <c r="D144" i="11"/>
  <c r="D143" i="11"/>
  <c r="D145" i="11"/>
  <c r="D148" i="11"/>
  <c r="D150" i="11"/>
  <c r="D142" i="11"/>
  <c r="AL4" i="3"/>
  <c r="AL123" i="11"/>
  <c r="AL116" i="11"/>
  <c r="AL112" i="11"/>
  <c r="AL108" i="11"/>
  <c r="AL117" i="11"/>
  <c r="AL113" i="11"/>
  <c r="AL109" i="11"/>
  <c r="AL115" i="11"/>
  <c r="AL110" i="11"/>
  <c r="AL111" i="11"/>
  <c r="AL114" i="11"/>
  <c r="AL154" i="11"/>
  <c r="AL149" i="11"/>
  <c r="AL152" i="11"/>
  <c r="AL144" i="11"/>
  <c r="AL150" i="11"/>
  <c r="AL142" i="11"/>
  <c r="AL148" i="11"/>
  <c r="AL151" i="11"/>
  <c r="AL143" i="11"/>
  <c r="AL145" i="11"/>
  <c r="AL147" i="11"/>
  <c r="AL153" i="11"/>
  <c r="AL146" i="11"/>
  <c r="AD4" i="3"/>
  <c r="AD123" i="11"/>
  <c r="AD116" i="11"/>
  <c r="AD112" i="11"/>
  <c r="AD108" i="11"/>
  <c r="AD117" i="11"/>
  <c r="AD113" i="11"/>
  <c r="AD109" i="11"/>
  <c r="AD114" i="11"/>
  <c r="AD110" i="11"/>
  <c r="AD111" i="11"/>
  <c r="AD154" i="11"/>
  <c r="AD115" i="11"/>
  <c r="AD149" i="11"/>
  <c r="AD152" i="11"/>
  <c r="AD144" i="11"/>
  <c r="AD150" i="11"/>
  <c r="AD142" i="11"/>
  <c r="AD151" i="11"/>
  <c r="AD153" i="11"/>
  <c r="AD143" i="11"/>
  <c r="AD145" i="11"/>
  <c r="AD146" i="11"/>
  <c r="AD148" i="11"/>
  <c r="AD147" i="11"/>
  <c r="V4" i="3"/>
  <c r="V123" i="11"/>
  <c r="V116" i="11"/>
  <c r="V112" i="11"/>
  <c r="V108" i="11"/>
  <c r="V117" i="11"/>
  <c r="V113" i="11"/>
  <c r="V109" i="11"/>
  <c r="V115" i="11"/>
  <c r="V111" i="11"/>
  <c r="V110" i="11"/>
  <c r="V114" i="11"/>
  <c r="V154" i="11"/>
  <c r="V149" i="11"/>
  <c r="V152" i="11"/>
  <c r="V144" i="11"/>
  <c r="V150" i="11"/>
  <c r="V142" i="11"/>
  <c r="V147" i="11"/>
  <c r="V146" i="11"/>
  <c r="V148" i="11"/>
  <c r="V143" i="11"/>
  <c r="V151" i="11"/>
  <c r="V153" i="11"/>
  <c r="V145" i="11"/>
  <c r="K4" i="3"/>
  <c r="K123" i="11"/>
  <c r="K115" i="11"/>
  <c r="K116" i="11"/>
  <c r="K112" i="11"/>
  <c r="K108" i="11"/>
  <c r="K111" i="11"/>
  <c r="K109" i="11"/>
  <c r="K110" i="11"/>
  <c r="K113" i="11"/>
  <c r="K114" i="11"/>
  <c r="K117" i="11"/>
  <c r="K151" i="11"/>
  <c r="K143" i="11"/>
  <c r="K146" i="11"/>
  <c r="K152" i="11"/>
  <c r="K144" i="11"/>
  <c r="K149" i="11"/>
  <c r="K148" i="11"/>
  <c r="K142" i="11"/>
  <c r="K150" i="11"/>
  <c r="K153" i="11"/>
  <c r="K154" i="11"/>
  <c r="K145" i="11"/>
  <c r="K147" i="11"/>
  <c r="C4" i="3"/>
  <c r="C123" i="11"/>
  <c r="C115" i="11"/>
  <c r="C116" i="11"/>
  <c r="C112" i="11"/>
  <c r="C108" i="11"/>
  <c r="C111" i="11"/>
  <c r="C109" i="11"/>
  <c r="C117" i="11"/>
  <c r="C114" i="11"/>
  <c r="C110" i="11"/>
  <c r="C113" i="11"/>
  <c r="C151" i="11"/>
  <c r="C143" i="11"/>
  <c r="C154" i="11"/>
  <c r="C146" i="11"/>
  <c r="C152" i="11"/>
  <c r="C144" i="11"/>
  <c r="C142" i="11"/>
  <c r="C153" i="11"/>
  <c r="C145" i="11"/>
  <c r="C149" i="11"/>
  <c r="C148" i="11"/>
  <c r="C150" i="11"/>
  <c r="C147" i="11"/>
  <c r="AH4" i="3"/>
  <c r="AH123" i="11"/>
  <c r="AH114" i="11"/>
  <c r="AH110" i="11"/>
  <c r="AH115" i="11"/>
  <c r="AH111" i="11"/>
  <c r="AH117" i="11"/>
  <c r="AH112" i="11"/>
  <c r="AH113" i="11"/>
  <c r="AH109" i="11"/>
  <c r="AH108" i="11"/>
  <c r="AH116" i="11"/>
  <c r="AH153" i="11"/>
  <c r="AH145" i="11"/>
  <c r="AH148" i="11"/>
  <c r="AH146" i="11"/>
  <c r="AH147" i="11"/>
  <c r="AH149" i="11"/>
  <c r="AH154" i="11"/>
  <c r="AH150" i="11"/>
  <c r="AH151" i="11"/>
  <c r="AH142" i="11"/>
  <c r="AH144" i="11"/>
  <c r="AH152" i="11"/>
  <c r="AH143" i="11"/>
  <c r="G4" i="3"/>
  <c r="G123" i="11"/>
  <c r="G117" i="11"/>
  <c r="G113" i="11"/>
  <c r="G114" i="11"/>
  <c r="G110" i="11"/>
  <c r="G108" i="11"/>
  <c r="G115" i="11"/>
  <c r="G112" i="11"/>
  <c r="G109" i="11"/>
  <c r="G116" i="11"/>
  <c r="G111" i="11"/>
  <c r="G147" i="11"/>
  <c r="G150" i="11"/>
  <c r="G142" i="11"/>
  <c r="G148" i="11"/>
  <c r="G145" i="11"/>
  <c r="G144" i="11"/>
  <c r="G154" i="11"/>
  <c r="G146" i="11"/>
  <c r="G153" i="11"/>
  <c r="G152" i="11"/>
  <c r="G149" i="11"/>
  <c r="G143" i="11"/>
  <c r="G151" i="11"/>
  <c r="O4" i="3"/>
  <c r="O123" i="11"/>
  <c r="O117" i="11"/>
  <c r="O113" i="11"/>
  <c r="O114" i="11"/>
  <c r="O110" i="11"/>
  <c r="O116" i="11"/>
  <c r="O109" i="11"/>
  <c r="O108" i="11"/>
  <c r="O112" i="11"/>
  <c r="O115" i="11"/>
  <c r="O154" i="11"/>
  <c r="O147" i="11"/>
  <c r="O150" i="11"/>
  <c r="O142" i="11"/>
  <c r="O148" i="11"/>
  <c r="O151" i="11"/>
  <c r="O143" i="11"/>
  <c r="O145" i="11"/>
  <c r="O153" i="11"/>
  <c r="O152" i="11"/>
  <c r="O144" i="11"/>
  <c r="O149" i="11"/>
  <c r="O146" i="11"/>
  <c r="O111" i="11"/>
  <c r="AN4" i="3"/>
  <c r="AN123" i="11"/>
  <c r="AN117" i="11"/>
  <c r="AN113" i="11"/>
  <c r="AN109" i="11"/>
  <c r="AN114" i="11"/>
  <c r="AN110" i="11"/>
  <c r="AN108" i="11"/>
  <c r="AN116" i="11"/>
  <c r="AN112" i="11"/>
  <c r="AN111" i="11"/>
  <c r="AN115" i="11"/>
  <c r="AN147" i="11"/>
  <c r="AN154" i="11"/>
  <c r="AN150" i="11"/>
  <c r="AN142" i="11"/>
  <c r="AN148" i="11"/>
  <c r="AN149" i="11"/>
  <c r="AN151" i="11"/>
  <c r="AN152" i="11"/>
  <c r="AN143" i="11"/>
  <c r="AN153" i="11"/>
  <c r="AN145" i="11"/>
  <c r="AN144" i="11"/>
  <c r="AN146" i="11"/>
  <c r="N4" i="3"/>
  <c r="N123" i="11"/>
  <c r="N116" i="11"/>
  <c r="N112" i="11"/>
  <c r="N108" i="11"/>
  <c r="N117" i="11"/>
  <c r="N113" i="11"/>
  <c r="N109" i="11"/>
  <c r="N111" i="11"/>
  <c r="N110" i="11"/>
  <c r="N114" i="11"/>
  <c r="N115" i="11"/>
  <c r="N154" i="11"/>
  <c r="N152" i="11"/>
  <c r="N144" i="11"/>
  <c r="N147" i="11"/>
  <c r="N153" i="11"/>
  <c r="N145" i="11"/>
  <c r="N150" i="11"/>
  <c r="N149" i="11"/>
  <c r="N151" i="11"/>
  <c r="N142" i="11"/>
  <c r="N143" i="11"/>
  <c r="N146" i="11"/>
  <c r="N148" i="11"/>
  <c r="AK4" i="3"/>
  <c r="AK123" i="11"/>
  <c r="AK116" i="11"/>
  <c r="AK117" i="11"/>
  <c r="AK113" i="11"/>
  <c r="AK109" i="11"/>
  <c r="AK111" i="11"/>
  <c r="AK115" i="11"/>
  <c r="AK110" i="11"/>
  <c r="AK108" i="11"/>
  <c r="AK112" i="11"/>
  <c r="AK146" i="11"/>
  <c r="AK149" i="11"/>
  <c r="AK147" i="11"/>
  <c r="AK114" i="11"/>
  <c r="AK148" i="11"/>
  <c r="AK142" i="11"/>
  <c r="AK150" i="11"/>
  <c r="AK152" i="11"/>
  <c r="AK143" i="11"/>
  <c r="AK151" i="11"/>
  <c r="AK144" i="11"/>
  <c r="AK145" i="11"/>
  <c r="AK154" i="11"/>
  <c r="AK153" i="11"/>
  <c r="AC4" i="3"/>
  <c r="AC123" i="11"/>
  <c r="AC116" i="11"/>
  <c r="AC117" i="11"/>
  <c r="AC113" i="11"/>
  <c r="AC109" i="11"/>
  <c r="AC108" i="11"/>
  <c r="AC114" i="11"/>
  <c r="AC112" i="11"/>
  <c r="AC115" i="11"/>
  <c r="AC111" i="11"/>
  <c r="AC110" i="11"/>
  <c r="AC146" i="11"/>
  <c r="AC149" i="11"/>
  <c r="AC147" i="11"/>
  <c r="AC154" i="11"/>
  <c r="AC142" i="11"/>
  <c r="AC152" i="11"/>
  <c r="AC151" i="11"/>
  <c r="AC153" i="11"/>
  <c r="AC144" i="11"/>
  <c r="AC143" i="11"/>
  <c r="AC145" i="11"/>
  <c r="AC150" i="11"/>
  <c r="AC148" i="11"/>
  <c r="U4" i="3"/>
  <c r="U123" i="11"/>
  <c r="U116" i="11"/>
  <c r="U117" i="11"/>
  <c r="U113" i="11"/>
  <c r="U109" i="11"/>
  <c r="U112" i="11"/>
  <c r="U115" i="11"/>
  <c r="U111" i="11"/>
  <c r="U114" i="11"/>
  <c r="U110" i="11"/>
  <c r="U108" i="11"/>
  <c r="U146" i="11"/>
  <c r="U149" i="11"/>
  <c r="U147" i="11"/>
  <c r="U145" i="11"/>
  <c r="U154" i="11"/>
  <c r="U148" i="11"/>
  <c r="U152" i="11"/>
  <c r="U143" i="11"/>
  <c r="U142" i="11"/>
  <c r="U153" i="11"/>
  <c r="U144" i="11"/>
  <c r="U150" i="11"/>
  <c r="U151" i="11"/>
  <c r="J4" i="3"/>
  <c r="J123" i="11"/>
  <c r="J114" i="11"/>
  <c r="J110" i="11"/>
  <c r="J115" i="11"/>
  <c r="J111" i="11"/>
  <c r="J113" i="11"/>
  <c r="J112" i="11"/>
  <c r="J116" i="11"/>
  <c r="J117" i="11"/>
  <c r="J108" i="11"/>
  <c r="J109" i="11"/>
  <c r="J148" i="11"/>
  <c r="J151" i="11"/>
  <c r="J143" i="11"/>
  <c r="J154" i="11"/>
  <c r="J149" i="11"/>
  <c r="J147" i="11"/>
  <c r="J150" i="11"/>
  <c r="J152" i="11"/>
  <c r="J146" i="11"/>
  <c r="J142" i="11"/>
  <c r="J153" i="11"/>
  <c r="J145" i="11"/>
  <c r="J144" i="11"/>
  <c r="B4" i="3"/>
  <c r="B123" i="11"/>
  <c r="B113" i="11"/>
  <c r="B112" i="11"/>
  <c r="B110" i="11"/>
  <c r="B152" i="11"/>
  <c r="B144" i="11"/>
  <c r="B117" i="11"/>
  <c r="B151" i="11"/>
  <c r="B143" i="11"/>
  <c r="B115" i="11"/>
  <c r="B149" i="11"/>
  <c r="B114" i="11"/>
  <c r="B142" i="11"/>
  <c r="B111" i="11"/>
  <c r="B154" i="11"/>
  <c r="B109" i="11"/>
  <c r="B153" i="11"/>
  <c r="B108" i="11"/>
  <c r="B150" i="11"/>
  <c r="B148" i="11"/>
  <c r="B147" i="11"/>
  <c r="B116" i="11"/>
  <c r="B145" i="11"/>
  <c r="B146" i="11"/>
  <c r="B107" i="11"/>
  <c r="Q4" i="3"/>
  <c r="Q123" i="11"/>
  <c r="Q114" i="11"/>
  <c r="Q115" i="11"/>
  <c r="Q111" i="11"/>
  <c r="Q110" i="11"/>
  <c r="Q109" i="11"/>
  <c r="Q108" i="11"/>
  <c r="Q117" i="11"/>
  <c r="Q112" i="11"/>
  <c r="Q116" i="11"/>
  <c r="Q153" i="11"/>
  <c r="Q145" i="11"/>
  <c r="Q148" i="11"/>
  <c r="Q113" i="11"/>
  <c r="Q146" i="11"/>
  <c r="Q152" i="11"/>
  <c r="Q143" i="11"/>
  <c r="Q142" i="11"/>
  <c r="Q144" i="11"/>
  <c r="Q154" i="11"/>
  <c r="Q147" i="11"/>
  <c r="Q150" i="11"/>
  <c r="Q149" i="11"/>
  <c r="Q151" i="11"/>
  <c r="P4" i="3"/>
  <c r="P123" i="11"/>
  <c r="P117" i="11"/>
  <c r="P113" i="11"/>
  <c r="P109" i="11"/>
  <c r="P114" i="11"/>
  <c r="P110" i="11"/>
  <c r="P108" i="11"/>
  <c r="P116" i="11"/>
  <c r="P111" i="11"/>
  <c r="P115" i="11"/>
  <c r="P150" i="11"/>
  <c r="P142" i="11"/>
  <c r="P153" i="11"/>
  <c r="P145" i="11"/>
  <c r="P151" i="11"/>
  <c r="P143" i="11"/>
  <c r="P112" i="11"/>
  <c r="P152" i="11"/>
  <c r="P144" i="11"/>
  <c r="P146" i="11"/>
  <c r="P154" i="11"/>
  <c r="P147" i="11"/>
  <c r="P148" i="11"/>
  <c r="P149" i="11"/>
  <c r="S12" i="21"/>
  <c r="AE4" i="3"/>
  <c r="AE123" i="11"/>
  <c r="AE117" i="11"/>
  <c r="AE113" i="11"/>
  <c r="AE114" i="11"/>
  <c r="AE110" i="11"/>
  <c r="AE112" i="11"/>
  <c r="AE115" i="11"/>
  <c r="AE111" i="11"/>
  <c r="AE109" i="11"/>
  <c r="AE108" i="11"/>
  <c r="AE154" i="11"/>
  <c r="AE152" i="11"/>
  <c r="AE144" i="11"/>
  <c r="AE147" i="11"/>
  <c r="AE153" i="11"/>
  <c r="AE145" i="11"/>
  <c r="AE116" i="11"/>
  <c r="AE143" i="11"/>
  <c r="AE146" i="11"/>
  <c r="AE148" i="11"/>
  <c r="AE149" i="11"/>
  <c r="AE151" i="11"/>
  <c r="AE142" i="11"/>
  <c r="AE150" i="11"/>
  <c r="M4" i="3"/>
  <c r="M123" i="11"/>
  <c r="M116" i="11"/>
  <c r="M117" i="11"/>
  <c r="M113" i="11"/>
  <c r="M109" i="11"/>
  <c r="M111" i="11"/>
  <c r="M110" i="11"/>
  <c r="M114" i="11"/>
  <c r="M108" i="11"/>
  <c r="M115" i="11"/>
  <c r="M112" i="11"/>
  <c r="M154" i="11"/>
  <c r="M149" i="11"/>
  <c r="M152" i="11"/>
  <c r="M144" i="11"/>
  <c r="M150" i="11"/>
  <c r="M142" i="11"/>
  <c r="M143" i="11"/>
  <c r="M151" i="11"/>
  <c r="M153" i="11"/>
  <c r="M145" i="11"/>
  <c r="M148" i="11"/>
  <c r="M147" i="11"/>
  <c r="M146" i="11"/>
  <c r="AJ4" i="3"/>
  <c r="AJ123" i="11"/>
  <c r="AJ115" i="11"/>
  <c r="AJ111" i="11"/>
  <c r="AJ116" i="11"/>
  <c r="AJ112" i="11"/>
  <c r="AJ108" i="11"/>
  <c r="AJ117" i="11"/>
  <c r="AJ113" i="11"/>
  <c r="AJ110" i="11"/>
  <c r="AJ109" i="11"/>
  <c r="AJ114" i="11"/>
  <c r="AJ154" i="11"/>
  <c r="AJ151" i="11"/>
  <c r="AJ143" i="11"/>
  <c r="AJ146" i="11"/>
  <c r="AJ152" i="11"/>
  <c r="AJ144" i="11"/>
  <c r="AJ147" i="11"/>
  <c r="AJ150" i="11"/>
  <c r="AJ149" i="11"/>
  <c r="AJ148" i="11"/>
  <c r="AJ145" i="11"/>
  <c r="AJ142" i="11"/>
  <c r="AJ153" i="11"/>
  <c r="AB4" i="3"/>
  <c r="AB123" i="11"/>
  <c r="AB115" i="11"/>
  <c r="AB111" i="11"/>
  <c r="AB116" i="11"/>
  <c r="AB112" i="11"/>
  <c r="AB108" i="11"/>
  <c r="AB110" i="11"/>
  <c r="AB109" i="11"/>
  <c r="AB114" i="11"/>
  <c r="AB117" i="11"/>
  <c r="AB113" i="11"/>
  <c r="AB154" i="11"/>
  <c r="AB151" i="11"/>
  <c r="AB143" i="11"/>
  <c r="AB146" i="11"/>
  <c r="AB152" i="11"/>
  <c r="AB144" i="11"/>
  <c r="AB150" i="11"/>
  <c r="AB142" i="11"/>
  <c r="AB153" i="11"/>
  <c r="AB149" i="11"/>
  <c r="AB148" i="11"/>
  <c r="AB145" i="11"/>
  <c r="AB147" i="11"/>
  <c r="S4" i="3"/>
  <c r="S123" i="11"/>
  <c r="S115" i="11"/>
  <c r="S116" i="11"/>
  <c r="S112" i="11"/>
  <c r="S108" i="11"/>
  <c r="S114" i="11"/>
  <c r="S117" i="11"/>
  <c r="S113" i="11"/>
  <c r="S109" i="11"/>
  <c r="S111" i="11"/>
  <c r="S110" i="11"/>
  <c r="S148" i="11"/>
  <c r="S151" i="11"/>
  <c r="S143" i="11"/>
  <c r="S149" i="11"/>
  <c r="S144" i="11"/>
  <c r="S153" i="11"/>
  <c r="S154" i="11"/>
  <c r="S147" i="11"/>
  <c r="S146" i="11"/>
  <c r="S145" i="11"/>
  <c r="S142" i="11"/>
  <c r="S150" i="11"/>
  <c r="S152" i="11"/>
  <c r="I4" i="3"/>
  <c r="I123" i="11"/>
  <c r="I114" i="11"/>
  <c r="I115" i="11"/>
  <c r="I111" i="11"/>
  <c r="I113" i="11"/>
  <c r="I112" i="11"/>
  <c r="I116" i="11"/>
  <c r="I117" i="11"/>
  <c r="I108" i="11"/>
  <c r="I110" i="11"/>
  <c r="I153" i="11"/>
  <c r="I145" i="11"/>
  <c r="I109" i="11"/>
  <c r="I148" i="11"/>
  <c r="I146" i="11"/>
  <c r="I147" i="11"/>
  <c r="I149" i="11"/>
  <c r="I150" i="11"/>
  <c r="I152" i="11"/>
  <c r="I143" i="11"/>
  <c r="I142" i="11"/>
  <c r="I154" i="11"/>
  <c r="I151" i="11"/>
  <c r="I144" i="11"/>
  <c r="B133" i="11"/>
  <c r="AP133" i="11" s="1"/>
  <c r="AP12" i="11"/>
  <c r="AO12" i="21"/>
  <c r="D42" i="13"/>
  <c r="D44" i="13" s="1"/>
  <c r="D45" i="13" s="1"/>
  <c r="D46" i="13" s="1"/>
  <c r="H16" i="9"/>
  <c r="D13" i="9"/>
  <c r="I12" i="21"/>
  <c r="AC59" i="5"/>
  <c r="AC106" i="5" s="1"/>
  <c r="E59" i="5"/>
  <c r="AI59" i="5"/>
  <c r="AI106" i="5" s="1"/>
  <c r="AA59" i="5"/>
  <c r="AA106" i="5" s="1"/>
  <c r="K59" i="5"/>
  <c r="K106" i="5" s="1"/>
  <c r="C59" i="5"/>
  <c r="C106" i="5" s="1"/>
  <c r="Z59" i="5"/>
  <c r="Z106" i="5" s="1"/>
  <c r="R59" i="5"/>
  <c r="R106" i="5" s="1"/>
  <c r="Y59" i="5"/>
  <c r="Y106" i="5" s="1"/>
  <c r="S59" i="5"/>
  <c r="S106" i="5" s="1"/>
  <c r="AN59" i="5"/>
  <c r="AN106" i="5" s="1"/>
  <c r="AF59" i="5"/>
  <c r="AF106" i="5" s="1"/>
  <c r="AM59" i="5"/>
  <c r="AM106" i="5" s="1"/>
  <c r="AE59" i="5"/>
  <c r="AE106" i="5" s="1"/>
  <c r="W59" i="5"/>
  <c r="W106" i="5" s="1"/>
  <c r="O59" i="5"/>
  <c r="O106" i="5" s="1"/>
  <c r="AL59" i="5"/>
  <c r="AL106" i="5" s="1"/>
  <c r="AD59" i="5"/>
  <c r="AD106" i="5" s="1"/>
  <c r="H12" i="9"/>
  <c r="Z22" i="21"/>
  <c r="C11" i="9"/>
  <c r="AH15" i="18"/>
  <c r="AH16" i="18" s="1"/>
  <c r="AH17" i="18" s="1"/>
  <c r="AH9" i="4" s="1"/>
  <c r="I15" i="18"/>
  <c r="I16" i="18" s="1"/>
  <c r="I17" i="18" s="1"/>
  <c r="I9" i="4" s="1"/>
  <c r="B42" i="13"/>
  <c r="B44" i="13" s="1"/>
  <c r="B45" i="13" s="1"/>
  <c r="B46" i="13" s="1"/>
  <c r="I13" i="21"/>
  <c r="AK76" i="20"/>
  <c r="AD14" i="21"/>
  <c r="AD76" i="20"/>
  <c r="AL13" i="21"/>
  <c r="D23" i="9"/>
  <c r="B61" i="13"/>
  <c r="V122" i="13" s="1"/>
  <c r="AC76" i="20"/>
  <c r="T15" i="18"/>
  <c r="T16" i="18" s="1"/>
  <c r="T17" i="18" s="1"/>
  <c r="T9" i="4" s="1"/>
  <c r="V76" i="20"/>
  <c r="G76" i="20"/>
  <c r="AD12" i="21"/>
  <c r="B76" i="20"/>
  <c r="Q22" i="21"/>
  <c r="AL21" i="21"/>
  <c r="E27" i="16"/>
  <c r="AQ12" i="11"/>
  <c r="AQ13" i="11"/>
  <c r="AC21" i="21"/>
  <c r="E16" i="18"/>
  <c r="E17" i="18" s="1"/>
  <c r="E9" i="4" s="1"/>
  <c r="AG64" i="5"/>
  <c r="T64" i="5"/>
  <c r="U64" i="5"/>
  <c r="AH64" i="5"/>
  <c r="AO60" i="5"/>
  <c r="AO61" i="5" s="1"/>
  <c r="AO62" i="5"/>
  <c r="E90" i="21"/>
  <c r="V13" i="21"/>
  <c r="V12" i="21"/>
  <c r="S16" i="18"/>
  <c r="S17" i="18" s="1"/>
  <c r="S9" i="4" s="1"/>
  <c r="R21" i="21"/>
  <c r="N13" i="21"/>
  <c r="H25" i="9"/>
  <c r="L15" i="18"/>
  <c r="L16" i="18" s="1"/>
  <c r="L17" i="18" s="1"/>
  <c r="L9" i="4" s="1"/>
  <c r="X76" i="20"/>
  <c r="M21" i="21"/>
  <c r="N12" i="21"/>
  <c r="T12" i="10"/>
  <c r="T13" i="10" s="1"/>
  <c r="T14" i="10" s="1"/>
  <c r="C42" i="13"/>
  <c r="C44" i="13" s="1"/>
  <c r="C45" i="13" s="1"/>
  <c r="C46" i="13" s="1"/>
  <c r="AN76" i="20"/>
  <c r="N76" i="20"/>
  <c r="AL12" i="21"/>
  <c r="AH63" i="5"/>
  <c r="D27" i="9"/>
  <c r="AM76" i="20"/>
  <c r="J76" i="20"/>
  <c r="AO13" i="21"/>
  <c r="AJ12" i="21"/>
  <c r="T118" i="11"/>
  <c r="P64" i="5"/>
  <c r="P62" i="5"/>
  <c r="I60" i="5"/>
  <c r="I61" i="5" s="1"/>
  <c r="I63" i="5"/>
  <c r="C15" i="18"/>
  <c r="C16" i="18" s="1"/>
  <c r="C17" i="18" s="1"/>
  <c r="C9" i="4" s="1"/>
  <c r="J15" i="18"/>
  <c r="J16" i="18" s="1"/>
  <c r="J17" i="18" s="1"/>
  <c r="J9" i="4" s="1"/>
  <c r="AG15" i="18"/>
  <c r="AG16" i="18" s="1"/>
  <c r="AG17" i="18" s="1"/>
  <c r="AG9" i="4" s="1"/>
  <c r="B15" i="18"/>
  <c r="B16" i="18" s="1"/>
  <c r="B17" i="18" s="1"/>
  <c r="B9" i="4" s="1"/>
  <c r="AC15" i="18"/>
  <c r="AC16" i="18" s="1"/>
  <c r="AC17" i="18" s="1"/>
  <c r="AC9" i="4" s="1"/>
  <c r="AO63" i="5"/>
  <c r="Q62" i="5"/>
  <c r="Q64" i="5"/>
  <c r="D75" i="20"/>
  <c r="AD75" i="20"/>
  <c r="G75" i="20"/>
  <c r="AF75" i="20"/>
  <c r="V75" i="20"/>
  <c r="AB75" i="20"/>
  <c r="AL75" i="20"/>
  <c r="H75" i="20"/>
  <c r="P75" i="20"/>
  <c r="I62" i="5"/>
  <c r="M60" i="5"/>
  <c r="M61" i="5" s="1"/>
  <c r="M64" i="5"/>
  <c r="X62" i="5"/>
  <c r="X63" i="5"/>
  <c r="AH60" i="5"/>
  <c r="AH61" i="5" s="1"/>
  <c r="AH62" i="5"/>
  <c r="J62" i="5"/>
  <c r="J60" i="5"/>
  <c r="J61" i="5" s="1"/>
  <c r="X75" i="20"/>
  <c r="C22" i="21"/>
  <c r="AE22" i="21"/>
  <c r="AE21" i="21"/>
  <c r="D31" i="9"/>
  <c r="C31" i="9"/>
  <c r="C7" i="9"/>
  <c r="D7" i="9"/>
  <c r="U16" i="18"/>
  <c r="U17" i="18" s="1"/>
  <c r="U9" i="4" s="1"/>
  <c r="S21" i="21"/>
  <c r="S22" i="21"/>
  <c r="K21" i="21"/>
  <c r="K22" i="21"/>
  <c r="AK13" i="21"/>
  <c r="AK14" i="21"/>
  <c r="AC14" i="21"/>
  <c r="AC12" i="21"/>
  <c r="AC13" i="21"/>
  <c r="U13" i="21"/>
  <c r="U12" i="21"/>
  <c r="M14" i="21"/>
  <c r="M12" i="21"/>
  <c r="E12" i="21"/>
  <c r="E14" i="21"/>
  <c r="D29" i="9"/>
  <c r="C29" i="9"/>
  <c r="I11" i="9"/>
  <c r="H8" i="9"/>
  <c r="O15" i="18"/>
  <c r="O16" i="18" s="1"/>
  <c r="O17" i="18" s="1"/>
  <c r="O9" i="4" s="1"/>
  <c r="AI15" i="18"/>
  <c r="AI16" i="18" s="1"/>
  <c r="AI17" i="18" s="1"/>
  <c r="AI9" i="4" s="1"/>
  <c r="L14" i="21"/>
  <c r="L13" i="21"/>
  <c r="L7" i="17"/>
  <c r="E13" i="21"/>
  <c r="K14" i="21"/>
  <c r="K13" i="21"/>
  <c r="AH22" i="21"/>
  <c r="V22" i="21"/>
  <c r="V21" i="21"/>
  <c r="V64" i="5"/>
  <c r="AD22" i="21"/>
  <c r="D12" i="10"/>
  <c r="D13" i="10" s="1"/>
  <c r="D14" i="10" s="1"/>
  <c r="Y76" i="20"/>
  <c r="H76" i="20"/>
  <c r="H29" i="9"/>
  <c r="H23" i="9"/>
  <c r="W15" i="18"/>
  <c r="W16" i="18" s="1"/>
  <c r="W17" i="18" s="1"/>
  <c r="W9" i="4" s="1"/>
  <c r="AH76" i="20"/>
  <c r="Q76" i="20"/>
  <c r="AH36" i="21"/>
  <c r="AH37" i="21" s="1"/>
  <c r="AG11" i="4" s="1"/>
  <c r="AF76" i="20"/>
  <c r="O76" i="20"/>
  <c r="C10" i="9"/>
  <c r="H7" i="9"/>
  <c r="I31" i="9"/>
  <c r="H26" i="9"/>
  <c r="D9" i="9"/>
  <c r="I30" i="9"/>
  <c r="D25" i="9"/>
  <c r="D14" i="9"/>
  <c r="I10" i="9"/>
  <c r="D32" i="9"/>
  <c r="H28" i="9"/>
  <c r="C12" i="9"/>
  <c r="I27" i="9"/>
  <c r="D24" i="9"/>
  <c r="D15" i="9"/>
  <c r="AG22" i="21"/>
  <c r="AB13" i="21"/>
  <c r="D12" i="21"/>
  <c r="C12" i="21"/>
  <c r="T13" i="21"/>
  <c r="AA12" i="21"/>
  <c r="AO22" i="21"/>
  <c r="I21" i="21"/>
  <c r="K12" i="21"/>
  <c r="AM22" i="21"/>
  <c r="AK21" i="21"/>
  <c r="U21" i="21"/>
  <c r="E21" i="21"/>
  <c r="AB14" i="21"/>
  <c r="AH13" i="21"/>
  <c r="AJ14" i="21"/>
  <c r="D14" i="21"/>
  <c r="C14" i="21"/>
  <c r="L12" i="21"/>
  <c r="S13" i="21"/>
  <c r="AI22" i="21"/>
  <c r="AA14" i="21"/>
  <c r="F14" i="21"/>
  <c r="T12" i="21"/>
  <c r="F12" i="21"/>
  <c r="I36" i="21"/>
  <c r="I37" i="21" s="1"/>
  <c r="H11" i="4" s="1"/>
  <c r="AN36" i="21"/>
  <c r="AN37" i="21" s="1"/>
  <c r="AM11" i="4" s="1"/>
  <c r="AF36" i="21"/>
  <c r="AF37" i="21" s="1"/>
  <c r="AE11" i="4" s="1"/>
  <c r="AM36" i="21"/>
  <c r="AM37" i="21" s="1"/>
  <c r="AL11" i="4" s="1"/>
  <c r="AE36" i="21"/>
  <c r="AE37" i="21" s="1"/>
  <c r="AD11" i="4" s="1"/>
  <c r="W36" i="21"/>
  <c r="W37" i="21" s="1"/>
  <c r="V11" i="4" s="1"/>
  <c r="O36" i="21"/>
  <c r="O37" i="21" s="1"/>
  <c r="N11" i="4" s="1"/>
  <c r="G36" i="21"/>
  <c r="G37" i="21" s="1"/>
  <c r="F11" i="4" s="1"/>
  <c r="AL36" i="21"/>
  <c r="AL37" i="21" s="1"/>
  <c r="AK11" i="4" s="1"/>
  <c r="AD36" i="21"/>
  <c r="AD37" i="21" s="1"/>
  <c r="AC11" i="4" s="1"/>
  <c r="V36" i="21"/>
  <c r="V37" i="21" s="1"/>
  <c r="U11" i="4" s="1"/>
  <c r="N36" i="21"/>
  <c r="N37" i="21" s="1"/>
  <c r="M11" i="4" s="1"/>
  <c r="F36" i="21"/>
  <c r="F37" i="21" s="1"/>
  <c r="E11" i="4" s="1"/>
  <c r="AK36" i="21"/>
  <c r="AK37" i="21" s="1"/>
  <c r="AJ11" i="4" s="1"/>
  <c r="AC36" i="21"/>
  <c r="AC37" i="21" s="1"/>
  <c r="AB11" i="4" s="1"/>
  <c r="U36" i="21"/>
  <c r="U37" i="21" s="1"/>
  <c r="T11" i="4" s="1"/>
  <c r="M36" i="21"/>
  <c r="M37" i="21" s="1"/>
  <c r="L11" i="4" s="1"/>
  <c r="E36" i="21"/>
  <c r="E37" i="21" s="1"/>
  <c r="D11" i="4" s="1"/>
  <c r="AJ36" i="21"/>
  <c r="AJ37" i="21" s="1"/>
  <c r="AI11" i="4" s="1"/>
  <c r="AB36" i="21"/>
  <c r="AB37" i="21" s="1"/>
  <c r="AA11" i="4" s="1"/>
  <c r="T36" i="21"/>
  <c r="T37" i="21" s="1"/>
  <c r="S11" i="4" s="1"/>
  <c r="L36" i="21"/>
  <c r="L37" i="21" s="1"/>
  <c r="K11" i="4" s="1"/>
  <c r="D36" i="21"/>
  <c r="D37" i="21" s="1"/>
  <c r="C11" i="4" s="1"/>
  <c r="AA22" i="21"/>
  <c r="AH14" i="21"/>
  <c r="R151" i="23"/>
  <c r="R162" i="23"/>
  <c r="S162" i="23" s="1"/>
  <c r="B13" i="4"/>
  <c r="R149" i="23"/>
  <c r="AA13" i="4"/>
  <c r="S13" i="4"/>
  <c r="K13" i="4"/>
  <c r="AB149" i="23"/>
  <c r="R165" i="23"/>
  <c r="S165" i="23" s="1"/>
  <c r="AB150" i="23"/>
  <c r="R148" i="23"/>
  <c r="R167" i="23"/>
  <c r="S167" i="23" s="1"/>
  <c r="R159" i="23"/>
  <c r="S159" i="23" s="1"/>
  <c r="R157" i="23"/>
  <c r="S157" i="23" s="1"/>
  <c r="R170" i="23"/>
  <c r="S170" i="23" s="1"/>
  <c r="AB148" i="23"/>
  <c r="AB147" i="23"/>
  <c r="S156" i="23"/>
  <c r="AE13" i="4"/>
  <c r="W13" i="4"/>
  <c r="O13" i="4"/>
  <c r="G13" i="4"/>
  <c r="R146" i="23"/>
  <c r="AK13" i="4"/>
  <c r="AC13" i="4"/>
  <c r="U13" i="4"/>
  <c r="E13" i="4"/>
  <c r="R147" i="23"/>
  <c r="T13" i="4"/>
  <c r="D13" i="4"/>
  <c r="AJ13" i="4"/>
  <c r="AB13" i="4"/>
  <c r="L13" i="4"/>
  <c r="AB146" i="23"/>
  <c r="AG13" i="4"/>
  <c r="Y13" i="4"/>
  <c r="Q13" i="4"/>
  <c r="I13" i="4"/>
  <c r="D72" i="23"/>
  <c r="N13" i="10"/>
  <c r="N14" i="10" s="1"/>
  <c r="B12" i="10"/>
  <c r="B13" i="10" s="1"/>
  <c r="B14" i="10" s="1"/>
  <c r="B5" i="4" s="1"/>
  <c r="AK12" i="10"/>
  <c r="AK13" i="10" s="1"/>
  <c r="AK14" i="10" s="1"/>
  <c r="AG12" i="10"/>
  <c r="AG13" i="10" s="1"/>
  <c r="AG14" i="10" s="1"/>
  <c r="G13" i="10"/>
  <c r="G14" i="10" s="1"/>
  <c r="AC12" i="10"/>
  <c r="AC13" i="10" s="1"/>
  <c r="AC14" i="10" s="1"/>
  <c r="R12" i="10"/>
  <c r="R13" i="10" s="1"/>
  <c r="R14" i="10" s="1"/>
  <c r="M12" i="10"/>
  <c r="M13" i="10" s="1"/>
  <c r="M14" i="10" s="1"/>
  <c r="O13" i="10"/>
  <c r="O14" i="10" s="1"/>
  <c r="V42" i="16"/>
  <c r="AA12" i="10"/>
  <c r="AA13" i="10" s="1"/>
  <c r="AA14" i="10" s="1"/>
  <c r="L12" i="10"/>
  <c r="L13" i="10" s="1"/>
  <c r="L14" i="10" s="1"/>
  <c r="AB12" i="10"/>
  <c r="AB13" i="10" s="1"/>
  <c r="AB14" i="10" s="1"/>
  <c r="Z12" i="10"/>
  <c r="Z13" i="10" s="1"/>
  <c r="Z14" i="10" s="1"/>
  <c r="K12" i="10"/>
  <c r="K13" i="10" s="1"/>
  <c r="K14" i="10" s="1"/>
  <c r="AL12" i="10"/>
  <c r="AL13" i="10" s="1"/>
  <c r="AL14" i="10" s="1"/>
  <c r="Y12" i="10"/>
  <c r="Y13" i="10" s="1"/>
  <c r="Y14" i="10" s="1"/>
  <c r="E12" i="10"/>
  <c r="E13" i="10" s="1"/>
  <c r="E14" i="10" s="1"/>
  <c r="C13" i="10"/>
  <c r="C14" i="10" s="1"/>
  <c r="AJ12" i="10"/>
  <c r="AJ13" i="10" s="1"/>
  <c r="AJ14" i="10" s="1"/>
  <c r="S12" i="10"/>
  <c r="S13" i="10" s="1"/>
  <c r="S14" i="10" s="1"/>
  <c r="Q65" i="16"/>
  <c r="Q40" i="16"/>
  <c r="Q39" i="16"/>
  <c r="L34" i="16"/>
  <c r="Q77" i="16"/>
  <c r="V64" i="16"/>
  <c r="L62" i="16"/>
  <c r="Q59" i="16"/>
  <c r="L46" i="16"/>
  <c r="Q43" i="16"/>
  <c r="L52" i="16"/>
  <c r="V66" i="16"/>
  <c r="Q79" i="16"/>
  <c r="Q63" i="16"/>
  <c r="L58" i="16"/>
  <c r="Q41" i="16"/>
  <c r="L36" i="16"/>
  <c r="L69" i="16"/>
  <c r="L76" i="16"/>
  <c r="L74" i="16"/>
  <c r="V68" i="16"/>
  <c r="V40" i="16"/>
  <c r="Q35" i="16"/>
  <c r="V32" i="16"/>
  <c r="L56" i="16"/>
  <c r="V43" i="16"/>
  <c r="Q61" i="16"/>
  <c r="Q81" i="16"/>
  <c r="V80" i="16"/>
  <c r="L78" i="16"/>
  <c r="L33" i="16"/>
  <c r="L60" i="16"/>
  <c r="L72" i="16"/>
  <c r="V46" i="16"/>
  <c r="V70" i="16"/>
  <c r="L48" i="16"/>
  <c r="Q58" i="16"/>
  <c r="Q75" i="16"/>
  <c r="V72" i="16"/>
  <c r="L70" i="16"/>
  <c r="Q55" i="16"/>
  <c r="L51" i="16"/>
  <c r="L50" i="16"/>
  <c r="V44" i="16"/>
  <c r="Q37" i="16"/>
  <c r="L80" i="16"/>
  <c r="L68" i="16"/>
  <c r="V58" i="16"/>
  <c r="L44" i="16"/>
  <c r="Q36" i="16"/>
  <c r="V34" i="16"/>
  <c r="L32" i="16"/>
  <c r="V69" i="16"/>
  <c r="Q53" i="16"/>
  <c r="V45" i="16"/>
  <c r="V39" i="16"/>
  <c r="Q76" i="16"/>
  <c r="V74" i="16"/>
  <c r="V62" i="16"/>
  <c r="L55" i="16"/>
  <c r="L54" i="16"/>
  <c r="V50" i="16"/>
  <c r="V38" i="16"/>
  <c r="V78" i="16"/>
  <c r="Q51" i="16"/>
  <c r="L47" i="16"/>
  <c r="Q62" i="16"/>
  <c r="V54" i="16"/>
  <c r="Q38" i="16"/>
  <c r="L35" i="16"/>
  <c r="Q69" i="16"/>
  <c r="Q57" i="16"/>
  <c r="Q45" i="16"/>
  <c r="Q73" i="16"/>
  <c r="V65" i="16"/>
  <c r="L64" i="16"/>
  <c r="Q49" i="16"/>
  <c r="L40" i="16"/>
  <c r="V73" i="16"/>
  <c r="V47" i="16"/>
  <c r="Q44" i="16"/>
  <c r="L37" i="16"/>
  <c r="V33" i="16"/>
  <c r="V77" i="16"/>
  <c r="L67" i="16"/>
  <c r="Q56" i="16"/>
  <c r="Q52" i="16"/>
  <c r="Q48" i="16"/>
  <c r="L41" i="16"/>
  <c r="V37" i="16"/>
  <c r="V81" i="16"/>
  <c r="V76" i="16"/>
  <c r="Q74" i="16"/>
  <c r="L71" i="16"/>
  <c r="L66" i="16"/>
  <c r="V63" i="16"/>
  <c r="Q60" i="16"/>
  <c r="Q47" i="16"/>
  <c r="L45" i="16"/>
  <c r="V41" i="16"/>
  <c r="V36" i="16"/>
  <c r="Q34" i="16"/>
  <c r="Q33" i="16"/>
  <c r="L39" i="16"/>
  <c r="Q32" i="16"/>
  <c r="Q72" i="16"/>
  <c r="Q67" i="16"/>
  <c r="V61" i="16"/>
  <c r="V56" i="16"/>
  <c r="V52" i="16"/>
  <c r="V48" i="16"/>
  <c r="Q46" i="16"/>
  <c r="L43" i="16"/>
  <c r="L38" i="16"/>
  <c r="V35" i="16"/>
  <c r="L79" i="16"/>
  <c r="Q68" i="16"/>
  <c r="V49" i="16"/>
  <c r="Q42" i="16"/>
  <c r="V79" i="16"/>
  <c r="Q71" i="16"/>
  <c r="V60" i="16"/>
  <c r="L42" i="16"/>
  <c r="AB60" i="5"/>
  <c r="AB61" i="5" s="1"/>
  <c r="AB62" i="5"/>
  <c r="AB64" i="5"/>
  <c r="AB63" i="5"/>
  <c r="D60" i="5"/>
  <c r="D61" i="5" s="1"/>
  <c r="D64" i="5"/>
  <c r="D62" i="5"/>
  <c r="D63" i="5"/>
  <c r="T60" i="5"/>
  <c r="T61" i="5" s="1"/>
  <c r="T62" i="5"/>
  <c r="T63" i="5"/>
  <c r="G64" i="5"/>
  <c r="G63" i="5"/>
  <c r="G60" i="5"/>
  <c r="G61" i="5" s="1"/>
  <c r="L60" i="5"/>
  <c r="L61" i="5" s="1"/>
  <c r="L64" i="5"/>
  <c r="F63" i="5"/>
  <c r="F62" i="5"/>
  <c r="F64" i="5"/>
  <c r="J64" i="5"/>
  <c r="AO64" i="5"/>
  <c r="L62" i="5"/>
  <c r="Q63" i="5"/>
  <c r="I64" i="5"/>
  <c r="P63" i="5"/>
  <c r="Q60" i="5"/>
  <c r="Q61" i="5" s="1"/>
  <c r="H15" i="9"/>
  <c r="I15" i="9"/>
  <c r="H13" i="9"/>
  <c r="I13" i="9"/>
  <c r="L63" i="5"/>
  <c r="P60" i="5"/>
  <c r="P61" i="5" s="1"/>
  <c r="D8" i="9"/>
  <c r="C8" i="9"/>
  <c r="AE12" i="10"/>
  <c r="AE13" i="10" s="1"/>
  <c r="AE14" i="10" s="1"/>
  <c r="AM12" i="10"/>
  <c r="AM13" i="10" s="1"/>
  <c r="AM14" i="10" s="1"/>
  <c r="V12" i="10"/>
  <c r="V13" i="10" s="1"/>
  <c r="V14" i="10" s="1"/>
  <c r="AG63" i="5"/>
  <c r="AG60" i="5"/>
  <c r="AG61" i="5" s="1"/>
  <c r="AJ60" i="5"/>
  <c r="AJ61" i="5" s="1"/>
  <c r="AJ64" i="5"/>
  <c r="AJ63" i="5"/>
  <c r="AJ62" i="5"/>
  <c r="F60" i="5"/>
  <c r="F61" i="5" s="1"/>
  <c r="M13" i="4"/>
  <c r="G62" i="5"/>
  <c r="AG62" i="5"/>
  <c r="H64" i="5"/>
  <c r="H62" i="5"/>
  <c r="H63" i="5"/>
  <c r="H60" i="5"/>
  <c r="H61" i="5" s="1"/>
  <c r="AK62" i="5"/>
  <c r="AK64" i="5"/>
  <c r="AK60" i="5"/>
  <c r="AK61" i="5" s="1"/>
  <c r="AK63" i="5"/>
  <c r="U62" i="5"/>
  <c r="U63" i="5"/>
  <c r="U60" i="5"/>
  <c r="U61" i="5" s="1"/>
  <c r="M62" i="5"/>
  <c r="M63" i="5"/>
  <c r="H32" i="9"/>
  <c r="H9" i="9"/>
  <c r="I9" i="9"/>
  <c r="R7" i="17"/>
  <c r="H14" i="9"/>
  <c r="I14" i="9"/>
  <c r="X12" i="10"/>
  <c r="X13" i="10" s="1"/>
  <c r="X14" i="10" s="1"/>
  <c r="I12" i="10"/>
  <c r="I13" i="10" s="1"/>
  <c r="I14" i="10" s="1"/>
  <c r="Q12" i="10"/>
  <c r="Q13" i="10" s="1"/>
  <c r="Q14" i="10" s="1"/>
  <c r="F12" i="10"/>
  <c r="F13" i="10" s="1"/>
  <c r="F14" i="10" s="1"/>
  <c r="J12" i="10"/>
  <c r="J13" i="10" s="1"/>
  <c r="J14" i="10" s="1"/>
  <c r="U12" i="10"/>
  <c r="U13" i="10" s="1"/>
  <c r="U14" i="10" s="1"/>
  <c r="AH12" i="10"/>
  <c r="AH13" i="10" s="1"/>
  <c r="AH14" i="10" s="1"/>
  <c r="D28" i="9"/>
  <c r="C28" i="9"/>
  <c r="H24" i="9"/>
  <c r="X64" i="5"/>
  <c r="X60" i="5"/>
  <c r="X61" i="5" s="1"/>
  <c r="C26" i="9"/>
  <c r="D26" i="9"/>
  <c r="V63" i="5"/>
  <c r="V62" i="5"/>
  <c r="V60" i="5"/>
  <c r="V61" i="5" s="1"/>
  <c r="N63" i="5"/>
  <c r="N62" i="5"/>
  <c r="N64" i="5"/>
  <c r="N60" i="5"/>
  <c r="N61" i="5" s="1"/>
  <c r="AI12" i="10"/>
  <c r="AI13" i="10" s="1"/>
  <c r="AI14" i="10" s="1"/>
  <c r="Q78" i="16"/>
  <c r="L63" i="16"/>
  <c r="L75" i="16"/>
  <c r="AP135" i="11"/>
  <c r="L57" i="16"/>
  <c r="C30" i="9"/>
  <c r="D30" i="9"/>
  <c r="C16" i="9"/>
  <c r="V57" i="16"/>
  <c r="L53" i="16"/>
  <c r="H12" i="10"/>
  <c r="H13" i="10" s="1"/>
  <c r="H14" i="10" s="1"/>
  <c r="AF12" i="10"/>
  <c r="AF13" i="10" s="1"/>
  <c r="AF14" i="10" s="1"/>
  <c r="AN12" i="10"/>
  <c r="AN13" i="10" s="1"/>
  <c r="AN14" i="10" s="1"/>
  <c r="AD12" i="10"/>
  <c r="AD13" i="10" s="1"/>
  <c r="AD14" i="10" s="1"/>
  <c r="D58" i="13"/>
  <c r="D59" i="13" s="1"/>
  <c r="D61" i="13" s="1"/>
  <c r="V188" i="13" s="1"/>
  <c r="E58" i="13"/>
  <c r="E59" i="13" s="1"/>
  <c r="E61" i="13" s="1"/>
  <c r="C58" i="13"/>
  <c r="C59" i="13" s="1"/>
  <c r="C61" i="13" s="1"/>
  <c r="V152" i="13" s="1"/>
  <c r="E42" i="13"/>
  <c r="V53" i="16"/>
  <c r="Q80" i="16"/>
  <c r="V67" i="16"/>
  <c r="L59" i="16"/>
  <c r="P12" i="10"/>
  <c r="P13" i="10" s="1"/>
  <c r="P14" i="10" s="1"/>
  <c r="W12" i="10"/>
  <c r="W13" i="10" s="1"/>
  <c r="W14" i="10" s="1"/>
  <c r="L73" i="16"/>
  <c r="Q64" i="16"/>
  <c r="V51" i="16"/>
  <c r="L81" i="16"/>
  <c r="V75" i="16"/>
  <c r="Q70" i="16"/>
  <c r="L65" i="16"/>
  <c r="V59" i="16"/>
  <c r="Q54" i="16"/>
  <c r="L49" i="16"/>
  <c r="L77" i="16"/>
  <c r="V71" i="16"/>
  <c r="Q66" i="16"/>
  <c r="L61" i="16"/>
  <c r="V55" i="16"/>
  <c r="Q50" i="16"/>
  <c r="AD15" i="18"/>
  <c r="AD16" i="18" s="1"/>
  <c r="AD17" i="18" s="1"/>
  <c r="AD9" i="4" s="1"/>
  <c r="H15" i="18"/>
  <c r="H16" i="18" s="1"/>
  <c r="H17" i="18" s="1"/>
  <c r="H9" i="4" s="1"/>
  <c r="AF15" i="18"/>
  <c r="AF16" i="18" s="1"/>
  <c r="AF17" i="18" s="1"/>
  <c r="AF9" i="4" s="1"/>
  <c r="D15" i="18"/>
  <c r="D16" i="18" s="1"/>
  <c r="D17" i="18" s="1"/>
  <c r="D9" i="4" s="1"/>
  <c r="Z15" i="18"/>
  <c r="Z16" i="18" s="1"/>
  <c r="Z17" i="18" s="1"/>
  <c r="Z9" i="4" s="1"/>
  <c r="R15" i="18"/>
  <c r="R16" i="18" s="1"/>
  <c r="R17" i="18" s="1"/>
  <c r="R9" i="4" s="1"/>
  <c r="AB15" i="18"/>
  <c r="AB16" i="18" s="1"/>
  <c r="AB17" i="18" s="1"/>
  <c r="AB9" i="4" s="1"/>
  <c r="AM15" i="18"/>
  <c r="AM16" i="18" s="1"/>
  <c r="AM17" i="18" s="1"/>
  <c r="AM9" i="4" s="1"/>
  <c r="AE15" i="18"/>
  <c r="AE16" i="18" s="1"/>
  <c r="AE17" i="18" s="1"/>
  <c r="AE9" i="4" s="1"/>
  <c r="M15" i="18"/>
  <c r="M16" i="18" s="1"/>
  <c r="M17" i="18" s="1"/>
  <c r="M9" i="4" s="1"/>
  <c r="AN15" i="18"/>
  <c r="AN16" i="18" s="1"/>
  <c r="AN17" i="18" s="1"/>
  <c r="AN9" i="4" s="1"/>
  <c r="AA15" i="18"/>
  <c r="AA16" i="18" s="1"/>
  <c r="AA17" i="18" s="1"/>
  <c r="AA9" i="4" s="1"/>
  <c r="AK15" i="18"/>
  <c r="AK16" i="18" s="1"/>
  <c r="AK17" i="18" s="1"/>
  <c r="AK9" i="4" s="1"/>
  <c r="V15" i="18"/>
  <c r="V16" i="18" s="1"/>
  <c r="V17" i="18" s="1"/>
  <c r="V9" i="4" s="1"/>
  <c r="P15" i="18"/>
  <c r="P16" i="18" s="1"/>
  <c r="P17" i="18" s="1"/>
  <c r="P9" i="4" s="1"/>
  <c r="X15" i="18"/>
  <c r="X16" i="18" s="1"/>
  <c r="X17" i="18" s="1"/>
  <c r="X9" i="4" s="1"/>
  <c r="AJ15" i="18"/>
  <c r="AJ16" i="18" s="1"/>
  <c r="AJ17" i="18" s="1"/>
  <c r="AJ9" i="4" s="1"/>
  <c r="Q15" i="18"/>
  <c r="Q16" i="18" s="1"/>
  <c r="Q17" i="18" s="1"/>
  <c r="Q9" i="4" s="1"/>
  <c r="G15" i="18"/>
  <c r="G16" i="18" s="1"/>
  <c r="G17" i="18" s="1"/>
  <c r="G9" i="4" s="1"/>
  <c r="Y15" i="18"/>
  <c r="Y16" i="18" s="1"/>
  <c r="Y17" i="18" s="1"/>
  <c r="Y9" i="4" s="1"/>
  <c r="K15" i="18"/>
  <c r="K16" i="18" s="1"/>
  <c r="K17" i="18" s="1"/>
  <c r="K9" i="4" s="1"/>
  <c r="F15" i="18"/>
  <c r="F16" i="18" s="1"/>
  <c r="F17" i="18" s="1"/>
  <c r="F9" i="4" s="1"/>
  <c r="N15" i="18"/>
  <c r="N16" i="18" s="1"/>
  <c r="N17" i="18" s="1"/>
  <c r="N9" i="4" s="1"/>
  <c r="AL15" i="18"/>
  <c r="AL16" i="18" s="1"/>
  <c r="AL17" i="18" s="1"/>
  <c r="AL9" i="4" s="1"/>
  <c r="B75" i="20"/>
  <c r="J75" i="20"/>
  <c r="Z75" i="20"/>
  <c r="AH75" i="20"/>
  <c r="C75" i="20"/>
  <c r="K75" i="20"/>
  <c r="S75" i="20"/>
  <c r="AA75" i="20"/>
  <c r="AI75" i="20"/>
  <c r="E75" i="20"/>
  <c r="M75" i="20"/>
  <c r="U75" i="20"/>
  <c r="AC75" i="20"/>
  <c r="AK75" i="20"/>
  <c r="I75" i="20"/>
  <c r="W75" i="20"/>
  <c r="AJ75" i="20"/>
  <c r="N75" i="20"/>
  <c r="Y75" i="20"/>
  <c r="AM75" i="20"/>
  <c r="F75" i="20"/>
  <c r="Q75" i="20"/>
  <c r="AE75" i="20"/>
  <c r="AN75" i="20"/>
  <c r="AG75" i="20"/>
  <c r="O75" i="20"/>
  <c r="AN22" i="21"/>
  <c r="AN21" i="21"/>
  <c r="AF21" i="21"/>
  <c r="AF22" i="21"/>
  <c r="X22" i="21"/>
  <c r="X21" i="21"/>
  <c r="P21" i="21"/>
  <c r="P22" i="21"/>
  <c r="H22" i="21"/>
  <c r="H21" i="21"/>
  <c r="AL76" i="20"/>
  <c r="Z76" i="20"/>
  <c r="P76" i="20"/>
  <c r="E76" i="20"/>
  <c r="W21" i="21"/>
  <c r="W22" i="21"/>
  <c r="O21" i="21"/>
  <c r="O22" i="21"/>
  <c r="G21" i="21"/>
  <c r="G22" i="21"/>
  <c r="AG76" i="20"/>
  <c r="W76" i="20"/>
  <c r="C76" i="20"/>
  <c r="K76" i="20"/>
  <c r="S76" i="20"/>
  <c r="AA76" i="20"/>
  <c r="AI76" i="20"/>
  <c r="D76" i="20"/>
  <c r="AB76" i="20"/>
  <c r="AJ76" i="20"/>
  <c r="F76" i="20"/>
  <c r="AE76" i="20"/>
  <c r="U76" i="20"/>
  <c r="I76" i="20"/>
  <c r="S169" i="23"/>
  <c r="X36" i="21"/>
  <c r="X37" i="21" s="1"/>
  <c r="W11" i="4" s="1"/>
  <c r="P36" i="21"/>
  <c r="P37" i="21" s="1"/>
  <c r="O11" i="4" s="1"/>
  <c r="H36" i="21"/>
  <c r="H37" i="21" s="1"/>
  <c r="G11" i="4" s="1"/>
  <c r="Z13" i="21"/>
  <c r="Z12" i="21"/>
  <c r="Z14" i="21"/>
  <c r="R14" i="21"/>
  <c r="R13" i="21"/>
  <c r="J14" i="21"/>
  <c r="J13" i="21"/>
  <c r="J12" i="21"/>
  <c r="AN14" i="21"/>
  <c r="AN13" i="21"/>
  <c r="AN12" i="21"/>
  <c r="AF14" i="21"/>
  <c r="AF13" i="21"/>
  <c r="AF12" i="21"/>
  <c r="X14" i="21"/>
  <c r="X13" i="21"/>
  <c r="X12" i="21"/>
  <c r="P14" i="21"/>
  <c r="P13" i="21"/>
  <c r="P12" i="21"/>
  <c r="H14" i="21"/>
  <c r="H13" i="21"/>
  <c r="H12" i="21"/>
  <c r="AI36" i="21"/>
  <c r="AI37" i="21" s="1"/>
  <c r="AH11" i="4" s="1"/>
  <c r="AA36" i="21"/>
  <c r="AA37" i="21" s="1"/>
  <c r="Z11" i="4" s="1"/>
  <c r="S36" i="21"/>
  <c r="S37" i="21" s="1"/>
  <c r="R11" i="4" s="1"/>
  <c r="K36" i="21"/>
  <c r="K37" i="21" s="1"/>
  <c r="J11" i="4" s="1"/>
  <c r="C36" i="21"/>
  <c r="C37" i="21" s="1"/>
  <c r="B11" i="4" s="1"/>
  <c r="AM13" i="21"/>
  <c r="AM12" i="21"/>
  <c r="AM14" i="21"/>
  <c r="AE13" i="21"/>
  <c r="AE12" i="21"/>
  <c r="AE14" i="21"/>
  <c r="W13" i="21"/>
  <c r="W12" i="21"/>
  <c r="W14" i="21"/>
  <c r="O13" i="21"/>
  <c r="O12" i="21"/>
  <c r="G13" i="21"/>
  <c r="G12" i="21"/>
  <c r="G14" i="21"/>
  <c r="J36" i="21"/>
  <c r="J37" i="21" s="1"/>
  <c r="I11" i="4" s="1"/>
  <c r="R36" i="21"/>
  <c r="R37" i="21" s="1"/>
  <c r="Q11" i="4" s="1"/>
  <c r="AO36" i="21"/>
  <c r="AO37" i="21" s="1"/>
  <c r="AN11" i="4" s="1"/>
  <c r="AG36" i="21"/>
  <c r="AG37" i="21" s="1"/>
  <c r="AF11" i="4" s="1"/>
  <c r="Y36" i="21"/>
  <c r="Y37" i="21" s="1"/>
  <c r="X11" i="4" s="1"/>
  <c r="Q36" i="21"/>
  <c r="Q37" i="21" s="1"/>
  <c r="P11" i="4" s="1"/>
  <c r="R150" i="23"/>
  <c r="Z36" i="21"/>
  <c r="Z37" i="21" s="1"/>
  <c r="Y11" i="4" s="1"/>
  <c r="N21" i="21"/>
  <c r="N22" i="21"/>
  <c r="F21" i="21"/>
  <c r="F22" i="21"/>
  <c r="AI13" i="21"/>
  <c r="AI12" i="21"/>
  <c r="AL13" i="4"/>
  <c r="AD13" i="4"/>
  <c r="V13" i="4"/>
  <c r="N13" i="4"/>
  <c r="F13" i="4"/>
  <c r="Y22" i="21"/>
  <c r="Y21" i="21"/>
  <c r="AG14" i="21"/>
  <c r="AG12" i="21"/>
  <c r="Y14" i="21"/>
  <c r="Y13" i="21"/>
  <c r="Y12" i="21"/>
  <c r="Q14" i="21"/>
  <c r="Q12" i="21"/>
  <c r="Q13" i="21"/>
  <c r="R164" i="23"/>
  <c r="S164" i="23" s="1"/>
  <c r="R160" i="23"/>
  <c r="S160" i="23" s="1"/>
  <c r="S161" i="23"/>
  <c r="AJ22" i="21"/>
  <c r="AJ21" i="21"/>
  <c r="AB22" i="21"/>
  <c r="AB21" i="21"/>
  <c r="T22" i="21"/>
  <c r="T21" i="21"/>
  <c r="L22" i="21"/>
  <c r="L21" i="21"/>
  <c r="D22" i="21"/>
  <c r="D21" i="21"/>
  <c r="AB151" i="23"/>
  <c r="R171" i="23"/>
  <c r="S171" i="23" s="1"/>
  <c r="S163" i="23"/>
  <c r="R173" i="23"/>
  <c r="S173" i="23" s="1"/>
  <c r="S166" i="23"/>
  <c r="S158" i="23"/>
  <c r="S168" i="23"/>
  <c r="D65" i="23"/>
  <c r="J52" i="23" l="1"/>
  <c r="X52" i="23"/>
  <c r="Y52" i="23"/>
  <c r="AG84" i="23"/>
  <c r="AG86" i="23" s="1"/>
  <c r="R84" i="23"/>
  <c r="R86" i="23" s="1"/>
  <c r="AA84" i="23"/>
  <c r="AA86" i="23" s="1"/>
  <c r="AM84" i="23"/>
  <c r="AM86" i="23" s="1"/>
  <c r="AI84" i="23"/>
  <c r="AI86" i="23" s="1"/>
  <c r="AB84" i="23"/>
  <c r="AB86" i="23" s="1"/>
  <c r="I84" i="23"/>
  <c r="I86" i="23" s="1"/>
  <c r="AD52" i="23"/>
  <c r="AB52" i="23"/>
  <c r="AB54" i="23" s="1"/>
  <c r="AK52" i="23"/>
  <c r="AK54" i="23" s="1"/>
  <c r="AK84" i="23"/>
  <c r="AK86" i="23" s="1"/>
  <c r="AN84" i="23"/>
  <c r="AN86" i="23" s="1"/>
  <c r="AI52" i="23"/>
  <c r="AI54" i="23" s="1"/>
  <c r="AE52" i="23"/>
  <c r="AE54" i="23" s="1"/>
  <c r="H52" i="23"/>
  <c r="H54" i="23" s="1"/>
  <c r="AP52" i="23"/>
  <c r="L84" i="23"/>
  <c r="L86" i="23" s="1"/>
  <c r="P84" i="23"/>
  <c r="P86" i="23" s="1"/>
  <c r="AL84" i="23"/>
  <c r="AL86" i="23" s="1"/>
  <c r="G84" i="23"/>
  <c r="G86" i="23" s="1"/>
  <c r="AP84" i="23"/>
  <c r="AP86" i="23" s="1"/>
  <c r="Z52" i="23"/>
  <c r="Z54" i="23" s="1"/>
  <c r="AO84" i="23"/>
  <c r="AO86" i="23" s="1"/>
  <c r="AC84" i="23"/>
  <c r="AC86" i="23" s="1"/>
  <c r="W84" i="23"/>
  <c r="W86" i="23" s="1"/>
  <c r="F52" i="23"/>
  <c r="F54" i="23" s="1"/>
  <c r="AL52" i="23"/>
  <c r="AL54" i="23" s="1"/>
  <c r="W52" i="23"/>
  <c r="W54" i="23" s="1"/>
  <c r="M52" i="23"/>
  <c r="M54" i="23" s="1"/>
  <c r="N52" i="23"/>
  <c r="N54" i="23" s="1"/>
  <c r="I52" i="23"/>
  <c r="AO52" i="23"/>
  <c r="S84" i="23"/>
  <c r="S86" i="23" s="1"/>
  <c r="Y84" i="23"/>
  <c r="Y86" i="23" s="1"/>
  <c r="X84" i="23"/>
  <c r="X86" i="23" s="1"/>
  <c r="V84" i="23"/>
  <c r="V86" i="23" s="1"/>
  <c r="AE84" i="23"/>
  <c r="AE86" i="23" s="1"/>
  <c r="Q84" i="23"/>
  <c r="Q86" i="23" s="1"/>
  <c r="G52" i="23"/>
  <c r="U84" i="23"/>
  <c r="U86" i="23" s="1"/>
  <c r="S52" i="23"/>
  <c r="S54" i="23" s="1"/>
  <c r="Q52" i="23"/>
  <c r="Q54" i="23" s="1"/>
  <c r="AM52" i="23"/>
  <c r="AM54" i="23" s="1"/>
  <c r="AG52" i="23"/>
  <c r="AG54" i="23" s="1"/>
  <c r="D52" i="23"/>
  <c r="T52" i="23"/>
  <c r="T54" i="23" s="1"/>
  <c r="AJ52" i="23"/>
  <c r="R52" i="23"/>
  <c r="T84" i="23"/>
  <c r="T86" i="23" s="1"/>
  <c r="M84" i="23"/>
  <c r="M86" i="23" s="1"/>
  <c r="H84" i="23"/>
  <c r="H86" i="23" s="1"/>
  <c r="AH84" i="23"/>
  <c r="AH86" i="23" s="1"/>
  <c r="N84" i="23"/>
  <c r="N86" i="23" s="1"/>
  <c r="E52" i="23"/>
  <c r="E54" i="23" s="1"/>
  <c r="AF84" i="23"/>
  <c r="AF86" i="23" s="1"/>
  <c r="P52" i="23"/>
  <c r="P54" i="23" s="1"/>
  <c r="L52" i="23"/>
  <c r="L54" i="23" s="1"/>
  <c r="U52" i="23"/>
  <c r="U54" i="23" s="1"/>
  <c r="AD84" i="23"/>
  <c r="AD86" i="23" s="1"/>
  <c r="J84" i="23"/>
  <c r="J86" i="23" s="1"/>
  <c r="Z84" i="23"/>
  <c r="Z86" i="23" s="1"/>
  <c r="K52" i="23"/>
  <c r="K54" i="23" s="1"/>
  <c r="AA52" i="23"/>
  <c r="V52" i="23"/>
  <c r="AF52" i="23"/>
  <c r="AF54" i="23" s="1"/>
  <c r="AC52" i="23"/>
  <c r="AC54" i="23" s="1"/>
  <c r="O52" i="23"/>
  <c r="O54" i="23" s="1"/>
  <c r="AN52" i="23"/>
  <c r="AN54" i="23" s="1"/>
  <c r="AH52" i="23"/>
  <c r="AH54" i="23" s="1"/>
  <c r="K84" i="23"/>
  <c r="K86" i="23" s="1"/>
  <c r="AJ84" i="23"/>
  <c r="AJ86" i="23" s="1"/>
  <c r="E84" i="23"/>
  <c r="E86" i="23" s="1"/>
  <c r="F84" i="23"/>
  <c r="F86" i="23" s="1"/>
  <c r="O84" i="23"/>
  <c r="O86" i="23" s="1"/>
  <c r="C3" i="32"/>
  <c r="F1" i="32"/>
  <c r="A287" i="2"/>
  <c r="A288" i="2"/>
  <c r="D84" i="23"/>
  <c r="R54" i="23"/>
  <c r="AD54" i="23"/>
  <c r="AJ54" i="23"/>
  <c r="AA54" i="23"/>
  <c r="V54" i="23"/>
  <c r="AP54" i="23"/>
  <c r="I54" i="23"/>
  <c r="X54" i="23"/>
  <c r="J54" i="23"/>
  <c r="G54" i="23"/>
  <c r="AO54" i="23"/>
  <c r="Y54" i="23"/>
  <c r="Q107" i="11"/>
  <c r="J107" i="11"/>
  <c r="G107" i="11"/>
  <c r="E65" i="5"/>
  <c r="E106" i="5"/>
  <c r="N107" i="11"/>
  <c r="AF107" i="11"/>
  <c r="S107" i="11"/>
  <c r="U119" i="11"/>
  <c r="AL107" i="11"/>
  <c r="AB107" i="11"/>
  <c r="AE119" i="11"/>
  <c r="AH107" i="11"/>
  <c r="C107" i="11"/>
  <c r="V107" i="11"/>
  <c r="X119" i="11"/>
  <c r="Z119" i="11"/>
  <c r="Y107" i="11"/>
  <c r="P107" i="11"/>
  <c r="AI107" i="11"/>
  <c r="AI119" i="11"/>
  <c r="D107" i="11"/>
  <c r="AM107" i="11"/>
  <c r="AA107" i="11"/>
  <c r="H107" i="11"/>
  <c r="I107" i="11"/>
  <c r="U107" i="11"/>
  <c r="Z107" i="11"/>
  <c r="M107" i="11"/>
  <c r="AE107" i="11"/>
  <c r="AN107" i="11"/>
  <c r="AD107" i="11"/>
  <c r="W107" i="11"/>
  <c r="X107" i="11"/>
  <c r="F107" i="11"/>
  <c r="Q119" i="11"/>
  <c r="AC107" i="11"/>
  <c r="O107" i="11"/>
  <c r="AL119" i="11"/>
  <c r="Y119" i="11"/>
  <c r="AJ107" i="11"/>
  <c r="AK107" i="11"/>
  <c r="K107" i="11"/>
  <c r="E107" i="11"/>
  <c r="AG107" i="11"/>
  <c r="AF63" i="5"/>
  <c r="AF65" i="5"/>
  <c r="AP149" i="11"/>
  <c r="AN63" i="5"/>
  <c r="AN65" i="5"/>
  <c r="AN119" i="11"/>
  <c r="AH119" i="11"/>
  <c r="W119" i="11"/>
  <c r="F119" i="11"/>
  <c r="AL60" i="5"/>
  <c r="AL61" i="5" s="1"/>
  <c r="AL65" i="5"/>
  <c r="Y60" i="5"/>
  <c r="Y61" i="5" s="1"/>
  <c r="Y65" i="5"/>
  <c r="AC62" i="5"/>
  <c r="AC65" i="5"/>
  <c r="S119" i="11"/>
  <c r="AB119" i="11"/>
  <c r="AJ119" i="11"/>
  <c r="J119" i="11"/>
  <c r="AG119" i="11"/>
  <c r="H119" i="11"/>
  <c r="AP153" i="11"/>
  <c r="AP144" i="11"/>
  <c r="AP151" i="11"/>
  <c r="AI64" i="5"/>
  <c r="AI65" i="5"/>
  <c r="O62" i="5"/>
  <c r="O65" i="5"/>
  <c r="R60" i="5"/>
  <c r="R61" i="5" s="1"/>
  <c r="R65" i="5"/>
  <c r="AP146" i="11"/>
  <c r="AP147" i="11"/>
  <c r="AP150" i="11"/>
  <c r="AP123" i="11"/>
  <c r="O119" i="11"/>
  <c r="AM119" i="11"/>
  <c r="AA119" i="11"/>
  <c r="K60" i="5"/>
  <c r="K61" i="5" s="1"/>
  <c r="K65" i="5"/>
  <c r="P119" i="11"/>
  <c r="AP152" i="11"/>
  <c r="AP148" i="11"/>
  <c r="B118" i="11"/>
  <c r="S62" i="5"/>
  <c r="S65" i="5"/>
  <c r="N119" i="11"/>
  <c r="AD119" i="11"/>
  <c r="W64" i="5"/>
  <c r="W65" i="5"/>
  <c r="Z60" i="5"/>
  <c r="Z61" i="5" s="1"/>
  <c r="Z65" i="5"/>
  <c r="B119" i="11"/>
  <c r="AC119" i="11"/>
  <c r="V119" i="11"/>
  <c r="AM60" i="5"/>
  <c r="AM61" i="5" s="1"/>
  <c r="AM65" i="5"/>
  <c r="AP143" i="11"/>
  <c r="AA62" i="5"/>
  <c r="AA65" i="5"/>
  <c r="AF119" i="11"/>
  <c r="I119" i="11"/>
  <c r="M119" i="11"/>
  <c r="AD62" i="5"/>
  <c r="AD65" i="5"/>
  <c r="AP145" i="11"/>
  <c r="D119" i="11"/>
  <c r="AE62" i="5"/>
  <c r="AE65" i="5"/>
  <c r="C60" i="5"/>
  <c r="C61" i="5" s="1"/>
  <c r="C65" i="5"/>
  <c r="AP154" i="11"/>
  <c r="AK119" i="11"/>
  <c r="G119" i="11"/>
  <c r="C119" i="11"/>
  <c r="K119" i="11"/>
  <c r="E119" i="11"/>
  <c r="R122" i="11"/>
  <c r="R7" i="20"/>
  <c r="L122" i="11"/>
  <c r="L3" i="22" s="1"/>
  <c r="L10" i="22" s="1"/>
  <c r="L7" i="20"/>
  <c r="V138" i="13"/>
  <c r="U5" i="4"/>
  <c r="V5" i="4"/>
  <c r="W5" i="4"/>
  <c r="AJ5" i="4"/>
  <c r="L5" i="4"/>
  <c r="AG5" i="4"/>
  <c r="U118" i="11"/>
  <c r="U38" i="11" s="1"/>
  <c r="U4" i="11" s="1"/>
  <c r="F118" i="11"/>
  <c r="F38" i="11" s="1"/>
  <c r="F4" i="11" s="1"/>
  <c r="AN118" i="11"/>
  <c r="AN38" i="11" s="1"/>
  <c r="AN4" i="11" s="1"/>
  <c r="AH5" i="4"/>
  <c r="C5" i="4"/>
  <c r="AA5" i="4"/>
  <c r="AK5" i="4"/>
  <c r="D5" i="4"/>
  <c r="AA118" i="11"/>
  <c r="AA38" i="11" s="1"/>
  <c r="AA4" i="11" s="1"/>
  <c r="X118" i="11"/>
  <c r="X38" i="11" s="1"/>
  <c r="X4" i="11" s="1"/>
  <c r="G118" i="11"/>
  <c r="G38" i="11" s="1"/>
  <c r="G4" i="11" s="1"/>
  <c r="AH118" i="11"/>
  <c r="AH38" i="11" s="1"/>
  <c r="AH4" i="11" s="1"/>
  <c r="AF118" i="11"/>
  <c r="AF38" i="11" s="1"/>
  <c r="AF4" i="11" s="1"/>
  <c r="AJ118" i="11"/>
  <c r="AJ38" i="11" s="1"/>
  <c r="AJ4" i="11" s="1"/>
  <c r="Z118" i="11"/>
  <c r="Z38" i="11" s="1"/>
  <c r="Z4" i="11" s="1"/>
  <c r="AG118" i="11"/>
  <c r="AG38" i="11" s="1"/>
  <c r="AG4" i="11" s="1"/>
  <c r="V118" i="11"/>
  <c r="V38" i="11" s="1"/>
  <c r="V4" i="11" s="1"/>
  <c r="J5" i="4"/>
  <c r="Y5" i="4"/>
  <c r="N5" i="4"/>
  <c r="H118" i="11"/>
  <c r="H38" i="11" s="1"/>
  <c r="H4" i="11" s="1"/>
  <c r="K118" i="11"/>
  <c r="K38" i="11" s="1"/>
  <c r="K4" i="11" s="1"/>
  <c r="AD5" i="4"/>
  <c r="F5" i="4"/>
  <c r="AE5" i="4"/>
  <c r="AL5" i="4"/>
  <c r="M5" i="4"/>
  <c r="T5" i="4"/>
  <c r="S118" i="11"/>
  <c r="S38" i="11" s="1"/>
  <c r="S4" i="11" s="1"/>
  <c r="N118" i="11"/>
  <c r="N38" i="11" s="1"/>
  <c r="N4" i="11" s="1"/>
  <c r="Y118" i="11"/>
  <c r="Y38" i="11" s="1"/>
  <c r="Y4" i="11" s="1"/>
  <c r="AC118" i="11"/>
  <c r="AC38" i="11" s="1"/>
  <c r="AC4" i="11" s="1"/>
  <c r="C118" i="11"/>
  <c r="C38" i="11" s="1"/>
  <c r="C4" i="11" s="1"/>
  <c r="AL118" i="11"/>
  <c r="AL38" i="11" s="1"/>
  <c r="AL4" i="11" s="1"/>
  <c r="E118" i="11"/>
  <c r="E38" i="11" s="1"/>
  <c r="E4" i="11" s="1"/>
  <c r="AI118" i="11"/>
  <c r="AI38" i="11" s="1"/>
  <c r="AI4" i="11" s="1"/>
  <c r="D118" i="11"/>
  <c r="D38" i="11" s="1"/>
  <c r="D4" i="11" s="1"/>
  <c r="AM118" i="11"/>
  <c r="AM38" i="11" s="1"/>
  <c r="AM4" i="11" s="1"/>
  <c r="O118" i="11"/>
  <c r="O38" i="11" s="1"/>
  <c r="O4" i="11" s="1"/>
  <c r="E5" i="4"/>
  <c r="I118" i="11"/>
  <c r="I38" i="11" s="1"/>
  <c r="I4" i="11" s="1"/>
  <c r="P5" i="4"/>
  <c r="AM5" i="4"/>
  <c r="O5" i="4"/>
  <c r="P118" i="11"/>
  <c r="P38" i="11" s="1"/>
  <c r="P4" i="11" s="1"/>
  <c r="AN5" i="4"/>
  <c r="Q5" i="4"/>
  <c r="K5" i="4"/>
  <c r="R5" i="4"/>
  <c r="AK118" i="11"/>
  <c r="AK38" i="11" s="1"/>
  <c r="AK4" i="11" s="1"/>
  <c r="Q118" i="11"/>
  <c r="Q38" i="11" s="1"/>
  <c r="Q4" i="11" s="1"/>
  <c r="AD118" i="11"/>
  <c r="AD38" i="11" s="1"/>
  <c r="AD4" i="11" s="1"/>
  <c r="W118" i="11"/>
  <c r="W38" i="11" s="1"/>
  <c r="W4" i="11" s="1"/>
  <c r="AF5" i="4"/>
  <c r="AI5" i="4"/>
  <c r="I5" i="4"/>
  <c r="Z5" i="4"/>
  <c r="AC5" i="4"/>
  <c r="J118" i="11"/>
  <c r="J38" i="11" s="1"/>
  <c r="J4" i="11" s="1"/>
  <c r="AE118" i="11"/>
  <c r="AE38" i="11" s="1"/>
  <c r="AE4" i="11" s="1"/>
  <c r="H5" i="4"/>
  <c r="X5" i="4"/>
  <c r="S5" i="4"/>
  <c r="AB5" i="4"/>
  <c r="G5" i="4"/>
  <c r="AB118" i="11"/>
  <c r="AB38" i="11" s="1"/>
  <c r="AB4" i="11" s="1"/>
  <c r="M118" i="11"/>
  <c r="M38" i="11" s="1"/>
  <c r="M4" i="11" s="1"/>
  <c r="AI62" i="5"/>
  <c r="AI63" i="5"/>
  <c r="T38" i="11"/>
  <c r="T4" i="11" s="1"/>
  <c r="AC60" i="5"/>
  <c r="AC61" i="5" s="1"/>
  <c r="R64" i="5"/>
  <c r="Y64" i="5"/>
  <c r="S60" i="5"/>
  <c r="S61" i="5" s="1"/>
  <c r="E60" i="5"/>
  <c r="E61" i="5" s="1"/>
  <c r="AL63" i="5"/>
  <c r="S64" i="5"/>
  <c r="S63" i="5"/>
  <c r="E62" i="5"/>
  <c r="E64" i="5"/>
  <c r="R62" i="5"/>
  <c r="AF62" i="5"/>
  <c r="AE60" i="5"/>
  <c r="AE61" i="5" s="1"/>
  <c r="R63" i="5"/>
  <c r="C63" i="5"/>
  <c r="AD64" i="5"/>
  <c r="AM64" i="5"/>
  <c r="AE64" i="5"/>
  <c r="C62" i="5"/>
  <c r="C64" i="5"/>
  <c r="AF60" i="5"/>
  <c r="AF61" i="5" s="1"/>
  <c r="AF64" i="5"/>
  <c r="AD63" i="5"/>
  <c r="O60" i="5"/>
  <c r="O61" i="5" s="1"/>
  <c r="AA60" i="5"/>
  <c r="AA61" i="5" s="1"/>
  <c r="AE63" i="5"/>
  <c r="AN64" i="5"/>
  <c r="E63" i="5"/>
  <c r="Y62" i="5"/>
  <c r="K63" i="5"/>
  <c r="AA64" i="5"/>
  <c r="O63" i="5"/>
  <c r="AA63" i="5"/>
  <c r="AD60" i="5"/>
  <c r="AD61" i="5" s="1"/>
  <c r="O64" i="5"/>
  <c r="AM63" i="5"/>
  <c r="AL62" i="5"/>
  <c r="AC64" i="5"/>
  <c r="Z63" i="5"/>
  <c r="Y63" i="5"/>
  <c r="K62" i="5"/>
  <c r="W62" i="5"/>
  <c r="W60" i="5"/>
  <c r="W61" i="5" s="1"/>
  <c r="AN60" i="5"/>
  <c r="AN61" i="5" s="1"/>
  <c r="Z62" i="5"/>
  <c r="AI60" i="5"/>
  <c r="AI61" i="5" s="1"/>
  <c r="AN62" i="5"/>
  <c r="AC63" i="5"/>
  <c r="K64" i="5"/>
  <c r="AM62" i="5"/>
  <c r="W63" i="5"/>
  <c r="AL64" i="5"/>
  <c r="Z64" i="5"/>
  <c r="AO66" i="5"/>
  <c r="AH66" i="5"/>
  <c r="I66" i="5"/>
  <c r="F66" i="5"/>
  <c r="AG66" i="5"/>
  <c r="M66" i="5"/>
  <c r="Q66" i="5"/>
  <c r="X66" i="5"/>
  <c r="P66" i="5"/>
  <c r="J66" i="5"/>
  <c r="I33" i="9"/>
  <c r="V126" i="5" s="1"/>
  <c r="I17" i="9"/>
  <c r="AB125" i="5" s="1"/>
  <c r="H17" i="9"/>
  <c r="D17" i="9"/>
  <c r="I122" i="5" s="1"/>
  <c r="D33" i="9"/>
  <c r="Z123" i="5" s="1"/>
  <c r="C33" i="9"/>
  <c r="AO13" i="4"/>
  <c r="V82" i="16"/>
  <c r="V83" i="16" s="1"/>
  <c r="L82" i="16"/>
  <c r="L83" i="16" s="1"/>
  <c r="C26" i="16" s="1"/>
  <c r="C27" i="16" s="1"/>
  <c r="AO9" i="4"/>
  <c r="AJ66" i="5"/>
  <c r="AA215" i="13"/>
  <c r="AI215" i="13"/>
  <c r="AQ215" i="13"/>
  <c r="AY215" i="13"/>
  <c r="BG215" i="13"/>
  <c r="AC215" i="13"/>
  <c r="AK215" i="13"/>
  <c r="AS215" i="13"/>
  <c r="BA215" i="13"/>
  <c r="BI215" i="13"/>
  <c r="AG215" i="13"/>
  <c r="AR215" i="13"/>
  <c r="BC215" i="13"/>
  <c r="X215" i="13"/>
  <c r="AH215" i="13"/>
  <c r="AT215" i="13"/>
  <c r="BD215" i="13"/>
  <c r="Y215" i="13"/>
  <c r="AJ215" i="13"/>
  <c r="AU215" i="13"/>
  <c r="BE215" i="13"/>
  <c r="AF215" i="13"/>
  <c r="AX215" i="13"/>
  <c r="AL215" i="13"/>
  <c r="AZ215" i="13"/>
  <c r="AM215" i="13"/>
  <c r="BB215" i="13"/>
  <c r="AE215" i="13"/>
  <c r="BJ215" i="13"/>
  <c r="AN215" i="13"/>
  <c r="AP215" i="13"/>
  <c r="Z215" i="13"/>
  <c r="AB215" i="13"/>
  <c r="AD215" i="13"/>
  <c r="AO215" i="13"/>
  <c r="BH215" i="13"/>
  <c r="AV215" i="13"/>
  <c r="AW215" i="13"/>
  <c r="BF215" i="13"/>
  <c r="L66" i="5"/>
  <c r="V66" i="5"/>
  <c r="C17" i="9"/>
  <c r="Q82" i="16"/>
  <c r="Q83" i="16" s="1"/>
  <c r="D26" i="16" s="1"/>
  <c r="D27" i="16" s="1"/>
  <c r="G66" i="5"/>
  <c r="N66" i="5"/>
  <c r="H66" i="5"/>
  <c r="U66" i="5"/>
  <c r="T66" i="5"/>
  <c r="AK66" i="5"/>
  <c r="AB66" i="5"/>
  <c r="E44" i="13"/>
  <c r="E45" i="13" s="1"/>
  <c r="E46" i="13" s="1"/>
  <c r="H33" i="9"/>
  <c r="D66" i="5"/>
  <c r="AQ84" i="23" l="1"/>
  <c r="D54" i="23"/>
  <c r="AQ52" i="23"/>
  <c r="D86" i="23"/>
  <c r="AI133" i="5"/>
  <c r="AA133" i="5"/>
  <c r="S133" i="5"/>
  <c r="K133" i="5"/>
  <c r="AH133" i="5"/>
  <c r="Z133" i="5"/>
  <c r="R133" i="5"/>
  <c r="J133" i="5"/>
  <c r="X133" i="5"/>
  <c r="H133" i="5"/>
  <c r="AM133" i="5"/>
  <c r="W133" i="5"/>
  <c r="G133" i="5"/>
  <c r="AD133" i="5"/>
  <c r="N133" i="5"/>
  <c r="AK133" i="5"/>
  <c r="U133" i="5"/>
  <c r="E133" i="5"/>
  <c r="AB133" i="5"/>
  <c r="L133" i="5"/>
  <c r="AO133" i="5"/>
  <c r="AG133" i="5"/>
  <c r="Y133" i="5"/>
  <c r="Q133" i="5"/>
  <c r="I133" i="5"/>
  <c r="AN133" i="5"/>
  <c r="AF133" i="5"/>
  <c r="P133" i="5"/>
  <c r="C133" i="5"/>
  <c r="AE133" i="5"/>
  <c r="O133" i="5"/>
  <c r="AL133" i="5"/>
  <c r="V133" i="5"/>
  <c r="F133" i="5"/>
  <c r="AC133" i="5"/>
  <c r="M133" i="5"/>
  <c r="AJ133" i="5"/>
  <c r="T133" i="5"/>
  <c r="D133" i="5"/>
  <c r="AK134" i="5"/>
  <c r="AC134" i="5"/>
  <c r="U134" i="5"/>
  <c r="M134" i="5"/>
  <c r="E134" i="5"/>
  <c r="AJ134" i="5"/>
  <c r="AB134" i="5"/>
  <c r="T134" i="5"/>
  <c r="L134" i="5"/>
  <c r="D134" i="5"/>
  <c r="J134" i="5"/>
  <c r="AG134" i="5"/>
  <c r="Q134" i="5"/>
  <c r="AN134" i="5"/>
  <c r="X134" i="5"/>
  <c r="H134" i="5"/>
  <c r="AE134" i="5"/>
  <c r="O134" i="5"/>
  <c r="AL134" i="5"/>
  <c r="V134" i="5"/>
  <c r="F134" i="5"/>
  <c r="AI134" i="5"/>
  <c r="AA134" i="5"/>
  <c r="S134" i="5"/>
  <c r="K134" i="5"/>
  <c r="C134" i="5"/>
  <c r="AH134" i="5"/>
  <c r="Z134" i="5"/>
  <c r="R134" i="5"/>
  <c r="AO134" i="5"/>
  <c r="Y134" i="5"/>
  <c r="I134" i="5"/>
  <c r="AF134" i="5"/>
  <c r="P134" i="5"/>
  <c r="AM134" i="5"/>
  <c r="W134" i="5"/>
  <c r="G134" i="5"/>
  <c r="AD134" i="5"/>
  <c r="N134" i="5"/>
  <c r="U107" i="5"/>
  <c r="T4" i="4"/>
  <c r="H107" i="5"/>
  <c r="G4" i="4"/>
  <c r="G107" i="5"/>
  <c r="F4" i="4"/>
  <c r="V107" i="5"/>
  <c r="U4" i="4"/>
  <c r="L107" i="5"/>
  <c r="K4" i="4"/>
  <c r="AJ107" i="5"/>
  <c r="AI4" i="4"/>
  <c r="P107" i="5"/>
  <c r="O4" i="4"/>
  <c r="AH107" i="5"/>
  <c r="AG4" i="4"/>
  <c r="X107" i="5"/>
  <c r="W4" i="4"/>
  <c r="AO107" i="5"/>
  <c r="AN4" i="4"/>
  <c r="D107" i="5"/>
  <c r="C4" i="4"/>
  <c r="T107" i="5"/>
  <c r="S4" i="4"/>
  <c r="J107" i="5"/>
  <c r="I4" i="4"/>
  <c r="M107" i="5"/>
  <c r="L4" i="4"/>
  <c r="I107" i="5"/>
  <c r="H4" i="4"/>
  <c r="AB107" i="5"/>
  <c r="AA4" i="4"/>
  <c r="N107" i="5"/>
  <c r="M4" i="4"/>
  <c r="AG107" i="5"/>
  <c r="AF4" i="4"/>
  <c r="AK107" i="5"/>
  <c r="AJ4" i="4"/>
  <c r="Q107" i="5"/>
  <c r="P4" i="4"/>
  <c r="F107" i="5"/>
  <c r="E4" i="4"/>
  <c r="AP119" i="11"/>
  <c r="G7" i="17"/>
  <c r="X7" i="17"/>
  <c r="AM7" i="17"/>
  <c r="Y7" i="17"/>
  <c r="AO5" i="4"/>
  <c r="AM130" i="5"/>
  <c r="AE130" i="5"/>
  <c r="W130" i="5"/>
  <c r="O130" i="5"/>
  <c r="G130" i="5"/>
  <c r="AL130" i="5"/>
  <c r="AD130" i="5"/>
  <c r="V130" i="5"/>
  <c r="N130" i="5"/>
  <c r="F130" i="5"/>
  <c r="AK130" i="5"/>
  <c r="AC130" i="5"/>
  <c r="U130" i="5"/>
  <c r="M130" i="5"/>
  <c r="E130" i="5"/>
  <c r="AJ130" i="5"/>
  <c r="AB130" i="5"/>
  <c r="T130" i="5"/>
  <c r="L130" i="5"/>
  <c r="D130" i="5"/>
  <c r="AI130" i="5"/>
  <c r="AA130" i="5"/>
  <c r="S130" i="5"/>
  <c r="K130" i="5"/>
  <c r="Z130" i="5"/>
  <c r="C130" i="5"/>
  <c r="AO130" i="5"/>
  <c r="AG130" i="5"/>
  <c r="Y130" i="5"/>
  <c r="Q130" i="5"/>
  <c r="I130" i="5"/>
  <c r="AN130" i="5"/>
  <c r="AF130" i="5"/>
  <c r="X130" i="5"/>
  <c r="P130" i="5"/>
  <c r="H130" i="5"/>
  <c r="AH130" i="5"/>
  <c r="R130" i="5"/>
  <c r="J130" i="5"/>
  <c r="Q7" i="17"/>
  <c r="I7" i="17"/>
  <c r="AI7" i="17"/>
  <c r="N7" i="17"/>
  <c r="H7" i="17"/>
  <c r="AJ7" i="17"/>
  <c r="AA7" i="17"/>
  <c r="U7" i="17"/>
  <c r="AO131" i="5"/>
  <c r="AG131" i="5"/>
  <c r="Y131" i="5"/>
  <c r="Q131" i="5"/>
  <c r="I131" i="5"/>
  <c r="AN131" i="5"/>
  <c r="AF131" i="5"/>
  <c r="X131" i="5"/>
  <c r="P131" i="5"/>
  <c r="H131" i="5"/>
  <c r="AM131" i="5"/>
  <c r="AE131" i="5"/>
  <c r="W131" i="5"/>
  <c r="O131" i="5"/>
  <c r="G131" i="5"/>
  <c r="AD131" i="5"/>
  <c r="V131" i="5"/>
  <c r="N131" i="5"/>
  <c r="F131" i="5"/>
  <c r="AK131" i="5"/>
  <c r="AC131" i="5"/>
  <c r="U131" i="5"/>
  <c r="M131" i="5"/>
  <c r="E131" i="5"/>
  <c r="AB131" i="5"/>
  <c r="D131" i="5"/>
  <c r="AL131" i="5"/>
  <c r="AI131" i="5"/>
  <c r="AA131" i="5"/>
  <c r="S131" i="5"/>
  <c r="K131" i="5"/>
  <c r="AH131" i="5"/>
  <c r="Z131" i="5"/>
  <c r="R131" i="5"/>
  <c r="J131" i="5"/>
  <c r="C131" i="5"/>
  <c r="AJ131" i="5"/>
  <c r="T131" i="5"/>
  <c r="L131" i="5"/>
  <c r="AD7" i="17"/>
  <c r="AB7" i="17"/>
  <c r="AK7" i="17"/>
  <c r="E7" i="17"/>
  <c r="S7" i="17"/>
  <c r="O7" i="17"/>
  <c r="D7" i="17"/>
  <c r="AE7" i="17"/>
  <c r="AL7" i="17"/>
  <c r="V7" i="17"/>
  <c r="AF7" i="17"/>
  <c r="AN7" i="17"/>
  <c r="AC7" i="17"/>
  <c r="W7" i="17"/>
  <c r="M7" i="17"/>
  <c r="Z7" i="17"/>
  <c r="J7" i="17"/>
  <c r="P7" i="17"/>
  <c r="C7" i="17"/>
  <c r="K7" i="17"/>
  <c r="AG7" i="17"/>
  <c r="AH7" i="17"/>
  <c r="F7" i="17"/>
  <c r="AI66" i="5"/>
  <c r="T7" i="17"/>
  <c r="AE66" i="5"/>
  <c r="AM126" i="5"/>
  <c r="Z126" i="5"/>
  <c r="W126" i="5"/>
  <c r="AF66" i="5"/>
  <c r="R66" i="5"/>
  <c r="E66" i="5"/>
  <c r="AD66" i="5"/>
  <c r="S66" i="5"/>
  <c r="AO11" i="4"/>
  <c r="AA66" i="5"/>
  <c r="AC66" i="5"/>
  <c r="AM66" i="5"/>
  <c r="C66" i="5"/>
  <c r="O66" i="5"/>
  <c r="AL66" i="5"/>
  <c r="AN66" i="5"/>
  <c r="Z66" i="5"/>
  <c r="W66" i="5"/>
  <c r="K66" i="5"/>
  <c r="Y66" i="5"/>
  <c r="AC125" i="5"/>
  <c r="K126" i="5"/>
  <c r="T125" i="5"/>
  <c r="H126" i="5"/>
  <c r="C126" i="5"/>
  <c r="T126" i="5"/>
  <c r="L125" i="5"/>
  <c r="AF122" i="5"/>
  <c r="F125" i="5"/>
  <c r="R125" i="5"/>
  <c r="X125" i="5"/>
  <c r="P122" i="5"/>
  <c r="G125" i="5"/>
  <c r="F122" i="5"/>
  <c r="AI125" i="5"/>
  <c r="N122" i="5"/>
  <c r="AK125" i="5"/>
  <c r="Z122" i="5"/>
  <c r="AO123" i="5"/>
  <c r="S126" i="5"/>
  <c r="AJ126" i="5"/>
  <c r="U122" i="5"/>
  <c r="M122" i="5"/>
  <c r="R122" i="5"/>
  <c r="G123" i="5"/>
  <c r="AM122" i="5"/>
  <c r="AG126" i="5"/>
  <c r="N126" i="5"/>
  <c r="O122" i="5"/>
  <c r="K122" i="5"/>
  <c r="AG122" i="5"/>
  <c r="AA123" i="5"/>
  <c r="AF123" i="5"/>
  <c r="AI123" i="5"/>
  <c r="T122" i="5"/>
  <c r="AJ122" i="5"/>
  <c r="K123" i="5"/>
  <c r="AB122" i="5"/>
  <c r="AK122" i="5"/>
  <c r="J122" i="5"/>
  <c r="I126" i="5"/>
  <c r="F126" i="5"/>
  <c r="Y126" i="5"/>
  <c r="AK126" i="5"/>
  <c r="S122" i="5"/>
  <c r="X122" i="5"/>
  <c r="AI122" i="5"/>
  <c r="AD122" i="5"/>
  <c r="AA122" i="5"/>
  <c r="D122" i="5"/>
  <c r="AO122" i="5"/>
  <c r="AE122" i="5"/>
  <c r="AC122" i="5"/>
  <c r="AL122" i="5"/>
  <c r="V122" i="5"/>
  <c r="Y122" i="5"/>
  <c r="W123" i="5"/>
  <c r="H18" i="9"/>
  <c r="G122" i="5"/>
  <c r="E122" i="5"/>
  <c r="W122" i="5"/>
  <c r="L122" i="5"/>
  <c r="Q122" i="5"/>
  <c r="AJ123" i="5"/>
  <c r="C122" i="5"/>
  <c r="AN122" i="5"/>
  <c r="H122" i="5"/>
  <c r="AH122" i="5"/>
  <c r="AG123" i="5"/>
  <c r="AM125" i="5"/>
  <c r="L7" i="18"/>
  <c r="L3" i="3"/>
  <c r="L3" i="17"/>
  <c r="L3" i="10"/>
  <c r="L9" i="22"/>
  <c r="L14" i="22" s="1"/>
  <c r="L15" i="22" s="1"/>
  <c r="L18" i="22" s="1"/>
  <c r="L5" i="11"/>
  <c r="L35" i="11" s="1"/>
  <c r="M5" i="21"/>
  <c r="M7" i="21" s="1"/>
  <c r="L6" i="20"/>
  <c r="N5" i="23"/>
  <c r="L3" i="12"/>
  <c r="L3" i="14"/>
  <c r="L10" i="14" s="1"/>
  <c r="M3" i="5"/>
  <c r="S5" i="21"/>
  <c r="R3" i="22"/>
  <c r="R9" i="22" s="1"/>
  <c r="T5" i="23"/>
  <c r="R3" i="17"/>
  <c r="R7" i="18"/>
  <c r="R5" i="11"/>
  <c r="R35" i="11" s="1"/>
  <c r="R3" i="12"/>
  <c r="R3" i="3"/>
  <c r="R3" i="10"/>
  <c r="S3" i="5"/>
  <c r="R6" i="20"/>
  <c r="R3" i="14"/>
  <c r="AE123" i="5"/>
  <c r="S123" i="5"/>
  <c r="F123" i="5"/>
  <c r="M123" i="5"/>
  <c r="R123" i="5"/>
  <c r="AL123" i="5"/>
  <c r="AM123" i="5"/>
  <c r="X123" i="5"/>
  <c r="AC123" i="5"/>
  <c r="I125" i="5"/>
  <c r="D125" i="5"/>
  <c r="X126" i="5"/>
  <c r="Q125" i="5"/>
  <c r="AN125" i="5"/>
  <c r="AL125" i="5"/>
  <c r="O125" i="5"/>
  <c r="M125" i="5"/>
  <c r="Q126" i="5"/>
  <c r="G126" i="5"/>
  <c r="J126" i="5"/>
  <c r="D126" i="5"/>
  <c r="U126" i="5"/>
  <c r="P125" i="5"/>
  <c r="AF125" i="5"/>
  <c r="V125" i="5"/>
  <c r="C125" i="5"/>
  <c r="E125" i="5"/>
  <c r="Y125" i="5"/>
  <c r="AI126" i="5"/>
  <c r="AC126" i="5"/>
  <c r="AH126" i="5"/>
  <c r="AA126" i="5"/>
  <c r="AN126" i="5"/>
  <c r="M126" i="5"/>
  <c r="AE125" i="5"/>
  <c r="N125" i="5"/>
  <c r="H125" i="5"/>
  <c r="AG125" i="5"/>
  <c r="I18" i="9"/>
  <c r="O126" i="5"/>
  <c r="L126" i="5"/>
  <c r="AB126" i="5"/>
  <c r="AD126" i="5"/>
  <c r="E126" i="5"/>
  <c r="J125" i="5"/>
  <c r="AA125" i="5"/>
  <c r="AH125" i="5"/>
  <c r="W125" i="5"/>
  <c r="AJ125" i="5"/>
  <c r="AO125" i="5"/>
  <c r="U125" i="5"/>
  <c r="AF126" i="5"/>
  <c r="P126" i="5"/>
  <c r="AL126" i="5"/>
  <c r="AE126" i="5"/>
  <c r="AO126" i="5"/>
  <c r="R126" i="5"/>
  <c r="AD125" i="5"/>
  <c r="Z125" i="5"/>
  <c r="S125" i="5"/>
  <c r="K125" i="5"/>
  <c r="AN123" i="5"/>
  <c r="I123" i="5"/>
  <c r="Q123" i="5"/>
  <c r="AH123" i="5"/>
  <c r="H34" i="9"/>
  <c r="T123" i="5"/>
  <c r="P123" i="5"/>
  <c r="Y123" i="5"/>
  <c r="J123" i="5"/>
  <c r="H123" i="5"/>
  <c r="AD123" i="5"/>
  <c r="E123" i="5"/>
  <c r="D123" i="5"/>
  <c r="V123" i="5"/>
  <c r="N123" i="5"/>
  <c r="AK123" i="5"/>
  <c r="C123" i="5"/>
  <c r="I34" i="9"/>
  <c r="U123" i="5"/>
  <c r="L123" i="5"/>
  <c r="AB123" i="5"/>
  <c r="O123" i="5"/>
  <c r="AB216" i="13"/>
  <c r="AB231" i="13" s="1"/>
  <c r="AJ216" i="13"/>
  <c r="AJ231" i="13" s="1"/>
  <c r="AR216" i="13"/>
  <c r="AR231" i="13" s="1"/>
  <c r="AZ216" i="13"/>
  <c r="AZ231" i="13" s="1"/>
  <c r="BH216" i="13"/>
  <c r="BH231" i="13" s="1"/>
  <c r="X230" i="13"/>
  <c r="X247" i="13" s="1"/>
  <c r="AF230" i="13"/>
  <c r="AF247" i="13" s="1"/>
  <c r="AN230" i="13"/>
  <c r="AN247" i="13" s="1"/>
  <c r="AV230" i="13"/>
  <c r="AV247" i="13" s="1"/>
  <c r="BD230" i="13"/>
  <c r="BD247" i="13" s="1"/>
  <c r="Y232" i="13"/>
  <c r="AG232" i="13"/>
  <c r="AG229" i="13" s="1"/>
  <c r="AO232" i="13"/>
  <c r="AO229" i="13" s="1"/>
  <c r="AW232" i="13"/>
  <c r="AW229" i="13" s="1"/>
  <c r="BE232" i="13"/>
  <c r="BE229" i="13" s="1"/>
  <c r="AD216" i="13"/>
  <c r="AD231" i="13" s="1"/>
  <c r="AL216" i="13"/>
  <c r="AL231" i="13" s="1"/>
  <c r="AT216" i="13"/>
  <c r="AT231" i="13" s="1"/>
  <c r="BB216" i="13"/>
  <c r="BB231" i="13" s="1"/>
  <c r="BJ216" i="13"/>
  <c r="BJ231" i="13" s="1"/>
  <c r="Z230" i="13"/>
  <c r="Z247" i="13" s="1"/>
  <c r="AH230" i="13"/>
  <c r="AH247" i="13" s="1"/>
  <c r="AP230" i="13"/>
  <c r="AP247" i="13" s="1"/>
  <c r="AX230" i="13"/>
  <c r="AX247" i="13" s="1"/>
  <c r="BF230" i="13"/>
  <c r="BF247" i="13" s="1"/>
  <c r="AA232" i="13"/>
  <c r="AA229" i="13" s="1"/>
  <c r="AI232" i="13"/>
  <c r="AI229" i="13" s="1"/>
  <c r="AQ232" i="13"/>
  <c r="AQ229" i="13" s="1"/>
  <c r="AY232" i="13"/>
  <c r="AY229" i="13" s="1"/>
  <c r="BG232" i="13"/>
  <c r="BG229" i="13" s="1"/>
  <c r="Z216" i="13"/>
  <c r="Z231" i="13" s="1"/>
  <c r="AK216" i="13"/>
  <c r="AK231" i="13" s="1"/>
  <c r="AV216" i="13"/>
  <c r="AV231" i="13" s="1"/>
  <c r="BF216" i="13"/>
  <c r="BF231" i="13" s="1"/>
  <c r="AD230" i="13"/>
  <c r="AD247" i="13" s="1"/>
  <c r="AO230" i="13"/>
  <c r="AO247" i="13" s="1"/>
  <c r="AZ230" i="13"/>
  <c r="AZ247" i="13" s="1"/>
  <c r="BJ230" i="13"/>
  <c r="BJ247" i="13" s="1"/>
  <c r="Z232" i="13"/>
  <c r="Z229" i="13" s="1"/>
  <c r="AK232" i="13"/>
  <c r="AK229" i="13" s="1"/>
  <c r="AU232" i="13"/>
  <c r="AU229" i="13" s="1"/>
  <c r="BF232" i="13"/>
  <c r="BF229" i="13" s="1"/>
  <c r="AA216" i="13"/>
  <c r="AA231" i="13" s="1"/>
  <c r="AM216" i="13"/>
  <c r="AM231" i="13" s="1"/>
  <c r="AW216" i="13"/>
  <c r="AW231" i="13" s="1"/>
  <c r="BG216" i="13"/>
  <c r="BG231" i="13" s="1"/>
  <c r="AE230" i="13"/>
  <c r="AE247" i="13" s="1"/>
  <c r="AQ230" i="13"/>
  <c r="AQ247" i="13" s="1"/>
  <c r="BA230" i="13"/>
  <c r="BA247" i="13" s="1"/>
  <c r="AB232" i="13"/>
  <c r="AB229" i="13" s="1"/>
  <c r="AL232" i="13"/>
  <c r="AL229" i="13" s="1"/>
  <c r="AV232" i="13"/>
  <c r="AV229" i="13" s="1"/>
  <c r="BH232" i="13"/>
  <c r="BH229" i="13" s="1"/>
  <c r="AC216" i="13"/>
  <c r="AC231" i="13" s="1"/>
  <c r="AN216" i="13"/>
  <c r="AN231" i="13" s="1"/>
  <c r="AX216" i="13"/>
  <c r="AX231" i="13" s="1"/>
  <c r="BI216" i="13"/>
  <c r="BI231" i="13" s="1"/>
  <c r="AG230" i="13"/>
  <c r="AG247" i="13" s="1"/>
  <c r="AR230" i="13"/>
  <c r="AR247" i="13" s="1"/>
  <c r="BB230" i="13"/>
  <c r="BB247" i="13" s="1"/>
  <c r="AC232" i="13"/>
  <c r="AC229" i="13" s="1"/>
  <c r="AM232" i="13"/>
  <c r="AM229" i="13" s="1"/>
  <c r="AX232" i="13"/>
  <c r="AX229" i="13" s="1"/>
  <c r="BI232" i="13"/>
  <c r="BI229" i="13" s="1"/>
  <c r="AE216" i="13"/>
  <c r="AE231" i="13" s="1"/>
  <c r="AS216" i="13"/>
  <c r="AS231" i="13" s="1"/>
  <c r="AA230" i="13"/>
  <c r="AA247" i="13" s="1"/>
  <c r="AS230" i="13"/>
  <c r="AS247" i="13" s="1"/>
  <c r="BH230" i="13"/>
  <c r="BH247" i="13" s="1"/>
  <c r="AE232" i="13"/>
  <c r="AE229" i="13" s="1"/>
  <c r="AT232" i="13"/>
  <c r="AT229" i="13" s="1"/>
  <c r="AF216" i="13"/>
  <c r="AF231" i="13" s="1"/>
  <c r="AU216" i="13"/>
  <c r="AU231" i="13" s="1"/>
  <c r="AB230" i="13"/>
  <c r="AB247" i="13" s="1"/>
  <c r="AT230" i="13"/>
  <c r="AT247" i="13" s="1"/>
  <c r="BI230" i="13"/>
  <c r="BI247" i="13" s="1"/>
  <c r="AF232" i="13"/>
  <c r="AF229" i="13" s="1"/>
  <c r="AZ232" i="13"/>
  <c r="AZ229" i="13" s="1"/>
  <c r="AG216" i="13"/>
  <c r="AG231" i="13" s="1"/>
  <c r="AY216" i="13"/>
  <c r="AY231" i="13" s="1"/>
  <c r="AC230" i="13"/>
  <c r="AC247" i="13" s="1"/>
  <c r="AU230" i="13"/>
  <c r="AU247" i="13" s="1"/>
  <c r="AH232" i="13"/>
  <c r="AH229" i="13" s="1"/>
  <c r="BA232" i="13"/>
  <c r="BA229" i="13" s="1"/>
  <c r="BA216" i="13"/>
  <c r="BA231" i="13" s="1"/>
  <c r="AI230" i="13"/>
  <c r="AI247" i="13" s="1"/>
  <c r="BE230" i="13"/>
  <c r="BE247" i="13" s="1"/>
  <c r="X232" i="13"/>
  <c r="X229" i="13" s="1"/>
  <c r="BC232" i="13"/>
  <c r="BC229" i="13" s="1"/>
  <c r="X216" i="13"/>
  <c r="X231" i="13" s="1"/>
  <c r="BC216" i="13"/>
  <c r="BC231" i="13" s="1"/>
  <c r="AJ230" i="13"/>
  <c r="AJ247" i="13" s="1"/>
  <c r="BG230" i="13"/>
  <c r="BG247" i="13" s="1"/>
  <c r="AD232" i="13"/>
  <c r="AD229" i="13" s="1"/>
  <c r="BD232" i="13"/>
  <c r="BD229" i="13" s="1"/>
  <c r="AH216" i="13"/>
  <c r="AH231" i="13" s="1"/>
  <c r="BE216" i="13"/>
  <c r="BE231" i="13" s="1"/>
  <c r="AL230" i="13"/>
  <c r="AL247" i="13" s="1"/>
  <c r="AN232" i="13"/>
  <c r="AN229" i="13" s="1"/>
  <c r="Y216" i="13"/>
  <c r="Y231" i="13" s="1"/>
  <c r="AW230" i="13"/>
  <c r="AW247" i="13" s="1"/>
  <c r="AS232" i="13"/>
  <c r="AS229" i="13" s="1"/>
  <c r="AI216" i="13"/>
  <c r="AI231" i="13" s="1"/>
  <c r="AY230" i="13"/>
  <c r="AY247" i="13" s="1"/>
  <c r="BB232" i="13"/>
  <c r="BB229" i="13" s="1"/>
  <c r="AO216" i="13"/>
  <c r="AO231" i="13" s="1"/>
  <c r="BC230" i="13"/>
  <c r="BC247" i="13" s="1"/>
  <c r="BJ232" i="13"/>
  <c r="BJ229" i="13" s="1"/>
  <c r="AP216" i="13"/>
  <c r="AP231" i="13" s="1"/>
  <c r="AJ232" i="13"/>
  <c r="AJ229" i="13" s="1"/>
  <c r="AP232" i="13"/>
  <c r="AP229" i="13" s="1"/>
  <c r="AR232" i="13"/>
  <c r="AR229" i="13" s="1"/>
  <c r="Y230" i="13"/>
  <c r="Y247" i="13" s="1"/>
  <c r="AK230" i="13"/>
  <c r="AK247" i="13" s="1"/>
  <c r="AM230" i="13"/>
  <c r="AM247" i="13" s="1"/>
  <c r="AQ216" i="13"/>
  <c r="AQ231" i="13" s="1"/>
  <c r="BD216" i="13"/>
  <c r="BD231" i="13" s="1"/>
  <c r="L25" i="12" l="1"/>
  <c r="L35" i="12"/>
  <c r="R25" i="12"/>
  <c r="R35" i="12"/>
  <c r="R36" i="12" s="1"/>
  <c r="R73" i="12" s="1"/>
  <c r="Y249" i="13"/>
  <c r="Y229" i="13"/>
  <c r="AR84" i="23"/>
  <c r="M12" i="5"/>
  <c r="M11" i="5"/>
  <c r="M13" i="5"/>
  <c r="S13" i="5"/>
  <c r="S11" i="5"/>
  <c r="S12" i="5"/>
  <c r="T53" i="23"/>
  <c r="T85" i="23"/>
  <c r="N53" i="23"/>
  <c r="N85" i="23"/>
  <c r="AO137" i="5"/>
  <c r="AG137" i="5"/>
  <c r="Y137" i="5"/>
  <c r="Q137" i="5"/>
  <c r="I137" i="5"/>
  <c r="C137" i="5"/>
  <c r="AN137" i="5"/>
  <c r="AF137" i="5"/>
  <c r="X137" i="5"/>
  <c r="P137" i="5"/>
  <c r="H137" i="5"/>
  <c r="AC137" i="5"/>
  <c r="M137" i="5"/>
  <c r="AB137" i="5"/>
  <c r="L137" i="5"/>
  <c r="AA137" i="5"/>
  <c r="K137" i="5"/>
  <c r="Z137" i="5"/>
  <c r="J137" i="5"/>
  <c r="AM137" i="5"/>
  <c r="AE137" i="5"/>
  <c r="W137" i="5"/>
  <c r="O137" i="5"/>
  <c r="G137" i="5"/>
  <c r="AL137" i="5"/>
  <c r="AD137" i="5"/>
  <c r="V137" i="5"/>
  <c r="N137" i="5"/>
  <c r="F137" i="5"/>
  <c r="AK137" i="5"/>
  <c r="U137" i="5"/>
  <c r="E137" i="5"/>
  <c r="AJ137" i="5"/>
  <c r="T137" i="5"/>
  <c r="D137" i="5"/>
  <c r="AI137" i="5"/>
  <c r="S137" i="5"/>
  <c r="AH137" i="5"/>
  <c r="R137" i="5"/>
  <c r="AM136" i="5"/>
  <c r="AE136" i="5"/>
  <c r="W136" i="5"/>
  <c r="O136" i="5"/>
  <c r="G136" i="5"/>
  <c r="AL136" i="5"/>
  <c r="AD136" i="5"/>
  <c r="V136" i="5"/>
  <c r="N136" i="5"/>
  <c r="F136" i="5"/>
  <c r="C136" i="5"/>
  <c r="AI136" i="5"/>
  <c r="S136" i="5"/>
  <c r="K136" i="5"/>
  <c r="AH136" i="5"/>
  <c r="R136" i="5"/>
  <c r="AO136" i="5"/>
  <c r="Y136" i="5"/>
  <c r="I136" i="5"/>
  <c r="AF136" i="5"/>
  <c r="P136" i="5"/>
  <c r="AK136" i="5"/>
  <c r="AC136" i="5"/>
  <c r="U136" i="5"/>
  <c r="M136" i="5"/>
  <c r="E136" i="5"/>
  <c r="AJ136" i="5"/>
  <c r="AB136" i="5"/>
  <c r="T136" i="5"/>
  <c r="L136" i="5"/>
  <c r="D136" i="5"/>
  <c r="AA136" i="5"/>
  <c r="Z136" i="5"/>
  <c r="J136" i="5"/>
  <c r="AG136" i="5"/>
  <c r="Q136" i="5"/>
  <c r="AN136" i="5"/>
  <c r="X136" i="5"/>
  <c r="H136" i="5"/>
  <c r="L89" i="12"/>
  <c r="L109" i="12" s="1"/>
  <c r="L85" i="12"/>
  <c r="L105" i="12" s="1"/>
  <c r="L91" i="12"/>
  <c r="L111" i="12" s="1"/>
  <c r="L84" i="12"/>
  <c r="L104" i="12" s="1"/>
  <c r="L88" i="12"/>
  <c r="L108" i="12" s="1"/>
  <c r="L86" i="12"/>
  <c r="L106" i="12" s="1"/>
  <c r="L87" i="12"/>
  <c r="L107" i="12" s="1"/>
  <c r="L90" i="12"/>
  <c r="L110" i="12" s="1"/>
  <c r="R88" i="12"/>
  <c r="R108" i="12" s="1"/>
  <c r="R84" i="12"/>
  <c r="R104" i="12" s="1"/>
  <c r="R90" i="12"/>
  <c r="R110" i="12" s="1"/>
  <c r="R91" i="12"/>
  <c r="R111" i="12" s="1"/>
  <c r="R87" i="12"/>
  <c r="R107" i="12" s="1"/>
  <c r="R86" i="12"/>
  <c r="R106" i="12" s="1"/>
  <c r="R85" i="12"/>
  <c r="R105" i="12" s="1"/>
  <c r="R89" i="12"/>
  <c r="R109" i="12" s="1"/>
  <c r="L36" i="12"/>
  <c r="L73" i="12" s="1"/>
  <c r="R11" i="12"/>
  <c r="R5" i="12"/>
  <c r="L11" i="12"/>
  <c r="L5" i="12"/>
  <c r="Z107" i="5"/>
  <c r="Y4" i="4"/>
  <c r="C107" i="5"/>
  <c r="B4" i="4"/>
  <c r="R107" i="5"/>
  <c r="Q4" i="4"/>
  <c r="AI107" i="5"/>
  <c r="AH4" i="4"/>
  <c r="AN107" i="5"/>
  <c r="AM4" i="4"/>
  <c r="AM107" i="5"/>
  <c r="AL4" i="4"/>
  <c r="S107" i="5"/>
  <c r="R4" i="4"/>
  <c r="AF107" i="5"/>
  <c r="AE4" i="4"/>
  <c r="AE107" i="5"/>
  <c r="AD4" i="4"/>
  <c r="W107" i="5"/>
  <c r="V4" i="4"/>
  <c r="O107" i="5"/>
  <c r="N4" i="4"/>
  <c r="AA107" i="5"/>
  <c r="Z4" i="4"/>
  <c r="E107" i="5"/>
  <c r="D4" i="4"/>
  <c r="Y107" i="5"/>
  <c r="X4" i="4"/>
  <c r="K107" i="5"/>
  <c r="J4" i="4"/>
  <c r="AL107" i="5"/>
  <c r="AK4" i="4"/>
  <c r="AC107" i="5"/>
  <c r="AB4" i="4"/>
  <c r="AD107" i="5"/>
  <c r="AC4" i="4"/>
  <c r="R28" i="12"/>
  <c r="R40" i="12" s="1"/>
  <c r="R31" i="12"/>
  <c r="R32" i="12" s="1"/>
  <c r="R56" i="12" s="1"/>
  <c r="L28" i="12"/>
  <c r="L40" i="12" s="1"/>
  <c r="L31" i="12"/>
  <c r="L32" i="12" s="1"/>
  <c r="L56" i="12" s="1"/>
  <c r="R7" i="12"/>
  <c r="R16" i="12" s="1"/>
  <c r="R17" i="12" s="1"/>
  <c r="R12" i="12"/>
  <c r="L7" i="12"/>
  <c r="L16" i="12" s="1"/>
  <c r="L17" i="12" s="1"/>
  <c r="L12" i="12"/>
  <c r="L5" i="17"/>
  <c r="L6" i="17" s="1"/>
  <c r="L14" i="17"/>
  <c r="R5" i="17"/>
  <c r="R6" i="17" s="1"/>
  <c r="R14" i="17"/>
  <c r="R15" i="17"/>
  <c r="R10" i="17"/>
  <c r="R12" i="17" s="1"/>
  <c r="L15" i="17"/>
  <c r="L10" i="17"/>
  <c r="L12" i="17" s="1"/>
  <c r="R8" i="17"/>
  <c r="L8" i="17"/>
  <c r="L8" i="3"/>
  <c r="L7" i="3"/>
  <c r="R8" i="3"/>
  <c r="R7" i="3"/>
  <c r="P122" i="11"/>
  <c r="P7" i="20"/>
  <c r="AN122" i="11"/>
  <c r="AN7" i="20"/>
  <c r="N122" i="11"/>
  <c r="N7" i="20"/>
  <c r="W122" i="11"/>
  <c r="W7" i="20"/>
  <c r="Y122" i="11"/>
  <c r="Y7" i="20"/>
  <c r="D122" i="11"/>
  <c r="D7" i="20"/>
  <c r="AI122" i="11"/>
  <c r="AI7" i="20"/>
  <c r="AM122" i="11"/>
  <c r="AM7" i="20"/>
  <c r="O122" i="11"/>
  <c r="O7" i="20"/>
  <c r="I122" i="11"/>
  <c r="I7" i="20"/>
  <c r="F122" i="11"/>
  <c r="F7" i="20"/>
  <c r="C122" i="11"/>
  <c r="C7" i="20"/>
  <c r="X122" i="11"/>
  <c r="X7" i="20"/>
  <c r="AH122" i="11"/>
  <c r="AH7" i="20"/>
  <c r="E122" i="11"/>
  <c r="E7" i="20"/>
  <c r="J122" i="11"/>
  <c r="J7" i="20"/>
  <c r="AF122" i="11"/>
  <c r="AF7" i="20"/>
  <c r="AA122" i="11"/>
  <c r="AA7" i="20"/>
  <c r="T122" i="11"/>
  <c r="U5" i="21" s="1"/>
  <c r="U15" i="21" s="1"/>
  <c r="T7" i="20"/>
  <c r="V122" i="11"/>
  <c r="V7" i="20"/>
  <c r="AJ122" i="11"/>
  <c r="AJ7" i="20"/>
  <c r="M122" i="11"/>
  <c r="M7" i="20"/>
  <c r="AC122" i="11"/>
  <c r="AC7" i="20"/>
  <c r="AL122" i="11"/>
  <c r="AL7" i="20"/>
  <c r="S122" i="11"/>
  <c r="S7" i="20"/>
  <c r="H122" i="11"/>
  <c r="H7" i="20"/>
  <c r="Q122" i="11"/>
  <c r="Q7" i="20"/>
  <c r="U122" i="11"/>
  <c r="U7" i="20"/>
  <c r="AG122" i="11"/>
  <c r="AG7" i="20"/>
  <c r="AE122" i="11"/>
  <c r="AE7" i="20"/>
  <c r="AK122" i="11"/>
  <c r="AK7" i="20"/>
  <c r="K122" i="11"/>
  <c r="K7" i="20"/>
  <c r="Z122" i="11"/>
  <c r="Z7" i="20"/>
  <c r="AB122" i="11"/>
  <c r="AB7" i="20"/>
  <c r="AD122" i="11"/>
  <c r="AD7" i="20"/>
  <c r="G122" i="11"/>
  <c r="G7" i="20"/>
  <c r="L11" i="20"/>
  <c r="L12" i="20"/>
  <c r="L13" i="20"/>
  <c r="L9" i="20"/>
  <c r="L10" i="20"/>
  <c r="L8" i="20"/>
  <c r="R10" i="20"/>
  <c r="R11" i="20"/>
  <c r="R22" i="20" s="1"/>
  <c r="R30" i="20" s="1"/>
  <c r="R13" i="20"/>
  <c r="R12" i="20"/>
  <c r="R9" i="20"/>
  <c r="R8" i="20"/>
  <c r="R5" i="3"/>
  <c r="R6" i="3"/>
  <c r="L5" i="3"/>
  <c r="L6" i="3"/>
  <c r="R8" i="11"/>
  <c r="L8" i="11"/>
  <c r="R27" i="11"/>
  <c r="R28" i="11"/>
  <c r="L28" i="11"/>
  <c r="L27" i="11"/>
  <c r="M71" i="5"/>
  <c r="S71" i="5"/>
  <c r="L12" i="22"/>
  <c r="L13" i="22" s="1"/>
  <c r="L84" i="20"/>
  <c r="L31" i="11"/>
  <c r="L34" i="11"/>
  <c r="L32" i="11"/>
  <c r="R31" i="11"/>
  <c r="R34" i="11"/>
  <c r="R32" i="11"/>
  <c r="R10" i="14"/>
  <c r="R9" i="14" s="1"/>
  <c r="BD248" i="13"/>
  <c r="AW248" i="13"/>
  <c r="AW246" i="13"/>
  <c r="BH248" i="13"/>
  <c r="BH246" i="13"/>
  <c r="BE248" i="13"/>
  <c r="BE246" i="13"/>
  <c r="AU248" i="13"/>
  <c r="AU246" i="13"/>
  <c r="AE248" i="13"/>
  <c r="AE246" i="13"/>
  <c r="BI248" i="13"/>
  <c r="BI246" i="13"/>
  <c r="AV248" i="13"/>
  <c r="AV246" i="13"/>
  <c r="AL248" i="13"/>
  <c r="AL246" i="13"/>
  <c r="AB248" i="13"/>
  <c r="AB246" i="13"/>
  <c r="AH248" i="13"/>
  <c r="AH246" i="13"/>
  <c r="AY248" i="13"/>
  <c r="AY246" i="13"/>
  <c r="AF248" i="13"/>
  <c r="AF246" i="13"/>
  <c r="AX248" i="13"/>
  <c r="AX246" i="13"/>
  <c r="AK248" i="13"/>
  <c r="AK246" i="13"/>
  <c r="AD248" i="13"/>
  <c r="AD246" i="13"/>
  <c r="AG248" i="13"/>
  <c r="AG246" i="13"/>
  <c r="Z248" i="13"/>
  <c r="Z246" i="13"/>
  <c r="AC248" i="13"/>
  <c r="AC246" i="13"/>
  <c r="AP248" i="13"/>
  <c r="AP246" i="13"/>
  <c r="AQ248" i="13"/>
  <c r="AQ246" i="13"/>
  <c r="AM248" i="13"/>
  <c r="AM246" i="13"/>
  <c r="AZ248" i="13"/>
  <c r="AZ246" i="13"/>
  <c r="BC248" i="13"/>
  <c r="BC246" i="13"/>
  <c r="AA248" i="13"/>
  <c r="AA246" i="13"/>
  <c r="BB248" i="13"/>
  <c r="BB246" i="13"/>
  <c r="AR248" i="13"/>
  <c r="AR246" i="13"/>
  <c r="AI248" i="13"/>
  <c r="AN248" i="13"/>
  <c r="AN246" i="13"/>
  <c r="BG248" i="13"/>
  <c r="BG246" i="13"/>
  <c r="BA248" i="13"/>
  <c r="BA246" i="13"/>
  <c r="BJ248" i="13"/>
  <c r="BJ246" i="13"/>
  <c r="AO248" i="13"/>
  <c r="AO246" i="13"/>
  <c r="X248" i="13"/>
  <c r="X246" i="13"/>
  <c r="AS248" i="13"/>
  <c r="AS246" i="13"/>
  <c r="BF248" i="13"/>
  <c r="BF246" i="13"/>
  <c r="AT248" i="13"/>
  <c r="AT246" i="13"/>
  <c r="AJ248" i="13"/>
  <c r="AJ246" i="13"/>
  <c r="L9" i="14"/>
  <c r="L7" i="14"/>
  <c r="L4" i="14"/>
  <c r="L24" i="14" s="1"/>
  <c r="L20" i="22"/>
  <c r="R10" i="22"/>
  <c r="R4" i="14"/>
  <c r="R24" i="14" s="1"/>
  <c r="N7" i="23"/>
  <c r="N88" i="23" s="1"/>
  <c r="L16" i="22"/>
  <c r="L17" i="22" s="1"/>
  <c r="M15" i="21"/>
  <c r="M54" i="21" s="1"/>
  <c r="L19" i="22"/>
  <c r="R84" i="20"/>
  <c r="S15" i="21"/>
  <c r="S7" i="21"/>
  <c r="T7" i="23"/>
  <c r="T88" i="23" s="1"/>
  <c r="R14" i="22"/>
  <c r="R15" i="22" s="1"/>
  <c r="R19" i="22" s="1"/>
  <c r="BJ249" i="13"/>
  <c r="AV249" i="13"/>
  <c r="AL249" i="13"/>
  <c r="BC249" i="13"/>
  <c r="X249" i="13"/>
  <c r="AK249" i="13"/>
  <c r="AP249" i="13"/>
  <c r="BD249" i="13"/>
  <c r="AT249" i="13"/>
  <c r="AX249" i="13"/>
  <c r="Z249" i="13"/>
  <c r="BE249" i="13"/>
  <c r="AQ249" i="13"/>
  <c r="AG249" i="13"/>
  <c r="AN249" i="13"/>
  <c r="AB249" i="13"/>
  <c r="BF249" i="13"/>
  <c r="AA249" i="13"/>
  <c r="AR249" i="13"/>
  <c r="AJ249" i="13"/>
  <c r="AS249" i="13"/>
  <c r="AD249" i="13"/>
  <c r="AZ249" i="13"/>
  <c r="AE249" i="13"/>
  <c r="AM249" i="13"/>
  <c r="BG249" i="13"/>
  <c r="AW249" i="13"/>
  <c r="Y248" i="13"/>
  <c r="BA249" i="13"/>
  <c r="AH249" i="13"/>
  <c r="AI249" i="13"/>
  <c r="BB249" i="13"/>
  <c r="AU249" i="13"/>
  <c r="BI249" i="13"/>
  <c r="AF249" i="13"/>
  <c r="AC249" i="13"/>
  <c r="BH249" i="13"/>
  <c r="AY249" i="13"/>
  <c r="AO249" i="13"/>
  <c r="S14" i="5" l="1"/>
  <c r="M14" i="5"/>
  <c r="S21" i="5"/>
  <c r="S120" i="5" s="1"/>
  <c r="R9" i="3"/>
  <c r="R11" i="3" s="1"/>
  <c r="M21" i="5"/>
  <c r="M120" i="5" s="1"/>
  <c r="L9" i="3"/>
  <c r="L11" i="3" s="1"/>
  <c r="L12" i="3"/>
  <c r="L18" i="3"/>
  <c r="L20" i="3"/>
  <c r="L28" i="3"/>
  <c r="R18" i="3"/>
  <c r="R12" i="3"/>
  <c r="R20" i="3"/>
  <c r="R28" i="3"/>
  <c r="R72" i="12"/>
  <c r="R76" i="12" s="1"/>
  <c r="L72" i="12"/>
  <c r="L26" i="12"/>
  <c r="L38" i="12" s="1"/>
  <c r="L33" i="12"/>
  <c r="R26" i="12"/>
  <c r="R38" i="12" s="1"/>
  <c r="R33" i="12"/>
  <c r="L17" i="17"/>
  <c r="R57" i="12"/>
  <c r="L57" i="12"/>
  <c r="L13" i="12"/>
  <c r="L41" i="12"/>
  <c r="L42" i="12" s="1"/>
  <c r="R13" i="12"/>
  <c r="R41" i="12"/>
  <c r="R42" i="12" s="1"/>
  <c r="R17" i="17"/>
  <c r="AH113" i="13"/>
  <c r="AH152" i="13" s="1"/>
  <c r="AH179" i="13"/>
  <c r="S17" i="5"/>
  <c r="AN179" i="13"/>
  <c r="AN113" i="13"/>
  <c r="AN152" i="13" s="1"/>
  <c r="R16" i="17"/>
  <c r="L16" i="17"/>
  <c r="L28" i="17"/>
  <c r="L29" i="17"/>
  <c r="R29" i="17"/>
  <c r="R28" i="17"/>
  <c r="L55" i="20"/>
  <c r="L74" i="20" s="1"/>
  <c r="M16" i="5"/>
  <c r="R55" i="20"/>
  <c r="S16" i="5"/>
  <c r="R54" i="20"/>
  <c r="R53" i="20" s="1"/>
  <c r="R56" i="20" s="1"/>
  <c r="R58" i="20" s="1"/>
  <c r="R61" i="20" s="1"/>
  <c r="L54" i="20"/>
  <c r="L53" i="20" s="1"/>
  <c r="L56" i="20" s="1"/>
  <c r="L58" i="20" s="1"/>
  <c r="L61" i="20" s="1"/>
  <c r="M17" i="5"/>
  <c r="R45" i="3"/>
  <c r="L45" i="3"/>
  <c r="R14" i="20"/>
  <c r="R15" i="20" s="1"/>
  <c r="L14" i="20"/>
  <c r="L15" i="20" s="1"/>
  <c r="I6" i="20"/>
  <c r="I3" i="22"/>
  <c r="I3" i="12"/>
  <c r="J3" i="5"/>
  <c r="I5" i="11"/>
  <c r="I35" i="11" s="1"/>
  <c r="K5" i="23"/>
  <c r="I7" i="18"/>
  <c r="I3" i="3"/>
  <c r="J5" i="21"/>
  <c r="I3" i="14"/>
  <c r="I3" i="10"/>
  <c r="I3" i="17"/>
  <c r="V3" i="3"/>
  <c r="W5" i="21"/>
  <c r="X5" i="23"/>
  <c r="V3" i="10"/>
  <c r="V3" i="22"/>
  <c r="V6" i="20"/>
  <c r="W3" i="5"/>
  <c r="V3" i="17"/>
  <c r="V7" i="18"/>
  <c r="V3" i="14"/>
  <c r="V3" i="12"/>
  <c r="V5" i="11"/>
  <c r="V35" i="11" s="1"/>
  <c r="K3" i="14"/>
  <c r="K7" i="18"/>
  <c r="K3" i="22"/>
  <c r="L5" i="21"/>
  <c r="K3" i="12"/>
  <c r="K3" i="3"/>
  <c r="K5" i="11"/>
  <c r="K35" i="11" s="1"/>
  <c r="K3" i="10"/>
  <c r="K3" i="17"/>
  <c r="K6" i="20"/>
  <c r="M5" i="23"/>
  <c r="L3" i="5"/>
  <c r="D5" i="11"/>
  <c r="D35" i="11" s="1"/>
  <c r="D3" i="3"/>
  <c r="D3" i="14"/>
  <c r="D3" i="10"/>
  <c r="D3" i="22"/>
  <c r="E3" i="5"/>
  <c r="D3" i="12"/>
  <c r="D7" i="18"/>
  <c r="F5" i="23"/>
  <c r="D3" i="17"/>
  <c r="D6" i="20"/>
  <c r="E5" i="21"/>
  <c r="W3" i="17"/>
  <c r="X5" i="21"/>
  <c r="W3" i="22"/>
  <c r="W5" i="11"/>
  <c r="W35" i="11" s="1"/>
  <c r="W3" i="10"/>
  <c r="Y5" i="23"/>
  <c r="W3" i="12"/>
  <c r="X3" i="5"/>
  <c r="W6" i="20"/>
  <c r="W7" i="18"/>
  <c r="W3" i="3"/>
  <c r="W3" i="14"/>
  <c r="U3" i="10"/>
  <c r="U3" i="12"/>
  <c r="U5" i="11"/>
  <c r="U35" i="11" s="1"/>
  <c r="W5" i="23"/>
  <c r="V3" i="5"/>
  <c r="U6" i="20"/>
  <c r="U3" i="3"/>
  <c r="V5" i="21"/>
  <c r="U3" i="17"/>
  <c r="U3" i="22"/>
  <c r="U7" i="18"/>
  <c r="U3" i="14"/>
  <c r="AH3" i="3"/>
  <c r="AH6" i="20"/>
  <c r="AH3" i="14"/>
  <c r="AI3" i="5"/>
  <c r="AI5" i="21"/>
  <c r="AH3" i="17"/>
  <c r="AH5" i="11"/>
  <c r="AH35" i="11" s="1"/>
  <c r="AH3" i="12"/>
  <c r="AJ5" i="23"/>
  <c r="AH3" i="22"/>
  <c r="AH7" i="18"/>
  <c r="AH3" i="10"/>
  <c r="H5" i="11"/>
  <c r="H35" i="11" s="1"/>
  <c r="H3" i="17"/>
  <c r="H6" i="20"/>
  <c r="I5" i="21"/>
  <c r="H3" i="3"/>
  <c r="J5" i="23"/>
  <c r="H3" i="22"/>
  <c r="H3" i="10"/>
  <c r="H3" i="14"/>
  <c r="H3" i="12"/>
  <c r="I3" i="5"/>
  <c r="H7" i="18"/>
  <c r="M3" i="14"/>
  <c r="M6" i="20"/>
  <c r="M3" i="17"/>
  <c r="M3" i="3"/>
  <c r="O5" i="23"/>
  <c r="M3" i="12"/>
  <c r="M3" i="10"/>
  <c r="M3" i="22"/>
  <c r="M5" i="11"/>
  <c r="M35" i="11" s="1"/>
  <c r="M7" i="18"/>
  <c r="N3" i="5"/>
  <c r="N5" i="21"/>
  <c r="AK5" i="21"/>
  <c r="AJ3" i="12"/>
  <c r="AJ3" i="22"/>
  <c r="AJ6" i="20"/>
  <c r="AJ5" i="11"/>
  <c r="AJ35" i="11" s="1"/>
  <c r="AJ3" i="17"/>
  <c r="AJ3" i="3"/>
  <c r="AK3" i="5"/>
  <c r="AJ3" i="14"/>
  <c r="AL5" i="23"/>
  <c r="AJ7" i="18"/>
  <c r="AJ3" i="10"/>
  <c r="Z3" i="3"/>
  <c r="Z6" i="20"/>
  <c r="Z3" i="22"/>
  <c r="Z3" i="12"/>
  <c r="Z3" i="14"/>
  <c r="AB5" i="23"/>
  <c r="Z3" i="17"/>
  <c r="AA5" i="21"/>
  <c r="Z5" i="11"/>
  <c r="Z35" i="11" s="1"/>
  <c r="Z7" i="18"/>
  <c r="Z3" i="10"/>
  <c r="AA3" i="5"/>
  <c r="AI3" i="12"/>
  <c r="AI6" i="20"/>
  <c r="AK5" i="23"/>
  <c r="AI3" i="10"/>
  <c r="AJ3" i="5"/>
  <c r="AI3" i="22"/>
  <c r="AI3" i="17"/>
  <c r="AJ5" i="21"/>
  <c r="AI3" i="3"/>
  <c r="AI7" i="18"/>
  <c r="AI3" i="14"/>
  <c r="AI5" i="11"/>
  <c r="AI35" i="11" s="1"/>
  <c r="AF6" i="20"/>
  <c r="AF3" i="22"/>
  <c r="AF3" i="3"/>
  <c r="AF5" i="11"/>
  <c r="AF35" i="11" s="1"/>
  <c r="AF7" i="18"/>
  <c r="AG3" i="5"/>
  <c r="AF3" i="12"/>
  <c r="AF3" i="10"/>
  <c r="AF3" i="17"/>
  <c r="AF3" i="14"/>
  <c r="AH5" i="23"/>
  <c r="AG5" i="21"/>
  <c r="J3" i="3"/>
  <c r="J3" i="17"/>
  <c r="J7" i="18"/>
  <c r="K3" i="5"/>
  <c r="K5" i="21"/>
  <c r="J3" i="22"/>
  <c r="J3" i="10"/>
  <c r="L5" i="23"/>
  <c r="J5" i="11"/>
  <c r="J35" i="11" s="1"/>
  <c r="J6" i="20"/>
  <c r="J3" i="12"/>
  <c r="J3" i="14"/>
  <c r="E5" i="11"/>
  <c r="E35" i="11" s="1"/>
  <c r="E6" i="20"/>
  <c r="E3" i="22"/>
  <c r="E3" i="14"/>
  <c r="F3" i="5"/>
  <c r="G5" i="23"/>
  <c r="E7" i="18"/>
  <c r="F5" i="21"/>
  <c r="E3" i="12"/>
  <c r="E3" i="3"/>
  <c r="E3" i="17"/>
  <c r="E3" i="10"/>
  <c r="H3" i="5"/>
  <c r="G3" i="10"/>
  <c r="G5" i="11"/>
  <c r="G35" i="11" s="1"/>
  <c r="I5" i="23"/>
  <c r="G3" i="22"/>
  <c r="G3" i="14"/>
  <c r="H5" i="21"/>
  <c r="G7" i="18"/>
  <c r="G6" i="20"/>
  <c r="G3" i="12"/>
  <c r="G3" i="17"/>
  <c r="G3" i="3"/>
  <c r="S5" i="11"/>
  <c r="S35" i="11" s="1"/>
  <c r="S3" i="17"/>
  <c r="T3" i="5"/>
  <c r="S3" i="10"/>
  <c r="S3" i="12"/>
  <c r="T5" i="21"/>
  <c r="U5" i="23"/>
  <c r="S6" i="20"/>
  <c r="S3" i="14"/>
  <c r="S3" i="22"/>
  <c r="S3" i="3"/>
  <c r="S7" i="18"/>
  <c r="X5" i="11"/>
  <c r="X35" i="11" s="1"/>
  <c r="X3" i="22"/>
  <c r="X3" i="12"/>
  <c r="X7" i="18"/>
  <c r="X3" i="17"/>
  <c r="X3" i="14"/>
  <c r="Z5" i="23"/>
  <c r="X3" i="3"/>
  <c r="Y5" i="21"/>
  <c r="Y3" i="5"/>
  <c r="X6" i="20"/>
  <c r="X3" i="10"/>
  <c r="AB7" i="18"/>
  <c r="AB5" i="11"/>
  <c r="AB35" i="11" s="1"/>
  <c r="AB3" i="17"/>
  <c r="AB3" i="22"/>
  <c r="AB3" i="3"/>
  <c r="AD5" i="23"/>
  <c r="AC3" i="5"/>
  <c r="AC5" i="21"/>
  <c r="AB3" i="12"/>
  <c r="AB3" i="14"/>
  <c r="AB6" i="20"/>
  <c r="AB3" i="10"/>
  <c r="AM3" i="10"/>
  <c r="AM6" i="20"/>
  <c r="AM3" i="12"/>
  <c r="AM3" i="17"/>
  <c r="AM5" i="11"/>
  <c r="AM35" i="11" s="1"/>
  <c r="AN3" i="5"/>
  <c r="AM3" i="3"/>
  <c r="AM3" i="22"/>
  <c r="AM3" i="14"/>
  <c r="AN5" i="21"/>
  <c r="AM7" i="18"/>
  <c r="AO5" i="23"/>
  <c r="AB5" i="21"/>
  <c r="AA5" i="11"/>
  <c r="AA35" i="11" s="1"/>
  <c r="AA3" i="22"/>
  <c r="AA3" i="17"/>
  <c r="AA3" i="14"/>
  <c r="AA3" i="3"/>
  <c r="AA3" i="10"/>
  <c r="AB3" i="5"/>
  <c r="AA6" i="20"/>
  <c r="AC5" i="23"/>
  <c r="AA7" i="18"/>
  <c r="AA3" i="12"/>
  <c r="Y3" i="17"/>
  <c r="Y6" i="20"/>
  <c r="Y3" i="3"/>
  <c r="Y7" i="18"/>
  <c r="Y3" i="22"/>
  <c r="Y3" i="12"/>
  <c r="Z5" i="21"/>
  <c r="Y3" i="14"/>
  <c r="AA5" i="23"/>
  <c r="Z3" i="5"/>
  <c r="Y5" i="11"/>
  <c r="Y35" i="11" s="1"/>
  <c r="Y3" i="10"/>
  <c r="AG5" i="11"/>
  <c r="AG35" i="11" s="1"/>
  <c r="AG3" i="10"/>
  <c r="AH5" i="21"/>
  <c r="AG3" i="3"/>
  <c r="AG3" i="12"/>
  <c r="AH3" i="5"/>
  <c r="AG3" i="17"/>
  <c r="AI5" i="23"/>
  <c r="AG3" i="14"/>
  <c r="AG7" i="18"/>
  <c r="AG6" i="20"/>
  <c r="AG3" i="22"/>
  <c r="AP5" i="23"/>
  <c r="AO5" i="21"/>
  <c r="AN3" i="12"/>
  <c r="AN7" i="18"/>
  <c r="AN5" i="11"/>
  <c r="AN35" i="11" s="1"/>
  <c r="AN6" i="20"/>
  <c r="AN3" i="14"/>
  <c r="AO3" i="5"/>
  <c r="AN3" i="17"/>
  <c r="AN3" i="10"/>
  <c r="AN3" i="3"/>
  <c r="AN3" i="22"/>
  <c r="AD3" i="3"/>
  <c r="AD5" i="11"/>
  <c r="AD35" i="11" s="1"/>
  <c r="AD3" i="12"/>
  <c r="AD7" i="18"/>
  <c r="AD6" i="20"/>
  <c r="AF5" i="23"/>
  <c r="AE5" i="21"/>
  <c r="AD3" i="14"/>
  <c r="AD3" i="10"/>
  <c r="AD3" i="22"/>
  <c r="AE3" i="5"/>
  <c r="AD3" i="17"/>
  <c r="AL3" i="12"/>
  <c r="AM5" i="21"/>
  <c r="AL3" i="3"/>
  <c r="AL3" i="22"/>
  <c r="AL3" i="10"/>
  <c r="AL6" i="20"/>
  <c r="AL7" i="18"/>
  <c r="AM3" i="5"/>
  <c r="AL3" i="17"/>
  <c r="AN5" i="23"/>
  <c r="AL3" i="14"/>
  <c r="AL5" i="11"/>
  <c r="AL35" i="11" s="1"/>
  <c r="D5" i="21"/>
  <c r="C3" i="14"/>
  <c r="D3" i="5"/>
  <c r="C3" i="22"/>
  <c r="C5" i="11"/>
  <c r="C35" i="11" s="1"/>
  <c r="C7" i="18"/>
  <c r="E5" i="23"/>
  <c r="C3" i="3"/>
  <c r="C3" i="10"/>
  <c r="C3" i="12"/>
  <c r="C6" i="20"/>
  <c r="C3" i="17"/>
  <c r="O7" i="18"/>
  <c r="P5" i="21"/>
  <c r="O3" i="14"/>
  <c r="O3" i="12"/>
  <c r="P3" i="5"/>
  <c r="O3" i="17"/>
  <c r="Q5" i="23"/>
  <c r="O3" i="10"/>
  <c r="O5" i="11"/>
  <c r="O35" i="11" s="1"/>
  <c r="O3" i="3"/>
  <c r="O6" i="20"/>
  <c r="O3" i="22"/>
  <c r="AK6" i="20"/>
  <c r="AK3" i="17"/>
  <c r="AK3" i="12"/>
  <c r="AK3" i="22"/>
  <c r="AK3" i="14"/>
  <c r="AK3" i="10"/>
  <c r="AK5" i="11"/>
  <c r="AK35" i="11" s="1"/>
  <c r="AL5" i="21"/>
  <c r="AL3" i="5"/>
  <c r="AK7" i="18"/>
  <c r="AK3" i="3"/>
  <c r="AM5" i="23"/>
  <c r="AF5" i="21"/>
  <c r="AE3" i="22"/>
  <c r="AE3" i="17"/>
  <c r="AE3" i="3"/>
  <c r="AE5" i="11"/>
  <c r="AE35" i="11" s="1"/>
  <c r="AE3" i="14"/>
  <c r="AE3" i="12"/>
  <c r="AE6" i="20"/>
  <c r="AF3" i="5"/>
  <c r="AE3" i="10"/>
  <c r="AG5" i="23"/>
  <c r="AE7" i="18"/>
  <c r="N3" i="3"/>
  <c r="N3" i="12"/>
  <c r="N5" i="11"/>
  <c r="N35" i="11" s="1"/>
  <c r="N3" i="17"/>
  <c r="N3" i="10"/>
  <c r="N3" i="22"/>
  <c r="N6" i="20"/>
  <c r="O3" i="5"/>
  <c r="P5" i="23"/>
  <c r="N3" i="14"/>
  <c r="N7" i="18"/>
  <c r="O5" i="21"/>
  <c r="P7" i="18"/>
  <c r="P6" i="20"/>
  <c r="R5" i="23"/>
  <c r="P5" i="11"/>
  <c r="P35" i="11" s="1"/>
  <c r="P3" i="3"/>
  <c r="P3" i="22"/>
  <c r="P3" i="10"/>
  <c r="Q5" i="21"/>
  <c r="P3" i="12"/>
  <c r="Q3" i="5"/>
  <c r="P3" i="17"/>
  <c r="P3" i="14"/>
  <c r="Q7" i="18"/>
  <c r="R5" i="21"/>
  <c r="Q6" i="20"/>
  <c r="Q3" i="10"/>
  <c r="Q5" i="11"/>
  <c r="Q35" i="11" s="1"/>
  <c r="S5" i="23"/>
  <c r="Q3" i="12"/>
  <c r="Q3" i="3"/>
  <c r="Q3" i="17"/>
  <c r="R3" i="5"/>
  <c r="Q3" i="14"/>
  <c r="Q3" i="22"/>
  <c r="AC3" i="3"/>
  <c r="AD5" i="21"/>
  <c r="AE5" i="23"/>
  <c r="AD3" i="5"/>
  <c r="AC3" i="17"/>
  <c r="AC6" i="20"/>
  <c r="AC3" i="12"/>
  <c r="AC7" i="18"/>
  <c r="AC3" i="22"/>
  <c r="AC5" i="11"/>
  <c r="AC35" i="11" s="1"/>
  <c r="AC3" i="14"/>
  <c r="AC3" i="10"/>
  <c r="H5" i="23"/>
  <c r="G3" i="5"/>
  <c r="F3" i="22"/>
  <c r="F6" i="20"/>
  <c r="F3" i="17"/>
  <c r="G5" i="21"/>
  <c r="F3" i="3"/>
  <c r="F7" i="18"/>
  <c r="F3" i="12"/>
  <c r="F3" i="14"/>
  <c r="F5" i="11"/>
  <c r="F35" i="11" s="1"/>
  <c r="F3" i="10"/>
  <c r="S56" i="5"/>
  <c r="M56" i="5"/>
  <c r="T7" i="18"/>
  <c r="S54" i="21"/>
  <c r="T3" i="3"/>
  <c r="V5" i="23"/>
  <c r="T3" i="17"/>
  <c r="T3" i="10"/>
  <c r="T3" i="14"/>
  <c r="T3" i="22"/>
  <c r="U3" i="5"/>
  <c r="R12" i="22"/>
  <c r="R13" i="22" s="1"/>
  <c r="T3" i="12"/>
  <c r="T5" i="11"/>
  <c r="T35" i="11" s="1"/>
  <c r="T6" i="20"/>
  <c r="U7" i="21"/>
  <c r="U54" i="21" s="1"/>
  <c r="R29" i="11"/>
  <c r="L29" i="11"/>
  <c r="R37" i="20"/>
  <c r="Y246" i="13"/>
  <c r="AI246" i="13"/>
  <c r="L5" i="14"/>
  <c r="R21" i="20"/>
  <c r="R29" i="20" s="1"/>
  <c r="R36" i="20" s="1"/>
  <c r="L20" i="20"/>
  <c r="R23" i="20"/>
  <c r="R31" i="20" s="1"/>
  <c r="R38" i="20"/>
  <c r="L22" i="20"/>
  <c r="L30" i="20" s="1"/>
  <c r="L37" i="20" s="1"/>
  <c r="R20" i="20"/>
  <c r="L23" i="20"/>
  <c r="L31" i="20" s="1"/>
  <c r="L38" i="20"/>
  <c r="L24" i="20"/>
  <c r="L32" i="20" s="1"/>
  <c r="L39" i="20" s="1"/>
  <c r="R24" i="20"/>
  <c r="R32" i="20" s="1"/>
  <c r="R39" i="20"/>
  <c r="L21" i="20"/>
  <c r="L29" i="20" s="1"/>
  <c r="R5" i="14"/>
  <c r="BD246" i="13"/>
  <c r="N56" i="23"/>
  <c r="N89" i="23" s="1"/>
  <c r="R33" i="11"/>
  <c r="L33" i="11"/>
  <c r="L21" i="22"/>
  <c r="L22" i="22" s="1"/>
  <c r="L12" i="4" s="1"/>
  <c r="L19" i="3" s="1"/>
  <c r="R7" i="14"/>
  <c r="R18" i="22"/>
  <c r="R20" i="22"/>
  <c r="T56" i="23"/>
  <c r="T89" i="23" s="1"/>
  <c r="R77" i="12" l="1"/>
  <c r="R78" i="12" s="1"/>
  <c r="N25" i="12"/>
  <c r="N35" i="12"/>
  <c r="T25" i="12"/>
  <c r="T35" i="12"/>
  <c r="T36" i="12" s="1"/>
  <c r="T73" i="12" s="1"/>
  <c r="AA25" i="12"/>
  <c r="AA35" i="12"/>
  <c r="AA36" i="12" s="1"/>
  <c r="AA73" i="12" s="1"/>
  <c r="Z25" i="12"/>
  <c r="Z35" i="12"/>
  <c r="Z36" i="12" s="1"/>
  <c r="Z73" i="12" s="1"/>
  <c r="AC25" i="12"/>
  <c r="AC35" i="12"/>
  <c r="AE25" i="12"/>
  <c r="AE35" i="12"/>
  <c r="AE36" i="12" s="1"/>
  <c r="AE73" i="12" s="1"/>
  <c r="AK25" i="12"/>
  <c r="AK35" i="12"/>
  <c r="AK36" i="12" s="1"/>
  <c r="AK73" i="12" s="1"/>
  <c r="AD25" i="12"/>
  <c r="AD35" i="12"/>
  <c r="AD36" i="12" s="1"/>
  <c r="AD73" i="12" s="1"/>
  <c r="D25" i="12"/>
  <c r="D35" i="12"/>
  <c r="I25" i="12"/>
  <c r="I35" i="12"/>
  <c r="I36" i="12" s="1"/>
  <c r="I73" i="12" s="1"/>
  <c r="Y25" i="12"/>
  <c r="Y35" i="12"/>
  <c r="Y36" i="12" s="1"/>
  <c r="Y73" i="12" s="1"/>
  <c r="AH25" i="12"/>
  <c r="AH35" i="12"/>
  <c r="Q25" i="12"/>
  <c r="Q35" i="12"/>
  <c r="AN25" i="12"/>
  <c r="AN35" i="12"/>
  <c r="AN36" i="12" s="1"/>
  <c r="AN73" i="12" s="1"/>
  <c r="AM25" i="12"/>
  <c r="AM35" i="12"/>
  <c r="AM36" i="12" s="1"/>
  <c r="AM73" i="12" s="1"/>
  <c r="X25" i="12"/>
  <c r="X35" i="12"/>
  <c r="X36" i="12" s="1"/>
  <c r="X73" i="12" s="1"/>
  <c r="J25" i="12"/>
  <c r="J35" i="12"/>
  <c r="J36" i="12" s="1"/>
  <c r="J73" i="12" s="1"/>
  <c r="AF25" i="12"/>
  <c r="AF35" i="12"/>
  <c r="AF36" i="12" s="1"/>
  <c r="AF73" i="12" s="1"/>
  <c r="W25" i="12"/>
  <c r="W35" i="12"/>
  <c r="W36" i="12" s="1"/>
  <c r="W73" i="12" s="1"/>
  <c r="V25" i="12"/>
  <c r="V35" i="12"/>
  <c r="V36" i="12" s="1"/>
  <c r="V73" i="12" s="1"/>
  <c r="C25" i="12"/>
  <c r="C35" i="12"/>
  <c r="C36" i="12" s="1"/>
  <c r="C73" i="12" s="1"/>
  <c r="F25" i="12"/>
  <c r="F35" i="12"/>
  <c r="F36" i="12" s="1"/>
  <c r="F73" i="12" s="1"/>
  <c r="AB25" i="12"/>
  <c r="AB35" i="12"/>
  <c r="AB36" i="12" s="1"/>
  <c r="AB73" i="12" s="1"/>
  <c r="E25" i="12"/>
  <c r="E35" i="12"/>
  <c r="E36" i="12" s="1"/>
  <c r="E73" i="12" s="1"/>
  <c r="O25" i="12"/>
  <c r="O35" i="12"/>
  <c r="O36" i="12" s="1"/>
  <c r="O73" i="12" s="1"/>
  <c r="G25" i="12"/>
  <c r="G35" i="12"/>
  <c r="G36" i="12" s="1"/>
  <c r="G73" i="12" s="1"/>
  <c r="AJ25" i="12"/>
  <c r="AJ35" i="12"/>
  <c r="AJ36" i="12" s="1"/>
  <c r="AJ73" i="12" s="1"/>
  <c r="M25" i="12"/>
  <c r="M35" i="12"/>
  <c r="H25" i="12"/>
  <c r="H35" i="12"/>
  <c r="H36" i="12" s="1"/>
  <c r="H73" i="12" s="1"/>
  <c r="U25" i="12"/>
  <c r="U35" i="12"/>
  <c r="U36" i="12" s="1"/>
  <c r="U73" i="12" s="1"/>
  <c r="P25" i="12"/>
  <c r="P35" i="12"/>
  <c r="P36" i="12" s="1"/>
  <c r="P73" i="12" s="1"/>
  <c r="AL25" i="12"/>
  <c r="AL35" i="12"/>
  <c r="AL36" i="12" s="1"/>
  <c r="AL73" i="12" s="1"/>
  <c r="AG25" i="12"/>
  <c r="AG35" i="12"/>
  <c r="AG36" i="12" s="1"/>
  <c r="AG73" i="12" s="1"/>
  <c r="S25" i="12"/>
  <c r="S35" i="12"/>
  <c r="S36" i="12" s="1"/>
  <c r="S73" i="12" s="1"/>
  <c r="AI25" i="12"/>
  <c r="AI35" i="12"/>
  <c r="AI36" i="12" s="1"/>
  <c r="AI73" i="12" s="1"/>
  <c r="K25" i="12"/>
  <c r="K35" i="12"/>
  <c r="K36" i="12" s="1"/>
  <c r="K73" i="12" s="1"/>
  <c r="M19" i="5"/>
  <c r="M32" i="5" s="1"/>
  <c r="M18" i="5"/>
  <c r="S18" i="5"/>
  <c r="S19" i="5"/>
  <c r="S32" i="5" s="1"/>
  <c r="S40" i="5" s="1"/>
  <c r="S48" i="5" s="1"/>
  <c r="H11" i="5"/>
  <c r="H12" i="5"/>
  <c r="H13" i="5"/>
  <c r="AO12" i="5"/>
  <c r="AO13" i="5"/>
  <c r="AO11" i="5"/>
  <c r="AK13" i="5"/>
  <c r="AK11" i="5"/>
  <c r="AK12" i="5"/>
  <c r="L13" i="5"/>
  <c r="L11" i="5"/>
  <c r="L12" i="5"/>
  <c r="J13" i="5"/>
  <c r="J11" i="5"/>
  <c r="J12" i="5"/>
  <c r="D12" i="5"/>
  <c r="D11" i="5"/>
  <c r="D13" i="5"/>
  <c r="T12" i="5"/>
  <c r="T11" i="5"/>
  <c r="T13" i="5"/>
  <c r="N13" i="5"/>
  <c r="N11" i="5"/>
  <c r="N12" i="5"/>
  <c r="W11" i="5"/>
  <c r="W12" i="5"/>
  <c r="W13" i="5"/>
  <c r="R11" i="5"/>
  <c r="R12" i="5"/>
  <c r="R13" i="5"/>
  <c r="AN11" i="5"/>
  <c r="AN12" i="5"/>
  <c r="AN13" i="5"/>
  <c r="AL13" i="5"/>
  <c r="AL16" i="5" s="1"/>
  <c r="AL11" i="5"/>
  <c r="AL12" i="5"/>
  <c r="P12" i="5"/>
  <c r="P13" i="5"/>
  <c r="P11" i="5"/>
  <c r="AJ11" i="5"/>
  <c r="AJ12" i="5"/>
  <c r="AJ13" i="5"/>
  <c r="V11" i="5"/>
  <c r="V12" i="5"/>
  <c r="V13" i="5"/>
  <c r="AH12" i="5"/>
  <c r="AH13" i="5"/>
  <c r="AH11" i="5"/>
  <c r="Y12" i="5"/>
  <c r="Y13" i="5"/>
  <c r="Y11" i="5"/>
  <c r="F11" i="5"/>
  <c r="F12" i="5"/>
  <c r="F13" i="5"/>
  <c r="AM11" i="5"/>
  <c r="AM13" i="5"/>
  <c r="AM12" i="5"/>
  <c r="AD11" i="5"/>
  <c r="AD12" i="5"/>
  <c r="AD13" i="5"/>
  <c r="O11" i="5"/>
  <c r="O12" i="5"/>
  <c r="O13" i="5"/>
  <c r="AB12" i="5"/>
  <c r="AB13" i="5"/>
  <c r="AB11" i="5"/>
  <c r="K13" i="5"/>
  <c r="K12" i="5"/>
  <c r="K11" i="5"/>
  <c r="X11" i="5"/>
  <c r="X12" i="5"/>
  <c r="X13" i="5"/>
  <c r="Q12" i="5"/>
  <c r="Q11" i="5"/>
  <c r="Q13" i="5"/>
  <c r="Q16" i="5" s="1"/>
  <c r="Z13" i="5"/>
  <c r="Z11" i="5"/>
  <c r="Z12" i="5"/>
  <c r="AG12" i="5"/>
  <c r="AG11" i="5"/>
  <c r="AG13" i="5"/>
  <c r="AG16" i="5" s="1"/>
  <c r="AF12" i="5"/>
  <c r="AF13" i="5"/>
  <c r="AF11" i="5"/>
  <c r="AA13" i="5"/>
  <c r="AA12" i="5"/>
  <c r="AA11" i="5"/>
  <c r="AI13" i="5"/>
  <c r="AI11" i="5"/>
  <c r="AI12" i="5"/>
  <c r="AE11" i="5"/>
  <c r="AE12" i="5"/>
  <c r="AE13" i="5"/>
  <c r="G11" i="5"/>
  <c r="G13" i="5"/>
  <c r="G12" i="5"/>
  <c r="E13" i="5"/>
  <c r="E16" i="5" s="1"/>
  <c r="E11" i="5"/>
  <c r="E12" i="5"/>
  <c r="U13" i="5"/>
  <c r="U11" i="5"/>
  <c r="U12" i="5"/>
  <c r="AC12" i="5"/>
  <c r="AC11" i="5"/>
  <c r="AC13" i="5"/>
  <c r="I12" i="5"/>
  <c r="I13" i="5"/>
  <c r="I11" i="5"/>
  <c r="AE53" i="23"/>
  <c r="AE85" i="23"/>
  <c r="R53" i="23"/>
  <c r="R85" i="23"/>
  <c r="AG53" i="23"/>
  <c r="AG85" i="23"/>
  <c r="E53" i="23"/>
  <c r="E85" i="23"/>
  <c r="U53" i="23"/>
  <c r="U85" i="23"/>
  <c r="S53" i="23"/>
  <c r="S85" i="23"/>
  <c r="AN53" i="23"/>
  <c r="AN85" i="23"/>
  <c r="AF53" i="23"/>
  <c r="AF85" i="23"/>
  <c r="AD53" i="23"/>
  <c r="AD85" i="23"/>
  <c r="AL53" i="23"/>
  <c r="AL85" i="23"/>
  <c r="F53" i="23"/>
  <c r="F85" i="23"/>
  <c r="AM53" i="23"/>
  <c r="AM85" i="23"/>
  <c r="L53" i="23"/>
  <c r="L85" i="23"/>
  <c r="Q53" i="23"/>
  <c r="Q85" i="23"/>
  <c r="AI53" i="23"/>
  <c r="AI85" i="23"/>
  <c r="AO53" i="23"/>
  <c r="AO85" i="23"/>
  <c r="I53" i="23"/>
  <c r="I85" i="23"/>
  <c r="W53" i="23"/>
  <c r="W85" i="23"/>
  <c r="X53" i="23"/>
  <c r="X85" i="23"/>
  <c r="G53" i="23"/>
  <c r="G85" i="23"/>
  <c r="Y53" i="23"/>
  <c r="Y85" i="23"/>
  <c r="AP53" i="23"/>
  <c r="AP85" i="23"/>
  <c r="AA53" i="23"/>
  <c r="AA85" i="23"/>
  <c r="M53" i="23"/>
  <c r="M85" i="23"/>
  <c r="V53" i="23"/>
  <c r="V85" i="23"/>
  <c r="AC53" i="23"/>
  <c r="AC85" i="23"/>
  <c r="J53" i="23"/>
  <c r="J85" i="23"/>
  <c r="AK53" i="23"/>
  <c r="AK85" i="23"/>
  <c r="AB53" i="23"/>
  <c r="AB85" i="23"/>
  <c r="K53" i="23"/>
  <c r="K85" i="23"/>
  <c r="O53" i="23"/>
  <c r="O85" i="23"/>
  <c r="Z53" i="23"/>
  <c r="Z85" i="23"/>
  <c r="AH53" i="23"/>
  <c r="AH85" i="23"/>
  <c r="H53" i="23"/>
  <c r="H85" i="23"/>
  <c r="P53" i="23"/>
  <c r="P85" i="23"/>
  <c r="AJ53" i="23"/>
  <c r="AJ85" i="23"/>
  <c r="N90" i="12"/>
  <c r="N110" i="12" s="1"/>
  <c r="N86" i="12"/>
  <c r="N106" i="12" s="1"/>
  <c r="N89" i="12"/>
  <c r="N109" i="12" s="1"/>
  <c r="N88" i="12"/>
  <c r="N108" i="12" s="1"/>
  <c r="N87" i="12"/>
  <c r="N107" i="12" s="1"/>
  <c r="N91" i="12"/>
  <c r="N111" i="12" s="1"/>
  <c r="N85" i="12"/>
  <c r="N105" i="12" s="1"/>
  <c r="N84" i="12"/>
  <c r="N104" i="12" s="1"/>
  <c r="Z88" i="12"/>
  <c r="Z108" i="12" s="1"/>
  <c r="Z84" i="12"/>
  <c r="Z104" i="12" s="1"/>
  <c r="Z90" i="12"/>
  <c r="Z110" i="12" s="1"/>
  <c r="Z91" i="12"/>
  <c r="Z111" i="12" s="1"/>
  <c r="Z87" i="12"/>
  <c r="Z107" i="12" s="1"/>
  <c r="Z86" i="12"/>
  <c r="Z106" i="12" s="1"/>
  <c r="Z85" i="12"/>
  <c r="Z105" i="12" s="1"/>
  <c r="Z89" i="12"/>
  <c r="Z109" i="12" s="1"/>
  <c r="F90" i="12"/>
  <c r="F110" i="12" s="1"/>
  <c r="F86" i="12"/>
  <c r="F106" i="12" s="1"/>
  <c r="F91" i="12"/>
  <c r="F111" i="12" s="1"/>
  <c r="F89" i="12"/>
  <c r="F109" i="12" s="1"/>
  <c r="F88" i="12"/>
  <c r="F108" i="12" s="1"/>
  <c r="F87" i="12"/>
  <c r="F107" i="12" s="1"/>
  <c r="F85" i="12"/>
  <c r="F105" i="12" s="1"/>
  <c r="F84" i="12"/>
  <c r="F104" i="12" s="1"/>
  <c r="AB89" i="12"/>
  <c r="AB109" i="12" s="1"/>
  <c r="AB85" i="12"/>
  <c r="AB105" i="12" s="1"/>
  <c r="AB91" i="12"/>
  <c r="AB111" i="12" s="1"/>
  <c r="AB90" i="12"/>
  <c r="AB110" i="12" s="1"/>
  <c r="AB88" i="12"/>
  <c r="AB108" i="12" s="1"/>
  <c r="AB87" i="12"/>
  <c r="AB107" i="12" s="1"/>
  <c r="AB86" i="12"/>
  <c r="AB106" i="12" s="1"/>
  <c r="AB84" i="12"/>
  <c r="AB104" i="12" s="1"/>
  <c r="D89" i="12"/>
  <c r="D109" i="12" s="1"/>
  <c r="D85" i="12"/>
  <c r="D105" i="12" s="1"/>
  <c r="D91" i="12"/>
  <c r="D111" i="12" s="1"/>
  <c r="D84" i="12"/>
  <c r="D104" i="12" s="1"/>
  <c r="D90" i="12"/>
  <c r="D110" i="12" s="1"/>
  <c r="D88" i="12"/>
  <c r="D108" i="12" s="1"/>
  <c r="D87" i="12"/>
  <c r="D107" i="12" s="1"/>
  <c r="D86" i="12"/>
  <c r="D106" i="12" s="1"/>
  <c r="I89" i="12"/>
  <c r="I109" i="12" s="1"/>
  <c r="I85" i="12"/>
  <c r="I105" i="12" s="1"/>
  <c r="I90" i="12"/>
  <c r="I110" i="12" s="1"/>
  <c r="I86" i="12"/>
  <c r="I106" i="12" s="1"/>
  <c r="I88" i="12"/>
  <c r="I108" i="12" s="1"/>
  <c r="I87" i="12"/>
  <c r="I107" i="12" s="1"/>
  <c r="I91" i="12"/>
  <c r="I111" i="12" s="1"/>
  <c r="I84" i="12"/>
  <c r="I104" i="12" s="1"/>
  <c r="O91" i="12"/>
  <c r="O111" i="12" s="1"/>
  <c r="O88" i="12"/>
  <c r="O108" i="12" s="1"/>
  <c r="O84" i="12"/>
  <c r="O104" i="12" s="1"/>
  <c r="O89" i="12"/>
  <c r="O109" i="12" s="1"/>
  <c r="O85" i="12"/>
  <c r="O105" i="12" s="1"/>
  <c r="O90" i="12"/>
  <c r="O110" i="12" s="1"/>
  <c r="O87" i="12"/>
  <c r="O107" i="12" s="1"/>
  <c r="O86" i="12"/>
  <c r="O106" i="12" s="1"/>
  <c r="Q89" i="12"/>
  <c r="Q109" i="12" s="1"/>
  <c r="Q85" i="12"/>
  <c r="Q105" i="12" s="1"/>
  <c r="Q90" i="12"/>
  <c r="Q110" i="12" s="1"/>
  <c r="Q86" i="12"/>
  <c r="Q106" i="12" s="1"/>
  <c r="Q91" i="12"/>
  <c r="Q111" i="12" s="1"/>
  <c r="Q84" i="12"/>
  <c r="Q104" i="12" s="1"/>
  <c r="Q88" i="12"/>
  <c r="Q108" i="12" s="1"/>
  <c r="Q87" i="12"/>
  <c r="Q107" i="12" s="1"/>
  <c r="AN91" i="12"/>
  <c r="AN111" i="12" s="1"/>
  <c r="AN87" i="12"/>
  <c r="AN107" i="12" s="1"/>
  <c r="AN90" i="12"/>
  <c r="AN110" i="12" s="1"/>
  <c r="AN89" i="12"/>
  <c r="AN109" i="12" s="1"/>
  <c r="AN88" i="12"/>
  <c r="AN108" i="12" s="1"/>
  <c r="AN86" i="12"/>
  <c r="AN106" i="12" s="1"/>
  <c r="AN85" i="12"/>
  <c r="AN105" i="12" s="1"/>
  <c r="AN84" i="12"/>
  <c r="AN104" i="12" s="1"/>
  <c r="E91" i="12"/>
  <c r="E111" i="12" s="1"/>
  <c r="E87" i="12"/>
  <c r="E107" i="12" s="1"/>
  <c r="E88" i="12"/>
  <c r="E108" i="12" s="1"/>
  <c r="E84" i="12"/>
  <c r="E104" i="12" s="1"/>
  <c r="E86" i="12"/>
  <c r="E106" i="12" s="1"/>
  <c r="E85" i="12"/>
  <c r="E105" i="12" s="1"/>
  <c r="E89" i="12"/>
  <c r="E109" i="12" s="1"/>
  <c r="E90" i="12"/>
  <c r="E110" i="12" s="1"/>
  <c r="P91" i="12"/>
  <c r="P111" i="12" s="1"/>
  <c r="P87" i="12"/>
  <c r="P107" i="12" s="1"/>
  <c r="P86" i="12"/>
  <c r="P106" i="12" s="1"/>
  <c r="P85" i="12"/>
  <c r="P105" i="12" s="1"/>
  <c r="P84" i="12"/>
  <c r="P104" i="12" s="1"/>
  <c r="P90" i="12"/>
  <c r="P110" i="12" s="1"/>
  <c r="P89" i="12"/>
  <c r="P109" i="12" s="1"/>
  <c r="P88" i="12"/>
  <c r="P108" i="12" s="1"/>
  <c r="AL90" i="12"/>
  <c r="AL110" i="12" s="1"/>
  <c r="AL86" i="12"/>
  <c r="AL106" i="12" s="1"/>
  <c r="AL91" i="12"/>
  <c r="AL111" i="12" s="1"/>
  <c r="AL85" i="12"/>
  <c r="AL105" i="12" s="1"/>
  <c r="AL84" i="12"/>
  <c r="AL104" i="12" s="1"/>
  <c r="AL89" i="12"/>
  <c r="AL109" i="12" s="1"/>
  <c r="AL88" i="12"/>
  <c r="AL108" i="12" s="1"/>
  <c r="AL87" i="12"/>
  <c r="AL107" i="12" s="1"/>
  <c r="AG89" i="12"/>
  <c r="AG109" i="12" s="1"/>
  <c r="AG85" i="12"/>
  <c r="AG105" i="12" s="1"/>
  <c r="AG90" i="12"/>
  <c r="AG110" i="12" s="1"/>
  <c r="AG86" i="12"/>
  <c r="AG106" i="12" s="1"/>
  <c r="AG91" i="12"/>
  <c r="AG111" i="12" s="1"/>
  <c r="AG84" i="12"/>
  <c r="AG104" i="12" s="1"/>
  <c r="AG88" i="12"/>
  <c r="AG108" i="12" s="1"/>
  <c r="AG87" i="12"/>
  <c r="AG107" i="12" s="1"/>
  <c r="X91" i="12"/>
  <c r="X111" i="12" s="1"/>
  <c r="X87" i="12"/>
  <c r="X107" i="12" s="1"/>
  <c r="X90" i="12"/>
  <c r="X110" i="12" s="1"/>
  <c r="X86" i="12"/>
  <c r="X106" i="12" s="1"/>
  <c r="X85" i="12"/>
  <c r="X105" i="12" s="1"/>
  <c r="X84" i="12"/>
  <c r="X104" i="12" s="1"/>
  <c r="X89" i="12"/>
  <c r="X109" i="12" s="1"/>
  <c r="X88" i="12"/>
  <c r="X108" i="12" s="1"/>
  <c r="J88" i="12"/>
  <c r="J108" i="12" s="1"/>
  <c r="J84" i="12"/>
  <c r="J104" i="12" s="1"/>
  <c r="J91" i="12"/>
  <c r="J111" i="12" s="1"/>
  <c r="J90" i="12"/>
  <c r="J110" i="12" s="1"/>
  <c r="J89" i="12"/>
  <c r="J109" i="12" s="1"/>
  <c r="J87" i="12"/>
  <c r="J107" i="12" s="1"/>
  <c r="J86" i="12"/>
  <c r="J106" i="12" s="1"/>
  <c r="J85" i="12"/>
  <c r="J105" i="12" s="1"/>
  <c r="AF91" i="12"/>
  <c r="AF111" i="12" s="1"/>
  <c r="AF87" i="12"/>
  <c r="AF107" i="12" s="1"/>
  <c r="AF90" i="12"/>
  <c r="AF110" i="12" s="1"/>
  <c r="AF89" i="12"/>
  <c r="AF109" i="12" s="1"/>
  <c r="AF88" i="12"/>
  <c r="AF108" i="12" s="1"/>
  <c r="AF86" i="12"/>
  <c r="AF106" i="12" s="1"/>
  <c r="AF85" i="12"/>
  <c r="AF105" i="12" s="1"/>
  <c r="AF84" i="12"/>
  <c r="AF104" i="12" s="1"/>
  <c r="W91" i="12"/>
  <c r="W111" i="12" s="1"/>
  <c r="W88" i="12"/>
  <c r="W108" i="12" s="1"/>
  <c r="W84" i="12"/>
  <c r="W104" i="12" s="1"/>
  <c r="W89" i="12"/>
  <c r="W109" i="12" s="1"/>
  <c r="W85" i="12"/>
  <c r="W105" i="12" s="1"/>
  <c r="W90" i="12"/>
  <c r="W110" i="12" s="1"/>
  <c r="W87" i="12"/>
  <c r="W107" i="12" s="1"/>
  <c r="W86" i="12"/>
  <c r="W106" i="12" s="1"/>
  <c r="V90" i="12"/>
  <c r="V110" i="12" s="1"/>
  <c r="V86" i="12"/>
  <c r="V106" i="12" s="1"/>
  <c r="V89" i="12"/>
  <c r="V109" i="12" s="1"/>
  <c r="V88" i="12"/>
  <c r="V108" i="12" s="1"/>
  <c r="V87" i="12"/>
  <c r="V107" i="12" s="1"/>
  <c r="V91" i="12"/>
  <c r="V111" i="12" s="1"/>
  <c r="V85" i="12"/>
  <c r="V105" i="12" s="1"/>
  <c r="V84" i="12"/>
  <c r="V104" i="12" s="1"/>
  <c r="C90" i="12"/>
  <c r="C110" i="12" s="1"/>
  <c r="C86" i="12"/>
  <c r="C106" i="12" s="1"/>
  <c r="C91" i="12"/>
  <c r="C111" i="12" s="1"/>
  <c r="C87" i="12"/>
  <c r="C107" i="12" s="1"/>
  <c r="C89" i="12"/>
  <c r="C109" i="12" s="1"/>
  <c r="C88" i="12"/>
  <c r="C108" i="12" s="1"/>
  <c r="C85" i="12"/>
  <c r="C105" i="12" s="1"/>
  <c r="C84" i="12"/>
  <c r="C104" i="12" s="1"/>
  <c r="AH88" i="12"/>
  <c r="AH108" i="12" s="1"/>
  <c r="AH84" i="12"/>
  <c r="AH104" i="12" s="1"/>
  <c r="AH90" i="12"/>
  <c r="AH110" i="12" s="1"/>
  <c r="AH91" i="12"/>
  <c r="AH111" i="12" s="1"/>
  <c r="AH87" i="12"/>
  <c r="AH107" i="12" s="1"/>
  <c r="AH86" i="12"/>
  <c r="AH106" i="12" s="1"/>
  <c r="AH85" i="12"/>
  <c r="AH105" i="12" s="1"/>
  <c r="AH89" i="12"/>
  <c r="AH109" i="12" s="1"/>
  <c r="AA90" i="12"/>
  <c r="AA110" i="12" s="1"/>
  <c r="AA86" i="12"/>
  <c r="AA106" i="12" s="1"/>
  <c r="AA91" i="12"/>
  <c r="AA111" i="12" s="1"/>
  <c r="AA87" i="12"/>
  <c r="AA107" i="12" s="1"/>
  <c r="AA89" i="12"/>
  <c r="AA109" i="12" s="1"/>
  <c r="AA88" i="12"/>
  <c r="AA108" i="12" s="1"/>
  <c r="AA84" i="12"/>
  <c r="AA104" i="12" s="1"/>
  <c r="AA85" i="12"/>
  <c r="AA105" i="12" s="1"/>
  <c r="G91" i="12"/>
  <c r="G111" i="12" s="1"/>
  <c r="G88" i="12"/>
  <c r="G108" i="12" s="1"/>
  <c r="G84" i="12"/>
  <c r="G104" i="12" s="1"/>
  <c r="G89" i="12"/>
  <c r="G109" i="12" s="1"/>
  <c r="G85" i="12"/>
  <c r="G105" i="12" s="1"/>
  <c r="G90" i="12"/>
  <c r="G110" i="12" s="1"/>
  <c r="G87" i="12"/>
  <c r="G107" i="12" s="1"/>
  <c r="G86" i="12"/>
  <c r="G106" i="12" s="1"/>
  <c r="AJ89" i="12"/>
  <c r="AJ109" i="12" s="1"/>
  <c r="AJ85" i="12"/>
  <c r="AJ105" i="12" s="1"/>
  <c r="AJ91" i="12"/>
  <c r="AJ111" i="12" s="1"/>
  <c r="AJ84" i="12"/>
  <c r="AJ104" i="12" s="1"/>
  <c r="AJ88" i="12"/>
  <c r="AJ108" i="12" s="1"/>
  <c r="AJ90" i="12"/>
  <c r="AJ110" i="12" s="1"/>
  <c r="AJ87" i="12"/>
  <c r="AJ107" i="12" s="1"/>
  <c r="AJ86" i="12"/>
  <c r="AJ106" i="12" s="1"/>
  <c r="M91" i="12"/>
  <c r="M111" i="12" s="1"/>
  <c r="M87" i="12"/>
  <c r="M107" i="12" s="1"/>
  <c r="M88" i="12"/>
  <c r="M108" i="12" s="1"/>
  <c r="M84" i="12"/>
  <c r="M104" i="12" s="1"/>
  <c r="M86" i="12"/>
  <c r="M106" i="12" s="1"/>
  <c r="M85" i="12"/>
  <c r="M105" i="12" s="1"/>
  <c r="M90" i="12"/>
  <c r="M110" i="12" s="1"/>
  <c r="M89" i="12"/>
  <c r="M109" i="12" s="1"/>
  <c r="H91" i="12"/>
  <c r="H111" i="12" s="1"/>
  <c r="H87" i="12"/>
  <c r="H107" i="12" s="1"/>
  <c r="H86" i="12"/>
  <c r="H106" i="12" s="1"/>
  <c r="H85" i="12"/>
  <c r="H105" i="12" s="1"/>
  <c r="H84" i="12"/>
  <c r="H104" i="12" s="1"/>
  <c r="H90" i="12"/>
  <c r="H110" i="12" s="1"/>
  <c r="H89" i="12"/>
  <c r="H109" i="12" s="1"/>
  <c r="H88" i="12"/>
  <c r="H108" i="12" s="1"/>
  <c r="U90" i="12"/>
  <c r="U110" i="12" s="1"/>
  <c r="U91" i="12"/>
  <c r="U111" i="12" s="1"/>
  <c r="U87" i="12"/>
  <c r="U107" i="12" s="1"/>
  <c r="U88" i="12"/>
  <c r="U108" i="12" s="1"/>
  <c r="U84" i="12"/>
  <c r="U104" i="12" s="1"/>
  <c r="U86" i="12"/>
  <c r="U106" i="12" s="1"/>
  <c r="U85" i="12"/>
  <c r="U105" i="12" s="1"/>
  <c r="U89" i="12"/>
  <c r="U109" i="12" s="1"/>
  <c r="Y89" i="12"/>
  <c r="Y109" i="12" s="1"/>
  <c r="Y85" i="12"/>
  <c r="Y105" i="12" s="1"/>
  <c r="Y90" i="12"/>
  <c r="Y110" i="12" s="1"/>
  <c r="Y86" i="12"/>
  <c r="Y106" i="12" s="1"/>
  <c r="Y84" i="12"/>
  <c r="Y104" i="12" s="1"/>
  <c r="Y88" i="12"/>
  <c r="Y108" i="12" s="1"/>
  <c r="Y87" i="12"/>
  <c r="Y107" i="12" s="1"/>
  <c r="Y91" i="12"/>
  <c r="Y111" i="12" s="1"/>
  <c r="AM91" i="12"/>
  <c r="AM111" i="12" s="1"/>
  <c r="AM88" i="12"/>
  <c r="AM108" i="12" s="1"/>
  <c r="AM84" i="12"/>
  <c r="AM104" i="12" s="1"/>
  <c r="AM89" i="12"/>
  <c r="AM109" i="12" s="1"/>
  <c r="AM85" i="12"/>
  <c r="AM105" i="12" s="1"/>
  <c r="AM87" i="12"/>
  <c r="AM107" i="12" s="1"/>
  <c r="AM86" i="12"/>
  <c r="AM106" i="12" s="1"/>
  <c r="AM90" i="12"/>
  <c r="AM110" i="12" s="1"/>
  <c r="T89" i="12"/>
  <c r="T109" i="12" s="1"/>
  <c r="T85" i="12"/>
  <c r="T105" i="12" s="1"/>
  <c r="T91" i="12"/>
  <c r="T111" i="12" s="1"/>
  <c r="T84" i="12"/>
  <c r="T104" i="12" s="1"/>
  <c r="T88" i="12"/>
  <c r="T108" i="12" s="1"/>
  <c r="T87" i="12"/>
  <c r="T107" i="12" s="1"/>
  <c r="T86" i="12"/>
  <c r="T106" i="12" s="1"/>
  <c r="T90" i="12"/>
  <c r="T110" i="12" s="1"/>
  <c r="AC90" i="12"/>
  <c r="AC110" i="12" s="1"/>
  <c r="AC91" i="12"/>
  <c r="AC111" i="12" s="1"/>
  <c r="AC87" i="12"/>
  <c r="AC107" i="12" s="1"/>
  <c r="AC88" i="12"/>
  <c r="AC108" i="12" s="1"/>
  <c r="AC84" i="12"/>
  <c r="AC104" i="12" s="1"/>
  <c r="AC89" i="12"/>
  <c r="AC109" i="12" s="1"/>
  <c r="AC86" i="12"/>
  <c r="AC106" i="12" s="1"/>
  <c r="AC85" i="12"/>
  <c r="AC105" i="12" s="1"/>
  <c r="AE91" i="12"/>
  <c r="AE111" i="12" s="1"/>
  <c r="AE88" i="12"/>
  <c r="AE108" i="12" s="1"/>
  <c r="AE84" i="12"/>
  <c r="AE104" i="12" s="1"/>
  <c r="AE89" i="12"/>
  <c r="AE109" i="12" s="1"/>
  <c r="AE85" i="12"/>
  <c r="AE105" i="12" s="1"/>
  <c r="AE90" i="12"/>
  <c r="AE110" i="12" s="1"/>
  <c r="AE87" i="12"/>
  <c r="AE107" i="12" s="1"/>
  <c r="AE86" i="12"/>
  <c r="AE106" i="12" s="1"/>
  <c r="AK90" i="12"/>
  <c r="AK110" i="12" s="1"/>
  <c r="AK91" i="12"/>
  <c r="AK111" i="12" s="1"/>
  <c r="AK87" i="12"/>
  <c r="AK107" i="12" s="1"/>
  <c r="AK88" i="12"/>
  <c r="AK108" i="12" s="1"/>
  <c r="AK84" i="12"/>
  <c r="AK104" i="12" s="1"/>
  <c r="AK86" i="12"/>
  <c r="AK106" i="12" s="1"/>
  <c r="AK85" i="12"/>
  <c r="AK105" i="12" s="1"/>
  <c r="AK89" i="12"/>
  <c r="AK109" i="12" s="1"/>
  <c r="AD90" i="12"/>
  <c r="AD110" i="12" s="1"/>
  <c r="AD86" i="12"/>
  <c r="AD106" i="12" s="1"/>
  <c r="AD85" i="12"/>
  <c r="AD105" i="12" s="1"/>
  <c r="AD84" i="12"/>
  <c r="AD104" i="12" s="1"/>
  <c r="AD91" i="12"/>
  <c r="AD111" i="12" s="1"/>
  <c r="AD89" i="12"/>
  <c r="AD109" i="12" s="1"/>
  <c r="AD88" i="12"/>
  <c r="AD108" i="12" s="1"/>
  <c r="AD87" i="12"/>
  <c r="AD107" i="12" s="1"/>
  <c r="S90" i="12"/>
  <c r="S110" i="12" s="1"/>
  <c r="S86" i="12"/>
  <c r="S106" i="12" s="1"/>
  <c r="S91" i="12"/>
  <c r="S111" i="12" s="1"/>
  <c r="S87" i="12"/>
  <c r="S107" i="12" s="1"/>
  <c r="S89" i="12"/>
  <c r="S109" i="12" s="1"/>
  <c r="S88" i="12"/>
  <c r="S108" i="12" s="1"/>
  <c r="S85" i="12"/>
  <c r="S105" i="12" s="1"/>
  <c r="S84" i="12"/>
  <c r="S104" i="12" s="1"/>
  <c r="AI90" i="12"/>
  <c r="AI110" i="12" s="1"/>
  <c r="AI86" i="12"/>
  <c r="AI106" i="12" s="1"/>
  <c r="AI91" i="12"/>
  <c r="AI111" i="12" s="1"/>
  <c r="AI87" i="12"/>
  <c r="AI107" i="12" s="1"/>
  <c r="AI89" i="12"/>
  <c r="AI109" i="12" s="1"/>
  <c r="AI88" i="12"/>
  <c r="AI108" i="12" s="1"/>
  <c r="AI85" i="12"/>
  <c r="AI105" i="12" s="1"/>
  <c r="AI84" i="12"/>
  <c r="AI104" i="12" s="1"/>
  <c r="K90" i="12"/>
  <c r="K110" i="12" s="1"/>
  <c r="K86" i="12"/>
  <c r="K106" i="12" s="1"/>
  <c r="K91" i="12"/>
  <c r="K111" i="12" s="1"/>
  <c r="K87" i="12"/>
  <c r="K107" i="12" s="1"/>
  <c r="K85" i="12"/>
  <c r="K105" i="12" s="1"/>
  <c r="K84" i="12"/>
  <c r="K104" i="12" s="1"/>
  <c r="K88" i="12"/>
  <c r="K108" i="12" s="1"/>
  <c r="K89" i="12"/>
  <c r="K109" i="12" s="1"/>
  <c r="AJ5" i="12"/>
  <c r="U5" i="12"/>
  <c r="AK5" i="12"/>
  <c r="S5" i="12"/>
  <c r="AI5" i="12"/>
  <c r="K5" i="12"/>
  <c r="N5" i="12"/>
  <c r="N36" i="12"/>
  <c r="N73" i="12" s="1"/>
  <c r="C5" i="12"/>
  <c r="Y5" i="12"/>
  <c r="Z5" i="12"/>
  <c r="F5" i="12"/>
  <c r="AB5" i="12"/>
  <c r="D5" i="12"/>
  <c r="D36" i="12"/>
  <c r="D73" i="12" s="1"/>
  <c r="I5" i="12"/>
  <c r="AA5" i="12"/>
  <c r="M5" i="12"/>
  <c r="M36" i="12"/>
  <c r="M73" i="12" s="1"/>
  <c r="AE5" i="12"/>
  <c r="AD5" i="12"/>
  <c r="Q5" i="12"/>
  <c r="Q36" i="12"/>
  <c r="Q73" i="12" s="1"/>
  <c r="AH5" i="12"/>
  <c r="AH36" i="12"/>
  <c r="AH73" i="12" s="1"/>
  <c r="G5" i="12"/>
  <c r="H5" i="12"/>
  <c r="T5" i="12"/>
  <c r="AC5" i="12"/>
  <c r="AC36" i="12"/>
  <c r="AC73" i="12" s="1"/>
  <c r="O5" i="12"/>
  <c r="AN5" i="12"/>
  <c r="AM5" i="12"/>
  <c r="E5" i="12"/>
  <c r="P5" i="12"/>
  <c r="AL5" i="12"/>
  <c r="AG5" i="12"/>
  <c r="X5" i="12"/>
  <c r="J5" i="12"/>
  <c r="AF5" i="12"/>
  <c r="W5" i="12"/>
  <c r="V5" i="12"/>
  <c r="L37" i="12"/>
  <c r="R37" i="12"/>
  <c r="AA31" i="12"/>
  <c r="AA32" i="12" s="1"/>
  <c r="AA11" i="12"/>
  <c r="N31" i="12"/>
  <c r="N11" i="12"/>
  <c r="C31" i="12"/>
  <c r="C11" i="12"/>
  <c r="Y31" i="12"/>
  <c r="Y32" i="12" s="1"/>
  <c r="Y11" i="12"/>
  <c r="Z31" i="12"/>
  <c r="Z32" i="12" s="1"/>
  <c r="Z11" i="12"/>
  <c r="AH31" i="12"/>
  <c r="AH11" i="12"/>
  <c r="F31" i="12"/>
  <c r="F32" i="12" s="1"/>
  <c r="F56" i="12" s="1"/>
  <c r="F11" i="12"/>
  <c r="P31" i="12"/>
  <c r="P32" i="12" s="1"/>
  <c r="P11" i="12"/>
  <c r="AL31" i="12"/>
  <c r="AL32" i="12" s="1"/>
  <c r="AL11" i="12"/>
  <c r="AG31" i="12"/>
  <c r="AG11" i="12"/>
  <c r="AB31" i="12"/>
  <c r="AB11" i="12"/>
  <c r="X31" i="12"/>
  <c r="X32" i="12" s="1"/>
  <c r="X11" i="12"/>
  <c r="J31" i="12"/>
  <c r="J11" i="12"/>
  <c r="AF31" i="12"/>
  <c r="AF32" i="12" s="1"/>
  <c r="AF56" i="12" s="1"/>
  <c r="AF11" i="12"/>
  <c r="W31" i="12"/>
  <c r="W32" i="12" s="1"/>
  <c r="W56" i="12" s="1"/>
  <c r="W11" i="12"/>
  <c r="D31" i="12"/>
  <c r="D11" i="12"/>
  <c r="V31" i="12"/>
  <c r="V11" i="12"/>
  <c r="I31" i="12"/>
  <c r="I32" i="12" s="1"/>
  <c r="I56" i="12" s="1"/>
  <c r="I11" i="12"/>
  <c r="O31" i="12"/>
  <c r="O11" i="12"/>
  <c r="G31" i="12"/>
  <c r="G32" i="12" s="1"/>
  <c r="G11" i="12"/>
  <c r="AJ31" i="12"/>
  <c r="AJ32" i="12" s="1"/>
  <c r="AJ11" i="12"/>
  <c r="M31" i="12"/>
  <c r="M32" i="12" s="1"/>
  <c r="M56" i="12" s="1"/>
  <c r="M11" i="12"/>
  <c r="H31" i="12"/>
  <c r="H11" i="12"/>
  <c r="U31" i="12"/>
  <c r="U32" i="12" s="1"/>
  <c r="U11" i="12"/>
  <c r="T31" i="12"/>
  <c r="T11" i="12"/>
  <c r="AC31" i="12"/>
  <c r="AC32" i="12" s="1"/>
  <c r="AC56" i="12" s="1"/>
  <c r="AC11" i="12"/>
  <c r="Q31" i="12"/>
  <c r="Q32" i="12" s="1"/>
  <c r="Q11" i="12"/>
  <c r="AE31" i="12"/>
  <c r="AE11" i="12"/>
  <c r="AK31" i="12"/>
  <c r="AK32" i="12" s="1"/>
  <c r="AK11" i="12"/>
  <c r="AD31" i="12"/>
  <c r="AD32" i="12" s="1"/>
  <c r="AD56" i="12" s="1"/>
  <c r="AD11" i="12"/>
  <c r="AN31" i="12"/>
  <c r="AN32" i="12" s="1"/>
  <c r="AN11" i="12"/>
  <c r="AM31" i="12"/>
  <c r="AM32" i="12" s="1"/>
  <c r="AM11" i="12"/>
  <c r="S31" i="12"/>
  <c r="S32" i="12" s="1"/>
  <c r="S11" i="12"/>
  <c r="E31" i="12"/>
  <c r="E32" i="12" s="1"/>
  <c r="E56" i="12" s="1"/>
  <c r="E11" i="12"/>
  <c r="AI31" i="12"/>
  <c r="AI11" i="12"/>
  <c r="K31" i="12"/>
  <c r="K32" i="12" s="1"/>
  <c r="K11" i="12"/>
  <c r="N12" i="12"/>
  <c r="N28" i="12"/>
  <c r="N40" i="12" s="1"/>
  <c r="C12" i="12"/>
  <c r="C28" i="12"/>
  <c r="C40" i="12" s="1"/>
  <c r="Y12" i="12"/>
  <c r="Y28" i="12"/>
  <c r="Y40" i="12" s="1"/>
  <c r="Z12" i="12"/>
  <c r="Z28" i="12"/>
  <c r="Z40" i="12" s="1"/>
  <c r="O12" i="12"/>
  <c r="O28" i="12"/>
  <c r="O40" i="12" s="1"/>
  <c r="AA12" i="12"/>
  <c r="AA28" i="12"/>
  <c r="AA40" i="12" s="1"/>
  <c r="G12" i="12"/>
  <c r="G28" i="12"/>
  <c r="G40" i="12" s="1"/>
  <c r="AJ12" i="12"/>
  <c r="AJ28" i="12"/>
  <c r="AJ40" i="12" s="1"/>
  <c r="M12" i="12"/>
  <c r="M28" i="12"/>
  <c r="M40" i="12" s="1"/>
  <c r="H12" i="12"/>
  <c r="H28" i="12"/>
  <c r="H40" i="12" s="1"/>
  <c r="U12" i="12"/>
  <c r="U28" i="12"/>
  <c r="U40" i="12" s="1"/>
  <c r="T12" i="12"/>
  <c r="T28" i="12"/>
  <c r="T40" i="12" s="1"/>
  <c r="AC12" i="12"/>
  <c r="AC28" i="12"/>
  <c r="AC40" i="12" s="1"/>
  <c r="Q12" i="12"/>
  <c r="Q28" i="12"/>
  <c r="Q40" i="12" s="1"/>
  <c r="AE12" i="12"/>
  <c r="AE28" i="12"/>
  <c r="AE40" i="12" s="1"/>
  <c r="AK12" i="12"/>
  <c r="AK28" i="12"/>
  <c r="AK40" i="12" s="1"/>
  <c r="AD12" i="12"/>
  <c r="AD28" i="12"/>
  <c r="AD40" i="12" s="1"/>
  <c r="AN12" i="12"/>
  <c r="AN28" i="12"/>
  <c r="AN40" i="12" s="1"/>
  <c r="AM12" i="12"/>
  <c r="AM28" i="12"/>
  <c r="AM40" i="12" s="1"/>
  <c r="S12" i="12"/>
  <c r="S28" i="12"/>
  <c r="S40" i="12" s="1"/>
  <c r="E12" i="12"/>
  <c r="E28" i="12"/>
  <c r="E40" i="12" s="1"/>
  <c r="AI12" i="12"/>
  <c r="AI28" i="12"/>
  <c r="AI40" i="12" s="1"/>
  <c r="K12" i="12"/>
  <c r="K28" i="12"/>
  <c r="K40" i="12" s="1"/>
  <c r="AH12" i="12"/>
  <c r="AH28" i="12"/>
  <c r="AH40" i="12" s="1"/>
  <c r="F12" i="12"/>
  <c r="F28" i="12"/>
  <c r="F40" i="12" s="1"/>
  <c r="P12" i="12"/>
  <c r="P28" i="12"/>
  <c r="P40" i="12" s="1"/>
  <c r="AL12" i="12"/>
  <c r="AL28" i="12"/>
  <c r="AL40" i="12" s="1"/>
  <c r="AG12" i="12"/>
  <c r="AG28" i="12"/>
  <c r="AG40" i="12" s="1"/>
  <c r="AB12" i="12"/>
  <c r="AB28" i="12"/>
  <c r="AB40" i="12" s="1"/>
  <c r="X12" i="12"/>
  <c r="X28" i="12"/>
  <c r="X40" i="12" s="1"/>
  <c r="J12" i="12"/>
  <c r="J28" i="12"/>
  <c r="J40" i="12" s="1"/>
  <c r="AF12" i="12"/>
  <c r="AF28" i="12"/>
  <c r="AF40" i="12" s="1"/>
  <c r="W12" i="12"/>
  <c r="W28" i="12"/>
  <c r="W40" i="12" s="1"/>
  <c r="D12" i="12"/>
  <c r="D28" i="12"/>
  <c r="D40" i="12" s="1"/>
  <c r="V12" i="12"/>
  <c r="V28" i="12"/>
  <c r="V40" i="12" s="1"/>
  <c r="I12" i="12"/>
  <c r="I28" i="12"/>
  <c r="I40" i="12" s="1"/>
  <c r="O7" i="12"/>
  <c r="O16" i="12" s="1"/>
  <c r="O17" i="12" s="1"/>
  <c r="AA7" i="12"/>
  <c r="AA16" i="12" s="1"/>
  <c r="AA17" i="12" s="1"/>
  <c r="G7" i="12"/>
  <c r="G16" i="12" s="1"/>
  <c r="G17" i="12" s="1"/>
  <c r="AJ7" i="12"/>
  <c r="AJ16" i="12" s="1"/>
  <c r="AJ17" i="12" s="1"/>
  <c r="H7" i="12"/>
  <c r="H16" i="12" s="1"/>
  <c r="H17" i="12" s="1"/>
  <c r="U7" i="12"/>
  <c r="U16" i="12" s="1"/>
  <c r="U17" i="12" s="1"/>
  <c r="Q7" i="12"/>
  <c r="Q16" i="12" s="1"/>
  <c r="Q17" i="12" s="1"/>
  <c r="AE7" i="12"/>
  <c r="AE16" i="12" s="1"/>
  <c r="AE17" i="12" s="1"/>
  <c r="AK7" i="12"/>
  <c r="AK16" i="12" s="1"/>
  <c r="AK17" i="12" s="1"/>
  <c r="AD7" i="12"/>
  <c r="AD16" i="12" s="1"/>
  <c r="AD17" i="12" s="1"/>
  <c r="S7" i="12"/>
  <c r="S16" i="12" s="1"/>
  <c r="S17" i="12" s="1"/>
  <c r="AI7" i="12"/>
  <c r="AI16" i="12" s="1"/>
  <c r="AI17" i="12" s="1"/>
  <c r="N7" i="12"/>
  <c r="N16" i="12" s="1"/>
  <c r="N17" i="12" s="1"/>
  <c r="C7" i="12"/>
  <c r="C16" i="12" s="1"/>
  <c r="C17" i="12" s="1"/>
  <c r="Y7" i="12"/>
  <c r="Y16" i="12" s="1"/>
  <c r="Y17" i="12" s="1"/>
  <c r="Z7" i="12"/>
  <c r="Z16" i="12" s="1"/>
  <c r="Z17" i="12" s="1"/>
  <c r="AH7" i="12"/>
  <c r="AH16" i="12" s="1"/>
  <c r="AH17" i="12" s="1"/>
  <c r="M7" i="12"/>
  <c r="M16" i="12" s="1"/>
  <c r="M17" i="12" s="1"/>
  <c r="T7" i="12"/>
  <c r="T16" i="12" s="1"/>
  <c r="T17" i="12" s="1"/>
  <c r="AC7" i="12"/>
  <c r="AC16" i="12" s="1"/>
  <c r="AC17" i="12" s="1"/>
  <c r="AN7" i="12"/>
  <c r="AN16" i="12" s="1"/>
  <c r="AN17" i="12" s="1"/>
  <c r="AM7" i="12"/>
  <c r="AM16" i="12" s="1"/>
  <c r="AM17" i="12" s="1"/>
  <c r="E7" i="12"/>
  <c r="E16" i="12" s="1"/>
  <c r="E17" i="12" s="1"/>
  <c r="K7" i="12"/>
  <c r="K16" i="12" s="1"/>
  <c r="K17" i="12" s="1"/>
  <c r="F7" i="12"/>
  <c r="F16" i="12" s="1"/>
  <c r="F17" i="12" s="1"/>
  <c r="P7" i="12"/>
  <c r="P16" i="12" s="1"/>
  <c r="P17" i="12" s="1"/>
  <c r="AL7" i="12"/>
  <c r="AL16" i="12" s="1"/>
  <c r="AL17" i="12" s="1"/>
  <c r="AG7" i="12"/>
  <c r="AG16" i="12" s="1"/>
  <c r="AG17" i="12" s="1"/>
  <c r="AB7" i="12"/>
  <c r="AB16" i="12" s="1"/>
  <c r="AB17" i="12" s="1"/>
  <c r="X7" i="12"/>
  <c r="X16" i="12" s="1"/>
  <c r="J7" i="12"/>
  <c r="J16" i="12" s="1"/>
  <c r="J17" i="12" s="1"/>
  <c r="AF7" i="12"/>
  <c r="AF16" i="12" s="1"/>
  <c r="AF17" i="12" s="1"/>
  <c r="W7" i="12"/>
  <c r="W16" i="12" s="1"/>
  <c r="W17" i="12" s="1"/>
  <c r="D7" i="12"/>
  <c r="D16" i="12" s="1"/>
  <c r="D17" i="12" s="1"/>
  <c r="V7" i="12"/>
  <c r="V16" i="12" s="1"/>
  <c r="V17" i="12" s="1"/>
  <c r="I7" i="12"/>
  <c r="I16" i="12" s="1"/>
  <c r="I17" i="12" s="1"/>
  <c r="L29" i="12"/>
  <c r="R39" i="12"/>
  <c r="R43" i="12" s="1"/>
  <c r="R29" i="12"/>
  <c r="L39" i="12"/>
  <c r="L43" i="12" s="1"/>
  <c r="C5" i="17"/>
  <c r="C6" i="17" s="1"/>
  <c r="C14" i="17"/>
  <c r="AH5" i="17"/>
  <c r="AH6" i="17" s="1"/>
  <c r="AH14" i="17"/>
  <c r="AK5" i="17"/>
  <c r="AK6" i="17" s="1"/>
  <c r="AK14" i="17"/>
  <c r="O5" i="17"/>
  <c r="O6" i="17" s="1"/>
  <c r="O14" i="17"/>
  <c r="I5" i="17"/>
  <c r="I6" i="17" s="1"/>
  <c r="I14" i="17"/>
  <c r="AC5" i="17"/>
  <c r="AC6" i="17" s="1"/>
  <c r="AC14" i="17"/>
  <c r="E5" i="17"/>
  <c r="E6" i="17" s="1"/>
  <c r="E14" i="17"/>
  <c r="AI5" i="17"/>
  <c r="AI6" i="17" s="1"/>
  <c r="AI14" i="17"/>
  <c r="M5" i="17"/>
  <c r="M6" i="17" s="1"/>
  <c r="M14" i="17"/>
  <c r="AM5" i="17"/>
  <c r="AM6" i="17" s="1"/>
  <c r="AM14" i="17"/>
  <c r="S5" i="17"/>
  <c r="S6" i="17" s="1"/>
  <c r="S14" i="17"/>
  <c r="AJ5" i="17"/>
  <c r="AJ6" i="17" s="1"/>
  <c r="AJ14" i="17"/>
  <c r="T5" i="17"/>
  <c r="T6" i="17" s="1"/>
  <c r="T14" i="17"/>
  <c r="AD5" i="17"/>
  <c r="AD6" i="17" s="1"/>
  <c r="AD14" i="17"/>
  <c r="AA5" i="17"/>
  <c r="AA6" i="17" s="1"/>
  <c r="AA14" i="17"/>
  <c r="AB5" i="17"/>
  <c r="AB6" i="17" s="1"/>
  <c r="AB14" i="17"/>
  <c r="U5" i="17"/>
  <c r="U6" i="17" s="1"/>
  <c r="U14" i="17"/>
  <c r="V5" i="17"/>
  <c r="V6" i="17" s="1"/>
  <c r="V14" i="17"/>
  <c r="X5" i="17"/>
  <c r="X6" i="17" s="1"/>
  <c r="X14" i="17"/>
  <c r="W5" i="17"/>
  <c r="W6" i="17" s="1"/>
  <c r="W14" i="17"/>
  <c r="K5" i="17"/>
  <c r="K6" i="17" s="1"/>
  <c r="K14" i="17"/>
  <c r="N5" i="17"/>
  <c r="N6" i="17" s="1"/>
  <c r="N14" i="17"/>
  <c r="J5" i="17"/>
  <c r="J6" i="17" s="1"/>
  <c r="J14" i="17"/>
  <c r="H5" i="17"/>
  <c r="H6" i="17" s="1"/>
  <c r="H14" i="17"/>
  <c r="D5" i="17"/>
  <c r="D6" i="17" s="1"/>
  <c r="D14" i="17"/>
  <c r="Q5" i="17"/>
  <c r="Q6" i="17" s="1"/>
  <c r="Q14" i="17"/>
  <c r="P5" i="17"/>
  <c r="P6" i="17" s="1"/>
  <c r="P14" i="17"/>
  <c r="AE5" i="17"/>
  <c r="AE6" i="17" s="1"/>
  <c r="AE14" i="17"/>
  <c r="AG5" i="17"/>
  <c r="AG6" i="17" s="1"/>
  <c r="AG14" i="17"/>
  <c r="AF5" i="17"/>
  <c r="AF6" i="17" s="1"/>
  <c r="AF14" i="17"/>
  <c r="F5" i="17"/>
  <c r="F6" i="17" s="1"/>
  <c r="F14" i="17"/>
  <c r="AL5" i="17"/>
  <c r="AL6" i="17" s="1"/>
  <c r="AL14" i="17"/>
  <c r="AN5" i="17"/>
  <c r="AN6" i="17" s="1"/>
  <c r="AN14" i="17"/>
  <c r="Y5" i="17"/>
  <c r="Y6" i="17" s="1"/>
  <c r="Y14" i="17"/>
  <c r="G5" i="17"/>
  <c r="G6" i="17" s="1"/>
  <c r="G14" i="17"/>
  <c r="Z5" i="17"/>
  <c r="Z6" i="17" s="1"/>
  <c r="Z14" i="17"/>
  <c r="AN180" i="13"/>
  <c r="AN193" i="13"/>
  <c r="AN184" i="13"/>
  <c r="AN187" i="13" s="1"/>
  <c r="AN183" i="13"/>
  <c r="AN186" i="13" s="1"/>
  <c r="AN188" i="13"/>
  <c r="AN129" i="13"/>
  <c r="AN163" i="13" s="1"/>
  <c r="AN118" i="13"/>
  <c r="AN121" i="13" s="1"/>
  <c r="AN117" i="13"/>
  <c r="AN120" i="13" s="1"/>
  <c r="AN114" i="13"/>
  <c r="AN122" i="13"/>
  <c r="AH193" i="13"/>
  <c r="AH180" i="13"/>
  <c r="AH184" i="13"/>
  <c r="AH187" i="13" s="1"/>
  <c r="AH183" i="13"/>
  <c r="AH186" i="13" s="1"/>
  <c r="AH188" i="13"/>
  <c r="AH129" i="13"/>
  <c r="AH163" i="13" s="1"/>
  <c r="AH117" i="13"/>
  <c r="AH120" i="13" s="1"/>
  <c r="AH118" i="13"/>
  <c r="AH121" i="13" s="1"/>
  <c r="AH114" i="13"/>
  <c r="AH122" i="13"/>
  <c r="L76" i="20"/>
  <c r="AL15" i="17"/>
  <c r="AL10" i="17"/>
  <c r="AL12" i="17" s="1"/>
  <c r="AL17" i="17" s="1"/>
  <c r="AN15" i="17"/>
  <c r="AN10" i="17"/>
  <c r="AN12" i="17" s="1"/>
  <c r="AN17" i="17" s="1"/>
  <c r="Y15" i="17"/>
  <c r="Y10" i="17"/>
  <c r="Y12" i="17" s="1"/>
  <c r="G15" i="17"/>
  <c r="G10" i="17"/>
  <c r="G12" i="17" s="1"/>
  <c r="Z15" i="17"/>
  <c r="Z10" i="17"/>
  <c r="Z12" i="17" s="1"/>
  <c r="N15" i="17"/>
  <c r="N10" i="17"/>
  <c r="N12" i="17" s="1"/>
  <c r="C15" i="17"/>
  <c r="C10" i="17"/>
  <c r="C12" i="17" s="1"/>
  <c r="AD15" i="17"/>
  <c r="AD10" i="17"/>
  <c r="AD12" i="17" s="1"/>
  <c r="AA15" i="17"/>
  <c r="AA10" i="17"/>
  <c r="AA12" i="17" s="1"/>
  <c r="J15" i="17"/>
  <c r="J10" i="17"/>
  <c r="J12" i="17" s="1"/>
  <c r="H15" i="17"/>
  <c r="H10" i="17"/>
  <c r="H12" i="17" s="1"/>
  <c r="AH15" i="17"/>
  <c r="AH10" i="17"/>
  <c r="AH12" i="17" s="1"/>
  <c r="D15" i="17"/>
  <c r="D10" i="17"/>
  <c r="D12" i="17" s="1"/>
  <c r="AB15" i="17"/>
  <c r="AB10" i="17"/>
  <c r="AB12" i="17" s="1"/>
  <c r="U15" i="17"/>
  <c r="U10" i="17"/>
  <c r="U12" i="17" s="1"/>
  <c r="F15" i="17"/>
  <c r="F10" i="17"/>
  <c r="F12" i="17" s="1"/>
  <c r="AK15" i="17"/>
  <c r="AK10" i="17"/>
  <c r="AK12" i="17" s="1"/>
  <c r="O15" i="17"/>
  <c r="O10" i="17"/>
  <c r="O12" i="17" s="1"/>
  <c r="O17" i="17" s="1"/>
  <c r="I15" i="17"/>
  <c r="I10" i="17"/>
  <c r="I12" i="17" s="1"/>
  <c r="Q15" i="17"/>
  <c r="Q10" i="17"/>
  <c r="Q12" i="17" s="1"/>
  <c r="AI15" i="17"/>
  <c r="AI10" i="17"/>
  <c r="AI12" i="17" s="1"/>
  <c r="M15" i="17"/>
  <c r="M10" i="17"/>
  <c r="M12" i="17" s="1"/>
  <c r="M17" i="17" s="1"/>
  <c r="AM15" i="17"/>
  <c r="AM10" i="17"/>
  <c r="AM12" i="17" s="1"/>
  <c r="S15" i="17"/>
  <c r="S10" i="17"/>
  <c r="S12" i="17" s="1"/>
  <c r="AJ15" i="17"/>
  <c r="AJ10" i="17"/>
  <c r="AJ12" i="17" s="1"/>
  <c r="AJ17" i="17" s="1"/>
  <c r="L72" i="20"/>
  <c r="V15" i="17"/>
  <c r="V10" i="17"/>
  <c r="V12" i="17" s="1"/>
  <c r="AC15" i="17"/>
  <c r="AC10" i="17"/>
  <c r="AC12" i="17" s="1"/>
  <c r="E15" i="17"/>
  <c r="E10" i="17"/>
  <c r="E12" i="17" s="1"/>
  <c r="T15" i="17"/>
  <c r="T10" i="17"/>
  <c r="T12" i="17" s="1"/>
  <c r="P15" i="17"/>
  <c r="P10" i="17"/>
  <c r="P12" i="17" s="1"/>
  <c r="AE15" i="17"/>
  <c r="AE10" i="17"/>
  <c r="AE12" i="17" s="1"/>
  <c r="AG15" i="17"/>
  <c r="AG10" i="17"/>
  <c r="AG12" i="17" s="1"/>
  <c r="X15" i="17"/>
  <c r="X10" i="17"/>
  <c r="X12" i="17" s="1"/>
  <c r="AF15" i="17"/>
  <c r="AF10" i="17"/>
  <c r="AF12" i="17" s="1"/>
  <c r="W15" i="17"/>
  <c r="W10" i="17"/>
  <c r="W12" i="17" s="1"/>
  <c r="W17" i="17" s="1"/>
  <c r="K15" i="17"/>
  <c r="K10" i="17"/>
  <c r="K12" i="17" s="1"/>
  <c r="K17" i="17" s="1"/>
  <c r="L33" i="17"/>
  <c r="R33" i="17"/>
  <c r="L20" i="17"/>
  <c r="L22" i="17" s="1"/>
  <c r="R20" i="17"/>
  <c r="R22" i="17" s="1"/>
  <c r="L18" i="17"/>
  <c r="L19" i="17" s="1"/>
  <c r="L30" i="17"/>
  <c r="L32" i="17" s="1"/>
  <c r="T8" i="17"/>
  <c r="P8" i="17"/>
  <c r="AE8" i="17"/>
  <c r="AG8" i="17"/>
  <c r="AB8" i="17"/>
  <c r="X8" i="17"/>
  <c r="AF8" i="17"/>
  <c r="U8" i="17"/>
  <c r="W8" i="17"/>
  <c r="K8" i="17"/>
  <c r="F8" i="17"/>
  <c r="AC8" i="17"/>
  <c r="Q8" i="17"/>
  <c r="AL8" i="17"/>
  <c r="AN8" i="17"/>
  <c r="Y8" i="17"/>
  <c r="G8" i="17"/>
  <c r="E8" i="17"/>
  <c r="AI8" i="17"/>
  <c r="Z8" i="17"/>
  <c r="M8" i="17"/>
  <c r="N8" i="17"/>
  <c r="C8" i="17"/>
  <c r="AD8" i="17"/>
  <c r="AA8" i="17"/>
  <c r="AM8" i="17"/>
  <c r="S8" i="17"/>
  <c r="J8" i="17"/>
  <c r="AJ8" i="17"/>
  <c r="H8" i="17"/>
  <c r="H16" i="17" s="1"/>
  <c r="AH8" i="17"/>
  <c r="D8" i="17"/>
  <c r="R30" i="17"/>
  <c r="R31" i="17"/>
  <c r="AK8" i="17"/>
  <c r="O8" i="17"/>
  <c r="V8" i="17"/>
  <c r="V16" i="17" s="1"/>
  <c r="I8" i="17"/>
  <c r="I16" i="17" s="1"/>
  <c r="L31" i="17"/>
  <c r="L73" i="20"/>
  <c r="L75" i="20"/>
  <c r="L77" i="20"/>
  <c r="R57" i="20"/>
  <c r="R65" i="20" s="1"/>
  <c r="R68" i="20" s="1"/>
  <c r="Q8" i="3"/>
  <c r="Q7" i="3"/>
  <c r="AH8" i="3"/>
  <c r="AH7" i="3"/>
  <c r="I8" i="3"/>
  <c r="I7" i="3"/>
  <c r="T8" i="3"/>
  <c r="T7" i="3"/>
  <c r="AK8" i="3"/>
  <c r="AK7" i="3"/>
  <c r="AM8" i="3"/>
  <c r="AM7" i="3"/>
  <c r="J8" i="3"/>
  <c r="J7" i="3"/>
  <c r="AI8" i="3"/>
  <c r="AI7" i="3"/>
  <c r="V8" i="3"/>
  <c r="V7" i="3"/>
  <c r="L57" i="20"/>
  <c r="L65" i="20" s="1"/>
  <c r="L68" i="20" s="1"/>
  <c r="C8" i="3"/>
  <c r="C7" i="3"/>
  <c r="E8" i="3"/>
  <c r="E7" i="3"/>
  <c r="AL8" i="3"/>
  <c r="AL7" i="3"/>
  <c r="H8" i="3"/>
  <c r="H7" i="3"/>
  <c r="O8" i="3"/>
  <c r="O7" i="3"/>
  <c r="AA8" i="3"/>
  <c r="AA7" i="3"/>
  <c r="G8" i="3"/>
  <c r="G7" i="3"/>
  <c r="AB8" i="3"/>
  <c r="AB7" i="3"/>
  <c r="AG8" i="3"/>
  <c r="AG7" i="3"/>
  <c r="D8" i="3"/>
  <c r="D7" i="3"/>
  <c r="X8" i="3"/>
  <c r="X7" i="3"/>
  <c r="M8" i="3"/>
  <c r="M7" i="3"/>
  <c r="AE8" i="3"/>
  <c r="AE7" i="3"/>
  <c r="F8" i="3"/>
  <c r="F7" i="3"/>
  <c r="AN8" i="3"/>
  <c r="AN7" i="3"/>
  <c r="Y8" i="3"/>
  <c r="Y7" i="3"/>
  <c r="Z8" i="3"/>
  <c r="Z7" i="3"/>
  <c r="AC8" i="3"/>
  <c r="AC7" i="3"/>
  <c r="K8" i="3"/>
  <c r="K7" i="3"/>
  <c r="P8" i="3"/>
  <c r="P7" i="3"/>
  <c r="N8" i="3"/>
  <c r="N7" i="3"/>
  <c r="AD8" i="3"/>
  <c r="AD7" i="3"/>
  <c r="S8" i="3"/>
  <c r="S7" i="3"/>
  <c r="AF8" i="3"/>
  <c r="AF7" i="3"/>
  <c r="AJ8" i="3"/>
  <c r="AJ7" i="3"/>
  <c r="U8" i="3"/>
  <c r="U7" i="3"/>
  <c r="W8" i="3"/>
  <c r="W7" i="3"/>
  <c r="R74" i="20"/>
  <c r="R72" i="20"/>
  <c r="R77" i="20"/>
  <c r="R73" i="20"/>
  <c r="R76" i="20"/>
  <c r="R75" i="20"/>
  <c r="L17" i="20"/>
  <c r="R17" i="20"/>
  <c r="Q10" i="20"/>
  <c r="Q21" i="20" s="1"/>
  <c r="Q29" i="20" s="1"/>
  <c r="Q36" i="20" s="1"/>
  <c r="Q9" i="20"/>
  <c r="Q91" i="20" s="1"/>
  <c r="Q11" i="20"/>
  <c r="Q22" i="20" s="1"/>
  <c r="Q30" i="20" s="1"/>
  <c r="Q37" i="20" s="1"/>
  <c r="Q13" i="20"/>
  <c r="Q24" i="20" s="1"/>
  <c r="Q32" i="20" s="1"/>
  <c r="Q39" i="20" s="1"/>
  <c r="Q12" i="20"/>
  <c r="Q23" i="20" s="1"/>
  <c r="Q31" i="20" s="1"/>
  <c r="Q38" i="20" s="1"/>
  <c r="Q8" i="20"/>
  <c r="O13" i="20"/>
  <c r="O24" i="20" s="1"/>
  <c r="O32" i="20" s="1"/>
  <c r="O39" i="20" s="1"/>
  <c r="O9" i="20"/>
  <c r="O91" i="20" s="1"/>
  <c r="O10" i="20"/>
  <c r="O21" i="20" s="1"/>
  <c r="O29" i="20" s="1"/>
  <c r="O36" i="20" s="1"/>
  <c r="O11" i="20"/>
  <c r="O22" i="20" s="1"/>
  <c r="O30" i="20" s="1"/>
  <c r="O37" i="20" s="1"/>
  <c r="O12" i="20"/>
  <c r="O23" i="20" s="1"/>
  <c r="O31" i="20" s="1"/>
  <c r="O38" i="20" s="1"/>
  <c r="O8" i="20"/>
  <c r="AF13" i="20"/>
  <c r="AF24" i="20" s="1"/>
  <c r="AF32" i="20" s="1"/>
  <c r="AF39" i="20" s="1"/>
  <c r="AF9" i="20"/>
  <c r="AF91" i="20" s="1"/>
  <c r="AF10" i="20"/>
  <c r="AF21" i="20" s="1"/>
  <c r="AF29" i="20" s="1"/>
  <c r="AF36" i="20" s="1"/>
  <c r="AF11" i="20"/>
  <c r="AF22" i="20" s="1"/>
  <c r="AF30" i="20" s="1"/>
  <c r="AF37" i="20" s="1"/>
  <c r="AF12" i="20"/>
  <c r="AF23" i="20" s="1"/>
  <c r="AF31" i="20" s="1"/>
  <c r="AF38" i="20" s="1"/>
  <c r="AF8" i="20"/>
  <c r="W13" i="20"/>
  <c r="W24" i="20" s="1"/>
  <c r="W32" i="20" s="1"/>
  <c r="W39" i="20" s="1"/>
  <c r="W9" i="20"/>
  <c r="W91" i="20" s="1"/>
  <c r="W10" i="20"/>
  <c r="W21" i="20" s="1"/>
  <c r="W29" i="20" s="1"/>
  <c r="W36" i="20" s="1"/>
  <c r="W11" i="20"/>
  <c r="W22" i="20" s="1"/>
  <c r="W30" i="20" s="1"/>
  <c r="W37" i="20" s="1"/>
  <c r="W12" i="20"/>
  <c r="W23" i="20" s="1"/>
  <c r="W31" i="20" s="1"/>
  <c r="W38" i="20" s="1"/>
  <c r="W8" i="20"/>
  <c r="I10" i="20"/>
  <c r="I21" i="20" s="1"/>
  <c r="I29" i="20" s="1"/>
  <c r="I36" i="20" s="1"/>
  <c r="I12" i="20"/>
  <c r="I23" i="20" s="1"/>
  <c r="I31" i="20" s="1"/>
  <c r="I38" i="20" s="1"/>
  <c r="I13" i="20"/>
  <c r="I24" i="20" s="1"/>
  <c r="I32" i="20" s="1"/>
  <c r="I39" i="20" s="1"/>
  <c r="I11" i="20"/>
  <c r="I22" i="20" s="1"/>
  <c r="I30" i="20" s="1"/>
  <c r="I37" i="20" s="1"/>
  <c r="I9" i="20"/>
  <c r="I91" i="20" s="1"/>
  <c r="I8" i="20"/>
  <c r="AC11" i="20"/>
  <c r="AC22" i="20" s="1"/>
  <c r="AC30" i="20" s="1"/>
  <c r="AC37" i="20" s="1"/>
  <c r="AC12" i="20"/>
  <c r="AC13" i="20"/>
  <c r="AC24" i="20" s="1"/>
  <c r="AC32" i="20" s="1"/>
  <c r="AC39" i="20" s="1"/>
  <c r="AC9" i="20"/>
  <c r="AC91" i="20" s="1"/>
  <c r="AC10" i="20"/>
  <c r="AC21" i="20" s="1"/>
  <c r="AC29" i="20" s="1"/>
  <c r="AC36" i="20" s="1"/>
  <c r="AC8" i="20"/>
  <c r="S11" i="20"/>
  <c r="S22" i="20" s="1"/>
  <c r="S30" i="20" s="1"/>
  <c r="S37" i="20" s="1"/>
  <c r="S12" i="20"/>
  <c r="S23" i="20" s="1"/>
  <c r="S31" i="20" s="1"/>
  <c r="S38" i="20" s="1"/>
  <c r="S10" i="20"/>
  <c r="S21" i="20" s="1"/>
  <c r="S29" i="20" s="1"/>
  <c r="S36" i="20" s="1"/>
  <c r="S13" i="20"/>
  <c r="S24" i="20" s="1"/>
  <c r="S32" i="20" s="1"/>
  <c r="S39" i="20" s="1"/>
  <c r="S9" i="20"/>
  <c r="S91" i="20" s="1"/>
  <c r="S8" i="20"/>
  <c r="AJ11" i="20"/>
  <c r="AJ22" i="20" s="1"/>
  <c r="AJ30" i="20" s="1"/>
  <c r="AJ37" i="20" s="1"/>
  <c r="AJ10" i="20"/>
  <c r="AJ21" i="20" s="1"/>
  <c r="AJ29" i="20" s="1"/>
  <c r="AJ36" i="20" s="1"/>
  <c r="AJ12" i="20"/>
  <c r="AJ23" i="20" s="1"/>
  <c r="AJ31" i="20" s="1"/>
  <c r="AJ38" i="20" s="1"/>
  <c r="AJ13" i="20"/>
  <c r="AJ24" i="20" s="1"/>
  <c r="AJ32" i="20" s="1"/>
  <c r="AJ39" i="20" s="1"/>
  <c r="AJ9" i="20"/>
  <c r="AJ91" i="20" s="1"/>
  <c r="AJ8" i="20"/>
  <c r="AK12" i="20"/>
  <c r="AK11" i="20"/>
  <c r="AK22" i="20" s="1"/>
  <c r="AK30" i="20" s="1"/>
  <c r="AK37" i="20" s="1"/>
  <c r="AK13" i="20"/>
  <c r="AK24" i="20" s="1"/>
  <c r="AK32" i="20" s="1"/>
  <c r="AK39" i="20" s="1"/>
  <c r="AK9" i="20"/>
  <c r="AK91" i="20" s="1"/>
  <c r="AK10" i="20"/>
  <c r="AK21" i="20" s="1"/>
  <c r="AK29" i="20" s="1"/>
  <c r="AK36" i="20" s="1"/>
  <c r="AK8" i="20"/>
  <c r="AD12" i="20"/>
  <c r="AD23" i="20" s="1"/>
  <c r="AD31" i="20" s="1"/>
  <c r="AD38" i="20" s="1"/>
  <c r="AD11" i="20"/>
  <c r="AD22" i="20" s="1"/>
  <c r="AD30" i="20" s="1"/>
  <c r="AD37" i="20" s="1"/>
  <c r="AD13" i="20"/>
  <c r="AD24" i="20" s="1"/>
  <c r="AD32" i="20" s="1"/>
  <c r="AD39" i="20" s="1"/>
  <c r="AD9" i="20"/>
  <c r="AD91" i="20" s="1"/>
  <c r="AD10" i="20"/>
  <c r="AD21" i="20" s="1"/>
  <c r="AD29" i="20" s="1"/>
  <c r="AD36" i="20" s="1"/>
  <c r="AD8" i="20"/>
  <c r="X13" i="20"/>
  <c r="X24" i="20" s="1"/>
  <c r="X32" i="20" s="1"/>
  <c r="X39" i="20" s="1"/>
  <c r="X9" i="20"/>
  <c r="X91" i="20" s="1"/>
  <c r="X12" i="20"/>
  <c r="X23" i="20" s="1"/>
  <c r="X31" i="20" s="1"/>
  <c r="X38" i="20" s="1"/>
  <c r="X10" i="20"/>
  <c r="X11" i="20"/>
  <c r="X22" i="20" s="1"/>
  <c r="X30" i="20" s="1"/>
  <c r="X37" i="20" s="1"/>
  <c r="X8" i="20"/>
  <c r="H13" i="20"/>
  <c r="H24" i="20" s="1"/>
  <c r="H32" i="20" s="1"/>
  <c r="H39" i="20" s="1"/>
  <c r="H9" i="20"/>
  <c r="H91" i="20" s="1"/>
  <c r="H10" i="20"/>
  <c r="H21" i="20" s="1"/>
  <c r="H29" i="20" s="1"/>
  <c r="H36" i="20" s="1"/>
  <c r="H11" i="20"/>
  <c r="H22" i="20" s="1"/>
  <c r="H30" i="20" s="1"/>
  <c r="H37" i="20" s="1"/>
  <c r="H12" i="20"/>
  <c r="H23" i="20" s="1"/>
  <c r="H31" i="20" s="1"/>
  <c r="H38" i="20" s="1"/>
  <c r="H8" i="20"/>
  <c r="D11" i="20"/>
  <c r="D22" i="20" s="1"/>
  <c r="D30" i="20" s="1"/>
  <c r="D37" i="20" s="1"/>
  <c r="D10" i="20"/>
  <c r="D21" i="20" s="1"/>
  <c r="D29" i="20" s="1"/>
  <c r="D36" i="20" s="1"/>
  <c r="D12" i="20"/>
  <c r="D13" i="20"/>
  <c r="D24" i="20" s="1"/>
  <c r="D32" i="20" s="1"/>
  <c r="D39" i="20" s="1"/>
  <c r="D9" i="20"/>
  <c r="D91" i="20" s="1"/>
  <c r="D8" i="20"/>
  <c r="J10" i="20"/>
  <c r="J21" i="20" s="1"/>
  <c r="J29" i="20" s="1"/>
  <c r="J36" i="20" s="1"/>
  <c r="J11" i="20"/>
  <c r="J22" i="20" s="1"/>
  <c r="J30" i="20" s="1"/>
  <c r="J37" i="20" s="1"/>
  <c r="J12" i="20"/>
  <c r="J23" i="20" s="1"/>
  <c r="J31" i="20" s="1"/>
  <c r="J38" i="20" s="1"/>
  <c r="J13" i="20"/>
  <c r="J24" i="20" s="1"/>
  <c r="J32" i="20" s="1"/>
  <c r="J39" i="20" s="1"/>
  <c r="J9" i="20"/>
  <c r="J91" i="20" s="1"/>
  <c r="J8" i="20"/>
  <c r="AI10" i="20"/>
  <c r="AI21" i="20" s="1"/>
  <c r="AI29" i="20" s="1"/>
  <c r="AI36" i="20" s="1"/>
  <c r="AI11" i="20"/>
  <c r="AI22" i="20" s="1"/>
  <c r="AI30" i="20" s="1"/>
  <c r="AI37" i="20" s="1"/>
  <c r="AI12" i="20"/>
  <c r="AI23" i="20" s="1"/>
  <c r="AI31" i="20" s="1"/>
  <c r="AI38" i="20" s="1"/>
  <c r="AI9" i="20"/>
  <c r="AI91" i="20" s="1"/>
  <c r="AI13" i="20"/>
  <c r="AI24" i="20" s="1"/>
  <c r="AI32" i="20" s="1"/>
  <c r="AI39" i="20" s="1"/>
  <c r="AI8" i="20"/>
  <c r="T11" i="20"/>
  <c r="T22" i="20" s="1"/>
  <c r="T30" i="20" s="1"/>
  <c r="T37" i="20" s="1"/>
  <c r="T12" i="20"/>
  <c r="T13" i="20"/>
  <c r="T9" i="20"/>
  <c r="T10" i="20"/>
  <c r="T8" i="20"/>
  <c r="N12" i="20"/>
  <c r="N23" i="20" s="1"/>
  <c r="N31" i="20" s="1"/>
  <c r="N38" i="20" s="1"/>
  <c r="N13" i="20"/>
  <c r="N24" i="20" s="1"/>
  <c r="N32" i="20" s="1"/>
  <c r="N39" i="20" s="1"/>
  <c r="N9" i="20"/>
  <c r="N91" i="20" s="1"/>
  <c r="N10" i="20"/>
  <c r="N21" i="20" s="1"/>
  <c r="N29" i="20" s="1"/>
  <c r="N36" i="20" s="1"/>
  <c r="N11" i="20"/>
  <c r="N22" i="20" s="1"/>
  <c r="N30" i="20" s="1"/>
  <c r="N37" i="20" s="1"/>
  <c r="N8" i="20"/>
  <c r="C11" i="20"/>
  <c r="C22" i="20" s="1"/>
  <c r="C30" i="20" s="1"/>
  <c r="C37" i="20" s="1"/>
  <c r="C12" i="20"/>
  <c r="C23" i="20" s="1"/>
  <c r="C31" i="20" s="1"/>
  <c r="C38" i="20" s="1"/>
  <c r="C13" i="20"/>
  <c r="C24" i="20" s="1"/>
  <c r="C32" i="20" s="1"/>
  <c r="C39" i="20" s="1"/>
  <c r="C9" i="20"/>
  <c r="C91" i="20" s="1"/>
  <c r="C10" i="20"/>
  <c r="C21" i="20" s="1"/>
  <c r="C29" i="20" s="1"/>
  <c r="C36" i="20" s="1"/>
  <c r="C8" i="20"/>
  <c r="AG10" i="20"/>
  <c r="AG21" i="20" s="1"/>
  <c r="AG29" i="20" s="1"/>
  <c r="AG36" i="20" s="1"/>
  <c r="AG9" i="20"/>
  <c r="AG91" i="20" s="1"/>
  <c r="AG11" i="20"/>
  <c r="AG22" i="20" s="1"/>
  <c r="AG30" i="20" s="1"/>
  <c r="AG37" i="20" s="1"/>
  <c r="AG12" i="20"/>
  <c r="AG13" i="20"/>
  <c r="AG24" i="20" s="1"/>
  <c r="AG32" i="20" s="1"/>
  <c r="AG39" i="20" s="1"/>
  <c r="AG8" i="20"/>
  <c r="AB11" i="20"/>
  <c r="AB22" i="20" s="1"/>
  <c r="AB30" i="20" s="1"/>
  <c r="AB37" i="20" s="1"/>
  <c r="AB12" i="20"/>
  <c r="AB23" i="20" s="1"/>
  <c r="AB31" i="20" s="1"/>
  <c r="AB38" i="20" s="1"/>
  <c r="AB10" i="20"/>
  <c r="AB21" i="20" s="1"/>
  <c r="AB29" i="20" s="1"/>
  <c r="AB36" i="20" s="1"/>
  <c r="AB13" i="20"/>
  <c r="AB24" i="20" s="1"/>
  <c r="AB32" i="20" s="1"/>
  <c r="AB39" i="20" s="1"/>
  <c r="AB9" i="20"/>
  <c r="AB91" i="20" s="1"/>
  <c r="AB8" i="20"/>
  <c r="G13" i="20"/>
  <c r="G9" i="20"/>
  <c r="G91" i="20" s="1"/>
  <c r="G12" i="20"/>
  <c r="G10" i="20"/>
  <c r="G11" i="20"/>
  <c r="G22" i="20" s="1"/>
  <c r="G30" i="20" s="1"/>
  <c r="G37" i="20" s="1"/>
  <c r="G8" i="20"/>
  <c r="Y9" i="20"/>
  <c r="Y91" i="20" s="1"/>
  <c r="Y10" i="20"/>
  <c r="Y11" i="20"/>
  <c r="Y22" i="20" s="1"/>
  <c r="Y30" i="20" s="1"/>
  <c r="Y37" i="20" s="1"/>
  <c r="Y12" i="20"/>
  <c r="Y13" i="20"/>
  <c r="Y24" i="20" s="1"/>
  <c r="Y32" i="20" s="1"/>
  <c r="Y39" i="20" s="1"/>
  <c r="Y8" i="20"/>
  <c r="AM13" i="20"/>
  <c r="AM24" i="20" s="1"/>
  <c r="AM32" i="20" s="1"/>
  <c r="AM39" i="20" s="1"/>
  <c r="AM9" i="20"/>
  <c r="AM91" i="20" s="1"/>
  <c r="AM12" i="20"/>
  <c r="AM23" i="20" s="1"/>
  <c r="AM31" i="20" s="1"/>
  <c r="AM38" i="20" s="1"/>
  <c r="AM10" i="20"/>
  <c r="AM11" i="20"/>
  <c r="AM22" i="20" s="1"/>
  <c r="AM30" i="20" s="1"/>
  <c r="AM37" i="20" s="1"/>
  <c r="AM8" i="20"/>
  <c r="P13" i="20"/>
  <c r="P24" i="20" s="1"/>
  <c r="P32" i="20" s="1"/>
  <c r="P39" i="20" s="1"/>
  <c r="P9" i="20"/>
  <c r="P91" i="20" s="1"/>
  <c r="P10" i="20"/>
  <c r="P12" i="20"/>
  <c r="P11" i="20"/>
  <c r="P22" i="20" s="1"/>
  <c r="P30" i="20" s="1"/>
  <c r="P37" i="20" s="1"/>
  <c r="P8" i="20"/>
  <c r="AL12" i="20"/>
  <c r="AL23" i="20" s="1"/>
  <c r="AL31" i="20" s="1"/>
  <c r="AL38" i="20" s="1"/>
  <c r="AL13" i="20"/>
  <c r="AL24" i="20" s="1"/>
  <c r="AL32" i="20" s="1"/>
  <c r="AL39" i="20" s="1"/>
  <c r="AL9" i="20"/>
  <c r="AL91" i="20" s="1"/>
  <c r="AL10" i="20"/>
  <c r="AL21" i="20" s="1"/>
  <c r="AL29" i="20" s="1"/>
  <c r="AL36" i="20" s="1"/>
  <c r="AL11" i="20"/>
  <c r="AL22" i="20" s="1"/>
  <c r="AL30" i="20" s="1"/>
  <c r="AL37" i="20" s="1"/>
  <c r="AL8" i="20"/>
  <c r="AN13" i="20"/>
  <c r="AN24" i="20" s="1"/>
  <c r="AN32" i="20" s="1"/>
  <c r="AN39" i="20" s="1"/>
  <c r="AN9" i="20"/>
  <c r="AN91" i="20" s="1"/>
  <c r="AN12" i="20"/>
  <c r="AN23" i="20" s="1"/>
  <c r="AN31" i="20" s="1"/>
  <c r="AN38" i="20" s="1"/>
  <c r="AN10" i="20"/>
  <c r="AN21" i="20" s="1"/>
  <c r="AN29" i="20" s="1"/>
  <c r="AN36" i="20" s="1"/>
  <c r="AN11" i="20"/>
  <c r="AN22" i="20" s="1"/>
  <c r="AN30" i="20" s="1"/>
  <c r="AN37" i="20" s="1"/>
  <c r="AN8" i="20"/>
  <c r="AA11" i="20"/>
  <c r="AA22" i="20" s="1"/>
  <c r="AA30" i="20" s="1"/>
  <c r="AA37" i="20" s="1"/>
  <c r="AA9" i="20"/>
  <c r="AA91" i="20" s="1"/>
  <c r="AA12" i="20"/>
  <c r="AA23" i="20" s="1"/>
  <c r="AA31" i="20" s="1"/>
  <c r="AA38" i="20" s="1"/>
  <c r="AA10" i="20"/>
  <c r="AA21" i="20" s="1"/>
  <c r="AA29" i="20" s="1"/>
  <c r="AA36" i="20" s="1"/>
  <c r="AA13" i="20"/>
  <c r="AA24" i="20" s="1"/>
  <c r="AA32" i="20" s="1"/>
  <c r="AA39" i="20" s="1"/>
  <c r="AA8" i="20"/>
  <c r="F12" i="20"/>
  <c r="F23" i="20" s="1"/>
  <c r="F31" i="20" s="1"/>
  <c r="F38" i="20" s="1"/>
  <c r="F13" i="20"/>
  <c r="F24" i="20" s="1"/>
  <c r="F32" i="20" s="1"/>
  <c r="F39" i="20" s="1"/>
  <c r="F9" i="20"/>
  <c r="F91" i="20" s="1"/>
  <c r="F10" i="20"/>
  <c r="F21" i="20" s="1"/>
  <c r="F29" i="20" s="1"/>
  <c r="F36" i="20" s="1"/>
  <c r="F11" i="20"/>
  <c r="F22" i="20" s="1"/>
  <c r="F30" i="20" s="1"/>
  <c r="F37" i="20" s="1"/>
  <c r="F8" i="20"/>
  <c r="AE12" i="20"/>
  <c r="AE23" i="20" s="1"/>
  <c r="AE31" i="20" s="1"/>
  <c r="AE38" i="20" s="1"/>
  <c r="AE13" i="20"/>
  <c r="AE24" i="20" s="1"/>
  <c r="AE32" i="20" s="1"/>
  <c r="AE39" i="20" s="1"/>
  <c r="AE9" i="20"/>
  <c r="AE91" i="20" s="1"/>
  <c r="AE10" i="20"/>
  <c r="AE21" i="20" s="1"/>
  <c r="AE29" i="20" s="1"/>
  <c r="AE36" i="20" s="1"/>
  <c r="AE11" i="20"/>
  <c r="AE22" i="20" s="1"/>
  <c r="AE30" i="20" s="1"/>
  <c r="AE37" i="20" s="1"/>
  <c r="AE8" i="20"/>
  <c r="E12" i="20"/>
  <c r="E23" i="20" s="1"/>
  <c r="E31" i="20" s="1"/>
  <c r="E38" i="20" s="1"/>
  <c r="E11" i="20"/>
  <c r="E22" i="20" s="1"/>
  <c r="E30" i="20" s="1"/>
  <c r="E37" i="20" s="1"/>
  <c r="E13" i="20"/>
  <c r="E24" i="20" s="1"/>
  <c r="E32" i="20" s="1"/>
  <c r="E39" i="20" s="1"/>
  <c r="E9" i="20"/>
  <c r="E91" i="20" s="1"/>
  <c r="E10" i="20"/>
  <c r="E21" i="20" s="1"/>
  <c r="E29" i="20" s="1"/>
  <c r="E36" i="20" s="1"/>
  <c r="E8" i="20"/>
  <c r="Z10" i="20"/>
  <c r="Z21" i="20" s="1"/>
  <c r="Z29" i="20" s="1"/>
  <c r="Z36" i="20" s="1"/>
  <c r="Z9" i="20"/>
  <c r="Z91" i="20" s="1"/>
  <c r="Z13" i="20"/>
  <c r="Z24" i="20" s="1"/>
  <c r="Z32" i="20" s="1"/>
  <c r="Z39" i="20" s="1"/>
  <c r="Z11" i="20"/>
  <c r="Z22" i="20" s="1"/>
  <c r="Z30" i="20" s="1"/>
  <c r="Z37" i="20" s="1"/>
  <c r="Z12" i="20"/>
  <c r="Z23" i="20" s="1"/>
  <c r="Z31" i="20" s="1"/>
  <c r="Z38" i="20" s="1"/>
  <c r="Z8" i="20"/>
  <c r="M12" i="20"/>
  <c r="M23" i="20" s="1"/>
  <c r="M31" i="20" s="1"/>
  <c r="M38" i="20" s="1"/>
  <c r="M11" i="20"/>
  <c r="M22" i="20" s="1"/>
  <c r="M30" i="20" s="1"/>
  <c r="M37" i="20" s="1"/>
  <c r="M13" i="20"/>
  <c r="M24" i="20" s="1"/>
  <c r="M32" i="20" s="1"/>
  <c r="M39" i="20" s="1"/>
  <c r="M9" i="20"/>
  <c r="M91" i="20" s="1"/>
  <c r="M10" i="20"/>
  <c r="M21" i="20" s="1"/>
  <c r="M29" i="20" s="1"/>
  <c r="M36" i="20" s="1"/>
  <c r="M8" i="20"/>
  <c r="AH10" i="20"/>
  <c r="AH21" i="20" s="1"/>
  <c r="AH29" i="20" s="1"/>
  <c r="AH36" i="20" s="1"/>
  <c r="AH11" i="20"/>
  <c r="AH22" i="20" s="1"/>
  <c r="AH30" i="20" s="1"/>
  <c r="AH37" i="20" s="1"/>
  <c r="AH9" i="20"/>
  <c r="AH91" i="20" s="1"/>
  <c r="AH12" i="20"/>
  <c r="AH23" i="20" s="1"/>
  <c r="AH31" i="20" s="1"/>
  <c r="AH38" i="20" s="1"/>
  <c r="AH13" i="20"/>
  <c r="AH24" i="20" s="1"/>
  <c r="AH32" i="20" s="1"/>
  <c r="AH39" i="20" s="1"/>
  <c r="AH8" i="20"/>
  <c r="U12" i="20"/>
  <c r="U23" i="20" s="1"/>
  <c r="U31" i="20" s="1"/>
  <c r="U38" i="20" s="1"/>
  <c r="U10" i="20"/>
  <c r="U21" i="20" s="1"/>
  <c r="U29" i="20" s="1"/>
  <c r="U36" i="20" s="1"/>
  <c r="U13" i="20"/>
  <c r="U24" i="20" s="1"/>
  <c r="U32" i="20" s="1"/>
  <c r="U39" i="20" s="1"/>
  <c r="U9" i="20"/>
  <c r="U91" i="20" s="1"/>
  <c r="U11" i="20"/>
  <c r="U22" i="20" s="1"/>
  <c r="U30" i="20" s="1"/>
  <c r="U37" i="20" s="1"/>
  <c r="U8" i="20"/>
  <c r="K11" i="20"/>
  <c r="K22" i="20" s="1"/>
  <c r="K30" i="20" s="1"/>
  <c r="K37" i="20" s="1"/>
  <c r="K10" i="20"/>
  <c r="K21" i="20" s="1"/>
  <c r="K29" i="20" s="1"/>
  <c r="K36" i="20" s="1"/>
  <c r="K12" i="20"/>
  <c r="K23" i="20" s="1"/>
  <c r="K31" i="20" s="1"/>
  <c r="K38" i="20" s="1"/>
  <c r="K9" i="20"/>
  <c r="K91" i="20" s="1"/>
  <c r="K13" i="20"/>
  <c r="K24" i="20" s="1"/>
  <c r="K32" i="20" s="1"/>
  <c r="K39" i="20" s="1"/>
  <c r="K8" i="20"/>
  <c r="V12" i="20"/>
  <c r="V23" i="20" s="1"/>
  <c r="V31" i="20" s="1"/>
  <c r="V38" i="20" s="1"/>
  <c r="V13" i="20"/>
  <c r="V24" i="20" s="1"/>
  <c r="V32" i="20" s="1"/>
  <c r="V39" i="20" s="1"/>
  <c r="V9" i="20"/>
  <c r="V91" i="20" s="1"/>
  <c r="V11" i="20"/>
  <c r="V10" i="20"/>
  <c r="V21" i="20" s="1"/>
  <c r="V29" i="20" s="1"/>
  <c r="V36" i="20" s="1"/>
  <c r="V8" i="20"/>
  <c r="AA5" i="3"/>
  <c r="AA6" i="3"/>
  <c r="I5" i="3"/>
  <c r="I6" i="3"/>
  <c r="P5" i="3"/>
  <c r="P6" i="3"/>
  <c r="AB5" i="3"/>
  <c r="AB6" i="3"/>
  <c r="AE5" i="3"/>
  <c r="AE6" i="3"/>
  <c r="F5" i="3"/>
  <c r="F6" i="3"/>
  <c r="AM5" i="3"/>
  <c r="AM6" i="3"/>
  <c r="AC5" i="3"/>
  <c r="AC6" i="3"/>
  <c r="AD5" i="3"/>
  <c r="AD6" i="3"/>
  <c r="S5" i="3"/>
  <c r="S6" i="3"/>
  <c r="AF5" i="3"/>
  <c r="AF6" i="3"/>
  <c r="AJ5" i="3"/>
  <c r="AJ6" i="3"/>
  <c r="U5" i="3"/>
  <c r="U6" i="3"/>
  <c r="W5" i="3"/>
  <c r="W6" i="3"/>
  <c r="G5" i="3"/>
  <c r="G6" i="3"/>
  <c r="N5" i="3"/>
  <c r="N6" i="3"/>
  <c r="AG5" i="3"/>
  <c r="AG6" i="3"/>
  <c r="T5" i="3"/>
  <c r="T6" i="3"/>
  <c r="J5" i="3"/>
  <c r="J6" i="3"/>
  <c r="V5" i="3"/>
  <c r="V6" i="3"/>
  <c r="C5" i="3"/>
  <c r="C6" i="3"/>
  <c r="E5" i="3"/>
  <c r="E6" i="3"/>
  <c r="O5" i="3"/>
  <c r="O6" i="3"/>
  <c r="Q5" i="3"/>
  <c r="Q6" i="3"/>
  <c r="D5" i="3"/>
  <c r="D6" i="3"/>
  <c r="K5" i="3"/>
  <c r="K6" i="3"/>
  <c r="AI5" i="3"/>
  <c r="AI6" i="3"/>
  <c r="X5" i="3"/>
  <c r="X6" i="3"/>
  <c r="M5" i="3"/>
  <c r="M6" i="3"/>
  <c r="AK5" i="3"/>
  <c r="AK6" i="3"/>
  <c r="AL5" i="3"/>
  <c r="AL6" i="3"/>
  <c r="AN5" i="3"/>
  <c r="AN6" i="3"/>
  <c r="Y5" i="3"/>
  <c r="Y6" i="3"/>
  <c r="Z5" i="3"/>
  <c r="Z6" i="3"/>
  <c r="H5" i="3"/>
  <c r="H6" i="3"/>
  <c r="AH5" i="3"/>
  <c r="AH6" i="3"/>
  <c r="Q8" i="11"/>
  <c r="AC8" i="11"/>
  <c r="AA8" i="11"/>
  <c r="AB8" i="11"/>
  <c r="AF8" i="11"/>
  <c r="W8" i="11"/>
  <c r="AL8" i="11"/>
  <c r="T8" i="11"/>
  <c r="F8" i="11"/>
  <c r="N8" i="11"/>
  <c r="Y8" i="11"/>
  <c r="S8" i="11"/>
  <c r="E8" i="11"/>
  <c r="AJ8" i="11"/>
  <c r="M8" i="11"/>
  <c r="AI8" i="11"/>
  <c r="V8" i="11"/>
  <c r="AE8" i="11"/>
  <c r="O8" i="11"/>
  <c r="C8" i="11"/>
  <c r="AH8" i="11"/>
  <c r="U8" i="11"/>
  <c r="K8" i="11"/>
  <c r="P8" i="11"/>
  <c r="AG8" i="11"/>
  <c r="AK8" i="11"/>
  <c r="X8" i="11"/>
  <c r="J8" i="11"/>
  <c r="H8" i="11"/>
  <c r="D8" i="11"/>
  <c r="AC10" i="14"/>
  <c r="AC4" i="14"/>
  <c r="N84" i="20"/>
  <c r="AK28" i="11"/>
  <c r="AK32" i="11"/>
  <c r="AK31" i="11"/>
  <c r="AK27" i="11"/>
  <c r="AK34" i="11"/>
  <c r="C84" i="20"/>
  <c r="D71" i="5"/>
  <c r="AE71" i="5"/>
  <c r="AD135" i="12"/>
  <c r="AD137" i="12" s="1"/>
  <c r="AN4" i="14"/>
  <c r="AN10" i="14"/>
  <c r="AG84" i="20"/>
  <c r="AH15" i="21"/>
  <c r="AH7" i="21"/>
  <c r="Z7" i="21"/>
  <c r="Z15" i="21"/>
  <c r="AA9" i="22"/>
  <c r="AA10" i="22"/>
  <c r="AB84" i="20"/>
  <c r="Y71" i="5"/>
  <c r="X9" i="22"/>
  <c r="X10" i="22"/>
  <c r="T15" i="21"/>
  <c r="T7" i="21"/>
  <c r="J84" i="20"/>
  <c r="AG71" i="5"/>
  <c r="AI84" i="20"/>
  <c r="U10" i="22"/>
  <c r="U9" i="22"/>
  <c r="V10" i="14"/>
  <c r="V4" i="14"/>
  <c r="W15" i="21"/>
  <c r="W7" i="21"/>
  <c r="G7" i="21"/>
  <c r="G15" i="21"/>
  <c r="AC27" i="11"/>
  <c r="AC28" i="11"/>
  <c r="AC34" i="11"/>
  <c r="AC32" i="11"/>
  <c r="AC31" i="11"/>
  <c r="AD7" i="21"/>
  <c r="AD15" i="21"/>
  <c r="Q71" i="5"/>
  <c r="P84" i="20"/>
  <c r="N10" i="22"/>
  <c r="N9" i="22"/>
  <c r="AE9" i="22"/>
  <c r="AE10" i="22"/>
  <c r="C10" i="14"/>
  <c r="C4" i="14"/>
  <c r="AL84" i="20"/>
  <c r="AD10" i="22"/>
  <c r="AD9" i="22"/>
  <c r="AD27" i="11"/>
  <c r="AD8" i="11"/>
  <c r="AD28" i="11"/>
  <c r="AD34" i="11"/>
  <c r="AD32" i="11"/>
  <c r="AD31" i="11"/>
  <c r="AN84" i="20"/>
  <c r="AA27" i="11"/>
  <c r="AA28" i="11"/>
  <c r="AA31" i="11"/>
  <c r="AA32" i="11"/>
  <c r="AA34" i="11"/>
  <c r="AN71" i="5"/>
  <c r="AB10" i="14"/>
  <c r="AB4" i="14"/>
  <c r="AB27" i="11"/>
  <c r="AB28" i="11"/>
  <c r="AB34" i="11"/>
  <c r="AB32" i="11"/>
  <c r="AB31" i="11"/>
  <c r="Y7" i="21"/>
  <c r="Y15" i="21"/>
  <c r="X34" i="11"/>
  <c r="X31" i="11"/>
  <c r="X32" i="11"/>
  <c r="X28" i="11"/>
  <c r="X27" i="11"/>
  <c r="G84" i="20"/>
  <c r="H71" i="5"/>
  <c r="F71" i="5"/>
  <c r="J28" i="11"/>
  <c r="J27" i="11"/>
  <c r="J32" i="11"/>
  <c r="J31" i="11"/>
  <c r="J34" i="11"/>
  <c r="Z4" i="14"/>
  <c r="Z10" i="14"/>
  <c r="AJ10" i="14"/>
  <c r="AJ4" i="14"/>
  <c r="AK7" i="21"/>
  <c r="AK15" i="21"/>
  <c r="H4" i="14"/>
  <c r="H10" i="14"/>
  <c r="H32" i="11"/>
  <c r="H34" i="11"/>
  <c r="H31" i="11"/>
  <c r="H28" i="11"/>
  <c r="H27" i="11"/>
  <c r="AI15" i="21"/>
  <c r="AI7" i="21"/>
  <c r="D31" i="11"/>
  <c r="D34" i="11"/>
  <c r="D32" i="11"/>
  <c r="D27" i="11"/>
  <c r="D28" i="11"/>
  <c r="I8" i="11"/>
  <c r="I27" i="11"/>
  <c r="I31" i="11"/>
  <c r="I28" i="11"/>
  <c r="I32" i="11"/>
  <c r="I34" i="11"/>
  <c r="AC9" i="22"/>
  <c r="AC10" i="22"/>
  <c r="Q27" i="11"/>
  <c r="Q28" i="11"/>
  <c r="Q31" i="11"/>
  <c r="Q32" i="11"/>
  <c r="Q34" i="11"/>
  <c r="AF71" i="5"/>
  <c r="AF15" i="21"/>
  <c r="AF7" i="21"/>
  <c r="AK4" i="14"/>
  <c r="AK10" i="14"/>
  <c r="P71" i="5"/>
  <c r="D15" i="21"/>
  <c r="D7" i="21"/>
  <c r="AN27" i="11"/>
  <c r="AN8" i="11"/>
  <c r="AN28" i="11"/>
  <c r="AN32" i="11"/>
  <c r="AN34" i="11"/>
  <c r="AN31" i="11"/>
  <c r="AG10" i="14"/>
  <c r="AG4" i="14"/>
  <c r="AG34" i="11"/>
  <c r="AG31" i="11"/>
  <c r="AG32" i="11"/>
  <c r="AG27" i="11"/>
  <c r="AG28" i="11"/>
  <c r="Y9" i="22"/>
  <c r="Y10" i="22"/>
  <c r="AA84" i="20"/>
  <c r="AB7" i="21"/>
  <c r="AB15" i="21"/>
  <c r="AM8" i="11"/>
  <c r="AM27" i="11"/>
  <c r="AM28" i="11"/>
  <c r="AM34" i="11"/>
  <c r="AM31" i="11"/>
  <c r="AM32" i="11"/>
  <c r="E4" i="14"/>
  <c r="E24" i="14" s="1"/>
  <c r="E10" i="14"/>
  <c r="AG7" i="21"/>
  <c r="AG15" i="21"/>
  <c r="AF28" i="11"/>
  <c r="AF27" i="11"/>
  <c r="AF32" i="11"/>
  <c r="AF34" i="11"/>
  <c r="AF31" i="11"/>
  <c r="AJ7" i="21"/>
  <c r="AJ15" i="21"/>
  <c r="AA71" i="5"/>
  <c r="AK71" i="5"/>
  <c r="N7" i="21"/>
  <c r="N15" i="21"/>
  <c r="AI71" i="5"/>
  <c r="V7" i="21"/>
  <c r="V15" i="21"/>
  <c r="W10" i="14"/>
  <c r="W4" i="14"/>
  <c r="W27" i="11"/>
  <c r="W28" i="11"/>
  <c r="W34" i="11"/>
  <c r="W31" i="11"/>
  <c r="W32" i="11"/>
  <c r="L71" i="5"/>
  <c r="L15" i="21"/>
  <c r="L7" i="21"/>
  <c r="J71" i="5"/>
  <c r="F84" i="20"/>
  <c r="Q9" i="22"/>
  <c r="Q10" i="22"/>
  <c r="Q7" i="21"/>
  <c r="Q15" i="21"/>
  <c r="O15" i="21"/>
  <c r="O7" i="21"/>
  <c r="AE84" i="20"/>
  <c r="AK9" i="22"/>
  <c r="AK10" i="22"/>
  <c r="O9" i="22"/>
  <c r="O10" i="22"/>
  <c r="AL27" i="11"/>
  <c r="AL34" i="11"/>
  <c r="AL32" i="11"/>
  <c r="AL31" i="11"/>
  <c r="AL28" i="11"/>
  <c r="AL10" i="22"/>
  <c r="AL9" i="22"/>
  <c r="AD4" i="14"/>
  <c r="AD10" i="14"/>
  <c r="AN10" i="22"/>
  <c r="AN9" i="22"/>
  <c r="AB71" i="5"/>
  <c r="AC7" i="21"/>
  <c r="AC15" i="21"/>
  <c r="T71" i="5"/>
  <c r="H15" i="21"/>
  <c r="H7" i="21"/>
  <c r="E10" i="22"/>
  <c r="E9" i="22"/>
  <c r="Z9" i="22"/>
  <c r="Z10" i="22"/>
  <c r="N71" i="5"/>
  <c r="H9" i="22"/>
  <c r="H10" i="22"/>
  <c r="AH10" i="14"/>
  <c r="AH4" i="14"/>
  <c r="W10" i="22"/>
  <c r="W9" i="22"/>
  <c r="K9" i="22"/>
  <c r="K10" i="22"/>
  <c r="W71" i="5"/>
  <c r="F27" i="11"/>
  <c r="F28" i="11"/>
  <c r="F34" i="11"/>
  <c r="F32" i="11"/>
  <c r="F31" i="11"/>
  <c r="F9" i="22"/>
  <c r="F10" i="22"/>
  <c r="Q4" i="14"/>
  <c r="Q10" i="14"/>
  <c r="Q84" i="20"/>
  <c r="N27" i="11"/>
  <c r="N28" i="11"/>
  <c r="N34" i="11"/>
  <c r="N32" i="11"/>
  <c r="N31" i="11"/>
  <c r="O84" i="20"/>
  <c r="O10" i="14"/>
  <c r="O4" i="14"/>
  <c r="AL4" i="14"/>
  <c r="AL24" i="14" s="1"/>
  <c r="AL10" i="14"/>
  <c r="AE15" i="21"/>
  <c r="AE7" i="21"/>
  <c r="Y28" i="11"/>
  <c r="Y27" i="11"/>
  <c r="Y32" i="11"/>
  <c r="Y34" i="11"/>
  <c r="Y31" i="11"/>
  <c r="AC71" i="5"/>
  <c r="X10" i="14"/>
  <c r="X4" i="14"/>
  <c r="S9" i="22"/>
  <c r="S10" i="22"/>
  <c r="G4" i="14"/>
  <c r="G10" i="14"/>
  <c r="E84" i="20"/>
  <c r="J9" i="22"/>
  <c r="J10" i="22"/>
  <c r="AF10" i="14"/>
  <c r="AF4" i="14"/>
  <c r="AF10" i="22"/>
  <c r="AF9" i="22"/>
  <c r="AI9" i="22"/>
  <c r="AI10" i="22"/>
  <c r="Z84" i="20"/>
  <c r="M84" i="20"/>
  <c r="AH10" i="22"/>
  <c r="AH9" i="22"/>
  <c r="AH84" i="20"/>
  <c r="U84" i="20"/>
  <c r="X7" i="21"/>
  <c r="X15" i="21"/>
  <c r="E71" i="5"/>
  <c r="K84" i="20"/>
  <c r="V84" i="20"/>
  <c r="I10" i="14"/>
  <c r="I4" i="14"/>
  <c r="I9" i="22"/>
  <c r="I10" i="22"/>
  <c r="F10" i="14"/>
  <c r="F4" i="14"/>
  <c r="G71" i="5"/>
  <c r="AC84" i="20"/>
  <c r="R71" i="5"/>
  <c r="R7" i="21"/>
  <c r="R15" i="21"/>
  <c r="P9" i="22"/>
  <c r="P10" i="22"/>
  <c r="N10" i="14"/>
  <c r="N4" i="14"/>
  <c r="AE4" i="14"/>
  <c r="AE24" i="14" s="1"/>
  <c r="AE10" i="14"/>
  <c r="P15" i="21"/>
  <c r="P7" i="21"/>
  <c r="AM7" i="21"/>
  <c r="AM15" i="21"/>
  <c r="AO15" i="21"/>
  <c r="AO7" i="21"/>
  <c r="AH71" i="5"/>
  <c r="Z71" i="5"/>
  <c r="Y84" i="20"/>
  <c r="AN15" i="21"/>
  <c r="AN7" i="21"/>
  <c r="AM84" i="20"/>
  <c r="S10" i="14"/>
  <c r="S4" i="14"/>
  <c r="S31" i="11"/>
  <c r="S34" i="11"/>
  <c r="S32" i="11"/>
  <c r="S28" i="11"/>
  <c r="S27" i="11"/>
  <c r="G10" i="22"/>
  <c r="G9" i="22"/>
  <c r="E34" i="11"/>
  <c r="E32" i="11"/>
  <c r="E31" i="11"/>
  <c r="E28" i="11"/>
  <c r="E27" i="11"/>
  <c r="K15" i="21"/>
  <c r="K7" i="21"/>
  <c r="AF84" i="20"/>
  <c r="AJ71" i="5"/>
  <c r="Z8" i="11"/>
  <c r="Z28" i="11"/>
  <c r="Z31" i="11"/>
  <c r="Z34" i="11"/>
  <c r="Z32" i="11"/>
  <c r="Z27" i="11"/>
  <c r="AJ31" i="11"/>
  <c r="AJ32" i="11"/>
  <c r="AJ34" i="11"/>
  <c r="AJ28" i="11"/>
  <c r="AJ27" i="11"/>
  <c r="M31" i="11"/>
  <c r="M32" i="11"/>
  <c r="M27" i="11"/>
  <c r="M28" i="11"/>
  <c r="M34" i="11"/>
  <c r="M4" i="14"/>
  <c r="M10" i="14"/>
  <c r="V71" i="5"/>
  <c r="W84" i="20"/>
  <c r="D9" i="22"/>
  <c r="D10" i="22"/>
  <c r="K10" i="14"/>
  <c r="K4" i="14"/>
  <c r="V10" i="22"/>
  <c r="V9" i="22"/>
  <c r="J15" i="21"/>
  <c r="J7" i="21"/>
  <c r="I84" i="20"/>
  <c r="AE32" i="11"/>
  <c r="AE28" i="11"/>
  <c r="AE34" i="11"/>
  <c r="AE27" i="11"/>
  <c r="AE31" i="11"/>
  <c r="AL71" i="5"/>
  <c r="AK84" i="20"/>
  <c r="O31" i="11"/>
  <c r="O28" i="11"/>
  <c r="O27" i="11"/>
  <c r="O34" i="11"/>
  <c r="O32" i="11"/>
  <c r="C27" i="11"/>
  <c r="C28" i="11"/>
  <c r="C31" i="11"/>
  <c r="C34" i="11"/>
  <c r="C32" i="11"/>
  <c r="AD84" i="20"/>
  <c r="AA4" i="14"/>
  <c r="AA24" i="14" s="1"/>
  <c r="AA10" i="14"/>
  <c r="AM4" i="14"/>
  <c r="AM10" i="14"/>
  <c r="S84" i="20"/>
  <c r="F15" i="21"/>
  <c r="F7" i="21"/>
  <c r="J10" i="14"/>
  <c r="J4" i="14"/>
  <c r="K71" i="5"/>
  <c r="AI27" i="11"/>
  <c r="AI28" i="11"/>
  <c r="AI31" i="11"/>
  <c r="AI34" i="11"/>
  <c r="AI32" i="11"/>
  <c r="AA7" i="21"/>
  <c r="AA15" i="21"/>
  <c r="AJ84" i="20"/>
  <c r="M10" i="22"/>
  <c r="M9" i="22"/>
  <c r="I15" i="21"/>
  <c r="I7" i="21"/>
  <c r="U4" i="14"/>
  <c r="U10" i="14"/>
  <c r="X71" i="5"/>
  <c r="E15" i="21"/>
  <c r="E7" i="21"/>
  <c r="V28" i="11"/>
  <c r="V27" i="11"/>
  <c r="V34" i="11"/>
  <c r="V32" i="11"/>
  <c r="V31" i="11"/>
  <c r="AD71" i="5"/>
  <c r="P4" i="14"/>
  <c r="P24" i="14" s="1"/>
  <c r="P10" i="14"/>
  <c r="P28" i="11"/>
  <c r="P27" i="11"/>
  <c r="P34" i="11"/>
  <c r="P31" i="11"/>
  <c r="P32" i="11"/>
  <c r="O71" i="5"/>
  <c r="AL7" i="21"/>
  <c r="AL15" i="21"/>
  <c r="C9" i="22"/>
  <c r="C10" i="22"/>
  <c r="AM71" i="5"/>
  <c r="AO71" i="5"/>
  <c r="AG10" i="22"/>
  <c r="AG9" i="22"/>
  <c r="Y10" i="14"/>
  <c r="Y4" i="14"/>
  <c r="AM9" i="22"/>
  <c r="AM10" i="22"/>
  <c r="AB9" i="22"/>
  <c r="AB10" i="22"/>
  <c r="X84" i="20"/>
  <c r="G8" i="11"/>
  <c r="G27" i="11"/>
  <c r="G28" i="11"/>
  <c r="G31" i="11"/>
  <c r="G34" i="11"/>
  <c r="G32" i="11"/>
  <c r="AI4" i="14"/>
  <c r="AI10" i="14"/>
  <c r="AJ10" i="22"/>
  <c r="AJ9" i="22"/>
  <c r="I71" i="5"/>
  <c r="H84" i="20"/>
  <c r="AH28" i="11"/>
  <c r="AH27" i="11"/>
  <c r="AH32" i="11"/>
  <c r="AH34" i="11"/>
  <c r="AH31" i="11"/>
  <c r="U27" i="11"/>
  <c r="U28" i="11"/>
  <c r="U32" i="11"/>
  <c r="U31" i="11"/>
  <c r="U34" i="11"/>
  <c r="D84" i="20"/>
  <c r="D4" i="14"/>
  <c r="D10" i="14"/>
  <c r="K28" i="11"/>
  <c r="K27" i="11"/>
  <c r="K31" i="11"/>
  <c r="K34" i="11"/>
  <c r="K32" i="11"/>
  <c r="T27" i="11"/>
  <c r="T28" i="11"/>
  <c r="AE141" i="13"/>
  <c r="U71" i="5"/>
  <c r="T84" i="20"/>
  <c r="T10" i="22"/>
  <c r="T9" i="22"/>
  <c r="T31" i="11"/>
  <c r="T34" i="11"/>
  <c r="T32" i="11"/>
  <c r="T10" i="14"/>
  <c r="T4" i="14"/>
  <c r="L12" i="14"/>
  <c r="L13" i="14" s="1"/>
  <c r="L14" i="14" s="1"/>
  <c r="L25" i="14"/>
  <c r="R25" i="14"/>
  <c r="AA125" i="13"/>
  <c r="AI125" i="13"/>
  <c r="AM141" i="13"/>
  <c r="X125" i="13"/>
  <c r="Y125" i="13"/>
  <c r="L28" i="20"/>
  <c r="L35" i="20" s="1"/>
  <c r="R28" i="20"/>
  <c r="R35" i="20" s="1"/>
  <c r="L36" i="20"/>
  <c r="AR125" i="13"/>
  <c r="R12" i="14"/>
  <c r="R13" i="14" s="1"/>
  <c r="R14" i="14" s="1"/>
  <c r="R21" i="22"/>
  <c r="R22" i="22" s="1"/>
  <c r="R12" i="4" s="1"/>
  <c r="R19" i="3" s="1"/>
  <c r="R18" i="17"/>
  <c r="R19" i="17" s="1"/>
  <c r="Y72" i="12" l="1"/>
  <c r="Y56" i="12"/>
  <c r="U72" i="12"/>
  <c r="U56" i="12"/>
  <c r="U57" i="12" s="1"/>
  <c r="G72" i="12"/>
  <c r="G76" i="12" s="1"/>
  <c r="G56" i="12"/>
  <c r="G57" i="12" s="1"/>
  <c r="X72" i="12"/>
  <c r="X56" i="12"/>
  <c r="X57" i="12" s="1"/>
  <c r="P72" i="12"/>
  <c r="P56" i="12"/>
  <c r="S72" i="12"/>
  <c r="S56" i="12"/>
  <c r="S57" i="12" s="1"/>
  <c r="AN72" i="12"/>
  <c r="AN56" i="12"/>
  <c r="AK72" i="12"/>
  <c r="AK56" i="12"/>
  <c r="AK57" i="12" s="1"/>
  <c r="Q72" i="12"/>
  <c r="Q56" i="12"/>
  <c r="AJ72" i="12"/>
  <c r="AJ56" i="12"/>
  <c r="AJ57" i="12" s="1"/>
  <c r="AL72" i="12"/>
  <c r="AL56" i="12"/>
  <c r="AL57" i="12" s="1"/>
  <c r="Z72" i="12"/>
  <c r="Z56" i="12"/>
  <c r="Z57" i="12" s="1"/>
  <c r="AA72" i="12"/>
  <c r="AA56" i="12"/>
  <c r="K72" i="12"/>
  <c r="K56" i="12"/>
  <c r="K57" i="12" s="1"/>
  <c r="AM72" i="12"/>
  <c r="AM56" i="12"/>
  <c r="AE14" i="5"/>
  <c r="V14" i="5"/>
  <c r="AO14" i="5"/>
  <c r="J14" i="5"/>
  <c r="K14" i="5"/>
  <c r="L14" i="5"/>
  <c r="T14" i="5"/>
  <c r="AA14" i="5"/>
  <c r="AL14" i="5"/>
  <c r="E14" i="5"/>
  <c r="AI14" i="5"/>
  <c r="AM14" i="5"/>
  <c r="AK14" i="5"/>
  <c r="N14" i="5"/>
  <c r="F14" i="5"/>
  <c r="P14" i="5"/>
  <c r="R14" i="5"/>
  <c r="Y14" i="5"/>
  <c r="X14" i="5"/>
  <c r="I14" i="5"/>
  <c r="W14" i="5"/>
  <c r="Q14" i="5"/>
  <c r="AJ14" i="5"/>
  <c r="G14" i="5"/>
  <c r="AB14" i="5"/>
  <c r="AN14" i="5"/>
  <c r="D14" i="5"/>
  <c r="H14" i="5"/>
  <c r="AC14" i="5"/>
  <c r="U14" i="5"/>
  <c r="Z14" i="5"/>
  <c r="O14" i="5"/>
  <c r="AH14" i="5"/>
  <c r="AD14" i="5"/>
  <c r="AF14" i="5"/>
  <c r="AG14" i="5"/>
  <c r="M40" i="5"/>
  <c r="M48" i="5" s="1"/>
  <c r="S20" i="5"/>
  <c r="AI21" i="5"/>
  <c r="AI120" i="5" s="1"/>
  <c r="AH9" i="3"/>
  <c r="AH11" i="3" s="1"/>
  <c r="W9" i="3"/>
  <c r="W11" i="3" s="1"/>
  <c r="X21" i="5"/>
  <c r="X120" i="5" s="1"/>
  <c r="AM21" i="5"/>
  <c r="AL9" i="3"/>
  <c r="AL11" i="3" s="1"/>
  <c r="O21" i="5"/>
  <c r="O120" i="5" s="1"/>
  <c r="N9" i="3"/>
  <c r="N11" i="3" s="1"/>
  <c r="AK21" i="5"/>
  <c r="AK120" i="5" s="1"/>
  <c r="AJ9" i="3"/>
  <c r="AJ11" i="3" s="1"/>
  <c r="Y21" i="5"/>
  <c r="Y120" i="5" s="1"/>
  <c r="X9" i="3"/>
  <c r="X11" i="3" s="1"/>
  <c r="AJ21" i="5"/>
  <c r="AJ120" i="5" s="1"/>
  <c r="AI9" i="3"/>
  <c r="AI11" i="3" s="1"/>
  <c r="AL21" i="5"/>
  <c r="AK9" i="3"/>
  <c r="AK11" i="3" s="1"/>
  <c r="D21" i="5"/>
  <c r="D120" i="5" s="1"/>
  <c r="C9" i="3"/>
  <c r="C11" i="3" s="1"/>
  <c r="L21" i="5"/>
  <c r="L120" i="5" s="1"/>
  <c r="K9" i="3"/>
  <c r="K11" i="3" s="1"/>
  <c r="AC21" i="5"/>
  <c r="AC120" i="5" s="1"/>
  <c r="AB9" i="3"/>
  <c r="AB11" i="3" s="1"/>
  <c r="E21" i="5"/>
  <c r="E120" i="5" s="1"/>
  <c r="D9" i="3"/>
  <c r="D11" i="3" s="1"/>
  <c r="AF9" i="3"/>
  <c r="AF11" i="3" s="1"/>
  <c r="AG21" i="5"/>
  <c r="AG120" i="5" s="1"/>
  <c r="AB21" i="5"/>
  <c r="AB120" i="5" s="1"/>
  <c r="AA9" i="3"/>
  <c r="AA11" i="3" s="1"/>
  <c r="AM9" i="3"/>
  <c r="AM11" i="3" s="1"/>
  <c r="AN21" i="5"/>
  <c r="AN120" i="5" s="1"/>
  <c r="G21" i="5"/>
  <c r="G120" i="5" s="1"/>
  <c r="F9" i="3"/>
  <c r="F11" i="3" s="1"/>
  <c r="AH16" i="5"/>
  <c r="AG9" i="3"/>
  <c r="AG11" i="3" s="1"/>
  <c r="AH21" i="5"/>
  <c r="AH120" i="5" s="1"/>
  <c r="S31" i="5"/>
  <c r="S22" i="5"/>
  <c r="R21" i="5"/>
  <c r="Q9" i="3"/>
  <c r="Q11" i="3" s="1"/>
  <c r="S24" i="5"/>
  <c r="S44" i="5" s="1"/>
  <c r="S36" i="5" s="1"/>
  <c r="M20" i="5"/>
  <c r="M31" i="5"/>
  <c r="M22" i="5"/>
  <c r="AE21" i="5"/>
  <c r="AE120" i="5" s="1"/>
  <c r="AD9" i="3"/>
  <c r="AD11" i="3" s="1"/>
  <c r="T21" i="5"/>
  <c r="T120" i="5" s="1"/>
  <c r="S9" i="3"/>
  <c r="S11" i="3" s="1"/>
  <c r="AO21" i="5"/>
  <c r="AO120" i="5" s="1"/>
  <c r="AN9" i="3"/>
  <c r="AN11" i="3" s="1"/>
  <c r="M23" i="5"/>
  <c r="U21" i="5"/>
  <c r="U120" i="5" s="1"/>
  <c r="T9" i="3"/>
  <c r="T11" i="3" s="1"/>
  <c r="Z16" i="5"/>
  <c r="Z21" i="5"/>
  <c r="Z120" i="5" s="1"/>
  <c r="Y9" i="3"/>
  <c r="Y11" i="3" s="1"/>
  <c r="AD21" i="5"/>
  <c r="AC9" i="3"/>
  <c r="AC11" i="3" s="1"/>
  <c r="F21" i="5"/>
  <c r="E9" i="3"/>
  <c r="E11" i="3" s="1"/>
  <c r="O9" i="3"/>
  <c r="O11" i="3" s="1"/>
  <c r="P21" i="5"/>
  <c r="P120" i="5" s="1"/>
  <c r="N21" i="5"/>
  <c r="M9" i="3"/>
  <c r="M11" i="3" s="1"/>
  <c r="AA16" i="5"/>
  <c r="AA21" i="5"/>
  <c r="AA120" i="5" s="1"/>
  <c r="Z9" i="3"/>
  <c r="Z11" i="3" s="1"/>
  <c r="V21" i="5"/>
  <c r="U9" i="3"/>
  <c r="U11" i="3" s="1"/>
  <c r="I9" i="3"/>
  <c r="I11" i="3" s="1"/>
  <c r="J21" i="5"/>
  <c r="J120" i="5" s="1"/>
  <c r="M24" i="5"/>
  <c r="S23" i="5"/>
  <c r="I21" i="5"/>
  <c r="I120" i="5" s="1"/>
  <c r="H9" i="3"/>
  <c r="H11" i="3" s="1"/>
  <c r="AE9" i="3"/>
  <c r="AE11" i="3" s="1"/>
  <c r="AF21" i="5"/>
  <c r="AF120" i="5" s="1"/>
  <c r="Q21" i="5"/>
  <c r="Q120" i="5" s="1"/>
  <c r="P9" i="3"/>
  <c r="P11" i="3" s="1"/>
  <c r="K21" i="5"/>
  <c r="K120" i="5" s="1"/>
  <c r="J9" i="3"/>
  <c r="J11" i="3" s="1"/>
  <c r="W21" i="5"/>
  <c r="W120" i="5" s="1"/>
  <c r="V9" i="3"/>
  <c r="V11" i="3" s="1"/>
  <c r="G9" i="3"/>
  <c r="G11" i="3" s="1"/>
  <c r="H21" i="5"/>
  <c r="H120" i="5" s="1"/>
  <c r="L16" i="20"/>
  <c r="L18" i="20" s="1"/>
  <c r="L16" i="3"/>
  <c r="R16" i="20"/>
  <c r="R18" i="20" s="1"/>
  <c r="R16" i="3"/>
  <c r="X28" i="3"/>
  <c r="N28" i="3"/>
  <c r="H20" i="3"/>
  <c r="H12" i="3"/>
  <c r="H18" i="3"/>
  <c r="J18" i="3"/>
  <c r="J12" i="3"/>
  <c r="J20" i="3"/>
  <c r="P20" i="3"/>
  <c r="P12" i="3"/>
  <c r="P18" i="3"/>
  <c r="W20" i="3"/>
  <c r="W12" i="3"/>
  <c r="W18" i="3"/>
  <c r="Z28" i="3"/>
  <c r="AK28" i="3"/>
  <c r="E28" i="3"/>
  <c r="T28" i="3"/>
  <c r="S28" i="3"/>
  <c r="F28" i="3"/>
  <c r="I28" i="3"/>
  <c r="AN28" i="3"/>
  <c r="AB28" i="3"/>
  <c r="AL20" i="3"/>
  <c r="AL12" i="3"/>
  <c r="AL18" i="3"/>
  <c r="AF20" i="3"/>
  <c r="AF12" i="3"/>
  <c r="AF18" i="3"/>
  <c r="J28" i="3"/>
  <c r="K20" i="3"/>
  <c r="K18" i="3"/>
  <c r="K12" i="3"/>
  <c r="F20" i="3"/>
  <c r="F12" i="3"/>
  <c r="F18" i="3"/>
  <c r="Y20" i="3"/>
  <c r="Y12" i="3"/>
  <c r="Y18" i="3"/>
  <c r="M18" i="3"/>
  <c r="M12" i="3"/>
  <c r="M20" i="3"/>
  <c r="D18" i="3"/>
  <c r="D20" i="3"/>
  <c r="D12" i="3"/>
  <c r="C18" i="3"/>
  <c r="C20" i="3"/>
  <c r="C12" i="3"/>
  <c r="AG20" i="3"/>
  <c r="AG12" i="3"/>
  <c r="AG18" i="3"/>
  <c r="U18" i="3"/>
  <c r="U12" i="3"/>
  <c r="U20" i="3"/>
  <c r="AD20" i="3"/>
  <c r="AD12" i="3"/>
  <c r="AD18" i="3"/>
  <c r="AE20" i="3"/>
  <c r="AE12" i="3"/>
  <c r="AE18" i="3"/>
  <c r="AA18" i="3"/>
  <c r="AA20" i="3"/>
  <c r="AA12" i="3"/>
  <c r="AH28" i="3"/>
  <c r="AC28" i="3"/>
  <c r="AI18" i="3"/>
  <c r="AI20" i="3"/>
  <c r="AI12" i="3"/>
  <c r="G20" i="3"/>
  <c r="G12" i="3"/>
  <c r="G18" i="3"/>
  <c r="AM20" i="3"/>
  <c r="AM12" i="3"/>
  <c r="AM18" i="3"/>
  <c r="H28" i="3"/>
  <c r="AF28" i="3"/>
  <c r="AM28" i="3"/>
  <c r="AK18" i="3"/>
  <c r="AK12" i="3"/>
  <c r="AK20" i="3"/>
  <c r="T18" i="3"/>
  <c r="T12" i="3"/>
  <c r="T20" i="3"/>
  <c r="I20" i="3"/>
  <c r="I12" i="3"/>
  <c r="I18" i="3"/>
  <c r="Y28" i="3"/>
  <c r="M28" i="3"/>
  <c r="D28" i="3"/>
  <c r="C28" i="3"/>
  <c r="AG28" i="3"/>
  <c r="U28" i="3"/>
  <c r="AD28" i="3"/>
  <c r="AE28" i="3"/>
  <c r="AA28" i="3"/>
  <c r="Q28" i="3"/>
  <c r="V28" i="3"/>
  <c r="O20" i="3"/>
  <c r="O12" i="3"/>
  <c r="O18" i="3"/>
  <c r="AI28" i="3"/>
  <c r="G28" i="3"/>
  <c r="P28" i="3"/>
  <c r="Z18" i="3"/>
  <c r="Z20" i="3"/>
  <c r="Z12" i="3"/>
  <c r="E18" i="3"/>
  <c r="E20" i="3"/>
  <c r="E12" i="3"/>
  <c r="S18" i="3"/>
  <c r="S20" i="3"/>
  <c r="S12" i="3"/>
  <c r="AH18" i="3"/>
  <c r="AH20" i="3"/>
  <c r="AH12" i="3"/>
  <c r="AN20" i="3"/>
  <c r="AN12" i="3"/>
  <c r="AN18" i="3"/>
  <c r="X20" i="3"/>
  <c r="X12" i="3"/>
  <c r="X18" i="3"/>
  <c r="Q20" i="3"/>
  <c r="Q12" i="3"/>
  <c r="Q18" i="3"/>
  <c r="V20" i="3"/>
  <c r="V12" i="3"/>
  <c r="V18" i="3"/>
  <c r="N20" i="3"/>
  <c r="N12" i="3"/>
  <c r="N18" i="3"/>
  <c r="AJ18" i="3"/>
  <c r="AJ12" i="3"/>
  <c r="AJ20" i="3"/>
  <c r="AC18" i="3"/>
  <c r="AC20" i="3"/>
  <c r="AC12" i="3"/>
  <c r="AB18" i="3"/>
  <c r="AB12" i="3"/>
  <c r="AB20" i="3"/>
  <c r="AC13" i="12"/>
  <c r="G13" i="12"/>
  <c r="W72" i="12"/>
  <c r="F72" i="12"/>
  <c r="Z13" i="12"/>
  <c r="E72" i="12"/>
  <c r="AD72" i="12"/>
  <c r="AC72" i="12"/>
  <c r="M72" i="12"/>
  <c r="I72" i="12"/>
  <c r="AF72" i="12"/>
  <c r="V26" i="12"/>
  <c r="V38" i="12" s="1"/>
  <c r="V33" i="12"/>
  <c r="X26" i="12"/>
  <c r="X38" i="12" s="1"/>
  <c r="X39" i="12" s="1"/>
  <c r="X33" i="12"/>
  <c r="E33" i="12"/>
  <c r="E26" i="12"/>
  <c r="E38" i="12" s="1"/>
  <c r="AC33" i="12"/>
  <c r="AC37" i="12" s="1"/>
  <c r="AC26" i="12"/>
  <c r="AC38" i="12" s="1"/>
  <c r="AC39" i="12" s="1"/>
  <c r="AH26" i="12"/>
  <c r="AH38" i="12" s="1"/>
  <c r="AH33" i="12"/>
  <c r="M33" i="12"/>
  <c r="M26" i="12"/>
  <c r="M38" i="12" s="1"/>
  <c r="M39" i="12" s="1"/>
  <c r="AB26" i="12"/>
  <c r="AB38" i="12" s="1"/>
  <c r="AB33" i="12"/>
  <c r="C33" i="12"/>
  <c r="C26" i="12"/>
  <c r="C38" i="12" s="1"/>
  <c r="C39" i="12" s="1"/>
  <c r="S33" i="12"/>
  <c r="S26" i="12"/>
  <c r="S38" i="12" s="1"/>
  <c r="S39" i="12" s="1"/>
  <c r="AN153" i="13"/>
  <c r="AN154" i="13" s="1"/>
  <c r="AN156" i="13" s="1"/>
  <c r="AN157" i="13" s="1"/>
  <c r="W26" i="12"/>
  <c r="W38" i="12" s="1"/>
  <c r="W39" i="12" s="1"/>
  <c r="W33" i="12"/>
  <c r="AG33" i="12"/>
  <c r="AG26" i="12"/>
  <c r="AG38" i="12" s="1"/>
  <c r="AG39" i="12" s="1"/>
  <c r="AM26" i="12"/>
  <c r="AM38" i="12" s="1"/>
  <c r="AM39" i="12" s="1"/>
  <c r="AM33" i="12"/>
  <c r="T26" i="12"/>
  <c r="T38" i="12" s="1"/>
  <c r="T39" i="12" s="1"/>
  <c r="T33" i="12"/>
  <c r="Q33" i="12"/>
  <c r="Q26" i="12"/>
  <c r="Q38" i="12" s="1"/>
  <c r="Q39" i="12" s="1"/>
  <c r="AA26" i="12"/>
  <c r="AA38" i="12" s="1"/>
  <c r="AA39" i="12" s="1"/>
  <c r="AA33" i="12"/>
  <c r="F26" i="12"/>
  <c r="F38" i="12" s="1"/>
  <c r="F39" i="12" s="1"/>
  <c r="F33" i="12"/>
  <c r="N26" i="12"/>
  <c r="N38" i="12" s="1"/>
  <c r="N33" i="12"/>
  <c r="AK33" i="12"/>
  <c r="AK26" i="12"/>
  <c r="AK38" i="12" s="1"/>
  <c r="AK39" i="12" s="1"/>
  <c r="AF33" i="12"/>
  <c r="AF26" i="12"/>
  <c r="AF38" i="12" s="1"/>
  <c r="AF39" i="12" s="1"/>
  <c r="AN26" i="12"/>
  <c r="AN38" i="12" s="1"/>
  <c r="AN39" i="12" s="1"/>
  <c r="AN33" i="12"/>
  <c r="AD26" i="12"/>
  <c r="AD38" i="12" s="1"/>
  <c r="AD39" i="12" s="1"/>
  <c r="AD33" i="12"/>
  <c r="I26" i="12"/>
  <c r="I38" i="12" s="1"/>
  <c r="I39" i="12" s="1"/>
  <c r="I33" i="12"/>
  <c r="K26" i="12"/>
  <c r="K38" i="12" s="1"/>
  <c r="K39" i="12" s="1"/>
  <c r="K33" i="12"/>
  <c r="AL26" i="12"/>
  <c r="AL38" i="12" s="1"/>
  <c r="AL33" i="12"/>
  <c r="H26" i="12"/>
  <c r="H38" i="12" s="1"/>
  <c r="H39" i="12" s="1"/>
  <c r="H33" i="12"/>
  <c r="Z26" i="12"/>
  <c r="Z38" i="12" s="1"/>
  <c r="Z39" i="12" s="1"/>
  <c r="Z33" i="12"/>
  <c r="U33" i="12"/>
  <c r="U26" i="12"/>
  <c r="U38" i="12" s="1"/>
  <c r="U39" i="12" s="1"/>
  <c r="J26" i="12"/>
  <c r="J38" i="12" s="1"/>
  <c r="J39" i="12" s="1"/>
  <c r="J33" i="12"/>
  <c r="P33" i="12"/>
  <c r="P26" i="12"/>
  <c r="P38" i="12" s="1"/>
  <c r="P39" i="12" s="1"/>
  <c r="O26" i="12"/>
  <c r="O38" i="12" s="1"/>
  <c r="O33" i="12"/>
  <c r="G26" i="12"/>
  <c r="G38" i="12" s="1"/>
  <c r="G39" i="12" s="1"/>
  <c r="G33" i="12"/>
  <c r="AE26" i="12"/>
  <c r="AE38" i="12" s="1"/>
  <c r="AE33" i="12"/>
  <c r="D26" i="12"/>
  <c r="D38" i="12" s="1"/>
  <c r="D39" i="12" s="1"/>
  <c r="D33" i="12"/>
  <c r="Y26" i="12"/>
  <c r="Y38" i="12" s="1"/>
  <c r="Y39" i="12" s="1"/>
  <c r="Y33" i="12"/>
  <c r="AI33" i="12"/>
  <c r="AI26" i="12"/>
  <c r="AI38" i="12" s="1"/>
  <c r="AI39" i="12" s="1"/>
  <c r="AJ26" i="12"/>
  <c r="AJ38" i="12" s="1"/>
  <c r="AJ33" i="12"/>
  <c r="AH153" i="13"/>
  <c r="AH154" i="13" s="1"/>
  <c r="AH156" i="13" s="1"/>
  <c r="AH157" i="13" s="1"/>
  <c r="T17" i="17"/>
  <c r="T20" i="17" s="1"/>
  <c r="AG17" i="17"/>
  <c r="AG20" i="17" s="1"/>
  <c r="H17" i="17"/>
  <c r="H20" i="17" s="1"/>
  <c r="AE17" i="17"/>
  <c r="AE20" i="17" s="1"/>
  <c r="X17" i="12"/>
  <c r="N17" i="17"/>
  <c r="N20" i="17" s="1"/>
  <c r="AF57" i="12"/>
  <c r="I57" i="12"/>
  <c r="AD57" i="12"/>
  <c r="AN57" i="12"/>
  <c r="Q57" i="12"/>
  <c r="W57" i="12"/>
  <c r="F57" i="12"/>
  <c r="AA57" i="12"/>
  <c r="Y57" i="12"/>
  <c r="E57" i="12"/>
  <c r="AM57" i="12"/>
  <c r="AC57" i="12"/>
  <c r="M57" i="12"/>
  <c r="P57" i="12"/>
  <c r="V41" i="12"/>
  <c r="V42" i="12" s="1"/>
  <c r="W41" i="12"/>
  <c r="W42" i="12" s="1"/>
  <c r="J41" i="12"/>
  <c r="J42" i="12" s="1"/>
  <c r="AB41" i="12"/>
  <c r="AB42" i="12" s="1"/>
  <c r="AL41" i="12"/>
  <c r="AL42" i="12" s="1"/>
  <c r="F41" i="12"/>
  <c r="F42" i="12" s="1"/>
  <c r="K41" i="12"/>
  <c r="K42" i="12" s="1"/>
  <c r="E41" i="12"/>
  <c r="E42" i="12" s="1"/>
  <c r="AM41" i="12"/>
  <c r="AM42" i="12" s="1"/>
  <c r="AD41" i="12"/>
  <c r="AD42" i="12" s="1"/>
  <c r="AE41" i="12"/>
  <c r="AE42" i="12" s="1"/>
  <c r="AC41" i="12"/>
  <c r="AC42" i="12" s="1"/>
  <c r="U41" i="12"/>
  <c r="U42" i="12" s="1"/>
  <c r="M41" i="12"/>
  <c r="M42" i="12" s="1"/>
  <c r="G41" i="12"/>
  <c r="G42" i="12" s="1"/>
  <c r="O41" i="12"/>
  <c r="O42" i="12" s="1"/>
  <c r="Y41" i="12"/>
  <c r="Y42" i="12" s="1"/>
  <c r="N41" i="12"/>
  <c r="N42" i="12" s="1"/>
  <c r="P41" i="12"/>
  <c r="P42" i="12" s="1"/>
  <c r="Z41" i="12"/>
  <c r="Z42" i="12" s="1"/>
  <c r="E13" i="12"/>
  <c r="Y13" i="12"/>
  <c r="AB13" i="12"/>
  <c r="AM13" i="12"/>
  <c r="O13" i="12"/>
  <c r="N13" i="12"/>
  <c r="J13" i="12"/>
  <c r="P13" i="12"/>
  <c r="K13" i="12"/>
  <c r="AE13" i="12"/>
  <c r="M13" i="12"/>
  <c r="W13" i="12"/>
  <c r="AD13" i="12"/>
  <c r="U13" i="12"/>
  <c r="V13" i="12"/>
  <c r="AL13" i="12"/>
  <c r="F13" i="12"/>
  <c r="I13" i="12"/>
  <c r="I41" i="12"/>
  <c r="I42" i="12" s="1"/>
  <c r="D13" i="12"/>
  <c r="D41" i="12"/>
  <c r="D42" i="12" s="1"/>
  <c r="AF13" i="12"/>
  <c r="AF41" i="12"/>
  <c r="AF42" i="12" s="1"/>
  <c r="X13" i="12"/>
  <c r="X41" i="12"/>
  <c r="X42" i="12" s="1"/>
  <c r="AG13" i="12"/>
  <c r="AG41" i="12"/>
  <c r="AG42" i="12" s="1"/>
  <c r="AH13" i="12"/>
  <c r="AH41" i="12"/>
  <c r="AH42" i="12" s="1"/>
  <c r="AI13" i="12"/>
  <c r="AI41" i="12"/>
  <c r="AI42" i="12" s="1"/>
  <c r="S13" i="12"/>
  <c r="S41" i="12"/>
  <c r="S42" i="12" s="1"/>
  <c r="AN13" i="12"/>
  <c r="AN41" i="12"/>
  <c r="AN42" i="12" s="1"/>
  <c r="AK13" i="12"/>
  <c r="AK41" i="12"/>
  <c r="AK42" i="12" s="1"/>
  <c r="Q13" i="12"/>
  <c r="Q41" i="12"/>
  <c r="Q42" i="12" s="1"/>
  <c r="T13" i="12"/>
  <c r="T41" i="12"/>
  <c r="T42" i="12" s="1"/>
  <c r="H13" i="12"/>
  <c r="H41" i="12"/>
  <c r="H42" i="12" s="1"/>
  <c r="AJ13" i="12"/>
  <c r="AJ41" i="12"/>
  <c r="AJ42" i="12" s="1"/>
  <c r="AA13" i="12"/>
  <c r="AA41" i="12"/>
  <c r="AA42" i="12" s="1"/>
  <c r="C13" i="12"/>
  <c r="C41" i="12"/>
  <c r="C42" i="12" s="1"/>
  <c r="T32" i="12"/>
  <c r="AG32" i="12"/>
  <c r="N32" i="12"/>
  <c r="AB32" i="12"/>
  <c r="AI32" i="12"/>
  <c r="AE32" i="12"/>
  <c r="V32" i="12"/>
  <c r="O32" i="12"/>
  <c r="AH32" i="12"/>
  <c r="D32" i="12"/>
  <c r="C32" i="12"/>
  <c r="H32" i="12"/>
  <c r="J32" i="12"/>
  <c r="L121" i="12"/>
  <c r="R121" i="12"/>
  <c r="D17" i="17"/>
  <c r="D20" i="17" s="1"/>
  <c r="I17" i="17"/>
  <c r="I20" i="17" s="1"/>
  <c r="U17" i="17"/>
  <c r="U20" i="17" s="1"/>
  <c r="C17" i="17"/>
  <c r="C20" i="17" s="1"/>
  <c r="J17" i="17"/>
  <c r="J20" i="17" s="1"/>
  <c r="AC17" i="17"/>
  <c r="AC20" i="17" s="1"/>
  <c r="AK17" i="17"/>
  <c r="AK20" i="17" s="1"/>
  <c r="AM17" i="17"/>
  <c r="AM20" i="17" s="1"/>
  <c r="Y17" i="17"/>
  <c r="Y20" i="17" s="1"/>
  <c r="AA17" i="17"/>
  <c r="AA20" i="17" s="1"/>
  <c r="AF17" i="17"/>
  <c r="AF20" i="17" s="1"/>
  <c r="P17" i="17"/>
  <c r="P20" i="17" s="1"/>
  <c r="V17" i="17"/>
  <c r="V20" i="17" s="1"/>
  <c r="AH123" i="13"/>
  <c r="AH124" i="13" s="1"/>
  <c r="AB17" i="17"/>
  <c r="AB20" i="17" s="1"/>
  <c r="X17" i="17"/>
  <c r="X20" i="17" s="1"/>
  <c r="AI17" i="17"/>
  <c r="AI20" i="17" s="1"/>
  <c r="E17" i="17"/>
  <c r="E20" i="17" s="1"/>
  <c r="S17" i="17"/>
  <c r="S20" i="17" s="1"/>
  <c r="Q17" i="17"/>
  <c r="Q20" i="17" s="1"/>
  <c r="F17" i="17"/>
  <c r="F20" i="17" s="1"/>
  <c r="AH17" i="17"/>
  <c r="AH20" i="17" s="1"/>
  <c r="AD17" i="17"/>
  <c r="AD20" i="17" s="1"/>
  <c r="G17" i="17"/>
  <c r="G20" i="17" s="1"/>
  <c r="Z17" i="17"/>
  <c r="Z20" i="17" s="1"/>
  <c r="AN189" i="13"/>
  <c r="AN190" i="13" s="1"/>
  <c r="AN235" i="13" s="1"/>
  <c r="R32" i="17"/>
  <c r="R36" i="17" s="1"/>
  <c r="Q16" i="17"/>
  <c r="AC16" i="17"/>
  <c r="S16" i="17"/>
  <c r="AE16" i="17"/>
  <c r="W16" i="17"/>
  <c r="AC113" i="13"/>
  <c r="AC152" i="13" s="1"/>
  <c r="AC179" i="13"/>
  <c r="Q17" i="5"/>
  <c r="AL179" i="13"/>
  <c r="AL113" i="13"/>
  <c r="AL152" i="13" s="1"/>
  <c r="BE113" i="13"/>
  <c r="BE152" i="13" s="1"/>
  <c r="BE179" i="13"/>
  <c r="AP113" i="13"/>
  <c r="AP152" i="13" s="1"/>
  <c r="AP179" i="13"/>
  <c r="Z16" i="17"/>
  <c r="AH133" i="13"/>
  <c r="AH136" i="13" s="1"/>
  <c r="AH130" i="13"/>
  <c r="AH134" i="13"/>
  <c r="AH137" i="13" s="1"/>
  <c r="AH138" i="13"/>
  <c r="L17" i="5"/>
  <c r="AG113" i="13"/>
  <c r="AG152" i="13" s="1"/>
  <c r="AG179" i="13"/>
  <c r="N17" i="5"/>
  <c r="AI179" i="13"/>
  <c r="AI113" i="13"/>
  <c r="AI152" i="13" s="1"/>
  <c r="BH179" i="13"/>
  <c r="BH113" i="13"/>
  <c r="BH152" i="13" s="1"/>
  <c r="AK16" i="17"/>
  <c r="AH189" i="13"/>
  <c r="AH190" i="13" s="1"/>
  <c r="AH235" i="13" s="1"/>
  <c r="BF179" i="13"/>
  <c r="BF113" i="13"/>
  <c r="BF152" i="13" s="1"/>
  <c r="AA179" i="13"/>
  <c r="AA113" i="13"/>
  <c r="AA152" i="13" s="1"/>
  <c r="BI113" i="13"/>
  <c r="BI152" i="13" s="1"/>
  <c r="BI179" i="13"/>
  <c r="AF113" i="13"/>
  <c r="AF152" i="13" s="1"/>
  <c r="AF179" i="13"/>
  <c r="D17" i="5"/>
  <c r="Y113" i="13"/>
  <c r="Y152" i="13" s="1"/>
  <c r="Y179" i="13"/>
  <c r="AO179" i="13"/>
  <c r="AO113" i="13"/>
  <c r="AO152" i="13" s="1"/>
  <c r="AX113" i="13"/>
  <c r="AX152" i="13" s="1"/>
  <c r="AX179" i="13"/>
  <c r="D16" i="17"/>
  <c r="AS113" i="13"/>
  <c r="AS152" i="13" s="1"/>
  <c r="AS179" i="13"/>
  <c r="AD179" i="13"/>
  <c r="AD113" i="13"/>
  <c r="AD152" i="13" s="1"/>
  <c r="BJ179" i="13"/>
  <c r="BJ113" i="13"/>
  <c r="BJ152" i="13" s="1"/>
  <c r="AT179" i="13"/>
  <c r="AT113" i="13"/>
  <c r="AT152" i="13" s="1"/>
  <c r="AK113" i="13"/>
  <c r="AK152" i="13" s="1"/>
  <c r="AK179" i="13"/>
  <c r="AU113" i="13"/>
  <c r="AU152" i="13" s="1"/>
  <c r="AU179" i="13"/>
  <c r="AW179" i="13"/>
  <c r="AW113" i="13"/>
  <c r="AW152" i="13" s="1"/>
  <c r="AH194" i="13"/>
  <c r="AH198" i="13"/>
  <c r="AH201" i="13" s="1"/>
  <c r="AH197" i="13"/>
  <c r="AH200" i="13" s="1"/>
  <c r="AH202" i="13"/>
  <c r="Z179" i="13"/>
  <c r="Z113" i="13"/>
  <c r="Z152" i="13" s="1"/>
  <c r="AZ179" i="13"/>
  <c r="AZ113" i="13"/>
  <c r="AZ152" i="13" s="1"/>
  <c r="BB179" i="13"/>
  <c r="BB113" i="13"/>
  <c r="BB152" i="13" s="1"/>
  <c r="AV179" i="13"/>
  <c r="AV113" i="13"/>
  <c r="AV152" i="13" s="1"/>
  <c r="AE179" i="13"/>
  <c r="AE113" i="13"/>
  <c r="AE152" i="13" s="1"/>
  <c r="AL17" i="5"/>
  <c r="BG179" i="13"/>
  <c r="BG113" i="13"/>
  <c r="BG152" i="13" s="1"/>
  <c r="AF17" i="5"/>
  <c r="BA179" i="13"/>
  <c r="BA113" i="13"/>
  <c r="BA152" i="13" s="1"/>
  <c r="O17" i="5"/>
  <c r="AJ179" i="13"/>
  <c r="AJ113" i="13"/>
  <c r="AJ152" i="13" s="1"/>
  <c r="AY179" i="13"/>
  <c r="AY113" i="13"/>
  <c r="AY152" i="13" s="1"/>
  <c r="N16" i="17"/>
  <c r="AL16" i="17"/>
  <c r="AN123" i="13"/>
  <c r="AN124" i="13" s="1"/>
  <c r="AN198" i="13"/>
  <c r="AN201" i="13" s="1"/>
  <c r="AN202" i="13"/>
  <c r="AN194" i="13"/>
  <c r="AN197" i="13"/>
  <c r="AN200" i="13" s="1"/>
  <c r="AQ179" i="13"/>
  <c r="AQ113" i="13"/>
  <c r="AQ152" i="13" s="1"/>
  <c r="AN134" i="13"/>
  <c r="AN137" i="13" s="1"/>
  <c r="AN133" i="13"/>
  <c r="AN136" i="13" s="1"/>
  <c r="AN130" i="13"/>
  <c r="AN138" i="13"/>
  <c r="BD179" i="13"/>
  <c r="BD113" i="13"/>
  <c r="BD152" i="13" s="1"/>
  <c r="AA16" i="17"/>
  <c r="AH17" i="5"/>
  <c r="BC179" i="13"/>
  <c r="BC113" i="13"/>
  <c r="BC152" i="13" s="1"/>
  <c r="AR179" i="13"/>
  <c r="AR113" i="13"/>
  <c r="AR152" i="13" s="1"/>
  <c r="AB179" i="13"/>
  <c r="AB113" i="13"/>
  <c r="AB152" i="13" s="1"/>
  <c r="R17" i="5"/>
  <c r="AM179" i="13"/>
  <c r="AM113" i="13"/>
  <c r="AM152" i="13" s="1"/>
  <c r="AJ16" i="17"/>
  <c r="W73" i="5"/>
  <c r="N73" i="5"/>
  <c r="D73" i="5"/>
  <c r="F73" i="5"/>
  <c r="C73" i="5"/>
  <c r="E16" i="17"/>
  <c r="K16" i="17"/>
  <c r="Y16" i="17"/>
  <c r="U16" i="17"/>
  <c r="C16" i="17"/>
  <c r="X16" i="17"/>
  <c r="M16" i="17"/>
  <c r="AB16" i="17"/>
  <c r="O16" i="17"/>
  <c r="J16" i="17"/>
  <c r="AG16" i="17"/>
  <c r="T16" i="17"/>
  <c r="AI16" i="17"/>
  <c r="F16" i="17"/>
  <c r="P16" i="17"/>
  <c r="AD16" i="17"/>
  <c r="AM16" i="17"/>
  <c r="G16" i="17"/>
  <c r="AH16" i="17"/>
  <c r="AN16" i="17"/>
  <c r="AF16" i="17"/>
  <c r="R23" i="17"/>
  <c r="R21" i="17"/>
  <c r="L23" i="17"/>
  <c r="L21" i="17"/>
  <c r="L34" i="17"/>
  <c r="L35" i="17" s="1"/>
  <c r="L36" i="17"/>
  <c r="L38" i="17" s="1"/>
  <c r="I29" i="17"/>
  <c r="I28" i="17"/>
  <c r="O33" i="17"/>
  <c r="O28" i="17"/>
  <c r="O29" i="17"/>
  <c r="O20" i="17"/>
  <c r="AH29" i="17"/>
  <c r="AH28" i="17"/>
  <c r="AJ33" i="17"/>
  <c r="AJ29" i="17"/>
  <c r="AJ28" i="17"/>
  <c r="AJ20" i="17"/>
  <c r="S28" i="17"/>
  <c r="S29" i="17"/>
  <c r="AA29" i="17"/>
  <c r="AA28" i="17"/>
  <c r="C28" i="17"/>
  <c r="C29" i="17"/>
  <c r="M28" i="17"/>
  <c r="M29" i="17"/>
  <c r="M20" i="17"/>
  <c r="AI29" i="17"/>
  <c r="AI28" i="17"/>
  <c r="G29" i="17"/>
  <c r="G28" i="17"/>
  <c r="AN28" i="17"/>
  <c r="AN29" i="17"/>
  <c r="AN20" i="17"/>
  <c r="Q28" i="17"/>
  <c r="Q29" i="17"/>
  <c r="F29" i="17"/>
  <c r="F28" i="17"/>
  <c r="W33" i="17"/>
  <c r="W29" i="17"/>
  <c r="W28" i="17"/>
  <c r="W20" i="17"/>
  <c r="AF29" i="17"/>
  <c r="AF28" i="17"/>
  <c r="AB28" i="17"/>
  <c r="AB29" i="17"/>
  <c r="AE29" i="17"/>
  <c r="AE28" i="17"/>
  <c r="T29" i="17"/>
  <c r="T28" i="17"/>
  <c r="V29" i="17"/>
  <c r="V28" i="17"/>
  <c r="AK28" i="17"/>
  <c r="AK29" i="17"/>
  <c r="D28" i="17"/>
  <c r="D29" i="17"/>
  <c r="H28" i="17"/>
  <c r="H29" i="17"/>
  <c r="J28" i="17"/>
  <c r="J29" i="17"/>
  <c r="AM28" i="17"/>
  <c r="AM29" i="17"/>
  <c r="AD28" i="17"/>
  <c r="AD29" i="17"/>
  <c r="N29" i="17"/>
  <c r="N28" i="17"/>
  <c r="Z28" i="17"/>
  <c r="Z29" i="17"/>
  <c r="E28" i="17"/>
  <c r="E29" i="17"/>
  <c r="Y29" i="17"/>
  <c r="Y28" i="17"/>
  <c r="AL33" i="17"/>
  <c r="AL29" i="17"/>
  <c r="AL28" i="17"/>
  <c r="AL20" i="17"/>
  <c r="AC29" i="17"/>
  <c r="AC28" i="17"/>
  <c r="K33" i="17"/>
  <c r="K28" i="17"/>
  <c r="K29" i="17"/>
  <c r="K20" i="17"/>
  <c r="U29" i="17"/>
  <c r="U28" i="17"/>
  <c r="X28" i="17"/>
  <c r="X29" i="17"/>
  <c r="AG28" i="17"/>
  <c r="AG29" i="17"/>
  <c r="P29" i="17"/>
  <c r="P28" i="17"/>
  <c r="AL28" i="3"/>
  <c r="O28" i="3"/>
  <c r="AJ16" i="5"/>
  <c r="AC16" i="5"/>
  <c r="Y16" i="5"/>
  <c r="L16" i="5"/>
  <c r="AL55" i="20"/>
  <c r="AL72" i="20" s="1"/>
  <c r="AL78" i="20" s="1"/>
  <c r="G55" i="20"/>
  <c r="G72" i="20" s="1"/>
  <c r="G78" i="20" s="1"/>
  <c r="D55" i="20"/>
  <c r="D72" i="20" s="1"/>
  <c r="D78" i="20" s="1"/>
  <c r="AB16" i="5"/>
  <c r="P16" i="5"/>
  <c r="U55" i="20"/>
  <c r="U72" i="20" s="1"/>
  <c r="U78" i="20" s="1"/>
  <c r="E55" i="20"/>
  <c r="E72" i="20" s="1"/>
  <c r="E78" i="20" s="1"/>
  <c r="AN55" i="20"/>
  <c r="AN72" i="20" s="1"/>
  <c r="AN78" i="20" s="1"/>
  <c r="Y55" i="20"/>
  <c r="Y72" i="20" s="1"/>
  <c r="Y78" i="20" s="1"/>
  <c r="C55" i="20"/>
  <c r="C72" i="20" s="1"/>
  <c r="C78" i="20" s="1"/>
  <c r="J55" i="20"/>
  <c r="J72" i="20" s="1"/>
  <c r="J78" i="20" s="1"/>
  <c r="AD55" i="20"/>
  <c r="AD72" i="20" s="1"/>
  <c r="AD78" i="20" s="1"/>
  <c r="AC55" i="20"/>
  <c r="AC72" i="20" s="1"/>
  <c r="AC78" i="20" s="1"/>
  <c r="O55" i="20"/>
  <c r="O72" i="20" s="1"/>
  <c r="O78" i="20" s="1"/>
  <c r="V16" i="5"/>
  <c r="W16" i="5"/>
  <c r="AI16" i="5"/>
  <c r="F16" i="5"/>
  <c r="R90" i="20"/>
  <c r="AM16" i="5"/>
  <c r="X16" i="5"/>
  <c r="AN16" i="5"/>
  <c r="K16" i="5"/>
  <c r="AE55" i="20"/>
  <c r="AE72" i="20" s="1"/>
  <c r="AE78" i="20" s="1"/>
  <c r="AK55" i="20"/>
  <c r="AK72" i="20" s="1"/>
  <c r="AK78" i="20" s="1"/>
  <c r="Q55" i="20"/>
  <c r="Q72" i="20" s="1"/>
  <c r="Q78" i="20" s="1"/>
  <c r="R16" i="5"/>
  <c r="I16" i="5"/>
  <c r="AO16" i="5"/>
  <c r="J16" i="5"/>
  <c r="K55" i="20"/>
  <c r="K72" i="20" s="1"/>
  <c r="K78" i="20" s="1"/>
  <c r="AA55" i="20"/>
  <c r="AA72" i="20" s="1"/>
  <c r="AA78" i="20" s="1"/>
  <c r="AI55" i="20"/>
  <c r="AI72" i="20" s="1"/>
  <c r="AI78" i="20" s="1"/>
  <c r="X55" i="20"/>
  <c r="X72" i="20" s="1"/>
  <c r="X78" i="20" s="1"/>
  <c r="S55" i="20"/>
  <c r="S72" i="20" s="1"/>
  <c r="S78" i="20" s="1"/>
  <c r="O16" i="5"/>
  <c r="G16" i="5"/>
  <c r="N16" i="5"/>
  <c r="H16" i="5"/>
  <c r="AE16" i="5"/>
  <c r="AF16" i="5"/>
  <c r="AH55" i="20"/>
  <c r="AH72" i="20" s="1"/>
  <c r="AH78" i="20" s="1"/>
  <c r="N55" i="20"/>
  <c r="N72" i="20" s="1"/>
  <c r="N78" i="20" s="1"/>
  <c r="I55" i="20"/>
  <c r="I72" i="20" s="1"/>
  <c r="I78" i="20" s="1"/>
  <c r="Z55" i="20"/>
  <c r="Z72" i="20" s="1"/>
  <c r="Z78" i="20" s="1"/>
  <c r="AM55" i="20"/>
  <c r="AM72" i="20" s="1"/>
  <c r="AM78" i="20" s="1"/>
  <c r="AG55" i="20"/>
  <c r="AG72" i="20" s="1"/>
  <c r="AG78" i="20" s="1"/>
  <c r="AF55" i="20"/>
  <c r="AF72" i="20" s="1"/>
  <c r="AF78" i="20" s="1"/>
  <c r="U16" i="5"/>
  <c r="AD16" i="5"/>
  <c r="T16" i="5"/>
  <c r="AK16" i="5"/>
  <c r="D16" i="5"/>
  <c r="V55" i="20"/>
  <c r="V72" i="20" s="1"/>
  <c r="V78" i="20" s="1"/>
  <c r="M55" i="20"/>
  <c r="M72" i="20" s="1"/>
  <c r="M78" i="20" s="1"/>
  <c r="F55" i="20"/>
  <c r="F72" i="20" s="1"/>
  <c r="F78" i="20" s="1"/>
  <c r="P55" i="20"/>
  <c r="P72" i="20" s="1"/>
  <c r="P78" i="20" s="1"/>
  <c r="AB55" i="20"/>
  <c r="AB72" i="20" s="1"/>
  <c r="AB78" i="20" s="1"/>
  <c r="T55" i="20"/>
  <c r="H55" i="20"/>
  <c r="H72" i="20" s="1"/>
  <c r="H78" i="20" s="1"/>
  <c r="AJ55" i="20"/>
  <c r="AJ72" i="20" s="1"/>
  <c r="AJ78" i="20" s="1"/>
  <c r="W55" i="20"/>
  <c r="W72" i="20" s="1"/>
  <c r="W78" i="20" s="1"/>
  <c r="R91" i="20"/>
  <c r="S48" i="21" s="1"/>
  <c r="T54" i="20"/>
  <c r="T53" i="20" s="1"/>
  <c r="T56" i="20" s="1"/>
  <c r="T58" i="20" s="1"/>
  <c r="T61" i="20" s="1"/>
  <c r="L90" i="20"/>
  <c r="L91" i="20"/>
  <c r="R92" i="20"/>
  <c r="L64" i="20"/>
  <c r="K54" i="20"/>
  <c r="K57" i="20" s="1"/>
  <c r="K65" i="20" s="1"/>
  <c r="K68" i="20" s="1"/>
  <c r="Z54" i="20"/>
  <c r="Z57" i="20" s="1"/>
  <c r="Z65" i="20" s="1"/>
  <c r="Z68" i="20" s="1"/>
  <c r="AA54" i="20"/>
  <c r="AA57" i="20" s="1"/>
  <c r="AA65" i="20" s="1"/>
  <c r="AA68" i="20" s="1"/>
  <c r="AM54" i="20"/>
  <c r="AM57" i="20" s="1"/>
  <c r="AM65" i="20" s="1"/>
  <c r="AM68" i="20" s="1"/>
  <c r="AG54" i="20"/>
  <c r="AG57" i="20" s="1"/>
  <c r="AG65" i="20" s="1"/>
  <c r="AG68" i="20" s="1"/>
  <c r="AI54" i="20"/>
  <c r="AI57" i="20" s="1"/>
  <c r="AI65" i="20" s="1"/>
  <c r="AI68" i="20" s="1"/>
  <c r="X54" i="20"/>
  <c r="X57" i="20" s="1"/>
  <c r="X65" i="20" s="1"/>
  <c r="X68" i="20" s="1"/>
  <c r="S54" i="20"/>
  <c r="S57" i="20" s="1"/>
  <c r="S65" i="20" s="1"/>
  <c r="S68" i="20" s="1"/>
  <c r="AF54" i="20"/>
  <c r="AF57" i="20" s="1"/>
  <c r="AF65" i="20" s="1"/>
  <c r="AF68" i="20" s="1"/>
  <c r="V54" i="20"/>
  <c r="V57" i="20" s="1"/>
  <c r="V65" i="20" s="1"/>
  <c r="V68" i="20" s="1"/>
  <c r="M54" i="20"/>
  <c r="M57" i="20" s="1"/>
  <c r="M65" i="20" s="1"/>
  <c r="M68" i="20" s="1"/>
  <c r="F54" i="20"/>
  <c r="F57" i="20" s="1"/>
  <c r="F65" i="20" s="1"/>
  <c r="F68" i="20" s="1"/>
  <c r="P54" i="20"/>
  <c r="P57" i="20" s="1"/>
  <c r="P65" i="20" s="1"/>
  <c r="P68" i="20" s="1"/>
  <c r="AB54" i="20"/>
  <c r="AB57" i="20" s="1"/>
  <c r="AB65" i="20" s="1"/>
  <c r="AB68" i="20" s="1"/>
  <c r="H54" i="20"/>
  <c r="H57" i="20" s="1"/>
  <c r="H65" i="20" s="1"/>
  <c r="H68" i="20" s="1"/>
  <c r="AJ54" i="20"/>
  <c r="AJ57" i="20" s="1"/>
  <c r="AJ65" i="20" s="1"/>
  <c r="AJ68" i="20" s="1"/>
  <c r="W54" i="20"/>
  <c r="W57" i="20" s="1"/>
  <c r="W65" i="20" s="1"/>
  <c r="W68" i="20" s="1"/>
  <c r="AH54" i="20"/>
  <c r="AH57" i="20" s="1"/>
  <c r="AH65" i="20" s="1"/>
  <c r="AH68" i="20" s="1"/>
  <c r="AE54" i="20"/>
  <c r="AE57" i="20" s="1"/>
  <c r="AE65" i="20" s="1"/>
  <c r="AE68" i="20" s="1"/>
  <c r="AL54" i="20"/>
  <c r="AL57" i="20" s="1"/>
  <c r="AL65" i="20" s="1"/>
  <c r="AL68" i="20" s="1"/>
  <c r="G54" i="20"/>
  <c r="G57" i="20" s="1"/>
  <c r="G65" i="20" s="1"/>
  <c r="G68" i="20" s="1"/>
  <c r="N54" i="20"/>
  <c r="N57" i="20" s="1"/>
  <c r="N65" i="20" s="1"/>
  <c r="N68" i="20" s="1"/>
  <c r="D54" i="20"/>
  <c r="D57" i="20" s="1"/>
  <c r="D65" i="20" s="1"/>
  <c r="D68" i="20" s="1"/>
  <c r="AK54" i="20"/>
  <c r="AK57" i="20" s="1"/>
  <c r="AK65" i="20" s="1"/>
  <c r="AK68" i="20" s="1"/>
  <c r="I54" i="20"/>
  <c r="I57" i="20" s="1"/>
  <c r="I65" i="20" s="1"/>
  <c r="I68" i="20" s="1"/>
  <c r="Q54" i="20"/>
  <c r="Q57" i="20" s="1"/>
  <c r="Q65" i="20" s="1"/>
  <c r="Q68" i="20" s="1"/>
  <c r="U54" i="20"/>
  <c r="U57" i="20" s="1"/>
  <c r="U65" i="20" s="1"/>
  <c r="U68" i="20" s="1"/>
  <c r="E54" i="20"/>
  <c r="E57" i="20" s="1"/>
  <c r="E65" i="20" s="1"/>
  <c r="E68" i="20" s="1"/>
  <c r="AN54" i="20"/>
  <c r="AN57" i="20" s="1"/>
  <c r="AN65" i="20" s="1"/>
  <c r="AN68" i="20" s="1"/>
  <c r="Y54" i="20"/>
  <c r="Y57" i="20" s="1"/>
  <c r="Y65" i="20" s="1"/>
  <c r="Y68" i="20" s="1"/>
  <c r="C54" i="20"/>
  <c r="C57" i="20" s="1"/>
  <c r="C65" i="20" s="1"/>
  <c r="C68" i="20" s="1"/>
  <c r="J54" i="20"/>
  <c r="J57" i="20" s="1"/>
  <c r="J65" i="20" s="1"/>
  <c r="J68" i="20" s="1"/>
  <c r="AD54" i="20"/>
  <c r="AD57" i="20" s="1"/>
  <c r="AD65" i="20" s="1"/>
  <c r="AD68" i="20" s="1"/>
  <c r="AC54" i="20"/>
  <c r="AC57" i="20" s="1"/>
  <c r="AC65" i="20" s="1"/>
  <c r="AC68" i="20" s="1"/>
  <c r="O54" i="20"/>
  <c r="O57" i="20" s="1"/>
  <c r="O65" i="20" s="1"/>
  <c r="O68" i="20" s="1"/>
  <c r="I45" i="3"/>
  <c r="AM45" i="3"/>
  <c r="AN45" i="3"/>
  <c r="AD45" i="3"/>
  <c r="AH45" i="3"/>
  <c r="K45" i="3"/>
  <c r="Z45" i="3"/>
  <c r="AA45" i="3"/>
  <c r="AG45" i="3"/>
  <c r="AI45" i="3"/>
  <c r="X45" i="3"/>
  <c r="S45" i="3"/>
  <c r="AF45" i="3"/>
  <c r="AL45" i="3"/>
  <c r="G45" i="3"/>
  <c r="N45" i="3"/>
  <c r="D45" i="3"/>
  <c r="AK45" i="3"/>
  <c r="U45" i="3"/>
  <c r="E45" i="3"/>
  <c r="C45" i="3"/>
  <c r="AE45" i="3"/>
  <c r="Y45" i="3"/>
  <c r="J45" i="3"/>
  <c r="AC45" i="3"/>
  <c r="O45" i="3"/>
  <c r="V45" i="3"/>
  <c r="M45" i="3"/>
  <c r="F45" i="3"/>
  <c r="P45" i="3"/>
  <c r="AB45" i="3"/>
  <c r="T45" i="3"/>
  <c r="H45" i="3"/>
  <c r="AJ45" i="3"/>
  <c r="W45" i="3"/>
  <c r="Q45" i="3"/>
  <c r="K28" i="3"/>
  <c r="AJ28" i="3"/>
  <c r="AB17" i="5"/>
  <c r="AM14" i="20"/>
  <c r="AM15" i="20" s="1"/>
  <c r="Y14" i="20"/>
  <c r="Y15" i="20" s="1"/>
  <c r="X14" i="20"/>
  <c r="X15" i="20" s="1"/>
  <c r="U17" i="5"/>
  <c r="P21" i="20"/>
  <c r="P29" i="20" s="1"/>
  <c r="P36" i="20" s="1"/>
  <c r="I14" i="20"/>
  <c r="I15" i="20" s="1"/>
  <c r="O14" i="20"/>
  <c r="O15" i="20" s="1"/>
  <c r="X21" i="20"/>
  <c r="X29" i="20" s="1"/>
  <c r="X36" i="20" s="1"/>
  <c r="AF14" i="20"/>
  <c r="AF15" i="20" s="1"/>
  <c r="V14" i="20"/>
  <c r="V15" i="20" s="1"/>
  <c r="AH14" i="20"/>
  <c r="AH15" i="20" s="1"/>
  <c r="AL14" i="20"/>
  <c r="AL15" i="20" s="1"/>
  <c r="N14" i="20"/>
  <c r="N15" i="20" s="1"/>
  <c r="D14" i="20"/>
  <c r="D15" i="20" s="1"/>
  <c r="AK14" i="20"/>
  <c r="AK15" i="20" s="1"/>
  <c r="M14" i="20"/>
  <c r="M15" i="20" s="1"/>
  <c r="F14" i="20"/>
  <c r="F15" i="20" s="1"/>
  <c r="AB14" i="20"/>
  <c r="AB15" i="20" s="1"/>
  <c r="P14" i="20"/>
  <c r="P15" i="20" s="1"/>
  <c r="AG14" i="20"/>
  <c r="AG15" i="20" s="1"/>
  <c r="H14" i="20"/>
  <c r="H15" i="20" s="1"/>
  <c r="W14" i="20"/>
  <c r="W15" i="20" s="1"/>
  <c r="T14" i="20"/>
  <c r="T15" i="20" s="1"/>
  <c r="U14" i="20"/>
  <c r="U15" i="20" s="1"/>
  <c r="E14" i="20"/>
  <c r="E15" i="20" s="1"/>
  <c r="AE14" i="20"/>
  <c r="AE15" i="20" s="1"/>
  <c r="G14" i="20"/>
  <c r="G15" i="20" s="1"/>
  <c r="C14" i="20"/>
  <c r="C15" i="20" s="1"/>
  <c r="J14" i="20"/>
  <c r="J15" i="20" s="1"/>
  <c r="AD14" i="20"/>
  <c r="AD15" i="20" s="1"/>
  <c r="AC14" i="20"/>
  <c r="AC15" i="20" s="1"/>
  <c r="AM21" i="20"/>
  <c r="AM29" i="20" s="1"/>
  <c r="AM36" i="20" s="1"/>
  <c r="Y21" i="20"/>
  <c r="Y29" i="20" s="1"/>
  <c r="Y36" i="20" s="1"/>
  <c r="Q14" i="20"/>
  <c r="Q15" i="20" s="1"/>
  <c r="AJ14" i="20"/>
  <c r="AJ15" i="20" s="1"/>
  <c r="K14" i="20"/>
  <c r="K15" i="20" s="1"/>
  <c r="Z14" i="20"/>
  <c r="Z15" i="20" s="1"/>
  <c r="AA14" i="20"/>
  <c r="AA15" i="20" s="1"/>
  <c r="AN14" i="20"/>
  <c r="AN15" i="20" s="1"/>
  <c r="AI14" i="20"/>
  <c r="AI15" i="20" s="1"/>
  <c r="S14" i="20"/>
  <c r="S15" i="20" s="1"/>
  <c r="W28" i="3"/>
  <c r="AG17" i="5"/>
  <c r="I17" i="5"/>
  <c r="AI17" i="5"/>
  <c r="W17" i="5"/>
  <c r="AD17" i="5"/>
  <c r="X17" i="5"/>
  <c r="AG54" i="21"/>
  <c r="Y12" i="22"/>
  <c r="Y13" i="22" s="1"/>
  <c r="V17" i="5"/>
  <c r="Y17" i="5"/>
  <c r="P17" i="5"/>
  <c r="Z17" i="5"/>
  <c r="AM17" i="5"/>
  <c r="E17" i="5"/>
  <c r="AK17" i="5"/>
  <c r="F17" i="5"/>
  <c r="G17" i="5"/>
  <c r="K17" i="5"/>
  <c r="AJ17" i="5"/>
  <c r="T17" i="5"/>
  <c r="AC17" i="5"/>
  <c r="C29" i="11"/>
  <c r="X12" i="22"/>
  <c r="X13" i="22" s="1"/>
  <c r="AA12" i="22"/>
  <c r="AA13" i="22" s="1"/>
  <c r="AH9" i="14"/>
  <c r="AK9" i="14"/>
  <c r="Q9" i="14"/>
  <c r="S29" i="11"/>
  <c r="AN54" i="21"/>
  <c r="AD54" i="21"/>
  <c r="AF12" i="22"/>
  <c r="AF13" i="22" s="1"/>
  <c r="Z7" i="14"/>
  <c r="AD33" i="11"/>
  <c r="C9" i="14"/>
  <c r="T54" i="21"/>
  <c r="AK54" i="21"/>
  <c r="AD7" i="14"/>
  <c r="E12" i="22"/>
  <c r="E13" i="22" s="1"/>
  <c r="AL5" i="14"/>
  <c r="Z12" i="22"/>
  <c r="Z13" i="22" s="1"/>
  <c r="AA7" i="14"/>
  <c r="AA9" i="14"/>
  <c r="I29" i="11"/>
  <c r="Y9" i="14"/>
  <c r="N12" i="22"/>
  <c r="N13" i="22" s="1"/>
  <c r="X29" i="11"/>
  <c r="G7" i="14"/>
  <c r="Z33" i="11"/>
  <c r="H7" i="14"/>
  <c r="P29" i="11"/>
  <c r="V29" i="11"/>
  <c r="J9" i="14"/>
  <c r="AM9" i="14"/>
  <c r="S12" i="22"/>
  <c r="S13" i="22" s="1"/>
  <c r="G12" i="22"/>
  <c r="G13" i="22" s="1"/>
  <c r="K33" i="11"/>
  <c r="R54" i="21"/>
  <c r="F9" i="14"/>
  <c r="W9" i="14"/>
  <c r="X9" i="14"/>
  <c r="AH29" i="11"/>
  <c r="AC7" i="14"/>
  <c r="N33" i="11"/>
  <c r="C7" i="14"/>
  <c r="AH54" i="21"/>
  <c r="X7" i="14"/>
  <c r="AE12" i="22"/>
  <c r="AE13" i="22" s="1"/>
  <c r="AI33" i="11"/>
  <c r="P9" i="14"/>
  <c r="Q54" i="21"/>
  <c r="W7" i="14"/>
  <c r="N54" i="21"/>
  <c r="AI29" i="11"/>
  <c r="AH7" i="14"/>
  <c r="AL12" i="22"/>
  <c r="AL13" i="22" s="1"/>
  <c r="AK29" i="11"/>
  <c r="O29" i="11"/>
  <c r="J33" i="11"/>
  <c r="U29" i="11"/>
  <c r="AJ12" i="22"/>
  <c r="AJ13" i="22" s="1"/>
  <c r="P12" i="22"/>
  <c r="P13" i="22" s="1"/>
  <c r="G54" i="21"/>
  <c r="C33" i="11"/>
  <c r="AF9" i="14"/>
  <c r="AL7" i="14"/>
  <c r="D33" i="11"/>
  <c r="AA29" i="11"/>
  <c r="U33" i="11"/>
  <c r="AE33" i="11"/>
  <c r="M29" i="11"/>
  <c r="F7" i="14"/>
  <c r="AD29" i="11"/>
  <c r="V9" i="14"/>
  <c r="AE29" i="11"/>
  <c r="AE9" i="14"/>
  <c r="AG29" i="11"/>
  <c r="D54" i="21"/>
  <c r="G33" i="11"/>
  <c r="M7" i="14"/>
  <c r="AE5" i="14"/>
  <c r="AH12" i="22"/>
  <c r="AH13" i="22" s="1"/>
  <c r="O7" i="14"/>
  <c r="AM12" i="22"/>
  <c r="AM13" i="22" s="1"/>
  <c r="C12" i="22"/>
  <c r="C13" i="22" s="1"/>
  <c r="V33" i="11"/>
  <c r="J54" i="21"/>
  <c r="D12" i="22"/>
  <c r="D13" i="22" s="1"/>
  <c r="AJ29" i="11"/>
  <c r="O9" i="14"/>
  <c r="F12" i="22"/>
  <c r="F13" i="22" s="1"/>
  <c r="AL29" i="11"/>
  <c r="AM29" i="11"/>
  <c r="AG33" i="11"/>
  <c r="Q33" i="11"/>
  <c r="O54" i="21"/>
  <c r="H33" i="11"/>
  <c r="AL54" i="21"/>
  <c r="U9" i="14"/>
  <c r="N9" i="14"/>
  <c r="F33" i="11"/>
  <c r="Z54" i="21"/>
  <c r="AK33" i="11"/>
  <c r="AI9" i="14"/>
  <c r="V12" i="22"/>
  <c r="V13" i="22" s="1"/>
  <c r="AK7" i="14"/>
  <c r="AH33" i="11"/>
  <c r="AI7" i="14"/>
  <c r="G29" i="11"/>
  <c r="AM14" i="22"/>
  <c r="AM15" i="22" s="1"/>
  <c r="AO7" i="23"/>
  <c r="AM56" i="5"/>
  <c r="O56" i="5"/>
  <c r="P7" i="14"/>
  <c r="J7" i="14"/>
  <c r="S20" i="20"/>
  <c r="S28" i="20" s="1"/>
  <c r="S35" i="20" s="1"/>
  <c r="AM7" i="14"/>
  <c r="AK20" i="20"/>
  <c r="AK28" i="20" s="1"/>
  <c r="AK35" i="20" s="1"/>
  <c r="K9" i="14"/>
  <c r="AJ33" i="11"/>
  <c r="AA17" i="5"/>
  <c r="Y23" i="20"/>
  <c r="Y31" i="20" s="1"/>
  <c r="Y38" i="20"/>
  <c r="AM54" i="21"/>
  <c r="P14" i="22"/>
  <c r="P15" i="22" s="1"/>
  <c r="R7" i="23"/>
  <c r="AC38" i="20"/>
  <c r="AC23" i="20"/>
  <c r="AC31" i="20" s="1"/>
  <c r="X54" i="21"/>
  <c r="AJ7" i="23"/>
  <c r="AH14" i="22"/>
  <c r="AH15" i="22" s="1"/>
  <c r="AI12" i="22"/>
  <c r="AI13" i="22" s="1"/>
  <c r="J12" i="22"/>
  <c r="J13" i="22" s="1"/>
  <c r="E20" i="20"/>
  <c r="E28" i="20" s="1"/>
  <c r="E35" i="20" s="1"/>
  <c r="S14" i="22"/>
  <c r="S15" i="22" s="1"/>
  <c r="U7" i="23"/>
  <c r="Y29" i="11"/>
  <c r="AE54" i="21"/>
  <c r="O20" i="20"/>
  <c r="O28" i="20" s="1"/>
  <c r="O35" i="20" s="1"/>
  <c r="D19" i="20"/>
  <c r="AF19" i="20"/>
  <c r="U19" i="20"/>
  <c r="H19" i="20"/>
  <c r="N29" i="11"/>
  <c r="Q7" i="14"/>
  <c r="F14" i="22"/>
  <c r="F15" i="22" s="1"/>
  <c r="H7" i="23"/>
  <c r="N56" i="5"/>
  <c r="G7" i="23"/>
  <c r="E14" i="22"/>
  <c r="E15" i="22" s="1"/>
  <c r="AC54" i="21"/>
  <c r="AD9" i="14"/>
  <c r="AK12" i="22"/>
  <c r="AK13" i="22" s="1"/>
  <c r="AE20" i="20"/>
  <c r="AE28" i="20" s="1"/>
  <c r="AE35" i="20" s="1"/>
  <c r="L54" i="21"/>
  <c r="W29" i="11"/>
  <c r="AI56" i="5"/>
  <c r="E7" i="14"/>
  <c r="AM33" i="11"/>
  <c r="AI54" i="21"/>
  <c r="J29" i="11"/>
  <c r="G23" i="20"/>
  <c r="G31" i="20" s="1"/>
  <c r="G38" i="20"/>
  <c r="AB33" i="11"/>
  <c r="Q56" i="5"/>
  <c r="AC24" i="14"/>
  <c r="AC5" i="14"/>
  <c r="AI24" i="14"/>
  <c r="AI5" i="14"/>
  <c r="H17" i="5"/>
  <c r="X20" i="20"/>
  <c r="X28" i="20" s="1"/>
  <c r="X35" i="20" s="1"/>
  <c r="X56" i="5"/>
  <c r="AM24" i="14"/>
  <c r="AM5" i="14"/>
  <c r="K24" i="14"/>
  <c r="K5" i="14"/>
  <c r="V22" i="20"/>
  <c r="V30" i="20" s="1"/>
  <c r="V37" i="20"/>
  <c r="Z20" i="20"/>
  <c r="Z28" i="20" s="1"/>
  <c r="Z35" i="20" s="1"/>
  <c r="AK7" i="23"/>
  <c r="AI14" i="22"/>
  <c r="AI15" i="22" s="1"/>
  <c r="L7" i="23"/>
  <c r="J14" i="22"/>
  <c r="J15" i="22" s="1"/>
  <c r="X5" i="14"/>
  <c r="X24" i="14"/>
  <c r="O24" i="14"/>
  <c r="O5" i="14"/>
  <c r="C19" i="20"/>
  <c r="AJ19" i="20"/>
  <c r="AE19" i="20"/>
  <c r="G19" i="20"/>
  <c r="AD24" i="14"/>
  <c r="AD5" i="14"/>
  <c r="AM7" i="23"/>
  <c r="AK14" i="22"/>
  <c r="AK15" i="22" s="1"/>
  <c r="AN33" i="11"/>
  <c r="AF56" i="5"/>
  <c r="H24" i="14"/>
  <c r="H5" i="14"/>
  <c r="AD14" i="22"/>
  <c r="AD15" i="22" s="1"/>
  <c r="AF7" i="23"/>
  <c r="U14" i="22"/>
  <c r="U15" i="22" s="1"/>
  <c r="W7" i="23"/>
  <c r="AC7" i="23"/>
  <c r="AA14" i="22"/>
  <c r="AA15" i="22" s="1"/>
  <c r="K29" i="11"/>
  <c r="D20" i="20"/>
  <c r="D28" i="20" s="1"/>
  <c r="D35" i="20" s="1"/>
  <c r="C14" i="22"/>
  <c r="C15" i="22" s="1"/>
  <c r="E7" i="23"/>
  <c r="P33" i="11"/>
  <c r="U7" i="14"/>
  <c r="I54" i="21"/>
  <c r="F54" i="21"/>
  <c r="AK23" i="20"/>
  <c r="AK31" i="20" s="1"/>
  <c r="AK38" i="20"/>
  <c r="K7" i="14"/>
  <c r="M33" i="11"/>
  <c r="AJ56" i="5"/>
  <c r="K54" i="21"/>
  <c r="P54" i="21"/>
  <c r="I12" i="22"/>
  <c r="I13" i="22" s="1"/>
  <c r="AF14" i="22"/>
  <c r="AF15" i="22" s="1"/>
  <c r="AH7" i="23"/>
  <c r="AD19" i="20"/>
  <c r="P19" i="20"/>
  <c r="F19" i="20"/>
  <c r="Q24" i="14"/>
  <c r="Q5" i="14"/>
  <c r="AH24" i="14"/>
  <c r="AH5" i="14"/>
  <c r="H54" i="21"/>
  <c r="AL14" i="22"/>
  <c r="AL15" i="22" s="1"/>
  <c r="AN7" i="23"/>
  <c r="W24" i="14"/>
  <c r="W5" i="14"/>
  <c r="AF29" i="11"/>
  <c r="Q29" i="11"/>
  <c r="I33" i="11"/>
  <c r="H29" i="11"/>
  <c r="Z9" i="14"/>
  <c r="AN56" i="5"/>
  <c r="AD12" i="22"/>
  <c r="AD13" i="22" s="1"/>
  <c r="C24" i="14"/>
  <c r="C5" i="14"/>
  <c r="W54" i="21"/>
  <c r="U12" i="22"/>
  <c r="U13" i="22" s="1"/>
  <c r="J20" i="20"/>
  <c r="J28" i="20" s="1"/>
  <c r="J35" i="20" s="1"/>
  <c r="AG23" i="20"/>
  <c r="AG31" i="20" s="1"/>
  <c r="AG38" i="20"/>
  <c r="N20" i="20"/>
  <c r="N28" i="20" s="1"/>
  <c r="N35" i="20" s="1"/>
  <c r="AC9" i="14"/>
  <c r="H20" i="20"/>
  <c r="H28" i="20" s="1"/>
  <c r="H35" i="20" s="1"/>
  <c r="AG14" i="22"/>
  <c r="AG15" i="22" s="1"/>
  <c r="AI7" i="23"/>
  <c r="I20" i="20"/>
  <c r="I28" i="20" s="1"/>
  <c r="I35" i="20" s="1"/>
  <c r="W20" i="20"/>
  <c r="W28" i="20" s="1"/>
  <c r="W35" i="20" s="1"/>
  <c r="Z29" i="11"/>
  <c r="S33" i="11"/>
  <c r="Z56" i="5"/>
  <c r="N24" i="14"/>
  <c r="N5" i="14"/>
  <c r="R56" i="5"/>
  <c r="AC20" i="20"/>
  <c r="AC28" i="20" s="1"/>
  <c r="AC35" i="20" s="1"/>
  <c r="K7" i="23"/>
  <c r="I14" i="22"/>
  <c r="I15" i="22" s="1"/>
  <c r="S19" i="20"/>
  <c r="AN19" i="20"/>
  <c r="AC19" i="20"/>
  <c r="O19" i="20"/>
  <c r="E19" i="20"/>
  <c r="Q20" i="20"/>
  <c r="Q28" i="20" s="1"/>
  <c r="Q35" i="20" s="1"/>
  <c r="W14" i="22"/>
  <c r="W15" i="22" s="1"/>
  <c r="Y7" i="23"/>
  <c r="AB56" i="5"/>
  <c r="L56" i="5"/>
  <c r="AA56" i="5"/>
  <c r="Z24" i="14"/>
  <c r="Z5" i="14"/>
  <c r="F56" i="5"/>
  <c r="G21" i="20"/>
  <c r="G29" i="20" s="1"/>
  <c r="G36" i="20"/>
  <c r="AC33" i="11"/>
  <c r="D9" i="14"/>
  <c r="D23" i="20"/>
  <c r="D31" i="20" s="1"/>
  <c r="D38" i="20"/>
  <c r="AG12" i="22"/>
  <c r="AG13" i="22" s="1"/>
  <c r="U24" i="14"/>
  <c r="U5" i="14"/>
  <c r="M14" i="22"/>
  <c r="M15" i="22" s="1"/>
  <c r="O7" i="23"/>
  <c r="AJ20" i="20"/>
  <c r="AJ28" i="20" s="1"/>
  <c r="AJ35" i="20" s="1"/>
  <c r="S24" i="14"/>
  <c r="S5" i="14"/>
  <c r="AM20" i="20"/>
  <c r="AM28" i="20" s="1"/>
  <c r="AM35" i="20" s="1"/>
  <c r="I7" i="14"/>
  <c r="V20" i="20"/>
  <c r="V28" i="20" s="1"/>
  <c r="V35" i="20" s="1"/>
  <c r="K20" i="20"/>
  <c r="K28" i="20" s="1"/>
  <c r="K35" i="20" s="1"/>
  <c r="U20" i="20"/>
  <c r="U28" i="20" s="1"/>
  <c r="U35" i="20" s="1"/>
  <c r="AF24" i="14"/>
  <c r="AF5" i="14"/>
  <c r="G9" i="14"/>
  <c r="R78" i="20"/>
  <c r="R79" i="20" s="1"/>
  <c r="R19" i="20"/>
  <c r="AM19" i="20"/>
  <c r="AA19" i="20"/>
  <c r="N19" i="20"/>
  <c r="Z19" i="20"/>
  <c r="W12" i="22"/>
  <c r="W13" i="22" s="1"/>
  <c r="AN14" i="22"/>
  <c r="AN15" i="22" s="1"/>
  <c r="AP7" i="23"/>
  <c r="AN17" i="5"/>
  <c r="AA20" i="20"/>
  <c r="AA28" i="20" s="1"/>
  <c r="AA35" i="20" s="1"/>
  <c r="P56" i="5"/>
  <c r="AK24" i="14"/>
  <c r="AK5" i="14"/>
  <c r="J17" i="5"/>
  <c r="D29" i="11"/>
  <c r="G20" i="20"/>
  <c r="G28" i="20" s="1"/>
  <c r="G35" i="20" s="1"/>
  <c r="X33" i="11"/>
  <c r="AB29" i="11"/>
  <c r="AN20" i="20"/>
  <c r="AN28" i="20" s="1"/>
  <c r="AN35" i="20" s="1"/>
  <c r="P23" i="20"/>
  <c r="P31" i="20" s="1"/>
  <c r="P38" i="20"/>
  <c r="V24" i="14"/>
  <c r="V5" i="14"/>
  <c r="X14" i="22"/>
  <c r="X15" i="22" s="1"/>
  <c r="Z7" i="23"/>
  <c r="AG20" i="20"/>
  <c r="AG28" i="20" s="1"/>
  <c r="AG35" i="20" s="1"/>
  <c r="AE56" i="5"/>
  <c r="D7" i="14"/>
  <c r="I56" i="5"/>
  <c r="AB12" i="22"/>
  <c r="AB13" i="22" s="1"/>
  <c r="Y7" i="14"/>
  <c r="AO56" i="5"/>
  <c r="AD56" i="5"/>
  <c r="M12" i="22"/>
  <c r="M13" i="22" s="1"/>
  <c r="AA54" i="21"/>
  <c r="K56" i="5"/>
  <c r="AA5" i="14"/>
  <c r="AD20" i="20"/>
  <c r="AD28" i="20" s="1"/>
  <c r="AD35" i="20" s="1"/>
  <c r="F7" i="23"/>
  <c r="D14" i="22"/>
  <c r="D15" i="22" s="1"/>
  <c r="M9" i="14"/>
  <c r="E29" i="11"/>
  <c r="I7" i="23"/>
  <c r="G14" i="22"/>
  <c r="G15" i="22" s="1"/>
  <c r="S9" i="14"/>
  <c r="Y20" i="20"/>
  <c r="Y28" i="20" s="1"/>
  <c r="Y35" i="20" s="1"/>
  <c r="AH56" i="5"/>
  <c r="AE7" i="14"/>
  <c r="N7" i="14"/>
  <c r="G56" i="5"/>
  <c r="I24" i="14"/>
  <c r="I5" i="14"/>
  <c r="AF7" i="14"/>
  <c r="G24" i="14"/>
  <c r="G5" i="14"/>
  <c r="AC56" i="5"/>
  <c r="Y33" i="11"/>
  <c r="AL9" i="14"/>
  <c r="J19" i="20"/>
  <c r="Q19" i="20"/>
  <c r="AL19" i="20"/>
  <c r="X19" i="20"/>
  <c r="M19" i="20"/>
  <c r="Y19" i="20"/>
  <c r="F29" i="11"/>
  <c r="W56" i="5"/>
  <c r="Z14" i="22"/>
  <c r="Z15" i="22" s="1"/>
  <c r="AB7" i="23"/>
  <c r="T56" i="5"/>
  <c r="AN12" i="22"/>
  <c r="AN13" i="22" s="1"/>
  <c r="AL33" i="11"/>
  <c r="Q12" i="22"/>
  <c r="Q13" i="22" s="1"/>
  <c r="F20" i="20"/>
  <c r="F28" i="20" s="1"/>
  <c r="F35" i="20" s="1"/>
  <c r="W33" i="11"/>
  <c r="V54" i="21"/>
  <c r="AK56" i="5"/>
  <c r="AJ54" i="21"/>
  <c r="AB54" i="21"/>
  <c r="AG24" i="14"/>
  <c r="AG5" i="14"/>
  <c r="AO17" i="5"/>
  <c r="AC12" i="22"/>
  <c r="AC13" i="22" s="1"/>
  <c r="AJ9" i="14"/>
  <c r="H56" i="5"/>
  <c r="AB9" i="14"/>
  <c r="AA33" i="11"/>
  <c r="AE14" i="22"/>
  <c r="AE15" i="22" s="1"/>
  <c r="AG7" i="23"/>
  <c r="V7" i="14"/>
  <c r="AI20" i="20"/>
  <c r="AI28" i="20" s="1"/>
  <c r="AI35" i="20" s="1"/>
  <c r="AG56" i="5"/>
  <c r="AB20" i="20"/>
  <c r="AB28" i="20" s="1"/>
  <c r="AB35" i="20" s="1"/>
  <c r="AN9" i="14"/>
  <c r="D56" i="5"/>
  <c r="C20" i="20"/>
  <c r="C28" i="20" s="1"/>
  <c r="C35" i="20" s="1"/>
  <c r="D24" i="14"/>
  <c r="D5" i="14"/>
  <c r="AL7" i="23"/>
  <c r="AJ14" i="22"/>
  <c r="AJ15" i="22" s="1"/>
  <c r="AD7" i="23"/>
  <c r="AB14" i="22"/>
  <c r="AB15" i="22" s="1"/>
  <c r="Y24" i="14"/>
  <c r="Y5" i="14"/>
  <c r="P5" i="14"/>
  <c r="E54" i="21"/>
  <c r="J24" i="14"/>
  <c r="J5" i="14"/>
  <c r="O33" i="11"/>
  <c r="AL56" i="5"/>
  <c r="X7" i="23"/>
  <c r="V14" i="22"/>
  <c r="V15" i="22" s="1"/>
  <c r="V56" i="5"/>
  <c r="M24" i="14"/>
  <c r="M5" i="14"/>
  <c r="AF20" i="20"/>
  <c r="AF28" i="20" s="1"/>
  <c r="AF35" i="20" s="1"/>
  <c r="E33" i="11"/>
  <c r="S7" i="14"/>
  <c r="AO54" i="21"/>
  <c r="F24" i="14"/>
  <c r="F5" i="14"/>
  <c r="I9" i="14"/>
  <c r="AI19" i="20"/>
  <c r="AK19" i="20"/>
  <c r="W19" i="20"/>
  <c r="AH19" i="20"/>
  <c r="T19" i="20"/>
  <c r="T27" i="20" s="1"/>
  <c r="T34" i="20" s="1"/>
  <c r="K12" i="22"/>
  <c r="K13" i="22" s="1"/>
  <c r="H12" i="22"/>
  <c r="H13" i="22" s="1"/>
  <c r="O12" i="22"/>
  <c r="O13" i="22" s="1"/>
  <c r="Q14" i="22"/>
  <c r="Q15" i="22" s="1"/>
  <c r="S7" i="23"/>
  <c r="E9" i="14"/>
  <c r="AG9" i="14"/>
  <c r="AN29" i="11"/>
  <c r="AF54" i="21"/>
  <c r="AC14" i="22"/>
  <c r="AC15" i="22" s="1"/>
  <c r="AE7" i="23"/>
  <c r="AJ24" i="14"/>
  <c r="AJ5" i="14"/>
  <c r="Y54" i="21"/>
  <c r="AB7" i="14"/>
  <c r="AL20" i="20"/>
  <c r="AL28" i="20" s="1"/>
  <c r="AL35" i="20" s="1"/>
  <c r="N14" i="22"/>
  <c r="N15" i="22" s="1"/>
  <c r="P7" i="23"/>
  <c r="P20" i="20"/>
  <c r="P28" i="20" s="1"/>
  <c r="P35" i="20" s="1"/>
  <c r="Y56" i="5"/>
  <c r="AN7" i="14"/>
  <c r="E56" i="5"/>
  <c r="AH20" i="20"/>
  <c r="AH28" i="20" s="1"/>
  <c r="AH35" i="20" s="1"/>
  <c r="M20" i="20"/>
  <c r="M28" i="20" s="1"/>
  <c r="M35" i="20" s="1"/>
  <c r="I19" i="20"/>
  <c r="K19" i="20"/>
  <c r="AB19" i="20"/>
  <c r="V19" i="20"/>
  <c r="AG19" i="20"/>
  <c r="L19" i="20"/>
  <c r="L78" i="20"/>
  <c r="L79" i="20" s="1"/>
  <c r="K14" i="22"/>
  <c r="K15" i="22" s="1"/>
  <c r="M7" i="23"/>
  <c r="H14" i="22"/>
  <c r="H15" i="22" s="1"/>
  <c r="J7" i="23"/>
  <c r="Q7" i="23"/>
  <c r="O14" i="22"/>
  <c r="O15" i="22" s="1"/>
  <c r="J56" i="5"/>
  <c r="AF33" i="11"/>
  <c r="E5" i="14"/>
  <c r="AA7" i="23"/>
  <c r="Y14" i="22"/>
  <c r="Y15" i="22" s="1"/>
  <c r="AG7" i="14"/>
  <c r="H9" i="14"/>
  <c r="AJ7" i="14"/>
  <c r="G39" i="20"/>
  <c r="G24" i="20"/>
  <c r="G32" i="20" s="1"/>
  <c r="AB24" i="14"/>
  <c r="AB5" i="14"/>
  <c r="AE17" i="5"/>
  <c r="AC29" i="11"/>
  <c r="AN24" i="14"/>
  <c r="AN5" i="14"/>
  <c r="T21" i="20"/>
  <c r="BA125" i="13"/>
  <c r="AG125" i="13"/>
  <c r="BB125" i="13"/>
  <c r="AL125" i="13"/>
  <c r="AP141" i="13"/>
  <c r="AD125" i="13"/>
  <c r="AK125" i="13"/>
  <c r="AE125" i="13"/>
  <c r="U56" i="5"/>
  <c r="T12" i="22"/>
  <c r="T13" i="22" s="1"/>
  <c r="T7" i="14"/>
  <c r="T9" i="14"/>
  <c r="T24" i="14"/>
  <c r="T5" i="14"/>
  <c r="T33" i="11"/>
  <c r="T24" i="20"/>
  <c r="T32" i="20" s="1"/>
  <c r="T39" i="20"/>
  <c r="T29" i="11"/>
  <c r="T38" i="20"/>
  <c r="T23" i="20"/>
  <c r="T31" i="20" s="1"/>
  <c r="T14" i="22"/>
  <c r="T15" i="22" s="1"/>
  <c r="V7" i="23"/>
  <c r="T20" i="20"/>
  <c r="AA141" i="13"/>
  <c r="L15" i="14"/>
  <c r="L17" i="14" s="1"/>
  <c r="AI141" i="13"/>
  <c r="AX125" i="13"/>
  <c r="Y141" i="13"/>
  <c r="X141" i="13"/>
  <c r="AF141" i="13"/>
  <c r="AM125" i="13"/>
  <c r="BF125" i="13"/>
  <c r="AO141" i="13"/>
  <c r="AK141" i="13"/>
  <c r="AJ141" i="13"/>
  <c r="BH141" i="13"/>
  <c r="AR141" i="13"/>
  <c r="R15" i="14"/>
  <c r="R16" i="14" s="1"/>
  <c r="AN141" i="13"/>
  <c r="AB125" i="13"/>
  <c r="AB141" i="13"/>
  <c r="AW125" i="13"/>
  <c r="AW141" i="13"/>
  <c r="AT125" i="13"/>
  <c r="AT141" i="13"/>
  <c r="J72" i="12" l="1"/>
  <c r="J56" i="12"/>
  <c r="AI72" i="12"/>
  <c r="AI56" i="12"/>
  <c r="AI57" i="12" s="1"/>
  <c r="H72" i="12"/>
  <c r="H56" i="12"/>
  <c r="H57" i="12" s="1"/>
  <c r="O72" i="12"/>
  <c r="O56" i="12"/>
  <c r="O57" i="12" s="1"/>
  <c r="AB72" i="12"/>
  <c r="AB56" i="12"/>
  <c r="AB57" i="12" s="1"/>
  <c r="AH72" i="12"/>
  <c r="AH56" i="12"/>
  <c r="AH57" i="12" s="1"/>
  <c r="C72" i="12"/>
  <c r="C56" i="12"/>
  <c r="C57" i="12" s="1"/>
  <c r="V72" i="12"/>
  <c r="V56" i="12"/>
  <c r="V57" i="12" s="1"/>
  <c r="N72" i="12"/>
  <c r="N56" i="12"/>
  <c r="N57" i="12" s="1"/>
  <c r="T72" i="12"/>
  <c r="T56" i="12"/>
  <c r="T57" i="12" s="1"/>
  <c r="D72" i="12"/>
  <c r="D56" i="12"/>
  <c r="D57" i="12" s="1"/>
  <c r="AE72" i="12"/>
  <c r="AE56" i="12"/>
  <c r="AE57" i="12" s="1"/>
  <c r="AG72" i="12"/>
  <c r="AG56" i="12"/>
  <c r="AG57" i="12" s="1"/>
  <c r="G77" i="12"/>
  <c r="G78" i="12" s="1"/>
  <c r="M25" i="5"/>
  <c r="M29" i="5" s="1"/>
  <c r="M33" i="5"/>
  <c r="M34" i="5" s="1"/>
  <c r="M39" i="5"/>
  <c r="M47" i="5" s="1"/>
  <c r="S25" i="5"/>
  <c r="S29" i="5" s="1"/>
  <c r="S33" i="5"/>
  <c r="S34" i="5" s="1"/>
  <c r="M27" i="5"/>
  <c r="S27" i="5"/>
  <c r="M28" i="5"/>
  <c r="M52" i="5" s="1"/>
  <c r="M44" i="5"/>
  <c r="M36" i="5" s="1"/>
  <c r="S39" i="5"/>
  <c r="H19" i="5"/>
  <c r="H32" i="5" s="1"/>
  <c r="H18" i="5"/>
  <c r="K18" i="5"/>
  <c r="K23" i="5" s="1"/>
  <c r="K19" i="5"/>
  <c r="K32" i="5" s="1"/>
  <c r="K40" i="5" s="1"/>
  <c r="K48" i="5" s="1"/>
  <c r="N120" i="5"/>
  <c r="AE18" i="5"/>
  <c r="AE23" i="5" s="1"/>
  <c r="AE19" i="5"/>
  <c r="AE32" i="5" s="1"/>
  <c r="G19" i="5"/>
  <c r="G32" i="5" s="1"/>
  <c r="G18" i="5"/>
  <c r="G23" i="5" s="1"/>
  <c r="AB19" i="5"/>
  <c r="AB32" i="5" s="1"/>
  <c r="AB18" i="5"/>
  <c r="AB23" i="5" s="1"/>
  <c r="AL18" i="5"/>
  <c r="AL23" i="5" s="1"/>
  <c r="AL19" i="5"/>
  <c r="AL32" i="5" s="1"/>
  <c r="Y18" i="5"/>
  <c r="Y19" i="5"/>
  <c r="Y32" i="5" s="1"/>
  <c r="I18" i="5"/>
  <c r="I19" i="5"/>
  <c r="I32" i="5" s="1"/>
  <c r="I40" i="5" s="1"/>
  <c r="I48" i="5" s="1"/>
  <c r="V120" i="5"/>
  <c r="AD120" i="5"/>
  <c r="R18" i="5"/>
  <c r="R19" i="5"/>
  <c r="R32" i="5" s="1"/>
  <c r="R40" i="5" s="1"/>
  <c r="R48" i="5" s="1"/>
  <c r="AK19" i="5"/>
  <c r="AK32" i="5" s="1"/>
  <c r="AK18" i="5"/>
  <c r="AK23" i="5" s="1"/>
  <c r="AM120" i="5"/>
  <c r="P18" i="5"/>
  <c r="P23" i="5" s="1"/>
  <c r="P19" i="5"/>
  <c r="P32" i="5" s="1"/>
  <c r="AL120" i="5"/>
  <c r="W18" i="5"/>
  <c r="W23" i="5" s="1"/>
  <c r="W19" i="5"/>
  <c r="W32" i="5" s="1"/>
  <c r="Q19" i="5"/>
  <c r="Q32" i="5" s="1"/>
  <c r="Q18" i="5"/>
  <c r="Q23" i="5" s="1"/>
  <c r="F19" i="5"/>
  <c r="F32" i="5" s="1"/>
  <c r="F18" i="5"/>
  <c r="R120" i="5"/>
  <c r="AF19" i="5"/>
  <c r="AF32" i="5" s="1"/>
  <c r="AF18" i="5"/>
  <c r="AF23" i="5" s="1"/>
  <c r="AJ18" i="5"/>
  <c r="AJ23" i="5" s="1"/>
  <c r="AJ19" i="5"/>
  <c r="AJ32" i="5" s="1"/>
  <c r="J18" i="5"/>
  <c r="J23" i="5" s="1"/>
  <c r="J19" i="5"/>
  <c r="J32" i="5" s="1"/>
  <c r="J40" i="5" s="1"/>
  <c r="J48" i="5" s="1"/>
  <c r="N18" i="5"/>
  <c r="N23" i="5" s="1"/>
  <c r="N19" i="5"/>
  <c r="N32" i="5" s="1"/>
  <c r="F120" i="5"/>
  <c r="U18" i="5"/>
  <c r="U23" i="5" s="1"/>
  <c r="U19" i="5"/>
  <c r="U32" i="5" s="1"/>
  <c r="U40" i="5" s="1"/>
  <c r="U48" i="5" s="1"/>
  <c r="S28" i="5"/>
  <c r="S52" i="5" s="1"/>
  <c r="AH18" i="5"/>
  <c r="AH23" i="5" s="1"/>
  <c r="AH19" i="5"/>
  <c r="AH32" i="5" s="1"/>
  <c r="AG19" i="5"/>
  <c r="AG32" i="5" s="1"/>
  <c r="AG18" i="5"/>
  <c r="AG23" i="5" s="1"/>
  <c r="X18" i="5"/>
  <c r="X19" i="5"/>
  <c r="X32" i="5" s="1"/>
  <c r="AA18" i="5"/>
  <c r="AA19" i="5"/>
  <c r="AA32" i="5" s="1"/>
  <c r="AA40" i="5" s="1"/>
  <c r="AA48" i="5" s="1"/>
  <c r="Z18" i="5"/>
  <c r="Z23" i="5" s="1"/>
  <c r="Z19" i="5"/>
  <c r="Z32" i="5" s="1"/>
  <c r="AO18" i="5"/>
  <c r="AO23" i="5" s="1"/>
  <c r="AO19" i="5"/>
  <c r="AO32" i="5" s="1"/>
  <c r="AN19" i="5"/>
  <c r="AN32" i="5" s="1"/>
  <c r="AN18" i="5"/>
  <c r="AN23" i="5" s="1"/>
  <c r="E19" i="5"/>
  <c r="E32" i="5" s="1"/>
  <c r="E18" i="5"/>
  <c r="L19" i="5"/>
  <c r="L32" i="5" s="1"/>
  <c r="L40" i="5" s="1"/>
  <c r="L48" i="5" s="1"/>
  <c r="L18" i="5"/>
  <c r="O18" i="5"/>
  <c r="O19" i="5"/>
  <c r="O32" i="5" s="1"/>
  <c r="M26" i="5"/>
  <c r="M30" i="5" s="1"/>
  <c r="V19" i="5"/>
  <c r="V32" i="5" s="1"/>
  <c r="V18" i="5"/>
  <c r="AD18" i="5"/>
  <c r="AD23" i="5" s="1"/>
  <c r="AD19" i="5"/>
  <c r="AD32" i="5" s="1"/>
  <c r="T18" i="5"/>
  <c r="T19" i="5"/>
  <c r="T32" i="5" s="1"/>
  <c r="AC19" i="5"/>
  <c r="AC32" i="5" s="1"/>
  <c r="AC18" i="5"/>
  <c r="AC23" i="5" s="1"/>
  <c r="D19" i="5"/>
  <c r="D32" i="5" s="1"/>
  <c r="D40" i="5" s="1"/>
  <c r="D48" i="5" s="1"/>
  <c r="D18" i="5"/>
  <c r="D23" i="5" s="1"/>
  <c r="AM18" i="5"/>
  <c r="AM23" i="5" s="1"/>
  <c r="AM19" i="5"/>
  <c r="AM32" i="5" s="1"/>
  <c r="AI18" i="5"/>
  <c r="AI19" i="5"/>
  <c r="AI32" i="5" s="1"/>
  <c r="AI40" i="5" s="1"/>
  <c r="AI48" i="5" s="1"/>
  <c r="G37" i="12"/>
  <c r="Z37" i="12"/>
  <c r="S82" i="5"/>
  <c r="M82" i="5"/>
  <c r="AN164" i="13"/>
  <c r="AN165" i="13" s="1"/>
  <c r="AN167" i="13" s="1"/>
  <c r="AN168" i="13" s="1"/>
  <c r="AH164" i="13"/>
  <c r="AH165" i="13" s="1"/>
  <c r="AH167" i="13" s="1"/>
  <c r="AH168" i="13" s="1"/>
  <c r="AG29" i="12"/>
  <c r="AI29" i="12"/>
  <c r="S29" i="12"/>
  <c r="P29" i="12"/>
  <c r="AK43" i="12"/>
  <c r="AM43" i="12"/>
  <c r="Z29" i="12"/>
  <c r="Y29" i="12"/>
  <c r="W43" i="12"/>
  <c r="C29" i="12"/>
  <c r="AD43" i="12"/>
  <c r="AA43" i="12"/>
  <c r="D29" i="12"/>
  <c r="M43" i="12"/>
  <c r="S43" i="12"/>
  <c r="I43" i="12"/>
  <c r="P43" i="12"/>
  <c r="AK29" i="12"/>
  <c r="W29" i="12"/>
  <c r="AM29" i="12"/>
  <c r="T43" i="12"/>
  <c r="M29" i="12"/>
  <c r="F43" i="12"/>
  <c r="AD29" i="12"/>
  <c r="AI43" i="12"/>
  <c r="F29" i="12"/>
  <c r="Q29" i="12"/>
  <c r="AF29" i="12"/>
  <c r="U29" i="12"/>
  <c r="K43" i="12"/>
  <c r="Y43" i="12"/>
  <c r="U43" i="12"/>
  <c r="H29" i="12"/>
  <c r="AN29" i="12"/>
  <c r="I29" i="12"/>
  <c r="C43" i="12"/>
  <c r="K29" i="12"/>
  <c r="D43" i="12"/>
  <c r="T29" i="12"/>
  <c r="X29" i="12"/>
  <c r="AC29" i="12"/>
  <c r="AG43" i="12"/>
  <c r="J29" i="12"/>
  <c r="G29" i="12"/>
  <c r="AA29" i="12"/>
  <c r="Z43" i="12"/>
  <c r="AF43" i="12"/>
  <c r="AN43" i="12"/>
  <c r="H43" i="12"/>
  <c r="J43" i="12"/>
  <c r="AC43" i="12"/>
  <c r="X43" i="12"/>
  <c r="Q43" i="12"/>
  <c r="G43" i="12"/>
  <c r="E37" i="12"/>
  <c r="F37" i="12"/>
  <c r="AD37" i="12"/>
  <c r="O37" i="12"/>
  <c r="K37" i="12"/>
  <c r="Y37" i="12"/>
  <c r="J57" i="12"/>
  <c r="W37" i="12"/>
  <c r="J37" i="12"/>
  <c r="AB37" i="12"/>
  <c r="P37" i="12"/>
  <c r="N37" i="12"/>
  <c r="AM37" i="12"/>
  <c r="I37" i="12"/>
  <c r="H37" i="12"/>
  <c r="AE37" i="12"/>
  <c r="AG37" i="12"/>
  <c r="Q37" i="12"/>
  <c r="AA37" i="12"/>
  <c r="AI37" i="12"/>
  <c r="U37" i="12"/>
  <c r="AN37" i="12"/>
  <c r="AF37" i="12"/>
  <c r="D37" i="12"/>
  <c r="AK37" i="12"/>
  <c r="AJ37" i="12"/>
  <c r="X37" i="12"/>
  <c r="AL37" i="12"/>
  <c r="S37" i="12"/>
  <c r="M37" i="12"/>
  <c r="C37" i="12"/>
  <c r="AH37" i="12"/>
  <c r="V37" i="12"/>
  <c r="T37" i="12"/>
  <c r="L58" i="12"/>
  <c r="R44" i="12"/>
  <c r="R45" i="12" s="1"/>
  <c r="L44" i="12"/>
  <c r="L45" i="12" s="1"/>
  <c r="O39" i="12"/>
  <c r="O43" i="12" s="1"/>
  <c r="AL39" i="12"/>
  <c r="AL43" i="12" s="1"/>
  <c r="V39" i="12"/>
  <c r="V43" i="12" s="1"/>
  <c r="O29" i="12"/>
  <c r="AL29" i="12"/>
  <c r="V29" i="12"/>
  <c r="AJ39" i="12"/>
  <c r="AJ43" i="12" s="1"/>
  <c r="E39" i="12"/>
  <c r="E43" i="12" s="1"/>
  <c r="AB39" i="12"/>
  <c r="AB43" i="12" s="1"/>
  <c r="AH39" i="12"/>
  <c r="AH43" i="12" s="1"/>
  <c r="AE39" i="12"/>
  <c r="AE43" i="12" s="1"/>
  <c r="N39" i="12"/>
  <c r="N43" i="12" s="1"/>
  <c r="AE29" i="12"/>
  <c r="N29" i="12"/>
  <c r="AJ29" i="12"/>
  <c r="E29" i="12"/>
  <c r="AB29" i="12"/>
  <c r="AH29" i="12"/>
  <c r="L74" i="12"/>
  <c r="L76" i="12" s="1"/>
  <c r="R74" i="12"/>
  <c r="R58" i="12"/>
  <c r="R34" i="17"/>
  <c r="R35" i="17" s="1"/>
  <c r="AH203" i="13"/>
  <c r="AH204" i="13" s="1"/>
  <c r="AH237" i="13" s="1"/>
  <c r="R24" i="17"/>
  <c r="R25" i="17" s="1"/>
  <c r="R8" i="4" s="1"/>
  <c r="R15" i="3" s="1"/>
  <c r="AR193" i="13"/>
  <c r="AR180" i="13"/>
  <c r="AR184" i="13"/>
  <c r="AR187" i="13" s="1"/>
  <c r="AR183" i="13"/>
  <c r="AR186" i="13" s="1"/>
  <c r="AR188" i="13"/>
  <c r="AN139" i="13"/>
  <c r="AN140" i="13" s="1"/>
  <c r="AN219" i="13" s="1"/>
  <c r="AJ193" i="13"/>
  <c r="AJ183" i="13"/>
  <c r="AJ186" i="13" s="1"/>
  <c r="AJ180" i="13"/>
  <c r="AJ184" i="13"/>
  <c r="AJ187" i="13" s="1"/>
  <c r="AJ188" i="13"/>
  <c r="AE129" i="13"/>
  <c r="AE163" i="13" s="1"/>
  <c r="AE114" i="13"/>
  <c r="AE118" i="13"/>
  <c r="AE121" i="13" s="1"/>
  <c r="AE117" i="13"/>
  <c r="AE120" i="13" s="1"/>
  <c r="AE122" i="13"/>
  <c r="Z129" i="13"/>
  <c r="Z163" i="13" s="1"/>
  <c r="Z117" i="13"/>
  <c r="Z120" i="13" s="1"/>
  <c r="Z118" i="13"/>
  <c r="Z121" i="13" s="1"/>
  <c r="Z114" i="13"/>
  <c r="Z122" i="13"/>
  <c r="AU193" i="13"/>
  <c r="AU183" i="13"/>
  <c r="AU186" i="13" s="1"/>
  <c r="AU184" i="13"/>
  <c r="AU187" i="13" s="1"/>
  <c r="AU180" i="13"/>
  <c r="AU188" i="13"/>
  <c r="AD129" i="13"/>
  <c r="AD163" i="13" s="1"/>
  <c r="AD118" i="13"/>
  <c r="AD121" i="13" s="1"/>
  <c r="AD117" i="13"/>
  <c r="AD120" i="13" s="1"/>
  <c r="AD114" i="13"/>
  <c r="AD122" i="13"/>
  <c r="AX193" i="13"/>
  <c r="AX180" i="13"/>
  <c r="AX183" i="13"/>
  <c r="AX186" i="13" s="1"/>
  <c r="AX184" i="13"/>
  <c r="AX187" i="13" s="1"/>
  <c r="AX188" i="13"/>
  <c r="AF129" i="13"/>
  <c r="AF163" i="13" s="1"/>
  <c r="AF118" i="13"/>
  <c r="AF121" i="13" s="1"/>
  <c r="AF117" i="13"/>
  <c r="AF120" i="13" s="1"/>
  <c r="AF114" i="13"/>
  <c r="AF122" i="13"/>
  <c r="BE193" i="13"/>
  <c r="BE183" i="13"/>
  <c r="BE186" i="13" s="1"/>
  <c r="BE184" i="13"/>
  <c r="BE187" i="13" s="1"/>
  <c r="BE180" i="13"/>
  <c r="BE188" i="13"/>
  <c r="BC129" i="13"/>
  <c r="BC163" i="13" s="1"/>
  <c r="BC117" i="13"/>
  <c r="BC120" i="13" s="1"/>
  <c r="BC118" i="13"/>
  <c r="BC121" i="13" s="1"/>
  <c r="BC114" i="13"/>
  <c r="BC122" i="13"/>
  <c r="AE193" i="13"/>
  <c r="AE180" i="13"/>
  <c r="AE183" i="13"/>
  <c r="AE186" i="13" s="1"/>
  <c r="AE184" i="13"/>
  <c r="AE187" i="13" s="1"/>
  <c r="AE188" i="13"/>
  <c r="Z180" i="13"/>
  <c r="Z184" i="13"/>
  <c r="Z187" i="13" s="1"/>
  <c r="Z193" i="13"/>
  <c r="Z183" i="13"/>
  <c r="Z186" i="13" s="1"/>
  <c r="Z188" i="13"/>
  <c r="AU114" i="13"/>
  <c r="AU129" i="13"/>
  <c r="AU163" i="13" s="1"/>
  <c r="AU117" i="13"/>
  <c r="AU120" i="13" s="1"/>
  <c r="AU118" i="13"/>
  <c r="AU121" i="13" s="1"/>
  <c r="AU122" i="13"/>
  <c r="AD193" i="13"/>
  <c r="AD180" i="13"/>
  <c r="AD183" i="13"/>
  <c r="AD186" i="13" s="1"/>
  <c r="AD184" i="13"/>
  <c r="AD187" i="13" s="1"/>
  <c r="AD188" i="13"/>
  <c r="AX129" i="13"/>
  <c r="AX163" i="13" s="1"/>
  <c r="AX117" i="13"/>
  <c r="AX120" i="13" s="1"/>
  <c r="AX114" i="13"/>
  <c r="AX118" i="13"/>
  <c r="AX121" i="13" s="1"/>
  <c r="AX122" i="13"/>
  <c r="BI180" i="13"/>
  <c r="BI193" i="13"/>
  <c r="BI183" i="13"/>
  <c r="BI186" i="13" s="1"/>
  <c r="BI184" i="13"/>
  <c r="BI187" i="13" s="1"/>
  <c r="BI188" i="13"/>
  <c r="BH129" i="13"/>
  <c r="BH163" i="13" s="1"/>
  <c r="BH118" i="13"/>
  <c r="BH121" i="13" s="1"/>
  <c r="BH114" i="13"/>
  <c r="BH117" i="13"/>
  <c r="BH120" i="13" s="1"/>
  <c r="BH122" i="13"/>
  <c r="AH139" i="13"/>
  <c r="AH140" i="13" s="1"/>
  <c r="AH219" i="13" s="1"/>
  <c r="BE129" i="13"/>
  <c r="BE163" i="13" s="1"/>
  <c r="BE118" i="13"/>
  <c r="BE121" i="13" s="1"/>
  <c r="BE117" i="13"/>
  <c r="BE120" i="13" s="1"/>
  <c r="BE114" i="13"/>
  <c r="BE122" i="13"/>
  <c r="BC193" i="13"/>
  <c r="BC184" i="13"/>
  <c r="BC187" i="13" s="1"/>
  <c r="BC180" i="13"/>
  <c r="BC183" i="13"/>
  <c r="BC186" i="13" s="1"/>
  <c r="BC188" i="13"/>
  <c r="BI129" i="13"/>
  <c r="BI163" i="13" s="1"/>
  <c r="BI117" i="13"/>
  <c r="BI120" i="13" s="1"/>
  <c r="BI118" i="13"/>
  <c r="BI121" i="13" s="1"/>
  <c r="BI114" i="13"/>
  <c r="BI122" i="13"/>
  <c r="AA129" i="13"/>
  <c r="AA163" i="13" s="1"/>
  <c r="AA117" i="13"/>
  <c r="AA120" i="13" s="1"/>
  <c r="AA118" i="13"/>
  <c r="AA121" i="13" s="1"/>
  <c r="AA114" i="13"/>
  <c r="AA122" i="13"/>
  <c r="AQ114" i="13"/>
  <c r="AQ129" i="13"/>
  <c r="AQ163" i="13" s="1"/>
  <c r="AQ117" i="13"/>
  <c r="AQ120" i="13" s="1"/>
  <c r="AQ118" i="13"/>
  <c r="AQ121" i="13" s="1"/>
  <c r="AQ122" i="13"/>
  <c r="BB129" i="13"/>
  <c r="BB163" i="13" s="1"/>
  <c r="BB118" i="13"/>
  <c r="BB121" i="13" s="1"/>
  <c r="BB114" i="13"/>
  <c r="BB117" i="13"/>
  <c r="BB120" i="13" s="1"/>
  <c r="BB122" i="13"/>
  <c r="AT129" i="13"/>
  <c r="AT163" i="13" s="1"/>
  <c r="AT117" i="13"/>
  <c r="AT120" i="13" s="1"/>
  <c r="AT118" i="13"/>
  <c r="AT121" i="13" s="1"/>
  <c r="AT114" i="13"/>
  <c r="AT122" i="13"/>
  <c r="Y193" i="13"/>
  <c r="Y180" i="13"/>
  <c r="Y184" i="13"/>
  <c r="Y187" i="13" s="1"/>
  <c r="Y183" i="13"/>
  <c r="Y186" i="13" s="1"/>
  <c r="Y188" i="13"/>
  <c r="AA180" i="13"/>
  <c r="AA183" i="13"/>
  <c r="AA186" i="13" s="1"/>
  <c r="AA193" i="13"/>
  <c r="AA184" i="13"/>
  <c r="AA187" i="13" s="1"/>
  <c r="AA188" i="13"/>
  <c r="AI180" i="13"/>
  <c r="AI184" i="13"/>
  <c r="AI187" i="13" s="1"/>
  <c r="AI183" i="13"/>
  <c r="AI186" i="13" s="1"/>
  <c r="AI193" i="13"/>
  <c r="AI188" i="13"/>
  <c r="BA129" i="13"/>
  <c r="BA163" i="13" s="1"/>
  <c r="BA117" i="13"/>
  <c r="BA120" i="13" s="1"/>
  <c r="BA118" i="13"/>
  <c r="BA121" i="13" s="1"/>
  <c r="BA114" i="13"/>
  <c r="BA122" i="13"/>
  <c r="AK180" i="13"/>
  <c r="AK184" i="13"/>
  <c r="AK187" i="13" s="1"/>
  <c r="AK193" i="13"/>
  <c r="AK183" i="13"/>
  <c r="AK186" i="13" s="1"/>
  <c r="AK188" i="13"/>
  <c r="BH193" i="13"/>
  <c r="BH180" i="13"/>
  <c r="BH184" i="13"/>
  <c r="BH187" i="13" s="1"/>
  <c r="BH183" i="13"/>
  <c r="BH186" i="13" s="1"/>
  <c r="BH188" i="13"/>
  <c r="AM180" i="13"/>
  <c r="AM193" i="13"/>
  <c r="AM184" i="13"/>
  <c r="AM187" i="13" s="1"/>
  <c r="AM183" i="13"/>
  <c r="AM186" i="13" s="1"/>
  <c r="AM188" i="13"/>
  <c r="AV180" i="13"/>
  <c r="AV183" i="13"/>
  <c r="AV186" i="13" s="1"/>
  <c r="AV193" i="13"/>
  <c r="AV184" i="13"/>
  <c r="AV187" i="13" s="1"/>
  <c r="AV188" i="13"/>
  <c r="AI114" i="13"/>
  <c r="AI129" i="13"/>
  <c r="AI163" i="13" s="1"/>
  <c r="AI117" i="13"/>
  <c r="AI120" i="13" s="1"/>
  <c r="AI118" i="13"/>
  <c r="AI121" i="13" s="1"/>
  <c r="AI122" i="13"/>
  <c r="AB129" i="13"/>
  <c r="AB163" i="13" s="1"/>
  <c r="AB118" i="13"/>
  <c r="AB121" i="13" s="1"/>
  <c r="AB114" i="13"/>
  <c r="AB117" i="13"/>
  <c r="AB120" i="13" s="1"/>
  <c r="AB122" i="13"/>
  <c r="AQ193" i="13"/>
  <c r="AQ180" i="13"/>
  <c r="AQ184" i="13"/>
  <c r="AQ187" i="13" s="1"/>
  <c r="AQ183" i="13"/>
  <c r="AQ186" i="13" s="1"/>
  <c r="AQ188" i="13"/>
  <c r="AY118" i="13"/>
  <c r="AY121" i="13" s="1"/>
  <c r="AY117" i="13"/>
  <c r="AY120" i="13" s="1"/>
  <c r="AY114" i="13"/>
  <c r="AY129" i="13"/>
  <c r="AY163" i="13" s="1"/>
  <c r="AY122" i="13"/>
  <c r="BG129" i="13"/>
  <c r="BG163" i="13" s="1"/>
  <c r="BG118" i="13"/>
  <c r="BG121" i="13" s="1"/>
  <c r="BG114" i="13"/>
  <c r="BG117" i="13"/>
  <c r="BG120" i="13" s="1"/>
  <c r="BG122" i="13"/>
  <c r="BB193" i="13"/>
  <c r="BB180" i="13"/>
  <c r="BB183" i="13"/>
  <c r="BB186" i="13" s="1"/>
  <c r="BB184" i="13"/>
  <c r="BB187" i="13" s="1"/>
  <c r="BB188" i="13"/>
  <c r="AT193" i="13"/>
  <c r="AT180" i="13"/>
  <c r="AT183" i="13"/>
  <c r="AT186" i="13" s="1"/>
  <c r="AT184" i="13"/>
  <c r="AT187" i="13" s="1"/>
  <c r="AT188" i="13"/>
  <c r="Y129" i="13"/>
  <c r="Y163" i="13" s="1"/>
  <c r="Y114" i="13"/>
  <c r="Y117" i="13"/>
  <c r="Y120" i="13" s="1"/>
  <c r="Y118" i="13"/>
  <c r="Y121" i="13" s="1"/>
  <c r="Y122" i="13"/>
  <c r="BF129" i="13"/>
  <c r="BF163" i="13" s="1"/>
  <c r="BF118" i="13"/>
  <c r="BF121" i="13" s="1"/>
  <c r="BF114" i="13"/>
  <c r="BF117" i="13"/>
  <c r="BF120" i="13" s="1"/>
  <c r="BF122" i="13"/>
  <c r="AC180" i="13"/>
  <c r="AC183" i="13"/>
  <c r="AC186" i="13" s="1"/>
  <c r="AC193" i="13"/>
  <c r="AC184" i="13"/>
  <c r="AC187" i="13" s="1"/>
  <c r="AC188" i="13"/>
  <c r="AM114" i="13"/>
  <c r="AM117" i="13"/>
  <c r="AM120" i="13" s="1"/>
  <c r="AM118" i="13"/>
  <c r="AM121" i="13" s="1"/>
  <c r="AM129" i="13"/>
  <c r="AM163" i="13" s="1"/>
  <c r="AM122" i="13"/>
  <c r="AV129" i="13"/>
  <c r="AV163" i="13" s="1"/>
  <c r="AV117" i="13"/>
  <c r="AV120" i="13" s="1"/>
  <c r="AV118" i="13"/>
  <c r="AV121" i="13" s="1"/>
  <c r="AV114" i="13"/>
  <c r="AV122" i="13"/>
  <c r="AS193" i="13"/>
  <c r="AS183" i="13"/>
  <c r="AS186" i="13" s="1"/>
  <c r="AS180" i="13"/>
  <c r="AS184" i="13"/>
  <c r="AS187" i="13" s="1"/>
  <c r="AS188" i="13"/>
  <c r="AO129" i="13"/>
  <c r="AO163" i="13" s="1"/>
  <c r="AO114" i="13"/>
  <c r="AO117" i="13"/>
  <c r="AO120" i="13" s="1"/>
  <c r="AO118" i="13"/>
  <c r="AO121" i="13" s="1"/>
  <c r="AO122" i="13"/>
  <c r="AL129" i="13"/>
  <c r="AL163" i="13" s="1"/>
  <c r="AL118" i="13"/>
  <c r="AL121" i="13" s="1"/>
  <c r="AL117" i="13"/>
  <c r="AL120" i="13" s="1"/>
  <c r="AL114" i="13"/>
  <c r="AL122" i="13"/>
  <c r="BA180" i="13"/>
  <c r="BA183" i="13"/>
  <c r="BA186" i="13" s="1"/>
  <c r="BA184" i="13"/>
  <c r="BA187" i="13" s="1"/>
  <c r="BA193" i="13"/>
  <c r="BA188" i="13"/>
  <c r="AS129" i="13"/>
  <c r="AS163" i="13" s="1"/>
  <c r="AS114" i="13"/>
  <c r="AS117" i="13"/>
  <c r="AS120" i="13" s="1"/>
  <c r="AS118" i="13"/>
  <c r="AS121" i="13" s="1"/>
  <c r="AS122" i="13"/>
  <c r="AL193" i="13"/>
  <c r="AL184" i="13"/>
  <c r="AL187" i="13" s="1"/>
  <c r="AL180" i="13"/>
  <c r="AL183" i="13"/>
  <c r="AL186" i="13" s="1"/>
  <c r="AL188" i="13"/>
  <c r="AB180" i="13"/>
  <c r="AB193" i="13"/>
  <c r="AB184" i="13"/>
  <c r="AB187" i="13" s="1"/>
  <c r="AB183" i="13"/>
  <c r="AB186" i="13" s="1"/>
  <c r="AB188" i="13"/>
  <c r="BD129" i="13"/>
  <c r="BD163" i="13" s="1"/>
  <c r="BD114" i="13"/>
  <c r="BD118" i="13"/>
  <c r="BD121" i="13" s="1"/>
  <c r="BD117" i="13"/>
  <c r="BD120" i="13" s="1"/>
  <c r="BD122" i="13"/>
  <c r="AN203" i="13"/>
  <c r="AN204" i="13" s="1"/>
  <c r="AY180" i="13"/>
  <c r="AY184" i="13"/>
  <c r="AY187" i="13" s="1"/>
  <c r="AY183" i="13"/>
  <c r="AY186" i="13" s="1"/>
  <c r="AY193" i="13"/>
  <c r="AY188" i="13"/>
  <c r="BG180" i="13"/>
  <c r="BG193" i="13"/>
  <c r="BG183" i="13"/>
  <c r="BG186" i="13" s="1"/>
  <c r="BG184" i="13"/>
  <c r="BG187" i="13" s="1"/>
  <c r="BG188" i="13"/>
  <c r="AZ129" i="13"/>
  <c r="AZ163" i="13" s="1"/>
  <c r="AZ117" i="13"/>
  <c r="AZ120" i="13" s="1"/>
  <c r="AZ114" i="13"/>
  <c r="AZ118" i="13"/>
  <c r="AZ121" i="13" s="1"/>
  <c r="AZ122" i="13"/>
  <c r="AW129" i="13"/>
  <c r="AW163" i="13" s="1"/>
  <c r="AW118" i="13"/>
  <c r="AW121" i="13" s="1"/>
  <c r="AW114" i="13"/>
  <c r="AW117" i="13"/>
  <c r="AW120" i="13" s="1"/>
  <c r="AW122" i="13"/>
  <c r="BJ129" i="13"/>
  <c r="BJ163" i="13" s="1"/>
  <c r="BJ114" i="13"/>
  <c r="BJ118" i="13"/>
  <c r="BJ121" i="13" s="1"/>
  <c r="BJ117" i="13"/>
  <c r="BJ120" i="13" s="1"/>
  <c r="BJ122" i="13"/>
  <c r="BF193" i="13"/>
  <c r="BF183" i="13"/>
  <c r="BF186" i="13" s="1"/>
  <c r="BF184" i="13"/>
  <c r="BF187" i="13" s="1"/>
  <c r="BF180" i="13"/>
  <c r="BF188" i="13"/>
  <c r="AG193" i="13"/>
  <c r="AG180" i="13"/>
  <c r="AG184" i="13"/>
  <c r="AG187" i="13" s="1"/>
  <c r="AG183" i="13"/>
  <c r="AG186" i="13" s="1"/>
  <c r="AG188" i="13"/>
  <c r="AP193" i="13"/>
  <c r="AP184" i="13"/>
  <c r="AP187" i="13" s="1"/>
  <c r="AP180" i="13"/>
  <c r="AP183" i="13"/>
  <c r="AP186" i="13" s="1"/>
  <c r="AP188" i="13"/>
  <c r="AC118" i="13"/>
  <c r="AC121" i="13" s="1"/>
  <c r="AC129" i="13"/>
  <c r="AC163" i="13" s="1"/>
  <c r="AC114" i="13"/>
  <c r="AC117" i="13"/>
  <c r="AC120" i="13" s="1"/>
  <c r="AC122" i="13"/>
  <c r="AK129" i="13"/>
  <c r="AK163" i="13" s="1"/>
  <c r="AK114" i="13"/>
  <c r="AK117" i="13"/>
  <c r="AK120" i="13" s="1"/>
  <c r="AK118" i="13"/>
  <c r="AK121" i="13" s="1"/>
  <c r="AK122" i="13"/>
  <c r="AO193" i="13"/>
  <c r="AO180" i="13"/>
  <c r="AO183" i="13"/>
  <c r="AO186" i="13" s="1"/>
  <c r="AO184" i="13"/>
  <c r="AO187" i="13" s="1"/>
  <c r="AO188" i="13"/>
  <c r="AR129" i="13"/>
  <c r="AR163" i="13" s="1"/>
  <c r="AR118" i="13"/>
  <c r="AR121" i="13" s="1"/>
  <c r="AR117" i="13"/>
  <c r="AR120" i="13" s="1"/>
  <c r="AR114" i="13"/>
  <c r="AR122" i="13"/>
  <c r="BD180" i="13"/>
  <c r="BD193" i="13"/>
  <c r="BD184" i="13"/>
  <c r="BD187" i="13" s="1"/>
  <c r="BD183" i="13"/>
  <c r="BD186" i="13" s="1"/>
  <c r="BD188" i="13"/>
  <c r="AJ129" i="13"/>
  <c r="AJ163" i="13" s="1"/>
  <c r="AJ114" i="13"/>
  <c r="AJ117" i="13"/>
  <c r="AJ120" i="13" s="1"/>
  <c r="AJ118" i="13"/>
  <c r="AJ121" i="13" s="1"/>
  <c r="AJ122" i="13"/>
  <c r="AZ193" i="13"/>
  <c r="AZ183" i="13"/>
  <c r="AZ186" i="13" s="1"/>
  <c r="AZ184" i="13"/>
  <c r="AZ187" i="13" s="1"/>
  <c r="AZ180" i="13"/>
  <c r="AZ188" i="13"/>
  <c r="AW193" i="13"/>
  <c r="AW183" i="13"/>
  <c r="AW186" i="13" s="1"/>
  <c r="AW184" i="13"/>
  <c r="AW187" i="13" s="1"/>
  <c r="AW180" i="13"/>
  <c r="AW188" i="13"/>
  <c r="BJ180" i="13"/>
  <c r="BJ184" i="13"/>
  <c r="BJ187" i="13" s="1"/>
  <c r="BJ193" i="13"/>
  <c r="BJ183" i="13"/>
  <c r="BJ186" i="13" s="1"/>
  <c r="BJ188" i="13"/>
  <c r="AF193" i="13"/>
  <c r="AF180" i="13"/>
  <c r="AF183" i="13"/>
  <c r="AF186" i="13" s="1"/>
  <c r="AF184" i="13"/>
  <c r="AF187" i="13" s="1"/>
  <c r="AF188" i="13"/>
  <c r="AG129" i="13"/>
  <c r="AG163" i="13" s="1"/>
  <c r="AG118" i="13"/>
  <c r="AG121" i="13" s="1"/>
  <c r="AG114" i="13"/>
  <c r="AG117" i="13"/>
  <c r="AG120" i="13" s="1"/>
  <c r="AG122" i="13"/>
  <c r="AP129" i="13"/>
  <c r="AP163" i="13" s="1"/>
  <c r="AP114" i="13"/>
  <c r="AP118" i="13"/>
  <c r="AP121" i="13" s="1"/>
  <c r="AP117" i="13"/>
  <c r="AP120" i="13" s="1"/>
  <c r="AP122" i="13"/>
  <c r="AC73" i="5"/>
  <c r="AB73" i="5"/>
  <c r="P73" i="5"/>
  <c r="I73" i="5"/>
  <c r="R73" i="5"/>
  <c r="J73" i="5"/>
  <c r="AG73" i="5"/>
  <c r="G73" i="5"/>
  <c r="L73" i="5"/>
  <c r="Q73" i="5"/>
  <c r="Y73" i="5"/>
  <c r="AK73" i="5"/>
  <c r="AF73" i="5"/>
  <c r="M33" i="17"/>
  <c r="AH33" i="17"/>
  <c r="I33" i="17"/>
  <c r="AI33" i="17"/>
  <c r="G33" i="17"/>
  <c r="S33" i="17"/>
  <c r="C33" i="17"/>
  <c r="AA33" i="17"/>
  <c r="AF33" i="17"/>
  <c r="J33" i="17"/>
  <c r="V33" i="17"/>
  <c r="N33" i="17"/>
  <c r="D33" i="17"/>
  <c r="AE33" i="17"/>
  <c r="Q33" i="17"/>
  <c r="AM33" i="17"/>
  <c r="AK33" i="17"/>
  <c r="H33" i="17"/>
  <c r="U33" i="17"/>
  <c r="AB33" i="17"/>
  <c r="X33" i="17"/>
  <c r="Y33" i="17"/>
  <c r="E33" i="17"/>
  <c r="T33" i="17"/>
  <c r="F33" i="17"/>
  <c r="P33" i="17"/>
  <c r="AG33" i="17"/>
  <c r="AC33" i="17"/>
  <c r="L24" i="17"/>
  <c r="L25" i="17" s="1"/>
  <c r="L8" i="4" s="1"/>
  <c r="L15" i="3" s="1"/>
  <c r="L39" i="17"/>
  <c r="L37" i="17"/>
  <c r="C30" i="17"/>
  <c r="AH31" i="17"/>
  <c r="I31" i="17"/>
  <c r="AM31" i="17"/>
  <c r="D30" i="17"/>
  <c r="AF30" i="17"/>
  <c r="AF32" i="17" s="1"/>
  <c r="H31" i="17"/>
  <c r="AD33" i="17"/>
  <c r="AK30" i="17"/>
  <c r="P30" i="17"/>
  <c r="AG30" i="17"/>
  <c r="U31" i="17"/>
  <c r="K30" i="17"/>
  <c r="K32" i="17" s="1"/>
  <c r="E30" i="17"/>
  <c r="Z31" i="17"/>
  <c r="W30" i="17"/>
  <c r="W32" i="17" s="1"/>
  <c r="AN30" i="17"/>
  <c r="M30" i="17"/>
  <c r="M32" i="17" s="1"/>
  <c r="AM30" i="17"/>
  <c r="AD30" i="17"/>
  <c r="J30" i="17"/>
  <c r="T30" i="17"/>
  <c r="T32" i="17" s="1"/>
  <c r="AB30" i="17"/>
  <c r="AB32" i="17" s="1"/>
  <c r="AN33" i="17"/>
  <c r="AJ31" i="17"/>
  <c r="O30" i="17"/>
  <c r="O32" i="17" s="1"/>
  <c r="X31" i="17"/>
  <c r="AK31" i="17"/>
  <c r="Q31" i="17"/>
  <c r="M31" i="17"/>
  <c r="AA30" i="17"/>
  <c r="AA32" i="17" s="1"/>
  <c r="S30" i="17"/>
  <c r="P18" i="17"/>
  <c r="P19" i="17" s="1"/>
  <c r="X30" i="17"/>
  <c r="K18" i="17"/>
  <c r="K19" i="17" s="1"/>
  <c r="Z30" i="17"/>
  <c r="AM18" i="17"/>
  <c r="AM19" i="17" s="1"/>
  <c r="H30" i="17"/>
  <c r="AK18" i="17"/>
  <c r="AK19" i="17" s="1"/>
  <c r="AF18" i="17"/>
  <c r="AF19" i="17" s="1"/>
  <c r="F30" i="17"/>
  <c r="F31" i="17"/>
  <c r="Q30" i="17"/>
  <c r="G18" i="17"/>
  <c r="G19" i="17" s="1"/>
  <c r="AI18" i="17"/>
  <c r="AI19" i="17" s="1"/>
  <c r="M18" i="17"/>
  <c r="M19" i="17" s="1"/>
  <c r="AJ18" i="17"/>
  <c r="AJ19" i="17" s="1"/>
  <c r="AG18" i="17"/>
  <c r="AG19" i="17" s="1"/>
  <c r="AG31" i="17"/>
  <c r="U30" i="17"/>
  <c r="AC18" i="17"/>
  <c r="AC19" i="17" s="1"/>
  <c r="AL18" i="17"/>
  <c r="AL19" i="17" s="1"/>
  <c r="Y18" i="17"/>
  <c r="Y19" i="17" s="1"/>
  <c r="E18" i="17"/>
  <c r="E19" i="17" s="1"/>
  <c r="E31" i="17"/>
  <c r="N30" i="17"/>
  <c r="N31" i="17"/>
  <c r="J18" i="17"/>
  <c r="J19" i="17" s="1"/>
  <c r="J31" i="17"/>
  <c r="V18" i="17"/>
  <c r="V19" i="17" s="1"/>
  <c r="R37" i="17"/>
  <c r="R39" i="17"/>
  <c r="R38" i="17"/>
  <c r="T31" i="17"/>
  <c r="AE30" i="17"/>
  <c r="AE31" i="17"/>
  <c r="W18" i="17"/>
  <c r="W19" i="17" s="1"/>
  <c r="C18" i="17"/>
  <c r="C19" i="17" s="1"/>
  <c r="C31" i="17"/>
  <c r="AA31" i="17"/>
  <c r="AJ30" i="17"/>
  <c r="AH18" i="17"/>
  <c r="AH19" i="17" s="1"/>
  <c r="O31" i="17"/>
  <c r="I30" i="17"/>
  <c r="X18" i="17"/>
  <c r="X19" i="17" s="1"/>
  <c r="AL30" i="17"/>
  <c r="AL31" i="17"/>
  <c r="Z18" i="17"/>
  <c r="Z19" i="17" s="1"/>
  <c r="H18" i="17"/>
  <c r="H19" i="17" s="1"/>
  <c r="T18" i="17"/>
  <c r="T19" i="17" s="1"/>
  <c r="F18" i="17"/>
  <c r="F19" i="17" s="1"/>
  <c r="Q18" i="17"/>
  <c r="Q19" i="17" s="1"/>
  <c r="G30" i="17"/>
  <c r="G31" i="17"/>
  <c r="AI30" i="17"/>
  <c r="AI31" i="17"/>
  <c r="AA18" i="17"/>
  <c r="AA19" i="17" s="1"/>
  <c r="O18" i="17"/>
  <c r="O19" i="17" s="1"/>
  <c r="P31" i="17"/>
  <c r="U18" i="17"/>
  <c r="U19" i="17" s="1"/>
  <c r="K31" i="17"/>
  <c r="AC30" i="17"/>
  <c r="AC31" i="17"/>
  <c r="Y30" i="17"/>
  <c r="Y31" i="17"/>
  <c r="Z33" i="17"/>
  <c r="N18" i="17"/>
  <c r="N19" i="17" s="1"/>
  <c r="AD18" i="17"/>
  <c r="AD19" i="17" s="1"/>
  <c r="AD31" i="17"/>
  <c r="D18" i="17"/>
  <c r="D19" i="17" s="1"/>
  <c r="D31" i="17"/>
  <c r="V30" i="17"/>
  <c r="V31" i="17"/>
  <c r="AE18" i="17"/>
  <c r="AE19" i="17" s="1"/>
  <c r="AB18" i="17"/>
  <c r="AB19" i="17" s="1"/>
  <c r="AB31" i="17"/>
  <c r="AF31" i="17"/>
  <c r="W31" i="17"/>
  <c r="AN18" i="17"/>
  <c r="AN19" i="17" s="1"/>
  <c r="AN31" i="17"/>
  <c r="S18" i="17"/>
  <c r="S19" i="17" s="1"/>
  <c r="S31" i="17"/>
  <c r="AH30" i="17"/>
  <c r="I18" i="17"/>
  <c r="I19" i="17" s="1"/>
  <c r="T57" i="20"/>
  <c r="T65" i="20" s="1"/>
  <c r="T68" i="20" s="1"/>
  <c r="S49" i="21"/>
  <c r="S65" i="21" s="1"/>
  <c r="R96" i="20"/>
  <c r="S51" i="21"/>
  <c r="S66" i="21" s="1"/>
  <c r="S50" i="21"/>
  <c r="S67" i="21" s="1"/>
  <c r="T77" i="20"/>
  <c r="T72" i="20"/>
  <c r="T74" i="20"/>
  <c r="T73" i="20"/>
  <c r="T75" i="20"/>
  <c r="T76" i="20"/>
  <c r="R64" i="20"/>
  <c r="M48" i="21"/>
  <c r="M49" i="21"/>
  <c r="M41" i="21"/>
  <c r="M42" i="21"/>
  <c r="M60" i="21" s="1"/>
  <c r="E53" i="20"/>
  <c r="AM53" i="20"/>
  <c r="O53" i="20"/>
  <c r="U53" i="20"/>
  <c r="AE53" i="20"/>
  <c r="M53" i="20"/>
  <c r="AA53" i="20"/>
  <c r="S41" i="21"/>
  <c r="S42" i="21"/>
  <c r="S60" i="21" s="1"/>
  <c r="AC53" i="20"/>
  <c r="Q53" i="20"/>
  <c r="AH53" i="20"/>
  <c r="V53" i="20"/>
  <c r="Z53" i="20"/>
  <c r="G53" i="20"/>
  <c r="P53" i="20"/>
  <c r="F53" i="20"/>
  <c r="AD53" i="20"/>
  <c r="I53" i="20"/>
  <c r="W53" i="20"/>
  <c r="AF53" i="20"/>
  <c r="K53" i="20"/>
  <c r="J53" i="20"/>
  <c r="AK53" i="20"/>
  <c r="AJ53" i="20"/>
  <c r="S53" i="20"/>
  <c r="AN53" i="20"/>
  <c r="AG53" i="20"/>
  <c r="AL53" i="20"/>
  <c r="C53" i="20"/>
  <c r="D53" i="20"/>
  <c r="H53" i="20"/>
  <c r="X53" i="20"/>
  <c r="Y53" i="20"/>
  <c r="N53" i="20"/>
  <c r="AB53" i="20"/>
  <c r="AI53" i="20"/>
  <c r="L71" i="20"/>
  <c r="AN17" i="20"/>
  <c r="AJ17" i="20"/>
  <c r="AD17" i="20"/>
  <c r="AE17" i="20"/>
  <c r="W17" i="20"/>
  <c r="D17" i="20"/>
  <c r="AH17" i="20"/>
  <c r="Q17" i="20"/>
  <c r="H17" i="20"/>
  <c r="F17" i="20"/>
  <c r="S17" i="20"/>
  <c r="AA17" i="20"/>
  <c r="J17" i="20"/>
  <c r="E17" i="20"/>
  <c r="AG17" i="20"/>
  <c r="N17" i="20"/>
  <c r="X17" i="20"/>
  <c r="P17" i="20"/>
  <c r="M17" i="20"/>
  <c r="V17" i="20"/>
  <c r="Z17" i="20"/>
  <c r="AM17" i="20"/>
  <c r="K17" i="20"/>
  <c r="AC17" i="20"/>
  <c r="AB17" i="20"/>
  <c r="AK17" i="20"/>
  <c r="O17" i="20"/>
  <c r="Y17" i="20"/>
  <c r="C17" i="20"/>
  <c r="U17" i="20"/>
  <c r="AF17" i="20"/>
  <c r="AI17" i="20"/>
  <c r="G17" i="20"/>
  <c r="AL17" i="20"/>
  <c r="T17" i="20"/>
  <c r="I17" i="20"/>
  <c r="S79" i="20"/>
  <c r="AA79" i="20"/>
  <c r="AB79" i="20"/>
  <c r="AL79" i="20"/>
  <c r="AG79" i="20"/>
  <c r="D79" i="20"/>
  <c r="O79" i="20"/>
  <c r="X79" i="20"/>
  <c r="Z79" i="20"/>
  <c r="AE79" i="20"/>
  <c r="V79" i="20"/>
  <c r="J79" i="20"/>
  <c r="W79" i="20"/>
  <c r="AK79" i="20"/>
  <c r="AM79" i="20"/>
  <c r="K79" i="20"/>
  <c r="E79" i="20"/>
  <c r="F79" i="20"/>
  <c r="AN79" i="20"/>
  <c r="AJ79" i="20"/>
  <c r="AC79" i="20"/>
  <c r="C79" i="20"/>
  <c r="U79" i="20"/>
  <c r="P79" i="20"/>
  <c r="I79" i="20"/>
  <c r="AD79" i="20"/>
  <c r="N79" i="20"/>
  <c r="Y79" i="20"/>
  <c r="AI79" i="20"/>
  <c r="AF79" i="20"/>
  <c r="H79" i="20"/>
  <c r="Q79" i="20"/>
  <c r="G79" i="20"/>
  <c r="M79" i="20"/>
  <c r="AH79" i="20"/>
  <c r="H16" i="22"/>
  <c r="H17" i="22" s="1"/>
  <c r="H20" i="22"/>
  <c r="H19" i="22"/>
  <c r="H18" i="22"/>
  <c r="N49" i="21"/>
  <c r="N48" i="21"/>
  <c r="Q49" i="21"/>
  <c r="Q48" i="21"/>
  <c r="J25" i="14"/>
  <c r="J12" i="14"/>
  <c r="AB18" i="22"/>
  <c r="AB16" i="22"/>
  <c r="AB17" i="22" s="1"/>
  <c r="AB19" i="22"/>
  <c r="AB20" i="22"/>
  <c r="G49" i="21"/>
  <c r="G48" i="21"/>
  <c r="AL27" i="20"/>
  <c r="AL25" i="20"/>
  <c r="AL46" i="3" s="1"/>
  <c r="Q27" i="20"/>
  <c r="Q25" i="20"/>
  <c r="Q46" i="3" s="1"/>
  <c r="AP56" i="23"/>
  <c r="AP88" i="23"/>
  <c r="S25" i="14"/>
  <c r="S12" i="14"/>
  <c r="M19" i="22"/>
  <c r="M16" i="22"/>
  <c r="M17" i="22" s="1"/>
  <c r="M18" i="22"/>
  <c r="M20" i="22"/>
  <c r="Z25" i="14"/>
  <c r="Z12" i="14"/>
  <c r="R48" i="21"/>
  <c r="R49" i="21"/>
  <c r="K56" i="23"/>
  <c r="K88" i="23"/>
  <c r="AI56" i="23"/>
  <c r="AI88" i="23"/>
  <c r="I48" i="21"/>
  <c r="I49" i="21"/>
  <c r="AC56" i="23"/>
  <c r="AC88" i="23"/>
  <c r="AF88" i="23"/>
  <c r="AF56" i="23"/>
  <c r="O12" i="14"/>
  <c r="O25" i="14"/>
  <c r="AM25" i="14"/>
  <c r="AM12" i="14"/>
  <c r="H56" i="23"/>
  <c r="H88" i="23"/>
  <c r="M88" i="23"/>
  <c r="M56" i="23"/>
  <c r="AG27" i="20"/>
  <c r="AG25" i="20"/>
  <c r="P88" i="23"/>
  <c r="P56" i="23"/>
  <c r="AE88" i="23"/>
  <c r="AE56" i="23"/>
  <c r="V20" i="22"/>
  <c r="V19" i="22"/>
  <c r="V18" i="22"/>
  <c r="V16" i="22"/>
  <c r="V17" i="22" s="1"/>
  <c r="AD88" i="23"/>
  <c r="AD56" i="23"/>
  <c r="AC49" i="21"/>
  <c r="AC48" i="21"/>
  <c r="X27" i="20"/>
  <c r="X25" i="20"/>
  <c r="X46" i="3" s="1"/>
  <c r="G18" i="22"/>
  <c r="G16" i="22"/>
  <c r="G17" i="22" s="1"/>
  <c r="G20" i="22"/>
  <c r="G19" i="22"/>
  <c r="AH49" i="21"/>
  <c r="AH65" i="21" s="1"/>
  <c r="AH48" i="21"/>
  <c r="AN19" i="22"/>
  <c r="AN18" i="22"/>
  <c r="AN16" i="22"/>
  <c r="AN17" i="22" s="1"/>
  <c r="AN20" i="22"/>
  <c r="Z27" i="20"/>
  <c r="Z25" i="20"/>
  <c r="Z46" i="3" s="1"/>
  <c r="L49" i="21"/>
  <c r="L48" i="21"/>
  <c r="E27" i="20"/>
  <c r="E25" i="20"/>
  <c r="E46" i="3" s="1"/>
  <c r="AG18" i="22"/>
  <c r="AG19" i="22"/>
  <c r="AG20" i="22"/>
  <c r="AG16" i="22"/>
  <c r="AG17" i="22" s="1"/>
  <c r="AN56" i="23"/>
  <c r="AN88" i="23"/>
  <c r="AD19" i="22"/>
  <c r="AD16" i="22"/>
  <c r="AD17" i="22" s="1"/>
  <c r="AD20" i="22"/>
  <c r="AD18" i="22"/>
  <c r="AK20" i="22"/>
  <c r="AK19" i="22"/>
  <c r="AK18" i="22"/>
  <c r="AK16" i="22"/>
  <c r="AK17" i="22" s="1"/>
  <c r="AE27" i="20"/>
  <c r="AE25" i="20"/>
  <c r="AE46" i="3" s="1"/>
  <c r="AA49" i="21"/>
  <c r="AA48" i="21"/>
  <c r="F19" i="22"/>
  <c r="F16" i="22"/>
  <c r="F17" i="22" s="1"/>
  <c r="F20" i="22"/>
  <c r="F18" i="22"/>
  <c r="F49" i="21"/>
  <c r="F48" i="21"/>
  <c r="R88" i="23"/>
  <c r="R56" i="23"/>
  <c r="K19" i="22"/>
  <c r="K16" i="22"/>
  <c r="K17" i="22" s="1"/>
  <c r="K18" i="22"/>
  <c r="K20" i="22"/>
  <c r="L27" i="20"/>
  <c r="L25" i="20"/>
  <c r="L46" i="3" s="1"/>
  <c r="I27" i="20"/>
  <c r="I25" i="20"/>
  <c r="I46" i="3" s="1"/>
  <c r="AI49" i="21"/>
  <c r="AI48" i="21"/>
  <c r="N20" i="22"/>
  <c r="N18" i="22"/>
  <c r="N19" i="22"/>
  <c r="N16" i="22"/>
  <c r="N17" i="22" s="1"/>
  <c r="AC19" i="22"/>
  <c r="AC16" i="22"/>
  <c r="AC17" i="22" s="1"/>
  <c r="AC18" i="22"/>
  <c r="AC20" i="22"/>
  <c r="X56" i="23"/>
  <c r="X88" i="23"/>
  <c r="Y27" i="20"/>
  <c r="Y25" i="20"/>
  <c r="Y46" i="3" s="1"/>
  <c r="AL25" i="14"/>
  <c r="AL12" i="14"/>
  <c r="G12" i="14"/>
  <c r="G25" i="14"/>
  <c r="I56" i="23"/>
  <c r="I88" i="23"/>
  <c r="H48" i="21"/>
  <c r="H49" i="21"/>
  <c r="AB48" i="21"/>
  <c r="AB49" i="21"/>
  <c r="U25" i="14"/>
  <c r="U12" i="14"/>
  <c r="Y88" i="23"/>
  <c r="Y56" i="23"/>
  <c r="AD49" i="21"/>
  <c r="AD48" i="21"/>
  <c r="C12" i="14"/>
  <c r="C25" i="14"/>
  <c r="AL16" i="22"/>
  <c r="AL17" i="22" s="1"/>
  <c r="AL18" i="22"/>
  <c r="AL20" i="22"/>
  <c r="AL19" i="22"/>
  <c r="AD27" i="20"/>
  <c r="AD25" i="20"/>
  <c r="AD46" i="3" s="1"/>
  <c r="AM88" i="23"/>
  <c r="AM56" i="23"/>
  <c r="E18" i="22"/>
  <c r="E16" i="22"/>
  <c r="E17" i="22" s="1"/>
  <c r="E19" i="22"/>
  <c r="E20" i="22"/>
  <c r="P19" i="22"/>
  <c r="P16" i="22"/>
  <c r="P17" i="22" s="1"/>
  <c r="P18" i="22"/>
  <c r="P20" i="22"/>
  <c r="T49" i="21"/>
  <c r="T48" i="21"/>
  <c r="AO56" i="23"/>
  <c r="AO88" i="23"/>
  <c r="AK27" i="20"/>
  <c r="AK25" i="20"/>
  <c r="AK46" i="3" s="1"/>
  <c r="M27" i="20"/>
  <c r="M25" i="20"/>
  <c r="M46" i="3" s="1"/>
  <c r="AE25" i="14"/>
  <c r="AE12" i="14"/>
  <c r="AE48" i="21"/>
  <c r="AE49" i="21"/>
  <c r="Z88" i="23"/>
  <c r="Z56" i="23"/>
  <c r="AM27" i="20"/>
  <c r="AM25" i="20"/>
  <c r="AM46" i="3" s="1"/>
  <c r="W49" i="21"/>
  <c r="W48" i="21"/>
  <c r="W20" i="22"/>
  <c r="W19" i="22"/>
  <c r="W16" i="22"/>
  <c r="W17" i="22" s="1"/>
  <c r="W18" i="22"/>
  <c r="S27" i="20"/>
  <c r="S25" i="20"/>
  <c r="S46" i="3" s="1"/>
  <c r="O49" i="21"/>
  <c r="O48" i="21"/>
  <c r="F27" i="20"/>
  <c r="F25" i="20"/>
  <c r="F46" i="3" s="1"/>
  <c r="AH56" i="23"/>
  <c r="AH88" i="23"/>
  <c r="AD12" i="14"/>
  <c r="AD25" i="14"/>
  <c r="X12" i="14"/>
  <c r="X25" i="14"/>
  <c r="G56" i="23"/>
  <c r="G88" i="23"/>
  <c r="P48" i="21"/>
  <c r="P49" i="21"/>
  <c r="AM20" i="22"/>
  <c r="AM19" i="22"/>
  <c r="AM16" i="22"/>
  <c r="AM17" i="22" s="1"/>
  <c r="AM18" i="22"/>
  <c r="K27" i="20"/>
  <c r="K25" i="20"/>
  <c r="K46" i="3" s="1"/>
  <c r="W25" i="20"/>
  <c r="W46" i="3" s="1"/>
  <c r="W27" i="20"/>
  <c r="F12" i="14"/>
  <c r="F25" i="14"/>
  <c r="AG49" i="21"/>
  <c r="AG48" i="21"/>
  <c r="AJ19" i="22"/>
  <c r="AJ16" i="22"/>
  <c r="AJ17" i="22" s="1"/>
  <c r="AJ20" i="22"/>
  <c r="AJ18" i="22"/>
  <c r="D49" i="21"/>
  <c r="D48" i="21"/>
  <c r="AB88" i="23"/>
  <c r="AB56" i="23"/>
  <c r="X19" i="22"/>
  <c r="X18" i="22"/>
  <c r="X20" i="22"/>
  <c r="X16" i="22"/>
  <c r="X17" i="22" s="1"/>
  <c r="AO49" i="21"/>
  <c r="AO48" i="21"/>
  <c r="AK25" i="14"/>
  <c r="AK12" i="14"/>
  <c r="N25" i="20"/>
  <c r="N46" i="3" s="1"/>
  <c r="N27" i="20"/>
  <c r="AF12" i="14"/>
  <c r="AF25" i="14"/>
  <c r="X48" i="21"/>
  <c r="X49" i="21"/>
  <c r="AH25" i="14"/>
  <c r="AH12" i="14"/>
  <c r="Q12" i="14"/>
  <c r="Q25" i="14"/>
  <c r="AF16" i="22"/>
  <c r="AF17" i="22" s="1"/>
  <c r="AF19" i="22"/>
  <c r="AF18" i="22"/>
  <c r="AF20" i="22"/>
  <c r="H25" i="14"/>
  <c r="H12" i="14"/>
  <c r="C27" i="20"/>
  <c r="C25" i="20"/>
  <c r="C46" i="3" s="1"/>
  <c r="J16" i="22"/>
  <c r="J17" i="22" s="1"/>
  <c r="J20" i="22"/>
  <c r="J19" i="22"/>
  <c r="J18" i="22"/>
  <c r="AI25" i="14"/>
  <c r="AI12" i="14"/>
  <c r="AH18" i="22"/>
  <c r="AH20" i="22"/>
  <c r="AH19" i="22"/>
  <c r="AH16" i="22"/>
  <c r="AH17" i="22" s="1"/>
  <c r="AN25" i="14"/>
  <c r="AN12" i="14"/>
  <c r="AB25" i="14"/>
  <c r="AB12" i="14"/>
  <c r="Y19" i="22"/>
  <c r="Y16" i="22"/>
  <c r="Y17" i="22" s="1"/>
  <c r="Y20" i="22"/>
  <c r="Y18" i="22"/>
  <c r="O19" i="22"/>
  <c r="O20" i="22"/>
  <c r="O18" i="22"/>
  <c r="O16" i="22"/>
  <c r="O17" i="22" s="1"/>
  <c r="AB27" i="20"/>
  <c r="AB25" i="20"/>
  <c r="AB46" i="3" s="1"/>
  <c r="AI25" i="20"/>
  <c r="AI46" i="3" s="1"/>
  <c r="AI27" i="20"/>
  <c r="M25" i="14"/>
  <c r="M12" i="14"/>
  <c r="P25" i="14"/>
  <c r="P12" i="14"/>
  <c r="AL56" i="23"/>
  <c r="AL88" i="23"/>
  <c r="AG25" i="14"/>
  <c r="AG12" i="14"/>
  <c r="Z18" i="22"/>
  <c r="Z19" i="22"/>
  <c r="Z16" i="22"/>
  <c r="Z17" i="22" s="1"/>
  <c r="Z20" i="22"/>
  <c r="I25" i="14"/>
  <c r="I12" i="14"/>
  <c r="AA12" i="14"/>
  <c r="AA25" i="14"/>
  <c r="V12" i="14"/>
  <c r="V25" i="14"/>
  <c r="O25" i="20"/>
  <c r="O46" i="3" s="1"/>
  <c r="O27" i="20"/>
  <c r="AC27" i="20"/>
  <c r="AC25" i="20"/>
  <c r="AC46" i="3" s="1"/>
  <c r="N25" i="14"/>
  <c r="N12" i="14"/>
  <c r="P27" i="20"/>
  <c r="P25" i="20"/>
  <c r="P46" i="3" s="1"/>
  <c r="E56" i="23"/>
  <c r="E88" i="23"/>
  <c r="E49" i="21"/>
  <c r="E48" i="21"/>
  <c r="L88" i="23"/>
  <c r="L56" i="23"/>
  <c r="AF48" i="21"/>
  <c r="AF49" i="21"/>
  <c r="AF27" i="20"/>
  <c r="AF25" i="20"/>
  <c r="AF46" i="3" s="1"/>
  <c r="AJ88" i="23"/>
  <c r="AJ56" i="23"/>
  <c r="AA88" i="23"/>
  <c r="AA56" i="23"/>
  <c r="Q56" i="23"/>
  <c r="Q88" i="23"/>
  <c r="V27" i="20"/>
  <c r="V25" i="20"/>
  <c r="V46" i="3" s="1"/>
  <c r="AM48" i="21"/>
  <c r="AM49" i="21"/>
  <c r="AJ25" i="14"/>
  <c r="AJ12" i="14"/>
  <c r="S56" i="23"/>
  <c r="S88" i="23"/>
  <c r="AH27" i="20"/>
  <c r="AH25" i="20"/>
  <c r="AH46" i="3" s="1"/>
  <c r="Y25" i="14"/>
  <c r="Y12" i="14"/>
  <c r="D25" i="14"/>
  <c r="D12" i="14"/>
  <c r="AG88" i="23"/>
  <c r="AG56" i="23"/>
  <c r="D16" i="22"/>
  <c r="D17" i="22" s="1"/>
  <c r="D18" i="22"/>
  <c r="D19" i="22"/>
  <c r="D20" i="22"/>
  <c r="AA25" i="20"/>
  <c r="AA46" i="3" s="1"/>
  <c r="AA27" i="20"/>
  <c r="R25" i="20"/>
  <c r="R46" i="3" s="1"/>
  <c r="R71" i="20"/>
  <c r="R27" i="20"/>
  <c r="AK48" i="21"/>
  <c r="AK49" i="21"/>
  <c r="J48" i="21"/>
  <c r="J49" i="21"/>
  <c r="K49" i="21"/>
  <c r="K48" i="21"/>
  <c r="C16" i="22"/>
  <c r="C17" i="22" s="1"/>
  <c r="C20" i="22"/>
  <c r="C18" i="22"/>
  <c r="C19" i="22"/>
  <c r="W88" i="23"/>
  <c r="W56" i="23"/>
  <c r="AI18" i="22"/>
  <c r="AI19" i="22"/>
  <c r="AI16" i="22"/>
  <c r="AI17" i="22" s="1"/>
  <c r="AI20" i="22"/>
  <c r="K25" i="14"/>
  <c r="K12" i="14"/>
  <c r="AC12" i="14"/>
  <c r="AC25" i="14"/>
  <c r="D27" i="20"/>
  <c r="D25" i="20"/>
  <c r="D46" i="3" s="1"/>
  <c r="U56" i="23"/>
  <c r="U88" i="23"/>
  <c r="AL48" i="21"/>
  <c r="AL49" i="21"/>
  <c r="E25" i="14"/>
  <c r="E12" i="14"/>
  <c r="J88" i="23"/>
  <c r="J56" i="23"/>
  <c r="Q20" i="22"/>
  <c r="Q19" i="22"/>
  <c r="Q18" i="22"/>
  <c r="Q16" i="22"/>
  <c r="Q17" i="22" s="1"/>
  <c r="AJ48" i="21"/>
  <c r="AJ49" i="21"/>
  <c r="AE18" i="22"/>
  <c r="AE19" i="22"/>
  <c r="AE20" i="22"/>
  <c r="AE16" i="22"/>
  <c r="AE17" i="22" s="1"/>
  <c r="J27" i="20"/>
  <c r="J25" i="20"/>
  <c r="J46" i="3" s="1"/>
  <c r="Z48" i="21"/>
  <c r="Z49" i="21"/>
  <c r="F56" i="23"/>
  <c r="F88" i="23"/>
  <c r="V49" i="21"/>
  <c r="V48" i="21"/>
  <c r="AN49" i="21"/>
  <c r="AN48" i="21"/>
  <c r="O88" i="23"/>
  <c r="O56" i="23"/>
  <c r="AN27" i="20"/>
  <c r="AN25" i="20"/>
  <c r="AN46" i="3" s="1"/>
  <c r="I18" i="22"/>
  <c r="I20" i="22"/>
  <c r="I16" i="22"/>
  <c r="I17" i="22" s="1"/>
  <c r="I19" i="22"/>
  <c r="W25" i="14"/>
  <c r="W12" i="14"/>
  <c r="AA20" i="22"/>
  <c r="AA19" i="22"/>
  <c r="AA16" i="22"/>
  <c r="AA17" i="22" s="1"/>
  <c r="AA18" i="22"/>
  <c r="U20" i="22"/>
  <c r="U18" i="22"/>
  <c r="U19" i="22"/>
  <c r="U16" i="22"/>
  <c r="U17" i="22" s="1"/>
  <c r="G27" i="20"/>
  <c r="G25" i="20"/>
  <c r="G46" i="3" s="1"/>
  <c r="AJ27" i="20"/>
  <c r="AJ25" i="20"/>
  <c r="AJ46" i="3" s="1"/>
  <c r="AK56" i="23"/>
  <c r="AK88" i="23"/>
  <c r="Y48" i="21"/>
  <c r="Y49" i="21"/>
  <c r="Y65" i="21" s="1"/>
  <c r="H27" i="20"/>
  <c r="H25" i="20"/>
  <c r="H46" i="3" s="1"/>
  <c r="U27" i="20"/>
  <c r="U25" i="20"/>
  <c r="U46" i="3" s="1"/>
  <c r="S20" i="22"/>
  <c r="S19" i="22"/>
  <c r="S16" i="22"/>
  <c r="S17" i="22" s="1"/>
  <c r="S18" i="22"/>
  <c r="DO147" i="2"/>
  <c r="T29" i="20"/>
  <c r="T36" i="20" s="1"/>
  <c r="AD141" i="13"/>
  <c r="BB141" i="13"/>
  <c r="BA141" i="13"/>
  <c r="BD141" i="13"/>
  <c r="BD125" i="13"/>
  <c r="AH141" i="13"/>
  <c r="AH125" i="13"/>
  <c r="BE125" i="13"/>
  <c r="BE141" i="13"/>
  <c r="AU125" i="13"/>
  <c r="AU141" i="13"/>
  <c r="BI141" i="13"/>
  <c r="BI125" i="13"/>
  <c r="AY141" i="13"/>
  <c r="AY125" i="13"/>
  <c r="AP125" i="13"/>
  <c r="Z141" i="13"/>
  <c r="Z125" i="13"/>
  <c r="BG125" i="13"/>
  <c r="BG141" i="13"/>
  <c r="AV141" i="13"/>
  <c r="AV125" i="13"/>
  <c r="BC125" i="13"/>
  <c r="BC141" i="13"/>
  <c r="T25" i="20"/>
  <c r="T46" i="3" s="1"/>
  <c r="AZ125" i="13"/>
  <c r="AZ141" i="13"/>
  <c r="BJ141" i="13"/>
  <c r="BJ125" i="13"/>
  <c r="AG141" i="13"/>
  <c r="AL141" i="13"/>
  <c r="AC141" i="13"/>
  <c r="AC125" i="13"/>
  <c r="AQ125" i="13"/>
  <c r="AQ141" i="13"/>
  <c r="DV147" i="2"/>
  <c r="AS147" i="2"/>
  <c r="EG147" i="2"/>
  <c r="DY147" i="2"/>
  <c r="DS147" i="2"/>
  <c r="CG147" i="2"/>
  <c r="DP147" i="2"/>
  <c r="BV147" i="2"/>
  <c r="EJ147" i="2"/>
  <c r="BD147" i="2"/>
  <c r="BW147" i="2"/>
  <c r="CZ147" i="2"/>
  <c r="DC147" i="2"/>
  <c r="CP147" i="2"/>
  <c r="AW147" i="2"/>
  <c r="CX147" i="2"/>
  <c r="DL147" i="2"/>
  <c r="BP147" i="2"/>
  <c r="CS147" i="2"/>
  <c r="EB147" i="2"/>
  <c r="ED147" i="2"/>
  <c r="BT147" i="2"/>
  <c r="BM147" i="2"/>
  <c r="BG147" i="2"/>
  <c r="CM147" i="2"/>
  <c r="DE147" i="2"/>
  <c r="DM147" i="2"/>
  <c r="EI147" i="2"/>
  <c r="AZ147" i="2"/>
  <c r="BS147" i="2"/>
  <c r="DI147" i="2"/>
  <c r="CJ147" i="2"/>
  <c r="CD147" i="2"/>
  <c r="CA147" i="2"/>
  <c r="L18" i="14"/>
  <c r="L16" i="14"/>
  <c r="T28" i="20"/>
  <c r="T35" i="20" s="1"/>
  <c r="T25" i="14"/>
  <c r="T12" i="14"/>
  <c r="V88" i="23"/>
  <c r="V56" i="23"/>
  <c r="T20" i="22"/>
  <c r="T18" i="22"/>
  <c r="T16" i="22"/>
  <c r="T17" i="22" s="1"/>
  <c r="T19" i="22"/>
  <c r="R17" i="14"/>
  <c r="R18" i="14"/>
  <c r="AS141" i="13"/>
  <c r="AS125" i="13"/>
  <c r="L77" i="12" l="1"/>
  <c r="L78" i="12" s="1"/>
  <c r="M51" i="5"/>
  <c r="S26" i="5"/>
  <c r="S30" i="5" s="1"/>
  <c r="AH24" i="5"/>
  <c r="AH28" i="5" s="1"/>
  <c r="O40" i="5"/>
  <c r="O48" i="5" s="1"/>
  <c r="P40" i="5"/>
  <c r="Q27" i="5"/>
  <c r="AJ40" i="5"/>
  <c r="AJ48" i="5" s="1"/>
  <c r="Q40" i="5"/>
  <c r="AK40" i="5"/>
  <c r="AK48" i="5" s="1"/>
  <c r="M96" i="5"/>
  <c r="W40" i="5"/>
  <c r="W48" i="5" s="1"/>
  <c r="S41" i="5"/>
  <c r="S45" i="5" s="1"/>
  <c r="V40" i="5"/>
  <c r="V48" i="5" s="1"/>
  <c r="X40" i="5"/>
  <c r="U27" i="5"/>
  <c r="AF27" i="5"/>
  <c r="W27" i="5"/>
  <c r="AN40" i="5"/>
  <c r="AN48" i="5" s="1"/>
  <c r="AF40" i="5"/>
  <c r="E40" i="5"/>
  <c r="E48" i="5" s="1"/>
  <c r="AL40" i="5"/>
  <c r="AL48" i="5" s="1"/>
  <c r="AO40" i="5"/>
  <c r="N40" i="5"/>
  <c r="AB40" i="5"/>
  <c r="AB48" i="5" s="1"/>
  <c r="T40" i="5"/>
  <c r="T48" i="5" s="1"/>
  <c r="AG40" i="5"/>
  <c r="AG48" i="5" s="1"/>
  <c r="H40" i="5"/>
  <c r="H48" i="5" s="1"/>
  <c r="S43" i="5"/>
  <c r="N24" i="5"/>
  <c r="N28" i="5" s="1"/>
  <c r="Z40" i="5"/>
  <c r="Z48" i="5" s="1"/>
  <c r="AH40" i="5"/>
  <c r="F40" i="5"/>
  <c r="F48" i="5" s="1"/>
  <c r="G40" i="5"/>
  <c r="G48" i="5" s="1"/>
  <c r="M41" i="5"/>
  <c r="M45" i="5" s="1"/>
  <c r="AC40" i="5"/>
  <c r="AC48" i="5" s="1"/>
  <c r="AG27" i="5"/>
  <c r="AM40" i="5"/>
  <c r="AM48" i="5" s="1"/>
  <c r="AD40" i="5"/>
  <c r="AD48" i="5" s="1"/>
  <c r="Y40" i="5"/>
  <c r="Y48" i="5" s="1"/>
  <c r="AE40" i="5"/>
  <c r="AE48" i="5" s="1"/>
  <c r="S47" i="5"/>
  <c r="S51" i="5" s="1"/>
  <c r="M43" i="5"/>
  <c r="E24" i="5"/>
  <c r="E28" i="5" s="1"/>
  <c r="AF24" i="5"/>
  <c r="AF28" i="5" s="1"/>
  <c r="AI24" i="5"/>
  <c r="AI44" i="5" s="1"/>
  <c r="AI36" i="5" s="1"/>
  <c r="I24" i="5"/>
  <c r="D24" i="5"/>
  <c r="D44" i="5" s="1"/>
  <c r="D36" i="5" s="1"/>
  <c r="V20" i="5"/>
  <c r="K20" i="5"/>
  <c r="AJ24" i="5"/>
  <c r="X24" i="5"/>
  <c r="X28" i="5" s="1"/>
  <c r="F24" i="5"/>
  <c r="F28" i="5" s="1"/>
  <c r="W24" i="5"/>
  <c r="AA24" i="5"/>
  <c r="AA20" i="5"/>
  <c r="F20" i="5"/>
  <c r="AL24" i="5"/>
  <c r="AM24" i="5"/>
  <c r="AD24" i="5"/>
  <c r="R23" i="5"/>
  <c r="Z20" i="5"/>
  <c r="AB27" i="5"/>
  <c r="F23" i="5"/>
  <c r="F27" i="5" s="1"/>
  <c r="T24" i="5"/>
  <c r="T28" i="5" s="1"/>
  <c r="AG24" i="5"/>
  <c r="AG28" i="5" s="1"/>
  <c r="R20" i="5"/>
  <c r="W20" i="5"/>
  <c r="J20" i="5"/>
  <c r="AC24" i="5"/>
  <c r="AC28" i="5" s="1"/>
  <c r="D27" i="5"/>
  <c r="Z24" i="5"/>
  <c r="J24" i="5"/>
  <c r="K24" i="5"/>
  <c r="K44" i="5" s="1"/>
  <c r="K36" i="5" s="1"/>
  <c r="AE20" i="5"/>
  <c r="O22" i="5"/>
  <c r="O31" i="5"/>
  <c r="H20" i="5"/>
  <c r="H22" i="5"/>
  <c r="H31" i="5"/>
  <c r="G24" i="5"/>
  <c r="H23" i="5"/>
  <c r="AI22" i="5"/>
  <c r="AI31" i="5"/>
  <c r="T20" i="5"/>
  <c r="T22" i="5"/>
  <c r="T31" i="5"/>
  <c r="AA22" i="5"/>
  <c r="AA31" i="5"/>
  <c r="AH22" i="5"/>
  <c r="AH31" i="5"/>
  <c r="N22" i="5"/>
  <c r="N31" i="5"/>
  <c r="AF20" i="5"/>
  <c r="AF31" i="5"/>
  <c r="AF22" i="5"/>
  <c r="V23" i="5"/>
  <c r="G20" i="5"/>
  <c r="AM20" i="5"/>
  <c r="H24" i="5"/>
  <c r="AA23" i="5"/>
  <c r="N27" i="5"/>
  <c r="L24" i="5"/>
  <c r="L44" i="5" s="1"/>
  <c r="L36" i="5" s="1"/>
  <c r="O23" i="5"/>
  <c r="Q20" i="5"/>
  <c r="Q22" i="5"/>
  <c r="Q31" i="5"/>
  <c r="AK20" i="5"/>
  <c r="AK31" i="5"/>
  <c r="AK22" i="5"/>
  <c r="G22" i="5"/>
  <c r="G31" i="5"/>
  <c r="K31" i="5"/>
  <c r="K22" i="5"/>
  <c r="AD31" i="5"/>
  <c r="AD22" i="5"/>
  <c r="V22" i="5"/>
  <c r="V31" i="5"/>
  <c r="P20" i="5"/>
  <c r="P31" i="5"/>
  <c r="P22" i="5"/>
  <c r="AO24" i="5"/>
  <c r="AO28" i="5" s="1"/>
  <c r="P24" i="5"/>
  <c r="P28" i="5" s="1"/>
  <c r="AO20" i="5"/>
  <c r="AO31" i="5"/>
  <c r="AO39" i="5" s="1"/>
  <c r="AO43" i="5" s="1"/>
  <c r="AO22" i="5"/>
  <c r="S96" i="5"/>
  <c r="Y20" i="5"/>
  <c r="Y22" i="5"/>
  <c r="Y31" i="5"/>
  <c r="E20" i="5"/>
  <c r="E22" i="5"/>
  <c r="E31" i="5"/>
  <c r="X20" i="5"/>
  <c r="X31" i="5"/>
  <c r="X22" i="5"/>
  <c r="AH20" i="5"/>
  <c r="Q24" i="5"/>
  <c r="AL27" i="5"/>
  <c r="Y24" i="5"/>
  <c r="E23" i="5"/>
  <c r="T23" i="5"/>
  <c r="V24" i="5"/>
  <c r="AB24" i="5"/>
  <c r="R24" i="5"/>
  <c r="Z31" i="5"/>
  <c r="Z22" i="5"/>
  <c r="AG20" i="5"/>
  <c r="AG31" i="5"/>
  <c r="AG39" i="5" s="1"/>
  <c r="AG43" i="5" s="1"/>
  <c r="AG22" i="5"/>
  <c r="O20" i="5"/>
  <c r="F31" i="5"/>
  <c r="F22" i="5"/>
  <c r="O24" i="5"/>
  <c r="AD20" i="5"/>
  <c r="AL31" i="5"/>
  <c r="AL22" i="5"/>
  <c r="U24" i="5"/>
  <c r="U44" i="5" s="1"/>
  <c r="U36" i="5" s="1"/>
  <c r="AM22" i="5"/>
  <c r="AM31" i="5"/>
  <c r="J22" i="5"/>
  <c r="J31" i="5"/>
  <c r="I20" i="5"/>
  <c r="I22" i="5"/>
  <c r="I31" i="5"/>
  <c r="D20" i="5"/>
  <c r="D31" i="5"/>
  <c r="D22" i="5"/>
  <c r="L20" i="5"/>
  <c r="L22" i="5"/>
  <c r="L31" i="5"/>
  <c r="L23" i="5"/>
  <c r="AK24" i="5"/>
  <c r="AK28" i="5" s="1"/>
  <c r="U20" i="5"/>
  <c r="U31" i="5"/>
  <c r="U22" i="5"/>
  <c r="W22" i="5"/>
  <c r="W31" i="5"/>
  <c r="R22" i="5"/>
  <c r="R31" i="5"/>
  <c r="AC20" i="5"/>
  <c r="AC22" i="5"/>
  <c r="AC31" i="5"/>
  <c r="AC39" i="5" s="1"/>
  <c r="AC43" i="5" s="1"/>
  <c r="AI20" i="5"/>
  <c r="I23" i="5"/>
  <c r="AE22" i="5"/>
  <c r="AE31" i="5"/>
  <c r="AN24" i="5"/>
  <c r="AE24" i="5"/>
  <c r="Y23" i="5"/>
  <c r="AI23" i="5"/>
  <c r="X23" i="5"/>
  <c r="AH27" i="5"/>
  <c r="AN20" i="5"/>
  <c r="AN22" i="5"/>
  <c r="AN31" i="5"/>
  <c r="AJ20" i="5"/>
  <c r="AJ22" i="5"/>
  <c r="AJ31" i="5"/>
  <c r="AL20" i="5"/>
  <c r="AB20" i="5"/>
  <c r="AB31" i="5"/>
  <c r="AB22" i="5"/>
  <c r="N20" i="5"/>
  <c r="S83" i="5"/>
  <c r="AH16" i="20"/>
  <c r="AH18" i="20" s="1"/>
  <c r="AH16" i="3"/>
  <c r="P16" i="20"/>
  <c r="P18" i="20" s="1"/>
  <c r="P16" i="3"/>
  <c r="C16" i="3"/>
  <c r="AM16" i="20"/>
  <c r="AM18" i="20" s="1"/>
  <c r="AM16" i="3"/>
  <c r="AL16" i="20"/>
  <c r="AL18" i="20" s="1"/>
  <c r="AL16" i="3"/>
  <c r="X16" i="20"/>
  <c r="X18" i="20" s="1"/>
  <c r="X16" i="3"/>
  <c r="Q16" i="20"/>
  <c r="Q18" i="20" s="1"/>
  <c r="Q16" i="3"/>
  <c r="J16" i="20"/>
  <c r="J18" i="20" s="1"/>
  <c r="J16" i="3"/>
  <c r="T16" i="3"/>
  <c r="M16" i="20"/>
  <c r="M18" i="20" s="1"/>
  <c r="M16" i="3"/>
  <c r="Y16" i="20"/>
  <c r="Y18" i="20" s="1"/>
  <c r="Y16" i="3"/>
  <c r="V16" i="20"/>
  <c r="V18" i="20" s="1"/>
  <c r="V16" i="3"/>
  <c r="AG16" i="20"/>
  <c r="AG18" i="20" s="1"/>
  <c r="AG16" i="3"/>
  <c r="D16" i="3"/>
  <c r="AJ16" i="20"/>
  <c r="AJ18" i="20" s="1"/>
  <c r="AJ16" i="3"/>
  <c r="AI16" i="20"/>
  <c r="AI18" i="20" s="1"/>
  <c r="AI16" i="3"/>
  <c r="F16" i="20"/>
  <c r="F18" i="20" s="1"/>
  <c r="F16" i="3"/>
  <c r="AF16" i="20"/>
  <c r="AF18" i="20" s="1"/>
  <c r="AF16" i="3"/>
  <c r="H16" i="20"/>
  <c r="H18" i="20" s="1"/>
  <c r="H16" i="3"/>
  <c r="AK16" i="20"/>
  <c r="AK18" i="20" s="1"/>
  <c r="AK16" i="3"/>
  <c r="AE16" i="20"/>
  <c r="AE18" i="20" s="1"/>
  <c r="AE16" i="3"/>
  <c r="U16" i="20"/>
  <c r="U18" i="20" s="1"/>
  <c r="U16" i="3"/>
  <c r="AA16" i="20"/>
  <c r="AA18" i="20" s="1"/>
  <c r="AA16" i="3"/>
  <c r="AB16" i="20"/>
  <c r="AB18" i="20" s="1"/>
  <c r="AB16" i="3"/>
  <c r="AD16" i="20"/>
  <c r="AD18" i="20" s="1"/>
  <c r="AD16" i="3"/>
  <c r="G16" i="20"/>
  <c r="G18" i="20" s="1"/>
  <c r="G16" i="3"/>
  <c r="S16" i="20"/>
  <c r="S18" i="20" s="1"/>
  <c r="S16" i="3"/>
  <c r="AC16" i="20"/>
  <c r="AC18" i="20" s="1"/>
  <c r="AC16" i="3"/>
  <c r="I16" i="20"/>
  <c r="I18" i="20" s="1"/>
  <c r="I16" i="3"/>
  <c r="O16" i="20"/>
  <c r="O18" i="20" s="1"/>
  <c r="O16" i="3"/>
  <c r="K16" i="20"/>
  <c r="K18" i="20" s="1"/>
  <c r="K16" i="3"/>
  <c r="E16" i="20"/>
  <c r="E18" i="20" s="1"/>
  <c r="E16" i="3"/>
  <c r="W16" i="20"/>
  <c r="W18" i="20" s="1"/>
  <c r="W16" i="3"/>
  <c r="AN16" i="20"/>
  <c r="AN18" i="20" s="1"/>
  <c r="AN16" i="3"/>
  <c r="N16" i="20"/>
  <c r="N18" i="20" s="1"/>
  <c r="N16" i="3"/>
  <c r="Z16" i="20"/>
  <c r="Z18" i="20" s="1"/>
  <c r="Z16" i="3"/>
  <c r="AL153" i="13"/>
  <c r="AL154" i="13" s="1"/>
  <c r="AL156" i="13" s="1"/>
  <c r="AL157" i="13" s="1"/>
  <c r="AY153" i="13"/>
  <c r="AY154" i="13" s="1"/>
  <c r="AY156" i="13" s="1"/>
  <c r="AY157" i="13" s="1"/>
  <c r="M83" i="5"/>
  <c r="BC153" i="13"/>
  <c r="BC154" i="13" s="1"/>
  <c r="BC156" i="13" s="1"/>
  <c r="BC157" i="13" s="1"/>
  <c r="AO153" i="13"/>
  <c r="AO154" i="13" s="1"/>
  <c r="AO156" i="13" s="1"/>
  <c r="AO157" i="13" s="1"/>
  <c r="AX153" i="13"/>
  <c r="AX154" i="13" s="1"/>
  <c r="AX156" i="13" s="1"/>
  <c r="AX157" i="13" s="1"/>
  <c r="BJ153" i="13"/>
  <c r="BJ154" i="13" s="1"/>
  <c r="BJ156" i="13" s="1"/>
  <c r="BJ157" i="13" s="1"/>
  <c r="BI153" i="13"/>
  <c r="BI154" i="13" s="1"/>
  <c r="BI156" i="13" s="1"/>
  <c r="BI157" i="13" s="1"/>
  <c r="BB153" i="13"/>
  <c r="BB154" i="13" s="1"/>
  <c r="BB156" i="13" s="1"/>
  <c r="BB157" i="13" s="1"/>
  <c r="AD153" i="13"/>
  <c r="AD154" i="13" s="1"/>
  <c r="AD156" i="13" s="1"/>
  <c r="AD157" i="13" s="1"/>
  <c r="AG153" i="13"/>
  <c r="AG154" i="13" s="1"/>
  <c r="AG156" i="13" s="1"/>
  <c r="AG157" i="13" s="1"/>
  <c r="BD153" i="13"/>
  <c r="BD154" i="13" s="1"/>
  <c r="BD156" i="13" s="1"/>
  <c r="BD157" i="13" s="1"/>
  <c r="AS153" i="13"/>
  <c r="AS154" i="13" s="1"/>
  <c r="AS156" i="13" s="1"/>
  <c r="AS157" i="13" s="1"/>
  <c r="AI153" i="13"/>
  <c r="AI154" i="13" s="1"/>
  <c r="AI156" i="13" s="1"/>
  <c r="AI157" i="13" s="1"/>
  <c r="BF153" i="13"/>
  <c r="BF154" i="13" s="1"/>
  <c r="BF156" i="13" s="1"/>
  <c r="BF157" i="13" s="1"/>
  <c r="BE153" i="13"/>
  <c r="BE154" i="13" s="1"/>
  <c r="BE156" i="13" s="1"/>
  <c r="BE157" i="13" s="1"/>
  <c r="L75" i="12"/>
  <c r="R75" i="12"/>
  <c r="AR153" i="13"/>
  <c r="AR154" i="13" s="1"/>
  <c r="AR156" i="13" s="1"/>
  <c r="AR157" i="13" s="1"/>
  <c r="AJ153" i="13"/>
  <c r="AJ154" i="13" s="1"/>
  <c r="AJ156" i="13" s="1"/>
  <c r="AJ157" i="13" s="1"/>
  <c r="AK153" i="13"/>
  <c r="AK154" i="13" s="1"/>
  <c r="AK156" i="13" s="1"/>
  <c r="AK157" i="13" s="1"/>
  <c r="AC153" i="13"/>
  <c r="AC154" i="13" s="1"/>
  <c r="AC156" i="13" s="1"/>
  <c r="AC157" i="13" s="1"/>
  <c r="AZ153" i="13"/>
  <c r="AZ154" i="13" s="1"/>
  <c r="AZ156" i="13" s="1"/>
  <c r="AZ157" i="13" s="1"/>
  <c r="AV153" i="13"/>
  <c r="AV154" i="13" s="1"/>
  <c r="AV156" i="13" s="1"/>
  <c r="AV157" i="13" s="1"/>
  <c r="AB153" i="13"/>
  <c r="AB154" i="13" s="1"/>
  <c r="AB156" i="13" s="1"/>
  <c r="AB157" i="13" s="1"/>
  <c r="BA153" i="13"/>
  <c r="BA154" i="13" s="1"/>
  <c r="BA156" i="13" s="1"/>
  <c r="BA157" i="13" s="1"/>
  <c r="AT153" i="13"/>
  <c r="AT154" i="13" s="1"/>
  <c r="AT156" i="13" s="1"/>
  <c r="AT157" i="13" s="1"/>
  <c r="AQ153" i="13"/>
  <c r="AQ154" i="13" s="1"/>
  <c r="AQ156" i="13" s="1"/>
  <c r="AQ157" i="13" s="1"/>
  <c r="AA153" i="13"/>
  <c r="AA154" i="13" s="1"/>
  <c r="AA156" i="13" s="1"/>
  <c r="AA157" i="13" s="1"/>
  <c r="AU153" i="13"/>
  <c r="AU154" i="13" s="1"/>
  <c r="AU156" i="13" s="1"/>
  <c r="AU157" i="13" s="1"/>
  <c r="Y153" i="13"/>
  <c r="Y154" i="13" s="1"/>
  <c r="Y156" i="13" s="1"/>
  <c r="Y157" i="13" s="1"/>
  <c r="AP153" i="13"/>
  <c r="AP154" i="13" s="1"/>
  <c r="AP156" i="13" s="1"/>
  <c r="AP157" i="13" s="1"/>
  <c r="AW153" i="13"/>
  <c r="AW154" i="13" s="1"/>
  <c r="AW156" i="13" s="1"/>
  <c r="AW157" i="13" s="1"/>
  <c r="AM153" i="13"/>
  <c r="AM154" i="13" s="1"/>
  <c r="AM156" i="13" s="1"/>
  <c r="AM157" i="13" s="1"/>
  <c r="BG153" i="13"/>
  <c r="BG154" i="13" s="1"/>
  <c r="BG156" i="13" s="1"/>
  <c r="BG157" i="13" s="1"/>
  <c r="BH153" i="13"/>
  <c r="BH154" i="13" s="1"/>
  <c r="BH156" i="13" s="1"/>
  <c r="BH157" i="13" s="1"/>
  <c r="AF153" i="13"/>
  <c r="AF154" i="13" s="1"/>
  <c r="AF156" i="13" s="1"/>
  <c r="AF157" i="13" s="1"/>
  <c r="Z153" i="13"/>
  <c r="Z154" i="13" s="1"/>
  <c r="Z156" i="13" s="1"/>
  <c r="Z157" i="13" s="1"/>
  <c r="AE153" i="13"/>
  <c r="AE154" i="13" s="1"/>
  <c r="AE156" i="13" s="1"/>
  <c r="AE157" i="13" s="1"/>
  <c r="AE121" i="12"/>
  <c r="AF121" i="12"/>
  <c r="X121" i="12"/>
  <c r="O58" i="12"/>
  <c r="AE44" i="12"/>
  <c r="AE45" i="12" s="1"/>
  <c r="AM121" i="12"/>
  <c r="H44" i="12"/>
  <c r="AD44" i="12"/>
  <c r="R59" i="12"/>
  <c r="R62" i="12"/>
  <c r="AE74" i="12"/>
  <c r="G44" i="12"/>
  <c r="W58" i="12"/>
  <c r="X58" i="12"/>
  <c r="W44" i="12"/>
  <c r="L59" i="12"/>
  <c r="L62" i="12"/>
  <c r="X44" i="12"/>
  <c r="L46" i="12"/>
  <c r="L47" i="12" s="1"/>
  <c r="L48" i="12"/>
  <c r="AF58" i="12"/>
  <c r="AM44" i="12"/>
  <c r="AF44" i="12"/>
  <c r="R46" i="12"/>
  <c r="R47" i="12" s="1"/>
  <c r="R48" i="12"/>
  <c r="AG189" i="13"/>
  <c r="AG190" i="13" s="1"/>
  <c r="AG235" i="13" s="1"/>
  <c r="AR123" i="13"/>
  <c r="AR126" i="13" s="1"/>
  <c r="AU189" i="13"/>
  <c r="AU190" i="13" s="1"/>
  <c r="AU235" i="13" s="1"/>
  <c r="AI123" i="13"/>
  <c r="AI124" i="13" s="1"/>
  <c r="Y189" i="13"/>
  <c r="Y190" i="13" s="1"/>
  <c r="Y235" i="13" s="1"/>
  <c r="AE189" i="13"/>
  <c r="AE190" i="13" s="1"/>
  <c r="AE235" i="13" s="1"/>
  <c r="AO189" i="13"/>
  <c r="AO190" i="13" s="1"/>
  <c r="AO235" i="13" s="1"/>
  <c r="AP189" i="13"/>
  <c r="AP190" i="13" s="1"/>
  <c r="AP235" i="13" s="1"/>
  <c r="BH189" i="13"/>
  <c r="BH190" i="13" s="1"/>
  <c r="BH235" i="13" s="1"/>
  <c r="AQ123" i="13"/>
  <c r="AQ124" i="13" s="1"/>
  <c r="BC189" i="13"/>
  <c r="BC190" i="13" s="1"/>
  <c r="BC235" i="13" s="1"/>
  <c r="BI189" i="13"/>
  <c r="BI190" i="13" s="1"/>
  <c r="BI235" i="13" s="1"/>
  <c r="AG123" i="13"/>
  <c r="AG124" i="13" s="1"/>
  <c r="AJ123" i="13"/>
  <c r="AJ124" i="13" s="1"/>
  <c r="AL123" i="13"/>
  <c r="AL124" i="13" s="1"/>
  <c r="AY123" i="13"/>
  <c r="AY124" i="13" s="1"/>
  <c r="BA123" i="13"/>
  <c r="BA124" i="13" s="1"/>
  <c r="AD189" i="13"/>
  <c r="AD190" i="13" s="1"/>
  <c r="AD235" i="13" s="1"/>
  <c r="AE123" i="13"/>
  <c r="AE124" i="13" s="1"/>
  <c r="BF123" i="13"/>
  <c r="BF124" i="13" s="1"/>
  <c r="AF123" i="13"/>
  <c r="AF124" i="13" s="1"/>
  <c r="BJ189" i="13"/>
  <c r="BJ190" i="13" s="1"/>
  <c r="BJ235" i="13" s="1"/>
  <c r="AL189" i="13"/>
  <c r="AL190" i="13" s="1"/>
  <c r="AL235" i="13" s="1"/>
  <c r="AT189" i="13"/>
  <c r="AT190" i="13" s="1"/>
  <c r="AT235" i="13" s="1"/>
  <c r="AM189" i="13"/>
  <c r="AM190" i="13" s="1"/>
  <c r="AM235" i="13" s="1"/>
  <c r="BB123" i="13"/>
  <c r="BB124" i="13" s="1"/>
  <c r="BI123" i="13"/>
  <c r="BI124" i="13" s="1"/>
  <c r="BH123" i="13"/>
  <c r="BH124" i="13" s="1"/>
  <c r="AN142" i="13"/>
  <c r="AN236" i="13" s="1"/>
  <c r="AH142" i="13"/>
  <c r="AP123" i="13"/>
  <c r="AP124" i="13" s="1"/>
  <c r="AW123" i="13"/>
  <c r="AW124" i="13" s="1"/>
  <c r="AS189" i="13"/>
  <c r="AS190" i="13" s="1"/>
  <c r="AS235" i="13" s="1"/>
  <c r="AC189" i="13"/>
  <c r="AC190" i="13" s="1"/>
  <c r="AC235" i="13" s="1"/>
  <c r="AB123" i="13"/>
  <c r="AA189" i="13"/>
  <c r="AA190" i="13" s="1"/>
  <c r="AA235" i="13" s="1"/>
  <c r="Z189" i="13"/>
  <c r="Z190" i="13" s="1"/>
  <c r="Z235" i="13" s="1"/>
  <c r="AH220" i="13"/>
  <c r="BA189" i="13"/>
  <c r="BA190" i="13" s="1"/>
  <c r="BA235" i="13" s="1"/>
  <c r="AK123" i="13"/>
  <c r="AK124" i="13" s="1"/>
  <c r="BG189" i="13"/>
  <c r="BG190" i="13" s="1"/>
  <c r="BG235" i="13" s="1"/>
  <c r="AB189" i="13"/>
  <c r="AB190" i="13" s="1"/>
  <c r="AZ189" i="13"/>
  <c r="AZ190" i="13" s="1"/>
  <c r="AZ235" i="13" s="1"/>
  <c r="BG123" i="13"/>
  <c r="BG124" i="13" s="1"/>
  <c r="BJ123" i="13"/>
  <c r="BJ124" i="13" s="1"/>
  <c r="AJ189" i="13"/>
  <c r="AJ190" i="13" s="1"/>
  <c r="AJ235" i="13" s="1"/>
  <c r="I32" i="17"/>
  <c r="I36" i="17" s="1"/>
  <c r="U32" i="17"/>
  <c r="U36" i="17" s="1"/>
  <c r="AH32" i="17"/>
  <c r="AH36" i="17" s="1"/>
  <c r="AE32" i="17"/>
  <c r="AE36" i="17" s="1"/>
  <c r="F32" i="17"/>
  <c r="F36" i="17" s="1"/>
  <c r="AN32" i="17"/>
  <c r="AN36" i="17" s="1"/>
  <c r="AK32" i="17"/>
  <c r="AK36" i="17" s="1"/>
  <c r="AK39" i="17" s="1"/>
  <c r="C32" i="17"/>
  <c r="C34" i="17" s="1"/>
  <c r="C35" i="17" s="1"/>
  <c r="AJ32" i="17"/>
  <c r="AJ36" i="17" s="1"/>
  <c r="X32" i="17"/>
  <c r="X34" i="17" s="1"/>
  <c r="X35" i="17" s="1"/>
  <c r="P32" i="17"/>
  <c r="P34" i="17" s="1"/>
  <c r="P35" i="17" s="1"/>
  <c r="N32" i="17"/>
  <c r="N36" i="17" s="1"/>
  <c r="S32" i="17"/>
  <c r="S36" i="17" s="1"/>
  <c r="Y32" i="17"/>
  <c r="Y36" i="17" s="1"/>
  <c r="AI32" i="17"/>
  <c r="AI36" i="17" s="1"/>
  <c r="J32" i="17"/>
  <c r="J36" i="17" s="1"/>
  <c r="D32" i="17"/>
  <c r="D36" i="17" s="1"/>
  <c r="E32" i="17"/>
  <c r="E34" i="17" s="1"/>
  <c r="E35" i="17" s="1"/>
  <c r="AC32" i="17"/>
  <c r="AC34" i="17" s="1"/>
  <c r="AC35" i="17" s="1"/>
  <c r="AL32" i="17"/>
  <c r="AL36" i="17" s="1"/>
  <c r="Z32" i="17"/>
  <c r="Z36" i="17" s="1"/>
  <c r="AD32" i="17"/>
  <c r="AD36" i="17" s="1"/>
  <c r="V32" i="17"/>
  <c r="V36" i="17" s="1"/>
  <c r="H32" i="17"/>
  <c r="H34" i="17" s="1"/>
  <c r="H35" i="17" s="1"/>
  <c r="G32" i="17"/>
  <c r="G36" i="17" s="1"/>
  <c r="Q32" i="17"/>
  <c r="Q36" i="17" s="1"/>
  <c r="AM32" i="17"/>
  <c r="AM36" i="17" s="1"/>
  <c r="AM38" i="17" s="1"/>
  <c r="AG32" i="17"/>
  <c r="AG36" i="17" s="1"/>
  <c r="AP198" i="13"/>
  <c r="AP201" i="13" s="1"/>
  <c r="AP197" i="13"/>
  <c r="AP200" i="13" s="1"/>
  <c r="AP194" i="13"/>
  <c r="AP202" i="13"/>
  <c r="AX130" i="13"/>
  <c r="AX134" i="13"/>
  <c r="AX137" i="13" s="1"/>
  <c r="AX133" i="13"/>
  <c r="AX136" i="13" s="1"/>
  <c r="AX138" i="13"/>
  <c r="AS133" i="13"/>
  <c r="AS136" i="13" s="1"/>
  <c r="AS130" i="13"/>
  <c r="AS134" i="13"/>
  <c r="AS137" i="13" s="1"/>
  <c r="AS138" i="13"/>
  <c r="AP130" i="13"/>
  <c r="AP133" i="13"/>
  <c r="AP136" i="13" s="1"/>
  <c r="AP134" i="13"/>
  <c r="AP137" i="13" s="1"/>
  <c r="AP138" i="13"/>
  <c r="AW189" i="13"/>
  <c r="AW190" i="13" s="1"/>
  <c r="AW235" i="13" s="1"/>
  <c r="AR130" i="13"/>
  <c r="AR134" i="13"/>
  <c r="AR137" i="13" s="1"/>
  <c r="AR133" i="13"/>
  <c r="AR136" i="13" s="1"/>
  <c r="AR138" i="13"/>
  <c r="AC123" i="13"/>
  <c r="AC124" i="13" s="1"/>
  <c r="BJ134" i="13"/>
  <c r="BJ137" i="13" s="1"/>
  <c r="BJ130" i="13"/>
  <c r="BJ133" i="13"/>
  <c r="BJ136" i="13" s="1"/>
  <c r="BJ138" i="13"/>
  <c r="AY189" i="13"/>
  <c r="AY190" i="13" s="1"/>
  <c r="AY235" i="13" s="1"/>
  <c r="AV123" i="13"/>
  <c r="AV124" i="13" s="1"/>
  <c r="BB189" i="13"/>
  <c r="BB190" i="13" s="1"/>
  <c r="BB235" i="13" s="1"/>
  <c r="AB134" i="13"/>
  <c r="AB137" i="13" s="1"/>
  <c r="AB133" i="13"/>
  <c r="AB136" i="13" s="1"/>
  <c r="AB130" i="13"/>
  <c r="AB138" i="13"/>
  <c r="AV194" i="13"/>
  <c r="AV198" i="13"/>
  <c r="AV201" i="13" s="1"/>
  <c r="AV197" i="13"/>
  <c r="AV200" i="13" s="1"/>
  <c r="AV202" i="13"/>
  <c r="AK198" i="13"/>
  <c r="AK201" i="13" s="1"/>
  <c r="AK202" i="13"/>
  <c r="AK197" i="13"/>
  <c r="AK200" i="13" s="1"/>
  <c r="AK194" i="13"/>
  <c r="AI189" i="13"/>
  <c r="AI190" i="13" s="1"/>
  <c r="AI235" i="13" s="1"/>
  <c r="BB130" i="13"/>
  <c r="BB134" i="13"/>
  <c r="BB137" i="13" s="1"/>
  <c r="BB133" i="13"/>
  <c r="BB136" i="13" s="1"/>
  <c r="BB138" i="13"/>
  <c r="BI130" i="13"/>
  <c r="BI133" i="13"/>
  <c r="BI136" i="13" s="1"/>
  <c r="BI134" i="13"/>
  <c r="BI137" i="13" s="1"/>
  <c r="BI138" i="13"/>
  <c r="BH133" i="13"/>
  <c r="BH136" i="13" s="1"/>
  <c r="BH130" i="13"/>
  <c r="BH134" i="13"/>
  <c r="BH137" i="13" s="1"/>
  <c r="BH138" i="13"/>
  <c r="AU123" i="13"/>
  <c r="AU124" i="13" s="1"/>
  <c r="AX189" i="13"/>
  <c r="AX190" i="13" s="1"/>
  <c r="AE130" i="13"/>
  <c r="AE133" i="13"/>
  <c r="AE136" i="13" s="1"/>
  <c r="AE134" i="13"/>
  <c r="AE137" i="13" s="1"/>
  <c r="AE138" i="13"/>
  <c r="BD198" i="13"/>
  <c r="BD201" i="13" s="1"/>
  <c r="BD194" i="13"/>
  <c r="BD197" i="13"/>
  <c r="BD200" i="13" s="1"/>
  <c r="BD202" i="13"/>
  <c r="Y134" i="13"/>
  <c r="Y137" i="13" s="1"/>
  <c r="Y133" i="13"/>
  <c r="Y136" i="13" s="1"/>
  <c r="Y130" i="13"/>
  <c r="Y138" i="13"/>
  <c r="BF194" i="13"/>
  <c r="BF198" i="13"/>
  <c r="BF201" i="13" s="1"/>
  <c r="BF197" i="13"/>
  <c r="BF200" i="13" s="1"/>
  <c r="BF202" i="13"/>
  <c r="AR194" i="13"/>
  <c r="AR197" i="13"/>
  <c r="AR200" i="13" s="1"/>
  <c r="AR198" i="13"/>
  <c r="AR201" i="13" s="1"/>
  <c r="AR202" i="13"/>
  <c r="AW197" i="13"/>
  <c r="AW200" i="13" s="1"/>
  <c r="AW194" i="13"/>
  <c r="AW198" i="13"/>
  <c r="AW201" i="13" s="1"/>
  <c r="AW202" i="13"/>
  <c r="AV134" i="13"/>
  <c r="AV137" i="13" s="1"/>
  <c r="AV130" i="13"/>
  <c r="AV133" i="13"/>
  <c r="AV136" i="13" s="1"/>
  <c r="AV138" i="13"/>
  <c r="BB194" i="13"/>
  <c r="BB197" i="13"/>
  <c r="BB200" i="13" s="1"/>
  <c r="BB198" i="13"/>
  <c r="BB201" i="13" s="1"/>
  <c r="BB202" i="13"/>
  <c r="AI133" i="13"/>
  <c r="AI136" i="13" s="1"/>
  <c r="AI138" i="13"/>
  <c r="AI130" i="13"/>
  <c r="AI134" i="13"/>
  <c r="AI137" i="13" s="1"/>
  <c r="BI202" i="13"/>
  <c r="BI194" i="13"/>
  <c r="BI197" i="13"/>
  <c r="BI200" i="13" s="1"/>
  <c r="BI198" i="13"/>
  <c r="BI201" i="13" s="1"/>
  <c r="AX197" i="13"/>
  <c r="AX200" i="13" s="1"/>
  <c r="AX194" i="13"/>
  <c r="AX198" i="13"/>
  <c r="AX201" i="13" s="1"/>
  <c r="AX202" i="13"/>
  <c r="AD134" i="13"/>
  <c r="AD137" i="13" s="1"/>
  <c r="AD133" i="13"/>
  <c r="AD136" i="13" s="1"/>
  <c r="AD130" i="13"/>
  <c r="AD138" i="13"/>
  <c r="AZ130" i="13"/>
  <c r="AZ133" i="13"/>
  <c r="AZ136" i="13" s="1"/>
  <c r="AZ134" i="13"/>
  <c r="AZ137" i="13" s="1"/>
  <c r="AZ138" i="13"/>
  <c r="BD133" i="13"/>
  <c r="BD136" i="13" s="1"/>
  <c r="BD130" i="13"/>
  <c r="BD134" i="13"/>
  <c r="BD137" i="13" s="1"/>
  <c r="BD138" i="13"/>
  <c r="AO130" i="13"/>
  <c r="AO133" i="13"/>
  <c r="AO136" i="13" s="1"/>
  <c r="AO134" i="13"/>
  <c r="AO137" i="13" s="1"/>
  <c r="AO138" i="13"/>
  <c r="AY133" i="13"/>
  <c r="AY136" i="13" s="1"/>
  <c r="AY134" i="13"/>
  <c r="AY137" i="13" s="1"/>
  <c r="AY138" i="13"/>
  <c r="AY130" i="13"/>
  <c r="AG134" i="13"/>
  <c r="AG137" i="13" s="1"/>
  <c r="AG133" i="13"/>
  <c r="AG136" i="13" s="1"/>
  <c r="AG130" i="13"/>
  <c r="AG138" i="13"/>
  <c r="BJ194" i="13"/>
  <c r="BJ198" i="13"/>
  <c r="BJ201" i="13" s="1"/>
  <c r="BJ197" i="13"/>
  <c r="BJ200" i="13" s="1"/>
  <c r="BJ202" i="13"/>
  <c r="AW130" i="13"/>
  <c r="AW134" i="13"/>
  <c r="AW137" i="13" s="1"/>
  <c r="AW133" i="13"/>
  <c r="AW136" i="13" s="1"/>
  <c r="AW138" i="13"/>
  <c r="AN237" i="13"/>
  <c r="AN220" i="13"/>
  <c r="BA194" i="13"/>
  <c r="BA197" i="13"/>
  <c r="BA200" i="13" s="1"/>
  <c r="BA198" i="13"/>
  <c r="BA201" i="13" s="1"/>
  <c r="BA202" i="13"/>
  <c r="AL130" i="13"/>
  <c r="AL134" i="13"/>
  <c r="AL137" i="13" s="1"/>
  <c r="AL133" i="13"/>
  <c r="AL136" i="13" s="1"/>
  <c r="AL138" i="13"/>
  <c r="BF130" i="13"/>
  <c r="BF134" i="13"/>
  <c r="BF137" i="13" s="1"/>
  <c r="BF133" i="13"/>
  <c r="BF136" i="13" s="1"/>
  <c r="BF138" i="13"/>
  <c r="BH198" i="13"/>
  <c r="BH201" i="13" s="1"/>
  <c r="BH197" i="13"/>
  <c r="BH200" i="13" s="1"/>
  <c r="BH194" i="13"/>
  <c r="BH202" i="13"/>
  <c r="BC198" i="13"/>
  <c r="BC201" i="13" s="1"/>
  <c r="BC194" i="13"/>
  <c r="BC197" i="13"/>
  <c r="BC200" i="13" s="1"/>
  <c r="BC202" i="13"/>
  <c r="AD123" i="13"/>
  <c r="AJ194" i="13"/>
  <c r="AJ198" i="13"/>
  <c r="AJ201" i="13" s="1"/>
  <c r="AJ197" i="13"/>
  <c r="AJ200" i="13" s="1"/>
  <c r="AJ202" i="13"/>
  <c r="AZ194" i="13"/>
  <c r="AZ197" i="13"/>
  <c r="AZ200" i="13" s="1"/>
  <c r="AZ198" i="13"/>
  <c r="AZ201" i="13" s="1"/>
  <c r="AZ202" i="13"/>
  <c r="AI194" i="13"/>
  <c r="AI198" i="13"/>
  <c r="AI201" i="13" s="1"/>
  <c r="AI202" i="13"/>
  <c r="AI197" i="13"/>
  <c r="AI200" i="13" s="1"/>
  <c r="AF194" i="13"/>
  <c r="AF197" i="13"/>
  <c r="AF200" i="13" s="1"/>
  <c r="AF198" i="13"/>
  <c r="AF201" i="13" s="1"/>
  <c r="AF202" i="13"/>
  <c r="BE133" i="13"/>
  <c r="BE136" i="13" s="1"/>
  <c r="BE130" i="13"/>
  <c r="BE134" i="13"/>
  <c r="BE137" i="13" s="1"/>
  <c r="BE138" i="13"/>
  <c r="BE198" i="13"/>
  <c r="BE201" i="13" s="1"/>
  <c r="BE194" i="13"/>
  <c r="BE197" i="13"/>
  <c r="BE200" i="13" s="1"/>
  <c r="BE202" i="13"/>
  <c r="AC134" i="13"/>
  <c r="AC137" i="13" s="1"/>
  <c r="AC133" i="13"/>
  <c r="AC136" i="13" s="1"/>
  <c r="AC138" i="13"/>
  <c r="AC130" i="13"/>
  <c r="AA133" i="13"/>
  <c r="AA136" i="13" s="1"/>
  <c r="AA134" i="13"/>
  <c r="AA137" i="13" s="1"/>
  <c r="AA130" i="13"/>
  <c r="AA138" i="13"/>
  <c r="AU130" i="13"/>
  <c r="AU134" i="13"/>
  <c r="AU137" i="13" s="1"/>
  <c r="AU138" i="13"/>
  <c r="AU133" i="13"/>
  <c r="AU136" i="13" s="1"/>
  <c r="BC130" i="13"/>
  <c r="BC133" i="13"/>
  <c r="BC136" i="13" s="1"/>
  <c r="BC134" i="13"/>
  <c r="BC137" i="13" s="1"/>
  <c r="BC138" i="13"/>
  <c r="AQ138" i="13"/>
  <c r="AQ134" i="13"/>
  <c r="AQ137" i="13" s="1"/>
  <c r="AQ133" i="13"/>
  <c r="AQ136" i="13" s="1"/>
  <c r="AQ130" i="13"/>
  <c r="AF189" i="13"/>
  <c r="AF190" i="13" s="1"/>
  <c r="AF235" i="13" s="1"/>
  <c r="AJ133" i="13"/>
  <c r="AJ136" i="13" s="1"/>
  <c r="AJ134" i="13"/>
  <c r="AJ137" i="13" s="1"/>
  <c r="AJ130" i="13"/>
  <c r="AJ138" i="13"/>
  <c r="AK134" i="13"/>
  <c r="AK137" i="13" s="1"/>
  <c r="AK133" i="13"/>
  <c r="AK136" i="13" s="1"/>
  <c r="AK130" i="13"/>
  <c r="AK138" i="13"/>
  <c r="AG197" i="13"/>
  <c r="AG200" i="13" s="1"/>
  <c r="AG194" i="13"/>
  <c r="AG198" i="13"/>
  <c r="AG201" i="13" s="1"/>
  <c r="AG202" i="13"/>
  <c r="AZ123" i="13"/>
  <c r="AZ124" i="13" s="1"/>
  <c r="BG194" i="13"/>
  <c r="BG197" i="13"/>
  <c r="BG200" i="13" s="1"/>
  <c r="BG202" i="13"/>
  <c r="BG198" i="13"/>
  <c r="BG201" i="13" s="1"/>
  <c r="BD123" i="13"/>
  <c r="BD124" i="13" s="1"/>
  <c r="AB198" i="13"/>
  <c r="AB201" i="13" s="1"/>
  <c r="AB194" i="13"/>
  <c r="AB197" i="13"/>
  <c r="AB200" i="13" s="1"/>
  <c r="AB202" i="13"/>
  <c r="AL198" i="13"/>
  <c r="AL201" i="13" s="1"/>
  <c r="AL194" i="13"/>
  <c r="AL197" i="13"/>
  <c r="AL200" i="13" s="1"/>
  <c r="AL202" i="13"/>
  <c r="AO123" i="13"/>
  <c r="AO124" i="13" s="1"/>
  <c r="AM123" i="13"/>
  <c r="AC197" i="13"/>
  <c r="AC200" i="13" s="1"/>
  <c r="AC202" i="13"/>
  <c r="AC194" i="13"/>
  <c r="AC198" i="13"/>
  <c r="AC201" i="13" s="1"/>
  <c r="Y123" i="13"/>
  <c r="AV189" i="13"/>
  <c r="AV190" i="13" s="1"/>
  <c r="AV235" i="13" s="1"/>
  <c r="AM198" i="13"/>
  <c r="AM201" i="13" s="1"/>
  <c r="AM202" i="13"/>
  <c r="AM197" i="13"/>
  <c r="AM200" i="13" s="1"/>
  <c r="AM194" i="13"/>
  <c r="AK189" i="13"/>
  <c r="AK190" i="13" s="1"/>
  <c r="Y198" i="13"/>
  <c r="Y201" i="13" s="1"/>
  <c r="Y194" i="13"/>
  <c r="Y197" i="13"/>
  <c r="Y200" i="13" s="1"/>
  <c r="Y202" i="13"/>
  <c r="BE123" i="13"/>
  <c r="BE124" i="13" s="1"/>
  <c r="AX123" i="13"/>
  <c r="AE198" i="13"/>
  <c r="AE201" i="13" s="1"/>
  <c r="AE194" i="13"/>
  <c r="AE197" i="13"/>
  <c r="AE200" i="13" s="1"/>
  <c r="AE202" i="13"/>
  <c r="BE189" i="13"/>
  <c r="BE190" i="13" s="1"/>
  <c r="BE235" i="13" s="1"/>
  <c r="AU194" i="13"/>
  <c r="AU197" i="13"/>
  <c r="AU200" i="13" s="1"/>
  <c r="AU198" i="13"/>
  <c r="AU201" i="13" s="1"/>
  <c r="AU202" i="13"/>
  <c r="AO197" i="13"/>
  <c r="AO200" i="13" s="1"/>
  <c r="AO194" i="13"/>
  <c r="AO198" i="13"/>
  <c r="AO201" i="13" s="1"/>
  <c r="AO202" i="13"/>
  <c r="AY194" i="13"/>
  <c r="AY202" i="13"/>
  <c r="AY197" i="13"/>
  <c r="AY200" i="13" s="1"/>
  <c r="AY198" i="13"/>
  <c r="AY201" i="13" s="1"/>
  <c r="BG134" i="13"/>
  <c r="BG137" i="13" s="1"/>
  <c r="BG130" i="13"/>
  <c r="BG133" i="13"/>
  <c r="BG136" i="13" s="1"/>
  <c r="BG138" i="13"/>
  <c r="AQ194" i="13"/>
  <c r="AQ197" i="13"/>
  <c r="AQ200" i="13" s="1"/>
  <c r="AQ198" i="13"/>
  <c r="AQ201" i="13" s="1"/>
  <c r="AQ202" i="13"/>
  <c r="AT134" i="13"/>
  <c r="AT137" i="13" s="1"/>
  <c r="AT130" i="13"/>
  <c r="AT133" i="13"/>
  <c r="AT136" i="13" s="1"/>
  <c r="AT138" i="13"/>
  <c r="Z133" i="13"/>
  <c r="Z136" i="13" s="1"/>
  <c r="Z134" i="13"/>
  <c r="Z137" i="13" s="1"/>
  <c r="Z130" i="13"/>
  <c r="Z138" i="13"/>
  <c r="BD189" i="13"/>
  <c r="BD190" i="13" s="1"/>
  <c r="BD235" i="13" s="1"/>
  <c r="BF189" i="13"/>
  <c r="BF190" i="13" s="1"/>
  <c r="AS123" i="13"/>
  <c r="AS124" i="13" s="1"/>
  <c r="AS198" i="13"/>
  <c r="AS201" i="13" s="1"/>
  <c r="AS197" i="13"/>
  <c r="AS200" i="13" s="1"/>
  <c r="AS194" i="13"/>
  <c r="AS202" i="13"/>
  <c r="AM130" i="13"/>
  <c r="AM138" i="13"/>
  <c r="AM133" i="13"/>
  <c r="AM136" i="13" s="1"/>
  <c r="AM134" i="13"/>
  <c r="AM137" i="13" s="1"/>
  <c r="AT194" i="13"/>
  <c r="AT197" i="13"/>
  <c r="AT200" i="13" s="1"/>
  <c r="AT198" i="13"/>
  <c r="AT201" i="13" s="1"/>
  <c r="AT202" i="13"/>
  <c r="AQ189" i="13"/>
  <c r="AQ190" i="13" s="1"/>
  <c r="AQ235" i="13" s="1"/>
  <c r="BA133" i="13"/>
  <c r="BA136" i="13" s="1"/>
  <c r="BA134" i="13"/>
  <c r="BA137" i="13" s="1"/>
  <c r="BA130" i="13"/>
  <c r="BA138" i="13"/>
  <c r="AA194" i="13"/>
  <c r="AA198" i="13"/>
  <c r="AA201" i="13" s="1"/>
  <c r="AA197" i="13"/>
  <c r="AA200" i="13" s="1"/>
  <c r="AA202" i="13"/>
  <c r="AT123" i="13"/>
  <c r="AA123" i="13"/>
  <c r="AD194" i="13"/>
  <c r="AD198" i="13"/>
  <c r="AD201" i="13" s="1"/>
  <c r="AD197" i="13"/>
  <c r="AD200" i="13" s="1"/>
  <c r="AD202" i="13"/>
  <c r="Z194" i="13"/>
  <c r="Z197" i="13"/>
  <c r="Z200" i="13" s="1"/>
  <c r="Z202" i="13"/>
  <c r="Z198" i="13"/>
  <c r="Z201" i="13" s="1"/>
  <c r="BC123" i="13"/>
  <c r="BC124" i="13" s="1"/>
  <c r="AF130" i="13"/>
  <c r="AF134" i="13"/>
  <c r="AF137" i="13" s="1"/>
  <c r="AF133" i="13"/>
  <c r="AF136" i="13" s="1"/>
  <c r="AF138" i="13"/>
  <c r="Z123" i="13"/>
  <c r="Z124" i="13" s="1"/>
  <c r="AR189" i="13"/>
  <c r="AR190" i="13" s="1"/>
  <c r="AR235" i="13" s="1"/>
  <c r="H73" i="5"/>
  <c r="AE73" i="5"/>
  <c r="Z73" i="5"/>
  <c r="U73" i="5"/>
  <c r="AH73" i="5"/>
  <c r="AD73" i="5"/>
  <c r="AH126" i="13"/>
  <c r="M73" i="5"/>
  <c r="AL73" i="5"/>
  <c r="V73" i="5"/>
  <c r="E73" i="5"/>
  <c r="X73" i="5"/>
  <c r="AA73" i="5"/>
  <c r="AJ73" i="5"/>
  <c r="AO73" i="5"/>
  <c r="AN73" i="5"/>
  <c r="AI73" i="5"/>
  <c r="L40" i="17"/>
  <c r="L41" i="17" s="1"/>
  <c r="L22" i="4" s="1"/>
  <c r="AA34" i="17"/>
  <c r="AA35" i="17" s="1"/>
  <c r="AA36" i="17"/>
  <c r="AA39" i="17" s="1"/>
  <c r="AB34" i="17"/>
  <c r="AB35" i="17" s="1"/>
  <c r="AB36" i="17"/>
  <c r="AB39" i="17" s="1"/>
  <c r="O36" i="17"/>
  <c r="O37" i="17" s="1"/>
  <c r="T34" i="17"/>
  <c r="T35" i="17" s="1"/>
  <c r="T36" i="17"/>
  <c r="T37" i="17" s="1"/>
  <c r="M34" i="17"/>
  <c r="M35" i="17" s="1"/>
  <c r="M36" i="17"/>
  <c r="M39" i="17" s="1"/>
  <c r="K36" i="17"/>
  <c r="K39" i="17" s="1"/>
  <c r="AF34" i="17"/>
  <c r="AF35" i="17" s="1"/>
  <c r="AF36" i="17"/>
  <c r="AF37" i="17" s="1"/>
  <c r="W36" i="17"/>
  <c r="W37" i="17" s="1"/>
  <c r="AE23" i="17"/>
  <c r="AE22" i="17"/>
  <c r="AE21" i="17"/>
  <c r="AD22" i="17"/>
  <c r="AD21" i="17"/>
  <c r="AD23" i="17"/>
  <c r="T21" i="17"/>
  <c r="T22" i="17"/>
  <c r="T23" i="17"/>
  <c r="H21" i="17"/>
  <c r="H22" i="17"/>
  <c r="H23" i="17"/>
  <c r="Z21" i="17"/>
  <c r="Z23" i="17"/>
  <c r="Z22" i="17"/>
  <c r="V21" i="17"/>
  <c r="V23" i="17"/>
  <c r="V22" i="17"/>
  <c r="J22" i="17"/>
  <c r="J21" i="17"/>
  <c r="J23" i="17"/>
  <c r="E22" i="17"/>
  <c r="E21" i="17"/>
  <c r="E23" i="17"/>
  <c r="AJ22" i="17"/>
  <c r="AJ23" i="17"/>
  <c r="AJ21" i="17"/>
  <c r="AI22" i="17"/>
  <c r="AI23" i="17"/>
  <c r="AI21" i="17"/>
  <c r="AF23" i="17"/>
  <c r="AF21" i="17"/>
  <c r="AF22" i="17"/>
  <c r="AM23" i="17"/>
  <c r="AM21" i="17"/>
  <c r="AM22" i="17"/>
  <c r="K23" i="17"/>
  <c r="K21" i="17"/>
  <c r="K22" i="17"/>
  <c r="AN22" i="17"/>
  <c r="AN21" i="17"/>
  <c r="AN23" i="17"/>
  <c r="D21" i="17"/>
  <c r="D23" i="17"/>
  <c r="D22" i="17"/>
  <c r="AA22" i="17"/>
  <c r="AA23" i="17"/>
  <c r="AA21" i="17"/>
  <c r="Q21" i="17"/>
  <c r="Q23" i="17"/>
  <c r="Q22" i="17"/>
  <c r="AH21" i="17"/>
  <c r="AH23" i="17"/>
  <c r="AH22" i="17"/>
  <c r="W22" i="17"/>
  <c r="W21" i="17"/>
  <c r="W23" i="17"/>
  <c r="R40" i="17"/>
  <c r="R41" i="17" s="1"/>
  <c r="R22" i="4" s="1"/>
  <c r="AL22" i="17"/>
  <c r="AL23" i="17"/>
  <c r="AL21" i="17"/>
  <c r="I23" i="17"/>
  <c r="I22" i="17"/>
  <c r="I21" i="17"/>
  <c r="U23" i="17"/>
  <c r="U21" i="17"/>
  <c r="U22" i="17"/>
  <c r="O23" i="17"/>
  <c r="O21" i="17"/>
  <c r="O22" i="17"/>
  <c r="F23" i="17"/>
  <c r="F22" i="17"/>
  <c r="F21" i="17"/>
  <c r="C23" i="17"/>
  <c r="C21" i="17"/>
  <c r="C22" i="17"/>
  <c r="Y23" i="17"/>
  <c r="Y21" i="17"/>
  <c r="Y22" i="17"/>
  <c r="G21" i="17"/>
  <c r="G23" i="17"/>
  <c r="G22" i="17"/>
  <c r="AK23" i="17"/>
  <c r="AK22" i="17"/>
  <c r="AK21" i="17"/>
  <c r="S23" i="17"/>
  <c r="S22" i="17"/>
  <c r="S21" i="17"/>
  <c r="AB23" i="17"/>
  <c r="AB21" i="17"/>
  <c r="AB22" i="17"/>
  <c r="N22" i="17"/>
  <c r="N23" i="17"/>
  <c r="N21" i="17"/>
  <c r="X23" i="17"/>
  <c r="X21" i="17"/>
  <c r="X22" i="17"/>
  <c r="AC22" i="17"/>
  <c r="AC23" i="17"/>
  <c r="AC21" i="17"/>
  <c r="AG23" i="17"/>
  <c r="AG21" i="17"/>
  <c r="AG22" i="17"/>
  <c r="M21" i="17"/>
  <c r="M23" i="17"/>
  <c r="M22" i="17"/>
  <c r="P22" i="17"/>
  <c r="P23" i="17"/>
  <c r="P21" i="17"/>
  <c r="Y56" i="20"/>
  <c r="Y58" i="20" s="1"/>
  <c r="Y61" i="20" s="1"/>
  <c r="C56" i="20"/>
  <c r="C58" i="20" s="1"/>
  <c r="C61" i="20" s="1"/>
  <c r="S56" i="20"/>
  <c r="K56" i="20"/>
  <c r="K58" i="20" s="1"/>
  <c r="K61" i="20" s="1"/>
  <c r="AD56" i="20"/>
  <c r="Z56" i="20"/>
  <c r="Z58" i="20" s="1"/>
  <c r="Z61" i="20" s="1"/>
  <c r="AC56" i="20"/>
  <c r="AE56" i="20"/>
  <c r="AE58" i="20" s="1"/>
  <c r="AE61" i="20" s="1"/>
  <c r="AL56" i="20"/>
  <c r="AL58" i="20" s="1"/>
  <c r="AL61" i="20" s="1"/>
  <c r="V56" i="20"/>
  <c r="V58" i="20" s="1"/>
  <c r="V61" i="20" s="1"/>
  <c r="AB56" i="20"/>
  <c r="H56" i="20"/>
  <c r="H58" i="20" s="1"/>
  <c r="H61" i="20" s="1"/>
  <c r="AG56" i="20"/>
  <c r="AG58" i="20" s="1"/>
  <c r="AG61" i="20" s="1"/>
  <c r="W56" i="20"/>
  <c r="W58" i="20" s="1"/>
  <c r="W61" i="20" s="1"/>
  <c r="P56" i="20"/>
  <c r="P58" i="20" s="1"/>
  <c r="P61" i="20" s="1"/>
  <c r="AH56" i="20"/>
  <c r="AH58" i="20" s="1"/>
  <c r="AH61" i="20" s="1"/>
  <c r="AA56" i="20"/>
  <c r="O56" i="20"/>
  <c r="O58" i="20" s="1"/>
  <c r="O61" i="20" s="1"/>
  <c r="E56" i="20"/>
  <c r="AI56" i="20"/>
  <c r="AI58" i="20" s="1"/>
  <c r="AI61" i="20" s="1"/>
  <c r="X56" i="20"/>
  <c r="AJ56" i="20"/>
  <c r="AJ58" i="20" s="1"/>
  <c r="AJ61" i="20" s="1"/>
  <c r="AF56" i="20"/>
  <c r="F56" i="20"/>
  <c r="F58" i="20" s="1"/>
  <c r="F61" i="20" s="1"/>
  <c r="U56" i="20"/>
  <c r="U58" i="20" s="1"/>
  <c r="U61" i="20" s="1"/>
  <c r="AM56" i="20"/>
  <c r="AM58" i="20" s="1"/>
  <c r="AM61" i="20" s="1"/>
  <c r="AK56" i="20"/>
  <c r="N56" i="20"/>
  <c r="N58" i="20" s="1"/>
  <c r="N61" i="20" s="1"/>
  <c r="D56" i="20"/>
  <c r="D58" i="20" s="1"/>
  <c r="D61" i="20" s="1"/>
  <c r="AN56" i="20"/>
  <c r="AN58" i="20" s="1"/>
  <c r="AN61" i="20" s="1"/>
  <c r="J56" i="20"/>
  <c r="J58" i="20" s="1"/>
  <c r="J61" i="20" s="1"/>
  <c r="I56" i="20"/>
  <c r="I58" i="20" s="1"/>
  <c r="I61" i="20" s="1"/>
  <c r="G56" i="20"/>
  <c r="G58" i="20" s="1"/>
  <c r="G61" i="20" s="1"/>
  <c r="Q56" i="20"/>
  <c r="Q58" i="20" s="1"/>
  <c r="Q61" i="20" s="1"/>
  <c r="M56" i="20"/>
  <c r="Y71" i="20"/>
  <c r="S52" i="21"/>
  <c r="S53" i="21" s="1"/>
  <c r="AD71" i="20"/>
  <c r="Z71" i="20"/>
  <c r="T90" i="20"/>
  <c r="N71" i="20"/>
  <c r="T91" i="20"/>
  <c r="U49" i="21" s="1"/>
  <c r="U65" i="21" s="1"/>
  <c r="T71" i="20"/>
  <c r="AF71" i="20"/>
  <c r="K71" i="20"/>
  <c r="S71" i="20"/>
  <c r="AC71" i="20"/>
  <c r="C71" i="20"/>
  <c r="AE71" i="20"/>
  <c r="AG71" i="20"/>
  <c r="AB71" i="20"/>
  <c r="AA71" i="20"/>
  <c r="T78" i="20"/>
  <c r="T79" i="20" s="1"/>
  <c r="AH71" i="20"/>
  <c r="H71" i="20"/>
  <c r="AK71" i="20"/>
  <c r="AN71" i="20"/>
  <c r="O71" i="20"/>
  <c r="S44" i="21"/>
  <c r="S62" i="21" s="1"/>
  <c r="S43" i="21"/>
  <c r="AM71" i="20"/>
  <c r="Q71" i="20"/>
  <c r="J71" i="20"/>
  <c r="P71" i="20"/>
  <c r="X71" i="20"/>
  <c r="AL71" i="20"/>
  <c r="AJ71" i="20"/>
  <c r="T92" i="20"/>
  <c r="D71" i="20"/>
  <c r="V71" i="20"/>
  <c r="AI71" i="20"/>
  <c r="M71" i="20"/>
  <c r="I71" i="20"/>
  <c r="E71" i="20"/>
  <c r="M65" i="21"/>
  <c r="F71" i="20"/>
  <c r="M43" i="21"/>
  <c r="M44" i="21"/>
  <c r="M62" i="21" s="1"/>
  <c r="U71" i="20"/>
  <c r="G71" i="20"/>
  <c r="W71" i="20"/>
  <c r="L96" i="20"/>
  <c r="L92" i="20"/>
  <c r="M51" i="21"/>
  <c r="M66" i="21" s="1"/>
  <c r="M50" i="21"/>
  <c r="M67" i="21" s="1"/>
  <c r="T16" i="20"/>
  <c r="T18" i="20" s="1"/>
  <c r="C16" i="20"/>
  <c r="C18" i="20" s="1"/>
  <c r="D16" i="20"/>
  <c r="D18" i="20" s="1"/>
  <c r="AG26" i="20"/>
  <c r="AG46" i="3"/>
  <c r="AD27" i="5"/>
  <c r="AM27" i="5"/>
  <c r="G27" i="5"/>
  <c r="P27" i="5"/>
  <c r="AK27" i="5"/>
  <c r="K27" i="5"/>
  <c r="Z27" i="5"/>
  <c r="AJ27" i="5"/>
  <c r="AC27" i="5"/>
  <c r="AL89" i="23"/>
  <c r="AH89" i="23"/>
  <c r="Q89" i="23"/>
  <c r="AF21" i="22"/>
  <c r="AF22" i="22" s="1"/>
  <c r="AF12" i="4" s="1"/>
  <c r="AF19" i="3" s="1"/>
  <c r="S89" i="23"/>
  <c r="X21" i="22"/>
  <c r="X22" i="22" s="1"/>
  <c r="X12" i="4" s="1"/>
  <c r="X19" i="3" s="1"/>
  <c r="W21" i="22"/>
  <c r="W22" i="22" s="1"/>
  <c r="W12" i="4" s="1"/>
  <c r="W19" i="3" s="1"/>
  <c r="AN89" i="23"/>
  <c r="T33" i="20"/>
  <c r="P21" i="22"/>
  <c r="P22" i="22" s="1"/>
  <c r="P12" i="4" s="1"/>
  <c r="P19" i="3" s="1"/>
  <c r="I89" i="23"/>
  <c r="AF89" i="23"/>
  <c r="AE89" i="23"/>
  <c r="AK89" i="23"/>
  <c r="AJ21" i="22"/>
  <c r="AJ22" i="22" s="1"/>
  <c r="AJ12" i="4" s="1"/>
  <c r="AJ19" i="3" s="1"/>
  <c r="R89" i="23"/>
  <c r="AH21" i="22"/>
  <c r="AH22" i="22" s="1"/>
  <c r="AH12" i="4" s="1"/>
  <c r="AH19" i="3" s="1"/>
  <c r="G21" i="22"/>
  <c r="G22" i="22" s="1"/>
  <c r="G12" i="4" s="1"/>
  <c r="G19" i="3" s="1"/>
  <c r="F89" i="23"/>
  <c r="W89" i="23"/>
  <c r="AN21" i="22"/>
  <c r="AN22" i="22" s="1"/>
  <c r="AN12" i="4" s="1"/>
  <c r="AN19" i="3" s="1"/>
  <c r="AI89" i="23"/>
  <c r="P89" i="23"/>
  <c r="O89" i="23"/>
  <c r="AB89" i="23"/>
  <c r="AM89" i="23"/>
  <c r="U26" i="20"/>
  <c r="Y51" i="21"/>
  <c r="Y66" i="21" s="1"/>
  <c r="Y50" i="21"/>
  <c r="AN34" i="20"/>
  <c r="AN33" i="20"/>
  <c r="AN81" i="20" s="1"/>
  <c r="V65" i="21"/>
  <c r="D34" i="20"/>
  <c r="D33" i="20"/>
  <c r="D81" i="20" s="1"/>
  <c r="AN125" i="13"/>
  <c r="R34" i="20"/>
  <c r="R33" i="20"/>
  <c r="R81" i="20" s="1"/>
  <c r="AM51" i="21"/>
  <c r="AM66" i="21" s="1"/>
  <c r="AM50" i="21"/>
  <c r="AM67" i="21" s="1"/>
  <c r="AF34" i="20"/>
  <c r="AF33" i="20"/>
  <c r="AF81" i="20" s="1"/>
  <c r="E51" i="21"/>
  <c r="E66" i="21" s="1"/>
  <c r="E50" i="21"/>
  <c r="E67" i="21" s="1"/>
  <c r="P34" i="20"/>
  <c r="P33" i="20"/>
  <c r="P81" i="20" s="1"/>
  <c r="V13" i="14"/>
  <c r="V14" i="14" s="1"/>
  <c r="V15" i="14"/>
  <c r="P13" i="14"/>
  <c r="P14" i="14" s="1"/>
  <c r="P15" i="14"/>
  <c r="Y21" i="22"/>
  <c r="Y22" i="22" s="1"/>
  <c r="Y12" i="4" s="1"/>
  <c r="Y19" i="3" s="1"/>
  <c r="K26" i="20"/>
  <c r="P51" i="21"/>
  <c r="P66" i="21" s="1"/>
  <c r="P50" i="21"/>
  <c r="P67" i="21" s="1"/>
  <c r="F34" i="20"/>
  <c r="F33" i="20"/>
  <c r="F81" i="20" s="1"/>
  <c r="AM26" i="20"/>
  <c r="AE65" i="21"/>
  <c r="M34" i="20"/>
  <c r="M33" i="20"/>
  <c r="M81" i="20" s="1"/>
  <c r="T51" i="21"/>
  <c r="T66" i="21" s="1"/>
  <c r="T50" i="21"/>
  <c r="T67" i="21" s="1"/>
  <c r="AL21" i="22"/>
  <c r="AL22" i="22" s="1"/>
  <c r="AL12" i="4" s="1"/>
  <c r="AL19" i="3" s="1"/>
  <c r="AB65" i="21"/>
  <c r="I26" i="20"/>
  <c r="AK21" i="22"/>
  <c r="AK22" i="22" s="1"/>
  <c r="AK12" i="4" s="1"/>
  <c r="AK19" i="3" s="1"/>
  <c r="L51" i="21"/>
  <c r="L66" i="21" s="1"/>
  <c r="L50" i="21"/>
  <c r="L67" i="21" s="1"/>
  <c r="AC51" i="21"/>
  <c r="AC66" i="21" s="1"/>
  <c r="AC50" i="21"/>
  <c r="AC67" i="21" s="1"/>
  <c r="AG34" i="20"/>
  <c r="AG33" i="20"/>
  <c r="AG81" i="20" s="1"/>
  <c r="AM13" i="14"/>
  <c r="AM14" i="14" s="1"/>
  <c r="AM15" i="14"/>
  <c r="AC89" i="23"/>
  <c r="J27" i="5"/>
  <c r="AB21" i="22"/>
  <c r="AB22" i="22" s="1"/>
  <c r="AB12" i="4" s="1"/>
  <c r="AB19" i="3" s="1"/>
  <c r="Q50" i="21"/>
  <c r="Q67" i="21" s="1"/>
  <c r="Q51" i="21"/>
  <c r="Q66" i="21" s="1"/>
  <c r="U33" i="20"/>
  <c r="U81" i="20" s="1"/>
  <c r="U34" i="20"/>
  <c r="AG89" i="23"/>
  <c r="AH26" i="20"/>
  <c r="AA89" i="23"/>
  <c r="AF65" i="21"/>
  <c r="E65" i="21"/>
  <c r="AC26" i="20"/>
  <c r="AB13" i="14"/>
  <c r="AB14" i="14" s="1"/>
  <c r="AB15" i="14"/>
  <c r="Q15" i="14"/>
  <c r="Q13" i="14"/>
  <c r="Q14" i="14" s="1"/>
  <c r="N26" i="20"/>
  <c r="K34" i="20"/>
  <c r="K33" i="20"/>
  <c r="K81" i="20" s="1"/>
  <c r="G89" i="23"/>
  <c r="AM34" i="20"/>
  <c r="AM33" i="20"/>
  <c r="AM81" i="20" s="1"/>
  <c r="AE51" i="21"/>
  <c r="AE66" i="21" s="1"/>
  <c r="AE50" i="21"/>
  <c r="AE67" i="21" s="1"/>
  <c r="T65" i="21"/>
  <c r="Y89" i="23"/>
  <c r="AB51" i="21"/>
  <c r="AB66" i="21" s="1"/>
  <c r="AB50" i="21"/>
  <c r="AB67" i="21" s="1"/>
  <c r="AC21" i="22"/>
  <c r="AC22" i="22" s="1"/>
  <c r="AC12" i="4" s="1"/>
  <c r="AC19" i="3" s="1"/>
  <c r="I34" i="20"/>
  <c r="I33" i="20"/>
  <c r="I81" i="20" s="1"/>
  <c r="K21" i="22"/>
  <c r="K22" i="22" s="1"/>
  <c r="K12" i="4" s="1"/>
  <c r="K19" i="3" s="1"/>
  <c r="AA51" i="21"/>
  <c r="AA66" i="21" s="1"/>
  <c r="AA50" i="21"/>
  <c r="AA67" i="21" s="1"/>
  <c r="L65" i="21"/>
  <c r="AC65" i="21"/>
  <c r="M89" i="23"/>
  <c r="Q26" i="20"/>
  <c r="Q65" i="21"/>
  <c r="I21" i="22"/>
  <c r="I22" i="22" s="1"/>
  <c r="I12" i="4" s="1"/>
  <c r="I19" i="3" s="1"/>
  <c r="AE21" i="22"/>
  <c r="AE22" i="22" s="1"/>
  <c r="AE12" i="4" s="1"/>
  <c r="AE19" i="3" s="1"/>
  <c r="Q21" i="22"/>
  <c r="Q22" i="22" s="1"/>
  <c r="Q12" i="4" s="1"/>
  <c r="Q19" i="3" s="1"/>
  <c r="AL65" i="21"/>
  <c r="AI21" i="22"/>
  <c r="AI22" i="22" s="1"/>
  <c r="AI12" i="4" s="1"/>
  <c r="AI19" i="3" s="1"/>
  <c r="C21" i="22"/>
  <c r="C22" i="22" s="1"/>
  <c r="C12" i="4" s="1"/>
  <c r="C19" i="3" s="1"/>
  <c r="K51" i="21"/>
  <c r="K66" i="21" s="1"/>
  <c r="K50" i="21"/>
  <c r="K67" i="21" s="1"/>
  <c r="R26" i="20"/>
  <c r="D15" i="14"/>
  <c r="D13" i="14"/>
  <c r="D14" i="14" s="1"/>
  <c r="AH34" i="20"/>
  <c r="AH33" i="20"/>
  <c r="AH81" i="20" s="1"/>
  <c r="AF50" i="21"/>
  <c r="AF67" i="21" s="1"/>
  <c r="AF51" i="21"/>
  <c r="AF66" i="21" s="1"/>
  <c r="E89" i="23"/>
  <c r="Z21" i="22"/>
  <c r="Z22" i="22" s="1"/>
  <c r="Z12" i="4" s="1"/>
  <c r="Z19" i="3" s="1"/>
  <c r="M13" i="14"/>
  <c r="M14" i="14" s="1"/>
  <c r="M15" i="14"/>
  <c r="J21" i="22"/>
  <c r="J22" i="22" s="1"/>
  <c r="J12" i="4" s="1"/>
  <c r="J19" i="3" s="1"/>
  <c r="H15" i="14"/>
  <c r="H13" i="14"/>
  <c r="H14" i="14" s="1"/>
  <c r="AH15" i="14"/>
  <c r="AH13" i="14"/>
  <c r="AH14" i="14" s="1"/>
  <c r="AO27" i="5"/>
  <c r="AD15" i="14"/>
  <c r="AD13" i="14"/>
  <c r="AD14" i="14" s="1"/>
  <c r="S26" i="20"/>
  <c r="AE13" i="14"/>
  <c r="AE14" i="14" s="1"/>
  <c r="AE15" i="14"/>
  <c r="G15" i="14"/>
  <c r="G13" i="14"/>
  <c r="G14" i="14" s="1"/>
  <c r="AA65" i="21"/>
  <c r="X26" i="20"/>
  <c r="I65" i="21"/>
  <c r="Q34" i="20"/>
  <c r="Q33" i="20"/>
  <c r="Q81" i="20" s="1"/>
  <c r="S21" i="22"/>
  <c r="S22" i="22" s="1"/>
  <c r="S12" i="4" s="1"/>
  <c r="S19" i="3" s="1"/>
  <c r="H26" i="20"/>
  <c r="W13" i="14"/>
  <c r="W14" i="14" s="1"/>
  <c r="W15" i="14"/>
  <c r="Z65" i="21"/>
  <c r="AL51" i="21"/>
  <c r="AL66" i="21" s="1"/>
  <c r="AL50" i="21"/>
  <c r="AL67" i="21" s="1"/>
  <c r="K65" i="21"/>
  <c r="AA34" i="20"/>
  <c r="AA33" i="20"/>
  <c r="AA81" i="20" s="1"/>
  <c r="AC34" i="20"/>
  <c r="AC33" i="20"/>
  <c r="AC81" i="20" s="1"/>
  <c r="AA13" i="14"/>
  <c r="AA14" i="14" s="1"/>
  <c r="AA15" i="14"/>
  <c r="AN13" i="14"/>
  <c r="AN14" i="14" s="1"/>
  <c r="AN15" i="14"/>
  <c r="AO125" i="13"/>
  <c r="S34" i="20"/>
  <c r="S33" i="20"/>
  <c r="S81" i="20" s="1"/>
  <c r="E21" i="22"/>
  <c r="E22" i="22" s="1"/>
  <c r="E12" i="4" s="1"/>
  <c r="E19" i="3" s="1"/>
  <c r="AD26" i="20"/>
  <c r="H65" i="21"/>
  <c r="AL15" i="14"/>
  <c r="AL13" i="14"/>
  <c r="AL14" i="14" s="1"/>
  <c r="N21" i="22"/>
  <c r="N22" i="22" s="1"/>
  <c r="N12" i="4" s="1"/>
  <c r="N19" i="3" s="1"/>
  <c r="AH50" i="21"/>
  <c r="AH51" i="21"/>
  <c r="AH66" i="21" s="1"/>
  <c r="X34" i="20"/>
  <c r="X33" i="20"/>
  <c r="X81" i="20" s="1"/>
  <c r="AD89" i="23"/>
  <c r="O13" i="14"/>
  <c r="O14" i="14" s="1"/>
  <c r="O15" i="14"/>
  <c r="I51" i="21"/>
  <c r="I66" i="21" s="1"/>
  <c r="I50" i="21"/>
  <c r="I67" i="21" s="1"/>
  <c r="G51" i="21"/>
  <c r="G66" i="21" s="1"/>
  <c r="G50" i="21"/>
  <c r="G67" i="21" s="1"/>
  <c r="J13" i="14"/>
  <c r="J14" i="14" s="1"/>
  <c r="J15" i="14"/>
  <c r="H21" i="22"/>
  <c r="H22" i="22" s="1"/>
  <c r="H12" i="4" s="1"/>
  <c r="H19" i="3" s="1"/>
  <c r="H34" i="20"/>
  <c r="H33" i="20"/>
  <c r="H81" i="20" s="1"/>
  <c r="G26" i="20"/>
  <c r="AA21" i="22"/>
  <c r="AA22" i="22" s="1"/>
  <c r="AA12" i="4" s="1"/>
  <c r="AA19" i="3" s="1"/>
  <c r="Z51" i="21"/>
  <c r="Z66" i="21" s="1"/>
  <c r="Z50" i="21"/>
  <c r="Z67" i="21" s="1"/>
  <c r="AJ65" i="21"/>
  <c r="J89" i="23"/>
  <c r="U89" i="23"/>
  <c r="AA26" i="20"/>
  <c r="Y13" i="14"/>
  <c r="Y14" i="14" s="1"/>
  <c r="Y15" i="14"/>
  <c r="V26" i="20"/>
  <c r="AJ89" i="23"/>
  <c r="L89" i="23"/>
  <c r="O34" i="20"/>
  <c r="O33" i="20"/>
  <c r="O81" i="20" s="1"/>
  <c r="AN27" i="5"/>
  <c r="I15" i="14"/>
  <c r="I13" i="14"/>
  <c r="I14" i="14" s="1"/>
  <c r="AG13" i="14"/>
  <c r="AG14" i="14" s="1"/>
  <c r="AG15" i="14"/>
  <c r="AI34" i="20"/>
  <c r="AI33" i="20"/>
  <c r="AI81" i="20" s="1"/>
  <c r="O21" i="22"/>
  <c r="O22" i="22" s="1"/>
  <c r="O12" i="4" s="1"/>
  <c r="O19" i="3" s="1"/>
  <c r="X65" i="21"/>
  <c r="AF15" i="14"/>
  <c r="AF13" i="14"/>
  <c r="AF14" i="14" s="1"/>
  <c r="AK13" i="14"/>
  <c r="AK14" i="14" s="1"/>
  <c r="AK15" i="14"/>
  <c r="AG51" i="21"/>
  <c r="AG66" i="21" s="1"/>
  <c r="AG50" i="21"/>
  <c r="AG67" i="21" s="1"/>
  <c r="W34" i="20"/>
  <c r="W33" i="20"/>
  <c r="W81" i="20" s="1"/>
  <c r="AD34" i="20"/>
  <c r="AD33" i="20"/>
  <c r="AD81" i="20" s="1"/>
  <c r="U15" i="14"/>
  <c r="U13" i="14"/>
  <c r="U14" i="14" s="1"/>
  <c r="H51" i="21"/>
  <c r="H66" i="21" s="1"/>
  <c r="H50" i="21"/>
  <c r="H67" i="21" s="1"/>
  <c r="Y26" i="20"/>
  <c r="L26" i="20"/>
  <c r="AE26" i="20"/>
  <c r="E26" i="20"/>
  <c r="R65" i="21"/>
  <c r="M21" i="22"/>
  <c r="M22" i="22" s="1"/>
  <c r="M12" i="4" s="1"/>
  <c r="M19" i="3" s="1"/>
  <c r="AP89" i="23"/>
  <c r="G65" i="21"/>
  <c r="N51" i="21"/>
  <c r="N66" i="21" s="1"/>
  <c r="N50" i="21"/>
  <c r="N67" i="21" s="1"/>
  <c r="G34" i="20"/>
  <c r="G33" i="20"/>
  <c r="G81" i="20" s="1"/>
  <c r="AN51" i="21"/>
  <c r="AN66" i="21" s="1"/>
  <c r="AN50" i="21"/>
  <c r="AN67" i="21" s="1"/>
  <c r="AJ51" i="21"/>
  <c r="AJ66" i="21" s="1"/>
  <c r="AJ50" i="21"/>
  <c r="AJ67" i="21" s="1"/>
  <c r="AC15" i="14"/>
  <c r="AC13" i="14"/>
  <c r="AC14" i="14" s="1"/>
  <c r="AJ15" i="14"/>
  <c r="AJ13" i="14"/>
  <c r="AJ14" i="14" s="1"/>
  <c r="V34" i="20"/>
  <c r="V33" i="20"/>
  <c r="V81" i="20" s="1"/>
  <c r="N15" i="14"/>
  <c r="N13" i="14"/>
  <c r="N14" i="14" s="1"/>
  <c r="AB26" i="20"/>
  <c r="X51" i="21"/>
  <c r="X66" i="21" s="1"/>
  <c r="X50" i="21"/>
  <c r="X67" i="21" s="1"/>
  <c r="AG65" i="21"/>
  <c r="W26" i="20"/>
  <c r="AM21" i="22"/>
  <c r="AM22" i="22" s="1"/>
  <c r="AM12" i="4" s="1"/>
  <c r="AM19" i="3" s="1"/>
  <c r="W51" i="21"/>
  <c r="W66" i="21" s="1"/>
  <c r="W50" i="21"/>
  <c r="W67" i="21" s="1"/>
  <c r="AK26" i="20"/>
  <c r="C13" i="14"/>
  <c r="C14" i="14" s="1"/>
  <c r="C15" i="14"/>
  <c r="Y34" i="20"/>
  <c r="Y33" i="20"/>
  <c r="Y81" i="20" s="1"/>
  <c r="L34" i="20"/>
  <c r="L33" i="20"/>
  <c r="L81" i="20" s="1"/>
  <c r="F21" i="22"/>
  <c r="F22" i="22" s="1"/>
  <c r="F12" i="4" s="1"/>
  <c r="F19" i="3" s="1"/>
  <c r="AE34" i="20"/>
  <c r="AE33" i="20"/>
  <c r="AE81" i="20" s="1"/>
  <c r="AD21" i="22"/>
  <c r="AD22" i="22" s="1"/>
  <c r="AD12" i="4" s="1"/>
  <c r="AD19" i="3" s="1"/>
  <c r="E34" i="20"/>
  <c r="E33" i="20"/>
  <c r="E81" i="20" s="1"/>
  <c r="Z26" i="20"/>
  <c r="R50" i="21"/>
  <c r="R67" i="21" s="1"/>
  <c r="R51" i="21"/>
  <c r="R66" i="21" s="1"/>
  <c r="S13" i="14"/>
  <c r="S14" i="14" s="1"/>
  <c r="S15" i="14"/>
  <c r="AL26" i="20"/>
  <c r="N65" i="21"/>
  <c r="AJ26" i="20"/>
  <c r="AN65" i="21"/>
  <c r="J26" i="20"/>
  <c r="E15" i="14"/>
  <c r="E13" i="14"/>
  <c r="E14" i="14" s="1"/>
  <c r="K15" i="14"/>
  <c r="K13" i="14"/>
  <c r="K14" i="14" s="1"/>
  <c r="J65" i="21"/>
  <c r="AK65" i="21"/>
  <c r="O26" i="20"/>
  <c r="AI26" i="20"/>
  <c r="AX141" i="13"/>
  <c r="AB34" i="20"/>
  <c r="AB33" i="20"/>
  <c r="AB81" i="20" s="1"/>
  <c r="AI13" i="14"/>
  <c r="AI14" i="14" s="1"/>
  <c r="AI15" i="14"/>
  <c r="C26" i="20"/>
  <c r="AO51" i="21"/>
  <c r="AO66" i="21" s="1"/>
  <c r="AO50" i="21"/>
  <c r="AO67" i="21" s="1"/>
  <c r="D50" i="21"/>
  <c r="D67" i="21" s="1"/>
  <c r="D51" i="21"/>
  <c r="D66" i="21" s="1"/>
  <c r="O51" i="21"/>
  <c r="O66" i="21" s="1"/>
  <c r="O50" i="21"/>
  <c r="O67" i="21" s="1"/>
  <c r="W65" i="21"/>
  <c r="Z89" i="23"/>
  <c r="AK34" i="20"/>
  <c r="AK33" i="20"/>
  <c r="AK81" i="20" s="1"/>
  <c r="AO89" i="23"/>
  <c r="AD51" i="21"/>
  <c r="AD66" i="21" s="1"/>
  <c r="AD50" i="21"/>
  <c r="AD67" i="21" s="1"/>
  <c r="X89" i="23"/>
  <c r="AI51" i="21"/>
  <c r="AI66" i="21" s="1"/>
  <c r="AI50" i="21"/>
  <c r="AI67" i="21" s="1"/>
  <c r="F51" i="21"/>
  <c r="F66" i="21" s="1"/>
  <c r="F50" i="21"/>
  <c r="F67" i="21" s="1"/>
  <c r="AG21" i="22"/>
  <c r="AG22" i="22" s="1"/>
  <c r="AG12" i="4" s="1"/>
  <c r="AG19" i="3" s="1"/>
  <c r="Z34" i="20"/>
  <c r="Z33" i="20"/>
  <c r="Z81" i="20" s="1"/>
  <c r="V21" i="22"/>
  <c r="V22" i="22" s="1"/>
  <c r="V12" i="4" s="1"/>
  <c r="V19" i="3" s="1"/>
  <c r="AE27" i="5"/>
  <c r="H89" i="23"/>
  <c r="K89" i="23"/>
  <c r="Z13" i="14"/>
  <c r="Z14" i="14" s="1"/>
  <c r="Z15" i="14"/>
  <c r="BH125" i="13"/>
  <c r="AL34" i="20"/>
  <c r="AL33" i="20"/>
  <c r="AL81" i="20" s="1"/>
  <c r="BF141" i="13"/>
  <c r="AJ34" i="20"/>
  <c r="AJ33" i="20"/>
  <c r="AJ81" i="20" s="1"/>
  <c r="U21" i="22"/>
  <c r="U22" i="22" s="1"/>
  <c r="U12" i="4" s="1"/>
  <c r="U19" i="3" s="1"/>
  <c r="AN26" i="20"/>
  <c r="V51" i="21"/>
  <c r="V66" i="21" s="1"/>
  <c r="V50" i="21"/>
  <c r="V67" i="21" s="1"/>
  <c r="AF125" i="13"/>
  <c r="J34" i="20"/>
  <c r="J33" i="20"/>
  <c r="J81" i="20" s="1"/>
  <c r="D26" i="20"/>
  <c r="J51" i="21"/>
  <c r="J66" i="21" s="1"/>
  <c r="J50" i="21"/>
  <c r="J67" i="21" s="1"/>
  <c r="AK50" i="21"/>
  <c r="AK67" i="21" s="1"/>
  <c r="AK51" i="21"/>
  <c r="AK66" i="21" s="1"/>
  <c r="D21" i="22"/>
  <c r="D22" i="22" s="1"/>
  <c r="D12" i="4" s="1"/>
  <c r="D19" i="3" s="1"/>
  <c r="AM65" i="21"/>
  <c r="AF26" i="20"/>
  <c r="P26" i="20"/>
  <c r="C34" i="20"/>
  <c r="C33" i="20"/>
  <c r="C81" i="20" s="1"/>
  <c r="AJ125" i="13"/>
  <c r="N34" i="20"/>
  <c r="N33" i="20"/>
  <c r="N81" i="20" s="1"/>
  <c r="AO65" i="21"/>
  <c r="D65" i="21"/>
  <c r="F15" i="14"/>
  <c r="F13" i="14"/>
  <c r="F14" i="14" s="1"/>
  <c r="P65" i="21"/>
  <c r="X13" i="14"/>
  <c r="X14" i="14" s="1"/>
  <c r="X15" i="14"/>
  <c r="F26" i="20"/>
  <c r="O65" i="21"/>
  <c r="M26" i="20"/>
  <c r="AD65" i="21"/>
  <c r="AI65" i="21"/>
  <c r="F65" i="21"/>
  <c r="T26" i="20"/>
  <c r="L19" i="14"/>
  <c r="L20" i="14" s="1"/>
  <c r="L7" i="4" s="1"/>
  <c r="L14" i="3" s="1"/>
  <c r="T13" i="14"/>
  <c r="T14" i="14" s="1"/>
  <c r="T15" i="14"/>
  <c r="T21" i="22"/>
  <c r="T22" i="22" s="1"/>
  <c r="T12" i="4" s="1"/>
  <c r="T19" i="3" s="1"/>
  <c r="V89" i="23"/>
  <c r="R19" i="14"/>
  <c r="R20" i="14" s="1"/>
  <c r="R7" i="4" s="1"/>
  <c r="R14" i="3" s="1"/>
  <c r="AH44" i="5" l="1"/>
  <c r="M49" i="5"/>
  <c r="M53" i="5" s="1"/>
  <c r="M54" i="5" s="1"/>
  <c r="M87" i="5" s="1"/>
  <c r="M88" i="5" s="1"/>
  <c r="AL44" i="5"/>
  <c r="AL36" i="5" s="1"/>
  <c r="L28" i="5"/>
  <c r="L52" i="5" s="1"/>
  <c r="AD44" i="5"/>
  <c r="AD36" i="5" s="1"/>
  <c r="AN44" i="5"/>
  <c r="AN36" i="5" s="1"/>
  <c r="AC52" i="5"/>
  <c r="AC44" i="5"/>
  <c r="AC36" i="5" s="1"/>
  <c r="AI28" i="5"/>
  <c r="AI52" i="5" s="1"/>
  <c r="AM44" i="5"/>
  <c r="AM36" i="5" s="1"/>
  <c r="S42" i="5"/>
  <c r="S50" i="5" s="1"/>
  <c r="X44" i="5"/>
  <c r="AG52" i="5"/>
  <c r="O44" i="5"/>
  <c r="O36" i="5" s="1"/>
  <c r="T52" i="5"/>
  <c r="T44" i="5"/>
  <c r="T36" i="5" s="1"/>
  <c r="AO44" i="5"/>
  <c r="P44" i="5"/>
  <c r="N96" i="5"/>
  <c r="M42" i="5"/>
  <c r="M50" i="5" s="1"/>
  <c r="AF96" i="5"/>
  <c r="N44" i="5"/>
  <c r="S49" i="5"/>
  <c r="S53" i="5" s="1"/>
  <c r="S54" i="5" s="1"/>
  <c r="AE28" i="5"/>
  <c r="AE96" i="5" s="1"/>
  <c r="AE44" i="5"/>
  <c r="AE36" i="5" s="1"/>
  <c r="T25" i="5"/>
  <c r="T29" i="5" s="1"/>
  <c r="T33" i="5"/>
  <c r="T34" i="5" s="1"/>
  <c r="AK58" i="20"/>
  <c r="AK61" i="20" s="1"/>
  <c r="AL39" i="5"/>
  <c r="AL47" i="5" s="1"/>
  <c r="AL51" i="5" s="1"/>
  <c r="F44" i="5"/>
  <c r="F36" i="5" s="1"/>
  <c r="AD39" i="5"/>
  <c r="AH39" i="5"/>
  <c r="AH47" i="5" s="1"/>
  <c r="AH51" i="5" s="1"/>
  <c r="R25" i="5"/>
  <c r="R29" i="5" s="1"/>
  <c r="R33" i="5"/>
  <c r="R34" i="5" s="1"/>
  <c r="M35" i="5"/>
  <c r="M46" i="5"/>
  <c r="M84" i="5" s="1"/>
  <c r="Y39" i="5"/>
  <c r="Y43" i="5" s="1"/>
  <c r="H27" i="5"/>
  <c r="H44" i="5"/>
  <c r="H36" i="5" s="1"/>
  <c r="X58" i="20"/>
  <c r="X61" i="20" s="1"/>
  <c r="AD58" i="20"/>
  <c r="AD61" i="20" s="1"/>
  <c r="Y27" i="5"/>
  <c r="U25" i="5"/>
  <c r="U29" i="5" s="1"/>
  <c r="U33" i="5"/>
  <c r="D25" i="5"/>
  <c r="D26" i="5" s="1"/>
  <c r="D30" i="5" s="1"/>
  <c r="D33" i="5"/>
  <c r="T27" i="5"/>
  <c r="T96" i="5" s="1"/>
  <c r="X25" i="5"/>
  <c r="X29" i="5" s="1"/>
  <c r="X33" i="5"/>
  <c r="V39" i="5"/>
  <c r="V43" i="5" s="1"/>
  <c r="AF25" i="5"/>
  <c r="AF29" i="5" s="1"/>
  <c r="AF33" i="5"/>
  <c r="H25" i="5"/>
  <c r="H29" i="5" s="1"/>
  <c r="H33" i="5"/>
  <c r="Z25" i="5"/>
  <c r="Z29" i="5" s="1"/>
  <c r="Z33" i="5"/>
  <c r="Z34" i="5" s="1"/>
  <c r="W28" i="5"/>
  <c r="W52" i="5" s="1"/>
  <c r="W44" i="5"/>
  <c r="W36" i="5" s="1"/>
  <c r="AG44" i="5"/>
  <c r="AG36" i="5" s="1"/>
  <c r="Q44" i="5"/>
  <c r="P48" i="5"/>
  <c r="P52" i="5" s="1"/>
  <c r="E27" i="5"/>
  <c r="E96" i="5" s="1"/>
  <c r="AA27" i="5"/>
  <c r="J25" i="5"/>
  <c r="J29" i="5" s="1"/>
  <c r="J33" i="5"/>
  <c r="M58" i="20"/>
  <c r="M61" i="20" s="1"/>
  <c r="S58" i="20"/>
  <c r="S61" i="20" s="1"/>
  <c r="AN39" i="5"/>
  <c r="AK25" i="5"/>
  <c r="AK29" i="5" s="1"/>
  <c r="AK33" i="5"/>
  <c r="AK34" i="5" s="1"/>
  <c r="E44" i="5"/>
  <c r="E36" i="5" s="1"/>
  <c r="X48" i="5"/>
  <c r="X52" i="5" s="1"/>
  <c r="AE39" i="5"/>
  <c r="AE47" i="5" s="1"/>
  <c r="AE51" i="5" s="1"/>
  <c r="AD25" i="5"/>
  <c r="AD26" i="5" s="1"/>
  <c r="AD30" i="5" s="1"/>
  <c r="AD33" i="5"/>
  <c r="AB39" i="5"/>
  <c r="W39" i="5"/>
  <c r="W47" i="5" s="1"/>
  <c r="W51" i="5" s="1"/>
  <c r="Z39" i="5"/>
  <c r="Z47" i="5" s="1"/>
  <c r="Z51" i="5" s="1"/>
  <c r="K25" i="5"/>
  <c r="K29" i="5" s="1"/>
  <c r="K33" i="5"/>
  <c r="K34" i="5" s="1"/>
  <c r="AB25" i="5"/>
  <c r="AB29" i="5" s="1"/>
  <c r="AB33" i="5"/>
  <c r="AB34" i="5" s="1"/>
  <c r="AH96" i="5"/>
  <c r="L25" i="5"/>
  <c r="L29" i="5" s="1"/>
  <c r="L33" i="5"/>
  <c r="L34" i="5" s="1"/>
  <c r="R28" i="5"/>
  <c r="R52" i="5" s="1"/>
  <c r="R44" i="5"/>
  <c r="R36" i="5" s="1"/>
  <c r="AH25" i="5"/>
  <c r="AH26" i="5" s="1"/>
  <c r="AH30" i="5" s="1"/>
  <c r="AH33" i="5"/>
  <c r="AH34" i="5" s="1"/>
  <c r="K39" i="5"/>
  <c r="K47" i="5" s="1"/>
  <c r="K51" i="5" s="1"/>
  <c r="Q25" i="5"/>
  <c r="Q29" i="5" s="1"/>
  <c r="Q33" i="5"/>
  <c r="Q34" i="5" s="1"/>
  <c r="V27" i="5"/>
  <c r="AA39" i="5"/>
  <c r="AA47" i="5" s="1"/>
  <c r="G28" i="5"/>
  <c r="G52" i="5" s="1"/>
  <c r="G44" i="5"/>
  <c r="G36" i="5" s="1"/>
  <c r="J28" i="5"/>
  <c r="J52" i="5" s="1"/>
  <c r="J44" i="5"/>
  <c r="J36" i="5" s="1"/>
  <c r="F25" i="5"/>
  <c r="F29" i="5" s="1"/>
  <c r="F33" i="5"/>
  <c r="V25" i="5"/>
  <c r="V29" i="5" s="1"/>
  <c r="V33" i="5"/>
  <c r="V34" i="5" s="1"/>
  <c r="AH48" i="5"/>
  <c r="AH52" i="5" s="1"/>
  <c r="AK52" i="5"/>
  <c r="AJ25" i="5"/>
  <c r="AJ29" i="5" s="1"/>
  <c r="AJ33" i="5"/>
  <c r="AJ34" i="5" s="1"/>
  <c r="I39" i="5"/>
  <c r="I43" i="5" s="1"/>
  <c r="AO47" i="5"/>
  <c r="AO51" i="5" s="1"/>
  <c r="N39" i="5"/>
  <c r="N47" i="5" s="1"/>
  <c r="N51" i="5" s="1"/>
  <c r="F52" i="5"/>
  <c r="E52" i="5"/>
  <c r="E58" i="20"/>
  <c r="E61" i="20" s="1"/>
  <c r="N25" i="5"/>
  <c r="N29" i="5" s="1"/>
  <c r="N33" i="5"/>
  <c r="N34" i="5" s="1"/>
  <c r="W25" i="5"/>
  <c r="W29" i="5" s="1"/>
  <c r="W33" i="5"/>
  <c r="W34" i="5" s="1"/>
  <c r="N48" i="5"/>
  <c r="N52" i="5" s="1"/>
  <c r="I25" i="5"/>
  <c r="I29" i="5" s="1"/>
  <c r="I33" i="5"/>
  <c r="AM25" i="5"/>
  <c r="AM26" i="5" s="1"/>
  <c r="AM30" i="5" s="1"/>
  <c r="AM33" i="5"/>
  <c r="AM34" i="5" s="1"/>
  <c r="AE25" i="5"/>
  <c r="AE29" i="5" s="1"/>
  <c r="AE33" i="5"/>
  <c r="AE34" i="5" s="1"/>
  <c r="AJ28" i="5"/>
  <c r="AJ96" i="5" s="1"/>
  <c r="AJ44" i="5"/>
  <c r="AJ36" i="5" s="1"/>
  <c r="AA58" i="20"/>
  <c r="AA61" i="20" s="1"/>
  <c r="AN25" i="5"/>
  <c r="AN26" i="5" s="1"/>
  <c r="AN30" i="5" s="1"/>
  <c r="AN33" i="5"/>
  <c r="AN34" i="5" s="1"/>
  <c r="J39" i="5"/>
  <c r="J47" i="5" s="1"/>
  <c r="J51" i="5" s="1"/>
  <c r="AO48" i="5"/>
  <c r="AO52" i="5" s="1"/>
  <c r="AF58" i="20"/>
  <c r="AF61" i="20" s="1"/>
  <c r="AC58" i="20"/>
  <c r="AC61" i="20" s="1"/>
  <c r="AL25" i="5"/>
  <c r="AL29" i="5" s="1"/>
  <c r="AL33" i="5"/>
  <c r="AL34" i="5" s="1"/>
  <c r="AI25" i="5"/>
  <c r="AI29" i="5" s="1"/>
  <c r="AI33" i="5"/>
  <c r="AM39" i="5"/>
  <c r="AM47" i="5" s="1"/>
  <c r="AM51" i="5" s="1"/>
  <c r="F39" i="5"/>
  <c r="F47" i="5" s="1"/>
  <c r="F51" i="5" s="1"/>
  <c r="AB28" i="5"/>
  <c r="AB52" i="5" s="1"/>
  <c r="AB44" i="5"/>
  <c r="AB36" i="5" s="1"/>
  <c r="Y25" i="5"/>
  <c r="Y29" i="5" s="1"/>
  <c r="Y33" i="5"/>
  <c r="P39" i="5"/>
  <c r="P47" i="5" s="1"/>
  <c r="P51" i="5" s="1"/>
  <c r="G39" i="5"/>
  <c r="G47" i="5" s="1"/>
  <c r="G51" i="5" s="1"/>
  <c r="O27" i="5"/>
  <c r="H39" i="5"/>
  <c r="H47" i="5" s="1"/>
  <c r="Z28" i="5"/>
  <c r="Z52" i="5" s="1"/>
  <c r="Z44" i="5"/>
  <c r="Z36" i="5" s="1"/>
  <c r="AA25" i="5"/>
  <c r="AA29" i="5" s="1"/>
  <c r="AA33" i="5"/>
  <c r="AF44" i="5"/>
  <c r="AK44" i="5"/>
  <c r="AK36" i="5" s="1"/>
  <c r="AC25" i="5"/>
  <c r="AC29" i="5" s="1"/>
  <c r="AC33" i="5"/>
  <c r="AG47" i="5"/>
  <c r="AG51" i="5" s="1"/>
  <c r="E39" i="5"/>
  <c r="E43" i="5" s="1"/>
  <c r="AK39" i="5"/>
  <c r="AK47" i="5" s="1"/>
  <c r="AK51" i="5" s="1"/>
  <c r="O39" i="5"/>
  <c r="O47" i="5" s="1"/>
  <c r="R27" i="5"/>
  <c r="AB58" i="20"/>
  <c r="AB61" i="20" s="1"/>
  <c r="R39" i="5"/>
  <c r="R43" i="5" s="1"/>
  <c r="AG25" i="5"/>
  <c r="AG26" i="5" s="1"/>
  <c r="AG30" i="5" s="1"/>
  <c r="AG33" i="5"/>
  <c r="AO25" i="5"/>
  <c r="AO29" i="5" s="1"/>
  <c r="AO33" i="5"/>
  <c r="AI39" i="5"/>
  <c r="S46" i="5"/>
  <c r="S84" i="5" s="1"/>
  <c r="S35" i="5"/>
  <c r="AD28" i="5"/>
  <c r="AD52" i="5" s="1"/>
  <c r="L39" i="5"/>
  <c r="L47" i="5" s="1"/>
  <c r="E25" i="5"/>
  <c r="E29" i="5" s="1"/>
  <c r="E33" i="5"/>
  <c r="E34" i="5" s="1"/>
  <c r="Q39" i="5"/>
  <c r="G25" i="5"/>
  <c r="G26" i="5" s="1"/>
  <c r="G30" i="5" s="1"/>
  <c r="G33" i="5"/>
  <c r="G34" i="5" s="1"/>
  <c r="AJ39" i="5"/>
  <c r="AJ47" i="5" s="1"/>
  <c r="AJ51" i="5" s="1"/>
  <c r="AC47" i="5"/>
  <c r="AC51" i="5" s="1"/>
  <c r="U39" i="5"/>
  <c r="U47" i="5" s="1"/>
  <c r="U51" i="5" s="1"/>
  <c r="D39" i="5"/>
  <c r="D47" i="5" s="1"/>
  <c r="D51" i="5" s="1"/>
  <c r="O25" i="5"/>
  <c r="O29" i="5" s="1"/>
  <c r="O33" i="5"/>
  <c r="V44" i="5"/>
  <c r="V36" i="5" s="1"/>
  <c r="X39" i="5"/>
  <c r="P25" i="5"/>
  <c r="P29" i="5" s="1"/>
  <c r="P33" i="5"/>
  <c r="AF39" i="5"/>
  <c r="AF47" i="5" s="1"/>
  <c r="AF51" i="5" s="1"/>
  <c r="T39" i="5"/>
  <c r="AA28" i="5"/>
  <c r="AA52" i="5" s="1"/>
  <c r="AA44" i="5"/>
  <c r="AA36" i="5" s="1"/>
  <c r="I28" i="5"/>
  <c r="I52" i="5" s="1"/>
  <c r="I44" i="5"/>
  <c r="I36" i="5" s="1"/>
  <c r="Y44" i="5"/>
  <c r="Y36" i="5" s="1"/>
  <c r="AF48" i="5"/>
  <c r="AF52" i="5" s="1"/>
  <c r="Q48" i="5"/>
  <c r="AI27" i="5"/>
  <c r="K28" i="5"/>
  <c r="K52" i="5" s="1"/>
  <c r="D28" i="5"/>
  <c r="D52" i="5" s="1"/>
  <c r="AM28" i="5"/>
  <c r="AM52" i="5" s="1"/>
  <c r="AL28" i="5"/>
  <c r="AL52" i="5" s="1"/>
  <c r="AG96" i="5"/>
  <c r="H28" i="5"/>
  <c r="H52" i="5" s="1"/>
  <c r="Y28" i="5"/>
  <c r="Y52" i="5" s="1"/>
  <c r="X27" i="5"/>
  <c r="X96" i="5" s="1"/>
  <c r="AN28" i="5"/>
  <c r="AN52" i="5" s="1"/>
  <c r="V28" i="5"/>
  <c r="V52" i="5" s="1"/>
  <c r="O28" i="5"/>
  <c r="O52" i="5" s="1"/>
  <c r="Q28" i="5"/>
  <c r="I27" i="5"/>
  <c r="L27" i="5"/>
  <c r="U28" i="5"/>
  <c r="U52" i="5" s="1"/>
  <c r="AK164" i="13"/>
  <c r="AK165" i="13" s="1"/>
  <c r="AK167" i="13" s="1"/>
  <c r="AK168" i="13" s="1"/>
  <c r="AQ164" i="13"/>
  <c r="AQ165" i="13" s="1"/>
  <c r="AQ167" i="13" s="1"/>
  <c r="AQ168" i="13" s="1"/>
  <c r="AD164" i="13"/>
  <c r="AD165" i="13" s="1"/>
  <c r="AD167" i="13" s="1"/>
  <c r="AD168" i="13" s="1"/>
  <c r="D82" i="5"/>
  <c r="X82" i="5"/>
  <c r="G82" i="5"/>
  <c r="I82" i="5"/>
  <c r="AN82" i="5"/>
  <c r="AC82" i="5"/>
  <c r="AK82" i="5"/>
  <c r="U82" i="5"/>
  <c r="L82" i="5"/>
  <c r="O82" i="5"/>
  <c r="V82" i="5"/>
  <c r="N82" i="5"/>
  <c r="R82" i="5"/>
  <c r="T82" i="5"/>
  <c r="Y82" i="5"/>
  <c r="J82" i="5"/>
  <c r="AF82" i="5"/>
  <c r="Z82" i="5"/>
  <c r="AD82" i="5"/>
  <c r="AA82" i="5"/>
  <c r="E82" i="5"/>
  <c r="AG82" i="5"/>
  <c r="W82" i="5"/>
  <c r="Q82" i="5"/>
  <c r="AE82" i="5"/>
  <c r="AO82" i="5"/>
  <c r="K82" i="5"/>
  <c r="P82" i="5"/>
  <c r="AM82" i="5"/>
  <c r="AI82" i="5"/>
  <c r="AH82" i="5"/>
  <c r="AJ82" i="5"/>
  <c r="F82" i="5"/>
  <c r="AB82" i="5"/>
  <c r="H82" i="5"/>
  <c r="AU164" i="13"/>
  <c r="AU165" i="13" s="1"/>
  <c r="AU167" i="13" s="1"/>
  <c r="AU168" i="13" s="1"/>
  <c r="AB164" i="13"/>
  <c r="AB165" i="13" s="1"/>
  <c r="AB167" i="13" s="1"/>
  <c r="AB168" i="13" s="1"/>
  <c r="AX164" i="13"/>
  <c r="AX165" i="13" s="1"/>
  <c r="AX167" i="13" s="1"/>
  <c r="AX168" i="13" s="1"/>
  <c r="AL82" i="5"/>
  <c r="AR234" i="13"/>
  <c r="BD164" i="13"/>
  <c r="BD165" i="13" s="1"/>
  <c r="BD167" i="13" s="1"/>
  <c r="BD168" i="13" s="1"/>
  <c r="AM164" i="13"/>
  <c r="AM165" i="13" s="1"/>
  <c r="AM167" i="13" s="1"/>
  <c r="AM168" i="13" s="1"/>
  <c r="BF164" i="13"/>
  <c r="BF165" i="13" s="1"/>
  <c r="BF167" i="13" s="1"/>
  <c r="BF168" i="13" s="1"/>
  <c r="Z164" i="13"/>
  <c r="Z165" i="13" s="1"/>
  <c r="Z167" i="13" s="1"/>
  <c r="Z168" i="13" s="1"/>
  <c r="AW164" i="13"/>
  <c r="AW165" i="13" s="1"/>
  <c r="AW167" i="13" s="1"/>
  <c r="AW168" i="13" s="1"/>
  <c r="AO164" i="13"/>
  <c r="AO165" i="13" s="1"/>
  <c r="AO167" i="13" s="1"/>
  <c r="AO168" i="13" s="1"/>
  <c r="AZ164" i="13"/>
  <c r="AZ165" i="13" s="1"/>
  <c r="AZ167" i="13" s="1"/>
  <c r="AZ168" i="13" s="1"/>
  <c r="BH164" i="13"/>
  <c r="BH165" i="13" s="1"/>
  <c r="BH167" i="13" s="1"/>
  <c r="BH168" i="13" s="1"/>
  <c r="AT164" i="13"/>
  <c r="AT165" i="13" s="1"/>
  <c r="AT167" i="13" s="1"/>
  <c r="AT168" i="13" s="1"/>
  <c r="BG164" i="13"/>
  <c r="BG165" i="13" s="1"/>
  <c r="BG167" i="13" s="1"/>
  <c r="BG168" i="13" s="1"/>
  <c r="AI164" i="13"/>
  <c r="AI165" i="13" s="1"/>
  <c r="AI167" i="13" s="1"/>
  <c r="AI168" i="13" s="1"/>
  <c r="Y164" i="13"/>
  <c r="Y165" i="13" s="1"/>
  <c r="Y167" i="13" s="1"/>
  <c r="Y168" i="13" s="1"/>
  <c r="AR124" i="13"/>
  <c r="BJ164" i="13"/>
  <c r="BJ165" i="13" s="1"/>
  <c r="BJ167" i="13" s="1"/>
  <c r="BJ168" i="13" s="1"/>
  <c r="BC164" i="13"/>
  <c r="BC165" i="13" s="1"/>
  <c r="BC167" i="13" s="1"/>
  <c r="BC168" i="13" s="1"/>
  <c r="AY164" i="13"/>
  <c r="AY165" i="13" s="1"/>
  <c r="AY167" i="13" s="1"/>
  <c r="AY168" i="13" s="1"/>
  <c r="AE164" i="13"/>
  <c r="AE165" i="13" s="1"/>
  <c r="AE167" i="13" s="1"/>
  <c r="AE168" i="13" s="1"/>
  <c r="AV164" i="13"/>
  <c r="AV165" i="13" s="1"/>
  <c r="AV167" i="13" s="1"/>
  <c r="AV168" i="13" s="1"/>
  <c r="AR164" i="13"/>
  <c r="AR165" i="13" s="1"/>
  <c r="AR167" i="13" s="1"/>
  <c r="AR168" i="13" s="1"/>
  <c r="AJ164" i="13"/>
  <c r="AJ165" i="13" s="1"/>
  <c r="AJ167" i="13" s="1"/>
  <c r="AJ168" i="13" s="1"/>
  <c r="AG164" i="13"/>
  <c r="AG165" i="13" s="1"/>
  <c r="AG167" i="13" s="1"/>
  <c r="AG168" i="13" s="1"/>
  <c r="AP164" i="13"/>
  <c r="AP165" i="13" s="1"/>
  <c r="AP167" i="13" s="1"/>
  <c r="AP168" i="13" s="1"/>
  <c r="AF164" i="13"/>
  <c r="AF165" i="13" s="1"/>
  <c r="AF167" i="13" s="1"/>
  <c r="AF168" i="13" s="1"/>
  <c r="BA164" i="13"/>
  <c r="BA165" i="13" s="1"/>
  <c r="BA167" i="13" s="1"/>
  <c r="BA168" i="13" s="1"/>
  <c r="AA164" i="13"/>
  <c r="AA165" i="13" s="1"/>
  <c r="AA167" i="13" s="1"/>
  <c r="AA168" i="13" s="1"/>
  <c r="AC164" i="13"/>
  <c r="AC165" i="13" s="1"/>
  <c r="AC167" i="13" s="1"/>
  <c r="AC168" i="13" s="1"/>
  <c r="BE164" i="13"/>
  <c r="BE165" i="13" s="1"/>
  <c r="BE167" i="13" s="1"/>
  <c r="BE168" i="13" s="1"/>
  <c r="AL164" i="13"/>
  <c r="AL165" i="13" s="1"/>
  <c r="AL167" i="13" s="1"/>
  <c r="AL168" i="13" s="1"/>
  <c r="BI164" i="13"/>
  <c r="BI165" i="13" s="1"/>
  <c r="BI167" i="13" s="1"/>
  <c r="BI168" i="13" s="1"/>
  <c r="BB164" i="13"/>
  <c r="BB165" i="13" s="1"/>
  <c r="BB167" i="13" s="1"/>
  <c r="BB168" i="13" s="1"/>
  <c r="AS164" i="13"/>
  <c r="AS165" i="13" s="1"/>
  <c r="AS167" i="13" s="1"/>
  <c r="AS168" i="13" s="1"/>
  <c r="AE76" i="12"/>
  <c r="L81" i="12"/>
  <c r="L82" i="12"/>
  <c r="L83" i="12"/>
  <c r="L80" i="12"/>
  <c r="R80" i="12"/>
  <c r="R81" i="12"/>
  <c r="R82" i="12"/>
  <c r="R83" i="12"/>
  <c r="AH127" i="13"/>
  <c r="AH234" i="13"/>
  <c r="AH143" i="13"/>
  <c r="AH236" i="13"/>
  <c r="M75" i="5" s="1"/>
  <c r="M77" i="5" s="1"/>
  <c r="O44" i="12"/>
  <c r="O45" i="12" s="1"/>
  <c r="X74" i="12"/>
  <c r="H121" i="12"/>
  <c r="C74" i="12"/>
  <c r="G121" i="12"/>
  <c r="W121" i="12"/>
  <c r="AN121" i="12"/>
  <c r="K121" i="12"/>
  <c r="AM74" i="12"/>
  <c r="AF74" i="12"/>
  <c r="AE75" i="12"/>
  <c r="Y74" i="12"/>
  <c r="E121" i="12"/>
  <c r="AG74" i="12"/>
  <c r="N74" i="12"/>
  <c r="Z121" i="12"/>
  <c r="AA121" i="12"/>
  <c r="AI121" i="12"/>
  <c r="T121" i="12"/>
  <c r="P121" i="12"/>
  <c r="C44" i="12"/>
  <c r="C45" i="12" s="1"/>
  <c r="V121" i="12"/>
  <c r="S121" i="12"/>
  <c r="F121" i="12"/>
  <c r="AL74" i="12"/>
  <c r="AG58" i="12"/>
  <c r="AJ44" i="12"/>
  <c r="T44" i="12"/>
  <c r="J58" i="12"/>
  <c r="S58" i="12"/>
  <c r="F44" i="12"/>
  <c r="N58" i="12"/>
  <c r="P44" i="12"/>
  <c r="AD121" i="12"/>
  <c r="AD74" i="12"/>
  <c r="AF45" i="12"/>
  <c r="AC44" i="12"/>
  <c r="X45" i="12"/>
  <c r="I44" i="12"/>
  <c r="U58" i="12"/>
  <c r="G58" i="12"/>
  <c r="E58" i="12"/>
  <c r="AA58" i="12"/>
  <c r="R60" i="12"/>
  <c r="R61" i="12"/>
  <c r="R63" i="12" s="1"/>
  <c r="AI44" i="12"/>
  <c r="AF59" i="12"/>
  <c r="AF60" i="12" s="1"/>
  <c r="AF62" i="12"/>
  <c r="AK58" i="12"/>
  <c r="U44" i="12"/>
  <c r="G45" i="12"/>
  <c r="E44" i="12"/>
  <c r="AA44" i="12"/>
  <c r="O59" i="12"/>
  <c r="O60" i="12" s="1"/>
  <c r="O62" i="12"/>
  <c r="AN44" i="12"/>
  <c r="AK44" i="12"/>
  <c r="W45" i="12"/>
  <c r="AH44" i="12"/>
  <c r="AC58" i="12"/>
  <c r="W59" i="12"/>
  <c r="W60" i="12" s="1"/>
  <c r="W62" i="12"/>
  <c r="N44" i="12"/>
  <c r="Q44" i="12"/>
  <c r="C58" i="12"/>
  <c r="AM58" i="12"/>
  <c r="D44" i="12"/>
  <c r="AB58" i="12"/>
  <c r="Y44" i="12"/>
  <c r="AL44" i="12"/>
  <c r="AE48" i="12"/>
  <c r="AE46" i="12"/>
  <c r="AE47" i="12" s="1"/>
  <c r="R50" i="12"/>
  <c r="R49" i="12"/>
  <c r="R51" i="12"/>
  <c r="AM45" i="12"/>
  <c r="L49" i="12"/>
  <c r="L50" i="12"/>
  <c r="L51" i="12"/>
  <c r="AB44" i="12"/>
  <c r="AD58" i="12"/>
  <c r="H58" i="12"/>
  <c r="X59" i="12"/>
  <c r="X60" i="12" s="1"/>
  <c r="X62" i="12"/>
  <c r="AI58" i="12"/>
  <c r="S44" i="12"/>
  <c r="D58" i="12"/>
  <c r="L60" i="12"/>
  <c r="L61" i="12"/>
  <c r="L63" i="12" s="1"/>
  <c r="Z44" i="12"/>
  <c r="O121" i="12"/>
  <c r="O74" i="12"/>
  <c r="AG44" i="12"/>
  <c r="J44" i="12"/>
  <c r="AD45" i="12"/>
  <c r="H45" i="12"/>
  <c r="AV126" i="13"/>
  <c r="AV139" i="13"/>
  <c r="AV140" i="13" s="1"/>
  <c r="AV219" i="13" s="1"/>
  <c r="AI126" i="13"/>
  <c r="AS126" i="13"/>
  <c r="AZ126" i="13"/>
  <c r="AB203" i="13"/>
  <c r="AB204" i="13" s="1"/>
  <c r="AB237" i="13" s="1"/>
  <c r="AL126" i="13"/>
  <c r="Z126" i="13"/>
  <c r="AM203" i="13"/>
  <c r="AM204" i="13" s="1"/>
  <c r="AM220" i="13" s="1"/>
  <c r="AS139" i="13"/>
  <c r="AS140" i="13" s="1"/>
  <c r="AS219" i="13" s="1"/>
  <c r="AC126" i="13"/>
  <c r="BJ139" i="13"/>
  <c r="BJ140" i="13" s="1"/>
  <c r="BJ219" i="13" s="1"/>
  <c r="BD126" i="13"/>
  <c r="AY126" i="13"/>
  <c r="AT139" i="13"/>
  <c r="AT140" i="13" s="1"/>
  <c r="BG139" i="13"/>
  <c r="BG140" i="13" s="1"/>
  <c r="BG219" i="13" s="1"/>
  <c r="AO203" i="13"/>
  <c r="AO204" i="13" s="1"/>
  <c r="AO237" i="13" s="1"/>
  <c r="AR139" i="13"/>
  <c r="AR140" i="13" s="1"/>
  <c r="BG126" i="13"/>
  <c r="BA126" i="13"/>
  <c r="AA203" i="13"/>
  <c r="AA204" i="13" s="1"/>
  <c r="AA220" i="13" s="1"/>
  <c r="AN143" i="13"/>
  <c r="S75" i="5"/>
  <c r="S77" i="5" s="1"/>
  <c r="BB126" i="13"/>
  <c r="BF126" i="13"/>
  <c r="BF234" i="13" s="1"/>
  <c r="BI126" i="13"/>
  <c r="J34" i="17"/>
  <c r="J35" i="17" s="1"/>
  <c r="AQ126" i="13"/>
  <c r="BA139" i="13"/>
  <c r="BA140" i="13" s="1"/>
  <c r="BA219" i="13" s="1"/>
  <c r="AE126" i="13"/>
  <c r="BF139" i="13"/>
  <c r="BF140" i="13" s="1"/>
  <c r="BF219" i="13" s="1"/>
  <c r="AP126" i="13"/>
  <c r="AG126" i="13"/>
  <c r="AG234" i="13" s="1"/>
  <c r="AX139" i="13"/>
  <c r="AX140" i="13" s="1"/>
  <c r="AU126" i="13"/>
  <c r="AD203" i="13"/>
  <c r="AD204" i="13" s="1"/>
  <c r="AD237" i="13" s="1"/>
  <c r="AT203" i="13"/>
  <c r="AT204" i="13" s="1"/>
  <c r="AT237" i="13" s="1"/>
  <c r="AS203" i="13"/>
  <c r="AS204" i="13" s="1"/>
  <c r="AS237" i="13" s="1"/>
  <c r="AK139" i="13"/>
  <c r="AK140" i="13" s="1"/>
  <c r="AK219" i="13" s="1"/>
  <c r="AU139" i="13"/>
  <c r="AU140" i="13" s="1"/>
  <c r="AU219" i="13" s="1"/>
  <c r="AI203" i="13"/>
  <c r="AI204" i="13" s="1"/>
  <c r="AI237" i="13" s="1"/>
  <c r="AW139" i="13"/>
  <c r="AW140" i="13" s="1"/>
  <c r="AW219" i="13" s="1"/>
  <c r="AX203" i="13"/>
  <c r="AX204" i="13" s="1"/>
  <c r="AX237" i="13" s="1"/>
  <c r="AW203" i="13"/>
  <c r="AW204" i="13" s="1"/>
  <c r="AW237" i="13" s="1"/>
  <c r="AB124" i="13"/>
  <c r="AB126" i="13"/>
  <c r="AB234" i="13" s="1"/>
  <c r="BJ126" i="13"/>
  <c r="AW126" i="13"/>
  <c r="AW234" i="13" s="1"/>
  <c r="BE203" i="13"/>
  <c r="BE204" i="13" s="1"/>
  <c r="BE237" i="13" s="1"/>
  <c r="AO139" i="13"/>
  <c r="AO140" i="13" s="1"/>
  <c r="AO219" i="13" s="1"/>
  <c r="AZ139" i="13"/>
  <c r="AZ140" i="13" s="1"/>
  <c r="AZ219" i="13" s="1"/>
  <c r="BH139" i="13"/>
  <c r="BH142" i="13" s="1"/>
  <c r="BB139" i="13"/>
  <c r="AP203" i="13"/>
  <c r="AP204" i="13" s="1"/>
  <c r="AP237" i="13" s="1"/>
  <c r="AB235" i="13"/>
  <c r="AQ139" i="13"/>
  <c r="AK126" i="13"/>
  <c r="AK234" i="13" s="1"/>
  <c r="Y139" i="13"/>
  <c r="Y140" i="13" s="1"/>
  <c r="BD203" i="13"/>
  <c r="BD204" i="13" s="1"/>
  <c r="BD237" i="13" s="1"/>
  <c r="Z203" i="13"/>
  <c r="Z204" i="13" s="1"/>
  <c r="Z220" i="13" s="1"/>
  <c r="AL139" i="13"/>
  <c r="AL140" i="13" s="1"/>
  <c r="AL219" i="13" s="1"/>
  <c r="I34" i="17"/>
  <c r="I35" i="17" s="1"/>
  <c r="D34" i="17"/>
  <c r="D35" i="17" s="1"/>
  <c r="AG34" i="17"/>
  <c r="AG35" i="17" s="1"/>
  <c r="F34" i="17"/>
  <c r="F35" i="17" s="1"/>
  <c r="AH34" i="17"/>
  <c r="AH35" i="17" s="1"/>
  <c r="Z34" i="17"/>
  <c r="Z35" i="17" s="1"/>
  <c r="AD34" i="17"/>
  <c r="AD35" i="17" s="1"/>
  <c r="AI34" i="17"/>
  <c r="AI35" i="17" s="1"/>
  <c r="V34" i="17"/>
  <c r="V35" i="17" s="1"/>
  <c r="N34" i="17"/>
  <c r="N35" i="17" s="1"/>
  <c r="AM34" i="17"/>
  <c r="AM35" i="17" s="1"/>
  <c r="AK34" i="17"/>
  <c r="AK35" i="17" s="1"/>
  <c r="AC36" i="17"/>
  <c r="AC37" i="17" s="1"/>
  <c r="G34" i="17"/>
  <c r="G35" i="17" s="1"/>
  <c r="P36" i="17"/>
  <c r="P37" i="17" s="1"/>
  <c r="S34" i="17"/>
  <c r="S35" i="17" s="1"/>
  <c r="AE34" i="17"/>
  <c r="AE35" i="17" s="1"/>
  <c r="Y34" i="17"/>
  <c r="Y35" i="17" s="1"/>
  <c r="AN34" i="17"/>
  <c r="AN35" i="17" s="1"/>
  <c r="AN39" i="17"/>
  <c r="AN38" i="17"/>
  <c r="AN37" i="17"/>
  <c r="S37" i="17"/>
  <c r="S38" i="17"/>
  <c r="S39" i="17"/>
  <c r="AG38" i="17"/>
  <c r="AG39" i="17"/>
  <c r="AG37" i="17"/>
  <c r="AD39" i="17"/>
  <c r="AD37" i="17"/>
  <c r="AD38" i="17"/>
  <c r="AJ39" i="17"/>
  <c r="AJ38" i="17"/>
  <c r="AJ37" i="17"/>
  <c r="D39" i="17"/>
  <c r="D38" i="17"/>
  <c r="D37" i="17"/>
  <c r="J39" i="17"/>
  <c r="J38" i="17"/>
  <c r="J37" i="17"/>
  <c r="AL37" i="17"/>
  <c r="AL39" i="17"/>
  <c r="AL38" i="17"/>
  <c r="AM37" i="17"/>
  <c r="U34" i="17"/>
  <c r="U35" i="17" s="1"/>
  <c r="H36" i="17"/>
  <c r="H38" i="17" s="1"/>
  <c r="C36" i="17"/>
  <c r="AM39" i="17"/>
  <c r="Q34" i="17"/>
  <c r="Q35" i="17" s="1"/>
  <c r="AK37" i="17"/>
  <c r="E36" i="17"/>
  <c r="X36" i="17"/>
  <c r="X37" i="17" s="1"/>
  <c r="AK38" i="17"/>
  <c r="AM139" i="13"/>
  <c r="Z139" i="13"/>
  <c r="AQ203" i="13"/>
  <c r="AQ204" i="13" s="1"/>
  <c r="AQ237" i="13" s="1"/>
  <c r="AY203" i="13"/>
  <c r="AY204" i="13" s="1"/>
  <c r="AY237" i="13" s="1"/>
  <c r="AU203" i="13"/>
  <c r="AU204" i="13" s="1"/>
  <c r="AU237" i="13" s="1"/>
  <c r="AL203" i="13"/>
  <c r="AL204" i="13" s="1"/>
  <c r="AL237" i="13" s="1"/>
  <c r="AZ203" i="13"/>
  <c r="AZ204" i="13" s="1"/>
  <c r="BI203" i="13"/>
  <c r="BI204" i="13" s="1"/>
  <c r="BI237" i="13" s="1"/>
  <c r="Y124" i="13"/>
  <c r="Y126" i="13"/>
  <c r="Y234" i="13" s="1"/>
  <c r="BJ203" i="13"/>
  <c r="BJ204" i="13" s="1"/>
  <c r="AK235" i="13"/>
  <c r="AE203" i="13"/>
  <c r="AE204" i="13" s="1"/>
  <c r="Y203" i="13"/>
  <c r="Y204" i="13" s="1"/>
  <c r="AC203" i="13"/>
  <c r="AC204" i="13" s="1"/>
  <c r="AC237" i="13" s="1"/>
  <c r="BC139" i="13"/>
  <c r="AA139" i="13"/>
  <c r="BH203" i="13"/>
  <c r="BH204" i="13" s="1"/>
  <c r="AG139" i="13"/>
  <c r="AI139" i="13"/>
  <c r="AE139" i="13"/>
  <c r="BI139" i="13"/>
  <c r="BF235" i="13"/>
  <c r="AC139" i="13"/>
  <c r="AD139" i="13"/>
  <c r="BE126" i="13"/>
  <c r="AA124" i="13"/>
  <c r="AA126" i="13"/>
  <c r="AA234" i="13" s="1"/>
  <c r="AM124" i="13"/>
  <c r="AM126" i="13"/>
  <c r="AM234" i="13" s="1"/>
  <c r="AG203" i="13"/>
  <c r="AG204" i="13" s="1"/>
  <c r="AG237" i="13" s="1"/>
  <c r="AJ139" i="13"/>
  <c r="BE139" i="13"/>
  <c r="AJ203" i="13"/>
  <c r="AJ204" i="13" s="1"/>
  <c r="AJ237" i="13" s="1"/>
  <c r="BB203" i="13"/>
  <c r="BB204" i="13" s="1"/>
  <c r="BB237" i="13" s="1"/>
  <c r="BF203" i="13"/>
  <c r="BF204" i="13" s="1"/>
  <c r="BF237" i="13" s="1"/>
  <c r="AB139" i="13"/>
  <c r="AX235" i="13"/>
  <c r="AD124" i="13"/>
  <c r="AD126" i="13"/>
  <c r="AD234" i="13" s="1"/>
  <c r="AY139" i="13"/>
  <c r="AX124" i="13"/>
  <c r="AX126" i="13"/>
  <c r="AX234" i="13" s="1"/>
  <c r="BG203" i="13"/>
  <c r="BG204" i="13" s="1"/>
  <c r="AV203" i="13"/>
  <c r="AV204" i="13" s="1"/>
  <c r="BC126" i="13"/>
  <c r="AF139" i="13"/>
  <c r="AT124" i="13"/>
  <c r="AT126" i="13"/>
  <c r="AT234" i="13" s="1"/>
  <c r="AF203" i="13"/>
  <c r="AF204" i="13" s="1"/>
  <c r="AF237" i="13" s="1"/>
  <c r="BC203" i="13"/>
  <c r="BC204" i="13" s="1"/>
  <c r="BC237" i="13" s="1"/>
  <c r="BA203" i="13"/>
  <c r="BA204" i="13" s="1"/>
  <c r="BA237" i="13" s="1"/>
  <c r="BD139" i="13"/>
  <c r="AR127" i="13"/>
  <c r="AR203" i="13"/>
  <c r="AR204" i="13" s="1"/>
  <c r="AK203" i="13"/>
  <c r="AK204" i="13" s="1"/>
  <c r="AK237" i="13" s="1"/>
  <c r="AP139" i="13"/>
  <c r="AF126" i="13"/>
  <c r="K73" i="5"/>
  <c r="AN126" i="13"/>
  <c r="AN234" i="13" s="1"/>
  <c r="S73" i="5"/>
  <c r="AO126" i="13"/>
  <c r="T73" i="5"/>
  <c r="AJ126" i="13"/>
  <c r="O73" i="5"/>
  <c r="BH126" i="13"/>
  <c r="AM73" i="5"/>
  <c r="X24" i="17"/>
  <c r="X25" i="17" s="1"/>
  <c r="X8" i="4" s="1"/>
  <c r="X15" i="3" s="1"/>
  <c r="Z24" i="17"/>
  <c r="Z25" i="17" s="1"/>
  <c r="Z8" i="4" s="1"/>
  <c r="Z15" i="3" s="1"/>
  <c r="U24" i="17"/>
  <c r="U25" i="17" s="1"/>
  <c r="U8" i="4" s="1"/>
  <c r="U15" i="3" s="1"/>
  <c r="M38" i="17"/>
  <c r="K38" i="17"/>
  <c r="K24" i="17"/>
  <c r="K25" i="17" s="1"/>
  <c r="K8" i="4" s="1"/>
  <c r="K15" i="3" s="1"/>
  <c r="M24" i="17"/>
  <c r="M25" i="17" s="1"/>
  <c r="M8" i="4" s="1"/>
  <c r="M15" i="3" s="1"/>
  <c r="AC24" i="17"/>
  <c r="AC25" i="17" s="1"/>
  <c r="AC8" i="4" s="1"/>
  <c r="AC15" i="3" s="1"/>
  <c r="O39" i="17"/>
  <c r="O38" i="17"/>
  <c r="K37" i="17"/>
  <c r="W38" i="17"/>
  <c r="T38" i="17"/>
  <c r="T39" i="17"/>
  <c r="W39" i="17"/>
  <c r="AF38" i="17"/>
  <c r="AF39" i="17"/>
  <c r="AN24" i="17"/>
  <c r="AN25" i="17" s="1"/>
  <c r="AN8" i="4" s="1"/>
  <c r="AN15" i="3" s="1"/>
  <c r="AM24" i="17"/>
  <c r="AM25" i="17" s="1"/>
  <c r="AM8" i="4" s="1"/>
  <c r="AM15" i="3" s="1"/>
  <c r="T24" i="17"/>
  <c r="T25" i="17" s="1"/>
  <c r="T8" i="4" s="1"/>
  <c r="T15" i="3" s="1"/>
  <c r="AE24" i="17"/>
  <c r="AE25" i="17" s="1"/>
  <c r="AE8" i="4" s="1"/>
  <c r="AE15" i="3" s="1"/>
  <c r="AA38" i="17"/>
  <c r="M37" i="17"/>
  <c r="AB38" i="17"/>
  <c r="AB37" i="17"/>
  <c r="AA37" i="17"/>
  <c r="G37" i="17"/>
  <c r="G38" i="17"/>
  <c r="G39" i="17"/>
  <c r="P24" i="17"/>
  <c r="P25" i="17" s="1"/>
  <c r="P8" i="4" s="1"/>
  <c r="P15" i="3" s="1"/>
  <c r="AL24" i="17"/>
  <c r="AL25" i="17" s="1"/>
  <c r="AL8" i="4" s="1"/>
  <c r="AL15" i="3" s="1"/>
  <c r="AJ24" i="17"/>
  <c r="AJ25" i="17" s="1"/>
  <c r="AJ8" i="4" s="1"/>
  <c r="AJ15" i="3" s="1"/>
  <c r="J24" i="17"/>
  <c r="J25" i="17" s="1"/>
  <c r="J8" i="4" s="1"/>
  <c r="J15" i="3" s="1"/>
  <c r="H24" i="17"/>
  <c r="H25" i="17" s="1"/>
  <c r="H8" i="4" s="1"/>
  <c r="H15" i="3" s="1"/>
  <c r="AB24" i="17"/>
  <c r="AB25" i="17" s="1"/>
  <c r="AB8" i="4" s="1"/>
  <c r="AB15" i="3" s="1"/>
  <c r="S24" i="17"/>
  <c r="S25" i="17" s="1"/>
  <c r="S8" i="4" s="1"/>
  <c r="S15" i="3" s="1"/>
  <c r="F38" i="17"/>
  <c r="F37" i="17"/>
  <c r="F39" i="17"/>
  <c r="Y24" i="17"/>
  <c r="Y25" i="17" s="1"/>
  <c r="Y8" i="4" s="1"/>
  <c r="Y15" i="3" s="1"/>
  <c r="O24" i="17"/>
  <c r="O25" i="17" s="1"/>
  <c r="O8" i="4" s="1"/>
  <c r="O15" i="3" s="1"/>
  <c r="AH24" i="17"/>
  <c r="AH25" i="17" s="1"/>
  <c r="AH8" i="4" s="1"/>
  <c r="AH15" i="3" s="1"/>
  <c r="AI38" i="17"/>
  <c r="AI37" i="17"/>
  <c r="AI39" i="17"/>
  <c r="AA24" i="17"/>
  <c r="AA25" i="17" s="1"/>
  <c r="AA8" i="4" s="1"/>
  <c r="AA15" i="3" s="1"/>
  <c r="AI24" i="17"/>
  <c r="AI25" i="17" s="1"/>
  <c r="AI8" i="4" s="1"/>
  <c r="AI15" i="3" s="1"/>
  <c r="U37" i="17"/>
  <c r="U38" i="17"/>
  <c r="U39" i="17"/>
  <c r="E24" i="17"/>
  <c r="E25" i="17" s="1"/>
  <c r="E8" i="4" s="1"/>
  <c r="E15" i="3" s="1"/>
  <c r="V24" i="17"/>
  <c r="V25" i="17" s="1"/>
  <c r="V8" i="4" s="1"/>
  <c r="V15" i="3" s="1"/>
  <c r="AD24" i="17"/>
  <c r="AD25" i="17" s="1"/>
  <c r="AD8" i="4" s="1"/>
  <c r="AD15" i="3" s="1"/>
  <c r="V39" i="17"/>
  <c r="V37" i="17"/>
  <c r="V38" i="17"/>
  <c r="Y38" i="17"/>
  <c r="Y37" i="17"/>
  <c r="Y39" i="17"/>
  <c r="AE37" i="17"/>
  <c r="AE39" i="17"/>
  <c r="AE38" i="17"/>
  <c r="Z39" i="17"/>
  <c r="Z37" i="17"/>
  <c r="Z38" i="17"/>
  <c r="N39" i="17"/>
  <c r="N37" i="17"/>
  <c r="N38" i="17"/>
  <c r="F24" i="17"/>
  <c r="F25" i="17" s="1"/>
  <c r="F8" i="4" s="1"/>
  <c r="F15" i="3" s="1"/>
  <c r="W24" i="17"/>
  <c r="W25" i="17" s="1"/>
  <c r="W8" i="4" s="1"/>
  <c r="W15" i="3" s="1"/>
  <c r="AG24" i="17"/>
  <c r="AG25" i="17" s="1"/>
  <c r="AG8" i="4" s="1"/>
  <c r="AG15" i="3" s="1"/>
  <c r="I37" i="17"/>
  <c r="I38" i="17"/>
  <c r="I39" i="17"/>
  <c r="N24" i="17"/>
  <c r="N25" i="17" s="1"/>
  <c r="N8" i="4" s="1"/>
  <c r="N15" i="3" s="1"/>
  <c r="AK24" i="17"/>
  <c r="AK25" i="17" s="1"/>
  <c r="AK8" i="4" s="1"/>
  <c r="AK15" i="3" s="1"/>
  <c r="G24" i="17"/>
  <c r="G25" i="17" s="1"/>
  <c r="G8" i="4" s="1"/>
  <c r="G15" i="3" s="1"/>
  <c r="C24" i="17"/>
  <c r="C25" i="17" s="1"/>
  <c r="C8" i="4" s="1"/>
  <c r="C15" i="3" s="1"/>
  <c r="I24" i="17"/>
  <c r="I25" i="17" s="1"/>
  <c r="I8" i="4" s="1"/>
  <c r="I15" i="3" s="1"/>
  <c r="Q24" i="17"/>
  <c r="Q25" i="17" s="1"/>
  <c r="Q8" i="4" s="1"/>
  <c r="Q15" i="3" s="1"/>
  <c r="D24" i="17"/>
  <c r="D25" i="17" s="1"/>
  <c r="D8" i="4" s="1"/>
  <c r="D15" i="3" s="1"/>
  <c r="AF24" i="17"/>
  <c r="AF25" i="17" s="1"/>
  <c r="AF8" i="4" s="1"/>
  <c r="AF15" i="3" s="1"/>
  <c r="Q37" i="17"/>
  <c r="Q38" i="17"/>
  <c r="Q39" i="17"/>
  <c r="AH39" i="17"/>
  <c r="AH38" i="17"/>
  <c r="AH37" i="17"/>
  <c r="AG90" i="20"/>
  <c r="AH42" i="21" s="1"/>
  <c r="AH60" i="21" s="1"/>
  <c r="AG92" i="20"/>
  <c r="G90" i="20"/>
  <c r="H42" i="21" s="1"/>
  <c r="H60" i="21" s="1"/>
  <c r="G92" i="20"/>
  <c r="U90" i="20"/>
  <c r="V41" i="21" s="1"/>
  <c r="U92" i="20"/>
  <c r="J92" i="20"/>
  <c r="J90" i="20"/>
  <c r="K42" i="21" s="1"/>
  <c r="K60" i="21" s="1"/>
  <c r="D92" i="20"/>
  <c r="D90" i="20"/>
  <c r="E41" i="21" s="1"/>
  <c r="AL90" i="20"/>
  <c r="AM41" i="21" s="1"/>
  <c r="AL96" i="20"/>
  <c r="P92" i="20"/>
  <c r="P90" i="20"/>
  <c r="Q42" i="21" s="1"/>
  <c r="Q60" i="21" s="1"/>
  <c r="Y90" i="20"/>
  <c r="Z42" i="21" s="1"/>
  <c r="Z60" i="21" s="1"/>
  <c r="Y92" i="20"/>
  <c r="AN92" i="20"/>
  <c r="AN90" i="20"/>
  <c r="AO41" i="21" s="1"/>
  <c r="Q92" i="20"/>
  <c r="Q90" i="20"/>
  <c r="R41" i="21" s="1"/>
  <c r="I92" i="20"/>
  <c r="I90" i="20"/>
  <c r="J42" i="21" s="1"/>
  <c r="J60" i="21" s="1"/>
  <c r="AM90" i="20"/>
  <c r="AN41" i="21" s="1"/>
  <c r="AM64" i="20"/>
  <c r="V90" i="20"/>
  <c r="W42" i="21" s="1"/>
  <c r="W60" i="21" s="1"/>
  <c r="V64" i="20"/>
  <c r="F90" i="20"/>
  <c r="G42" i="21" s="1"/>
  <c r="G60" i="21" s="1"/>
  <c r="F64" i="20"/>
  <c r="AE92" i="20"/>
  <c r="AE90" i="20"/>
  <c r="AF42" i="21" s="1"/>
  <c r="AF60" i="21" s="1"/>
  <c r="C92" i="20"/>
  <c r="C90" i="20"/>
  <c r="D41" i="21" s="1"/>
  <c r="AH92" i="20"/>
  <c r="AH90" i="20"/>
  <c r="AI42" i="21" s="1"/>
  <c r="AI60" i="21" s="1"/>
  <c r="AI90" i="20"/>
  <c r="AJ42" i="21" s="1"/>
  <c r="AJ60" i="21" s="1"/>
  <c r="AI92" i="20"/>
  <c r="K90" i="20"/>
  <c r="L41" i="21" s="1"/>
  <c r="K92" i="20"/>
  <c r="W92" i="20"/>
  <c r="W90" i="20"/>
  <c r="X41" i="21" s="1"/>
  <c r="N90" i="20"/>
  <c r="O42" i="21" s="1"/>
  <c r="O60" i="21" s="1"/>
  <c r="N92" i="20"/>
  <c r="H90" i="20"/>
  <c r="I42" i="21" s="1"/>
  <c r="I60" i="21" s="1"/>
  <c r="H92" i="20"/>
  <c r="O90" i="20"/>
  <c r="P42" i="21" s="1"/>
  <c r="P60" i="21" s="1"/>
  <c r="O92" i="20"/>
  <c r="AJ90" i="20"/>
  <c r="AK42" i="21" s="1"/>
  <c r="AK60" i="21" s="1"/>
  <c r="AJ64" i="20"/>
  <c r="Z90" i="20"/>
  <c r="AA42" i="21" s="1"/>
  <c r="AA60" i="21" s="1"/>
  <c r="Z92" i="20"/>
  <c r="AE82" i="20"/>
  <c r="AE43" i="20" s="1"/>
  <c r="I82" i="20"/>
  <c r="I41" i="20" s="1"/>
  <c r="V82" i="20"/>
  <c r="V43" i="20" s="1"/>
  <c r="E82" i="20"/>
  <c r="E42" i="20" s="1"/>
  <c r="Y82" i="20"/>
  <c r="Y45" i="20" s="1"/>
  <c r="AA82" i="20"/>
  <c r="AA40" i="20" s="1"/>
  <c r="Q82" i="20"/>
  <c r="Q43" i="20" s="1"/>
  <c r="J82" i="20"/>
  <c r="J44" i="20" s="1"/>
  <c r="K82" i="20"/>
  <c r="K45" i="20" s="1"/>
  <c r="AG82" i="20"/>
  <c r="AG85" i="20" s="1"/>
  <c r="AF82" i="20"/>
  <c r="AF43" i="20" s="1"/>
  <c r="C82" i="20"/>
  <c r="C42" i="20" s="1"/>
  <c r="Z82" i="20"/>
  <c r="Z44" i="20" s="1"/>
  <c r="AB82" i="20"/>
  <c r="AB42" i="20" s="1"/>
  <c r="G82" i="20"/>
  <c r="G43" i="20" s="1"/>
  <c r="AD82" i="20"/>
  <c r="AD45" i="20" s="1"/>
  <c r="X82" i="20"/>
  <c r="X40" i="20" s="1"/>
  <c r="F82" i="20"/>
  <c r="F44" i="20" s="1"/>
  <c r="AN82" i="20"/>
  <c r="AN44" i="20" s="1"/>
  <c r="P82" i="20"/>
  <c r="P44" i="20" s="1"/>
  <c r="AH82" i="20"/>
  <c r="AH45" i="20" s="1"/>
  <c r="AI82" i="20"/>
  <c r="AI45" i="20" s="1"/>
  <c r="H82" i="20"/>
  <c r="H42" i="20" s="1"/>
  <c r="U82" i="20"/>
  <c r="U41" i="20" s="1"/>
  <c r="M82" i="20"/>
  <c r="M42" i="20" s="1"/>
  <c r="AJ82" i="20"/>
  <c r="AJ44" i="20" s="1"/>
  <c r="W82" i="20"/>
  <c r="W41" i="20" s="1"/>
  <c r="S82" i="20"/>
  <c r="S83" i="20" s="1"/>
  <c r="R82" i="20"/>
  <c r="R45" i="20" s="1"/>
  <c r="AK82" i="20"/>
  <c r="AK45" i="20" s="1"/>
  <c r="AM82" i="20"/>
  <c r="AM44" i="20" s="1"/>
  <c r="N82" i="20"/>
  <c r="N42" i="20" s="1"/>
  <c r="AL82" i="20"/>
  <c r="AL40" i="20" s="1"/>
  <c r="L82" i="20"/>
  <c r="L41" i="20" s="1"/>
  <c r="O82" i="20"/>
  <c r="O43" i="20" s="1"/>
  <c r="AC82" i="20"/>
  <c r="AC44" i="20" s="1"/>
  <c r="D82" i="20"/>
  <c r="D83" i="20" s="1"/>
  <c r="T64" i="20"/>
  <c r="U48" i="21"/>
  <c r="U51" i="21" s="1"/>
  <c r="U66" i="21" s="1"/>
  <c r="T96" i="20"/>
  <c r="M52" i="21"/>
  <c r="M53" i="21" s="1"/>
  <c r="U41" i="21"/>
  <c r="U42" i="21"/>
  <c r="U60" i="21" s="1"/>
  <c r="F96" i="5"/>
  <c r="AK96" i="5"/>
  <c r="AC96" i="5"/>
  <c r="P96" i="5"/>
  <c r="AM52" i="21"/>
  <c r="AM53" i="21" s="1"/>
  <c r="AD52" i="21"/>
  <c r="AD53" i="21" s="1"/>
  <c r="AI52" i="21"/>
  <c r="AI53" i="21" s="1"/>
  <c r="AO52" i="21"/>
  <c r="AO53" i="21" s="1"/>
  <c r="P52" i="21"/>
  <c r="P53" i="21" s="1"/>
  <c r="O52" i="21"/>
  <c r="O53" i="21" s="1"/>
  <c r="AN52" i="21"/>
  <c r="AN53" i="21" s="1"/>
  <c r="K52" i="21"/>
  <c r="K53" i="21" s="1"/>
  <c r="AA52" i="21"/>
  <c r="AA53" i="21" s="1"/>
  <c r="AC52" i="21"/>
  <c r="AC53" i="21" s="1"/>
  <c r="D52" i="21"/>
  <c r="D53" i="21" s="1"/>
  <c r="AG52" i="21"/>
  <c r="AG53" i="21" s="1"/>
  <c r="Q52" i="21"/>
  <c r="Q53" i="21" s="1"/>
  <c r="F52" i="21"/>
  <c r="F53" i="21" s="1"/>
  <c r="W52" i="21"/>
  <c r="W53" i="21" s="1"/>
  <c r="L52" i="21"/>
  <c r="L53" i="21" s="1"/>
  <c r="E52" i="21"/>
  <c r="E53" i="21" s="1"/>
  <c r="T52" i="21"/>
  <c r="T53" i="21" s="1"/>
  <c r="AI16" i="14"/>
  <c r="AI17" i="14"/>
  <c r="AI18" i="14"/>
  <c r="N16" i="14"/>
  <c r="N17" i="14"/>
  <c r="N18" i="14"/>
  <c r="AF18" i="14"/>
  <c r="AF16" i="14"/>
  <c r="AF17" i="14"/>
  <c r="AG16" i="14"/>
  <c r="AG17" i="14"/>
  <c r="AG18" i="14"/>
  <c r="Y18" i="14"/>
  <c r="Y16" i="14"/>
  <c r="Y17" i="14"/>
  <c r="AJ52" i="21"/>
  <c r="AJ53" i="21" s="1"/>
  <c r="H52" i="21"/>
  <c r="H53" i="21" s="1"/>
  <c r="I52" i="21"/>
  <c r="I53" i="21" s="1"/>
  <c r="H18" i="14"/>
  <c r="H17" i="14"/>
  <c r="H16" i="14"/>
  <c r="AB16" i="14"/>
  <c r="AB17" i="14"/>
  <c r="AB18" i="14"/>
  <c r="AM17" i="14"/>
  <c r="AM16" i="14"/>
  <c r="AM18" i="14"/>
  <c r="X52" i="21"/>
  <c r="X53" i="21" s="1"/>
  <c r="G18" i="14"/>
  <c r="G17" i="14"/>
  <c r="G16" i="14"/>
  <c r="AD17" i="14"/>
  <c r="AD18" i="14"/>
  <c r="AD16" i="14"/>
  <c r="P17" i="14"/>
  <c r="P16" i="14"/>
  <c r="P18" i="14"/>
  <c r="K18" i="14"/>
  <c r="K17" i="14"/>
  <c r="K16" i="14"/>
  <c r="J16" i="14"/>
  <c r="J17" i="14"/>
  <c r="J18" i="14"/>
  <c r="O16" i="14"/>
  <c r="O18" i="14"/>
  <c r="O17" i="14"/>
  <c r="AH67" i="21"/>
  <c r="AH52" i="21"/>
  <c r="AH53" i="21" s="1"/>
  <c r="AE17" i="14"/>
  <c r="AE16" i="14"/>
  <c r="AE18" i="14"/>
  <c r="F16" i="14"/>
  <c r="F18" i="14"/>
  <c r="F17" i="14"/>
  <c r="AK52" i="21"/>
  <c r="AK53" i="21" s="1"/>
  <c r="S17" i="14"/>
  <c r="S18" i="14"/>
  <c r="S16" i="14"/>
  <c r="R52" i="21"/>
  <c r="R53" i="21" s="1"/>
  <c r="I18" i="14"/>
  <c r="I17" i="14"/>
  <c r="I16" i="14"/>
  <c r="S61" i="21"/>
  <c r="S45" i="21"/>
  <c r="V16" i="14"/>
  <c r="V17" i="14"/>
  <c r="V18" i="14"/>
  <c r="E18" i="14"/>
  <c r="E16" i="14"/>
  <c r="E17" i="14"/>
  <c r="AJ18" i="14"/>
  <c r="AJ16" i="14"/>
  <c r="AJ17" i="14"/>
  <c r="U17" i="14"/>
  <c r="U16" i="14"/>
  <c r="U18" i="14"/>
  <c r="AN17" i="14"/>
  <c r="AN16" i="14"/>
  <c r="AN18" i="14"/>
  <c r="AO96" i="5"/>
  <c r="M17" i="14"/>
  <c r="M18" i="14"/>
  <c r="M16" i="14"/>
  <c r="Y67" i="21"/>
  <c r="Y52" i="21"/>
  <c r="Y53" i="21" s="1"/>
  <c r="J52" i="21"/>
  <c r="J53" i="21" s="1"/>
  <c r="AK16" i="14"/>
  <c r="AK18" i="14"/>
  <c r="AK17" i="14"/>
  <c r="Z52" i="21"/>
  <c r="Z53" i="21" s="1"/>
  <c r="AB52" i="21"/>
  <c r="AB53" i="21" s="1"/>
  <c r="X17" i="14"/>
  <c r="X18" i="14"/>
  <c r="X16" i="14"/>
  <c r="Z16" i="14"/>
  <c r="Z18" i="14"/>
  <c r="Z17" i="14"/>
  <c r="AC16" i="14"/>
  <c r="AC18" i="14"/>
  <c r="AC17" i="14"/>
  <c r="AA18" i="14"/>
  <c r="AA17" i="14"/>
  <c r="AA16" i="14"/>
  <c r="AH16" i="14"/>
  <c r="AH17" i="14"/>
  <c r="AH18" i="14"/>
  <c r="AL52" i="21"/>
  <c r="AL53" i="21" s="1"/>
  <c r="M61" i="21"/>
  <c r="M45" i="21"/>
  <c r="AF52" i="21"/>
  <c r="AF53" i="21" s="1"/>
  <c r="AE52" i="21"/>
  <c r="AE53" i="21" s="1"/>
  <c r="V52" i="21"/>
  <c r="V53" i="21" s="1"/>
  <c r="N52" i="21"/>
  <c r="N53" i="21" s="1"/>
  <c r="C16" i="14"/>
  <c r="C18" i="14"/>
  <c r="C17" i="14"/>
  <c r="G52" i="21"/>
  <c r="G53" i="21" s="1"/>
  <c r="AL17" i="14"/>
  <c r="AL18" i="14"/>
  <c r="AL16" i="14"/>
  <c r="W17" i="14"/>
  <c r="W16" i="14"/>
  <c r="W18" i="14"/>
  <c r="D18" i="14"/>
  <c r="D16" i="14"/>
  <c r="D17" i="14"/>
  <c r="Q18" i="14"/>
  <c r="Q16" i="14"/>
  <c r="Q17" i="14"/>
  <c r="EI149" i="2"/>
  <c r="CX149" i="2"/>
  <c r="DA149" i="2"/>
  <c r="EH149" i="2"/>
  <c r="DE149" i="2"/>
  <c r="CQ149" i="2"/>
  <c r="DQ149" i="2"/>
  <c r="DZ149" i="2"/>
  <c r="AY149" i="2"/>
  <c r="BX149" i="2"/>
  <c r="DW149" i="2"/>
  <c r="DN149" i="2"/>
  <c r="DG149" i="2"/>
  <c r="BO149" i="2"/>
  <c r="CF149" i="2"/>
  <c r="EF149" i="2"/>
  <c r="DU149" i="2"/>
  <c r="EE149" i="2"/>
  <c r="BN149" i="2"/>
  <c r="CH149" i="2"/>
  <c r="CN149" i="2"/>
  <c r="EK149" i="2"/>
  <c r="CL149" i="2"/>
  <c r="AU149" i="2"/>
  <c r="CV149" i="2"/>
  <c r="BB149" i="2"/>
  <c r="BD149" i="2"/>
  <c r="BU149" i="2"/>
  <c r="DB149" i="2"/>
  <c r="DK149" i="2"/>
  <c r="DT149" i="2"/>
  <c r="BI149" i="2"/>
  <c r="BR149" i="2"/>
  <c r="BL149" i="2"/>
  <c r="CC149" i="2"/>
  <c r="T16" i="14"/>
  <c r="T17" i="14"/>
  <c r="T18" i="14"/>
  <c r="BG145" i="2"/>
  <c r="EJ145" i="2"/>
  <c r="EC145" i="2"/>
  <c r="BU145" i="2"/>
  <c r="BF145" i="2"/>
  <c r="BH145" i="2"/>
  <c r="BI145" i="2"/>
  <c r="EK145" i="2"/>
  <c r="BP145" i="2"/>
  <c r="CJ145" i="2"/>
  <c r="CT145" i="2"/>
  <c r="BZ145" i="2"/>
  <c r="DI145" i="2"/>
  <c r="AX145" i="2"/>
  <c r="DS145" i="2"/>
  <c r="CV145" i="2"/>
  <c r="CW145" i="2"/>
  <c r="CX145" i="2"/>
  <c r="CY145" i="2"/>
  <c r="DZ145" i="2"/>
  <c r="EA145" i="2"/>
  <c r="DD145" i="2"/>
  <c r="DE145" i="2"/>
  <c r="DF145" i="2"/>
  <c r="DG145" i="2"/>
  <c r="AY145" i="2"/>
  <c r="AQ145" i="2"/>
  <c r="EI145" i="2"/>
  <c r="DN145" i="2"/>
  <c r="AV145" i="2"/>
  <c r="DJ148" i="2"/>
  <c r="CU148" i="2"/>
  <c r="DD148" i="2"/>
  <c r="CO148" i="2"/>
  <c r="DF148" i="2"/>
  <c r="CI148" i="2"/>
  <c r="CZ148" i="2"/>
  <c r="DR148" i="2"/>
  <c r="DC148" i="2"/>
  <c r="CW148" i="2"/>
  <c r="DN148" i="2"/>
  <c r="CY148" i="2"/>
  <c r="DH148" i="2"/>
  <c r="CG148" i="2"/>
  <c r="EG148" i="2"/>
  <c r="DV148" i="2"/>
  <c r="DX148" i="2"/>
  <c r="EH148" i="2"/>
  <c r="EA148" i="2"/>
  <c r="EJ148" i="2"/>
  <c r="ED148" i="2"/>
  <c r="CR148" i="2"/>
  <c r="BE148" i="2"/>
  <c r="BA148" i="2"/>
  <c r="BM148" i="2"/>
  <c r="AX148" i="2"/>
  <c r="BQ148" i="2"/>
  <c r="BC148" i="2"/>
  <c r="CM148" i="2"/>
  <c r="BU148" i="2"/>
  <c r="CE148" i="2"/>
  <c r="BH148" i="2"/>
  <c r="BY148" i="2"/>
  <c r="AT148" i="2"/>
  <c r="CB148" i="2"/>
  <c r="CK148" i="2"/>
  <c r="T81" i="20"/>
  <c r="L97" i="12" l="1"/>
  <c r="L103" i="12" s="1"/>
  <c r="L95" i="12"/>
  <c r="L101" i="12" s="1"/>
  <c r="R97" i="12"/>
  <c r="R103" i="12" s="1"/>
  <c r="R95" i="12"/>
  <c r="R101" i="12" s="1"/>
  <c r="R94" i="12"/>
  <c r="L96" i="12"/>
  <c r="L102" i="12" s="1"/>
  <c r="R96" i="12"/>
  <c r="R102" i="12" s="1"/>
  <c r="L94" i="12"/>
  <c r="AE77" i="12"/>
  <c r="AE78" i="12" s="1"/>
  <c r="M37" i="5"/>
  <c r="AB96" i="20"/>
  <c r="AK26" i="5"/>
  <c r="AK30" i="5" s="1"/>
  <c r="X96" i="20"/>
  <c r="H26" i="5"/>
  <c r="H30" i="5" s="1"/>
  <c r="P36" i="5"/>
  <c r="AJ52" i="5"/>
  <c r="AC92" i="20"/>
  <c r="O26" i="5"/>
  <c r="O30" i="5" s="1"/>
  <c r="AB90" i="20"/>
  <c r="AC41" i="21" s="1"/>
  <c r="AC44" i="21" s="1"/>
  <c r="AC62" i="21" s="1"/>
  <c r="O51" i="5"/>
  <c r="L26" i="5"/>
  <c r="L30" i="5" s="1"/>
  <c r="G96" i="5"/>
  <c r="N36" i="5"/>
  <c r="E26" i="5"/>
  <c r="E30" i="5" s="1"/>
  <c r="AK64" i="20"/>
  <c r="V26" i="5"/>
  <c r="V30" i="5" s="1"/>
  <c r="AO36" i="5"/>
  <c r="AB64" i="20"/>
  <c r="AB92" i="20"/>
  <c r="S92" i="20"/>
  <c r="R96" i="5"/>
  <c r="X64" i="20"/>
  <c r="X90" i="20"/>
  <c r="Y41" i="21" s="1"/>
  <c r="Y43" i="21" s="1"/>
  <c r="Y61" i="21" s="1"/>
  <c r="Y26" i="5"/>
  <c r="Y30" i="5" s="1"/>
  <c r="R26" i="5"/>
  <c r="R30" i="5" s="1"/>
  <c r="AI96" i="5"/>
  <c r="AH36" i="5"/>
  <c r="AE52" i="5"/>
  <c r="AI26" i="5"/>
  <c r="AI30" i="5" s="1"/>
  <c r="Z96" i="5"/>
  <c r="AK90" i="20"/>
  <c r="AL41" i="21" s="1"/>
  <c r="AL44" i="21" s="1"/>
  <c r="AL62" i="21" s="1"/>
  <c r="N26" i="5"/>
  <c r="N30" i="5" s="1"/>
  <c r="AA51" i="5"/>
  <c r="X92" i="20"/>
  <c r="AK96" i="20"/>
  <c r="AO26" i="5"/>
  <c r="AO30" i="5" s="1"/>
  <c r="O43" i="5"/>
  <c r="O35" i="5" s="1"/>
  <c r="J96" i="5"/>
  <c r="W96" i="5"/>
  <c r="I26" i="5"/>
  <c r="I30" i="5" s="1"/>
  <c r="AL26" i="5"/>
  <c r="AL30" i="5" s="1"/>
  <c r="W26" i="5"/>
  <c r="W30" i="5" s="1"/>
  <c r="U26" i="5"/>
  <c r="U30" i="5" s="1"/>
  <c r="K96" i="5"/>
  <c r="T26" i="5"/>
  <c r="T30" i="5" s="1"/>
  <c r="K26" i="5"/>
  <c r="K30" i="5" s="1"/>
  <c r="AG35" i="5"/>
  <c r="AD96" i="5"/>
  <c r="AE26" i="5"/>
  <c r="AE30" i="5" s="1"/>
  <c r="F26" i="5"/>
  <c r="F30" i="5" s="1"/>
  <c r="AB26" i="5"/>
  <c r="AB30" i="5" s="1"/>
  <c r="J26" i="5"/>
  <c r="J30" i="5" s="1"/>
  <c r="Q52" i="5"/>
  <c r="AC26" i="5"/>
  <c r="AC30" i="5" s="1"/>
  <c r="AF26" i="5"/>
  <c r="AF30" i="5" s="1"/>
  <c r="Z26" i="5"/>
  <c r="Z30" i="5" s="1"/>
  <c r="S37" i="5"/>
  <c r="S38" i="5" s="1"/>
  <c r="E47" i="5"/>
  <c r="E35" i="5" s="1"/>
  <c r="M38" i="5"/>
  <c r="P26" i="5"/>
  <c r="P30" i="5" s="1"/>
  <c r="AA26" i="5"/>
  <c r="AA30" i="5" s="1"/>
  <c r="X26" i="5"/>
  <c r="X30" i="5" s="1"/>
  <c r="Q26" i="5"/>
  <c r="Q30" i="5" s="1"/>
  <c r="AJ26" i="5"/>
  <c r="AJ30" i="5" s="1"/>
  <c r="X43" i="5"/>
  <c r="AC34" i="5"/>
  <c r="AC41" i="5"/>
  <c r="AC49" i="5" s="1"/>
  <c r="AC53" i="5" s="1"/>
  <c r="AC54" i="5" s="1"/>
  <c r="Y41" i="5"/>
  <c r="Y45" i="5" s="1"/>
  <c r="Y46" i="5" s="1"/>
  <c r="Y84" i="5" s="1"/>
  <c r="AA96" i="20"/>
  <c r="G29" i="5"/>
  <c r="AF90" i="20"/>
  <c r="K43" i="5"/>
  <c r="AF96" i="20"/>
  <c r="O41" i="5"/>
  <c r="O45" i="5" s="1"/>
  <c r="AI43" i="5"/>
  <c r="F41" i="5"/>
  <c r="F45" i="5" s="1"/>
  <c r="AH41" i="5"/>
  <c r="AH45" i="5" s="1"/>
  <c r="X36" i="5"/>
  <c r="AG34" i="5"/>
  <c r="AG41" i="5"/>
  <c r="AG42" i="5" s="1"/>
  <c r="G43" i="5"/>
  <c r="AH29" i="5"/>
  <c r="AL43" i="5"/>
  <c r="X47" i="5"/>
  <c r="X51" i="5" s="1"/>
  <c r="U43" i="5"/>
  <c r="AI47" i="5"/>
  <c r="AI51" i="5" s="1"/>
  <c r="P43" i="5"/>
  <c r="AC90" i="20"/>
  <c r="AN29" i="5"/>
  <c r="AM41" i="5"/>
  <c r="AM49" i="5" s="1"/>
  <c r="N41" i="5"/>
  <c r="N45" i="5" s="1"/>
  <c r="K41" i="5"/>
  <c r="K45" i="5" s="1"/>
  <c r="S90" i="20"/>
  <c r="H43" i="5"/>
  <c r="R41" i="5"/>
  <c r="R45" i="5" s="1"/>
  <c r="R46" i="5" s="1"/>
  <c r="R84" i="5" s="1"/>
  <c r="AC35" i="5"/>
  <c r="AO35" i="5"/>
  <c r="V41" i="5"/>
  <c r="V45" i="5" s="1"/>
  <c r="AB47" i="5"/>
  <c r="AB51" i="5" s="1"/>
  <c r="AB43" i="5"/>
  <c r="AA92" i="20"/>
  <c r="T47" i="5"/>
  <c r="T51" i="5" s="1"/>
  <c r="AK43" i="5"/>
  <c r="AI41" i="5"/>
  <c r="AI45" i="5" s="1"/>
  <c r="Q36" i="5"/>
  <c r="Y47" i="5"/>
  <c r="Y51" i="5" s="1"/>
  <c r="I47" i="5"/>
  <c r="I51" i="5" s="1"/>
  <c r="Z43" i="5"/>
  <c r="T41" i="5"/>
  <c r="T45" i="5" s="1"/>
  <c r="D43" i="5"/>
  <c r="Q47" i="5"/>
  <c r="Q51" i="5" s="1"/>
  <c r="Q43" i="5"/>
  <c r="AG29" i="5"/>
  <c r="AL41" i="5"/>
  <c r="AL45" i="5" s="1"/>
  <c r="W41" i="5"/>
  <c r="W45" i="5" s="1"/>
  <c r="AJ41" i="5"/>
  <c r="AJ45" i="5" s="1"/>
  <c r="W43" i="5"/>
  <c r="AD29" i="5"/>
  <c r="AF34" i="5"/>
  <c r="AF41" i="5"/>
  <c r="AF45" i="5" s="1"/>
  <c r="D34" i="5"/>
  <c r="D41" i="5"/>
  <c r="D42" i="5" s="1"/>
  <c r="AD47" i="5"/>
  <c r="AD51" i="5" s="1"/>
  <c r="AD43" i="5"/>
  <c r="G41" i="5"/>
  <c r="G45" i="5" s="1"/>
  <c r="X34" i="5"/>
  <c r="X41" i="5"/>
  <c r="X45" i="5" s="1"/>
  <c r="AA90" i="20"/>
  <c r="AB41" i="21" s="1"/>
  <c r="AB43" i="21" s="1"/>
  <c r="AB61" i="21" s="1"/>
  <c r="AO34" i="5"/>
  <c r="AO41" i="5"/>
  <c r="AA41" i="5"/>
  <c r="AA45" i="5" s="1"/>
  <c r="AM43" i="5"/>
  <c r="I41" i="5"/>
  <c r="I45" i="5" s="1"/>
  <c r="I46" i="5" s="1"/>
  <c r="I84" i="5" s="1"/>
  <c r="AA34" i="5"/>
  <c r="Y34" i="5"/>
  <c r="I34" i="5"/>
  <c r="AK41" i="5"/>
  <c r="AK45" i="5" s="1"/>
  <c r="H41" i="5"/>
  <c r="H45" i="5" s="1"/>
  <c r="T43" i="5"/>
  <c r="M92" i="20"/>
  <c r="AD41" i="5"/>
  <c r="AD45" i="5" s="1"/>
  <c r="AD90" i="20"/>
  <c r="AA96" i="5"/>
  <c r="L96" i="5"/>
  <c r="L51" i="5"/>
  <c r="P41" i="5"/>
  <c r="P45" i="5" s="1"/>
  <c r="E41" i="5"/>
  <c r="E45" i="5" s="1"/>
  <c r="O34" i="5"/>
  <c r="AF36" i="5"/>
  <c r="H34" i="5"/>
  <c r="P34" i="5"/>
  <c r="F43" i="5"/>
  <c r="J43" i="5"/>
  <c r="AE41" i="5"/>
  <c r="AE45" i="5" s="1"/>
  <c r="Q41" i="5"/>
  <c r="Q45" i="5" s="1"/>
  <c r="AN47" i="5"/>
  <c r="AN51" i="5" s="1"/>
  <c r="AN43" i="5"/>
  <c r="AA43" i="5"/>
  <c r="D29" i="5"/>
  <c r="AD34" i="5"/>
  <c r="AM29" i="5"/>
  <c r="Z41" i="5"/>
  <c r="Z45" i="5" s="1"/>
  <c r="AA64" i="20"/>
  <c r="M90" i="20"/>
  <c r="E90" i="20"/>
  <c r="AF43" i="5"/>
  <c r="AB41" i="5"/>
  <c r="AB45" i="5" s="1"/>
  <c r="J34" i="5"/>
  <c r="J41" i="5"/>
  <c r="J45" i="5" s="1"/>
  <c r="AH43" i="5"/>
  <c r="E92" i="20"/>
  <c r="AD92" i="20"/>
  <c r="AB96" i="5"/>
  <c r="AJ43" i="5"/>
  <c r="AI34" i="5"/>
  <c r="R47" i="5"/>
  <c r="R51" i="5" s="1"/>
  <c r="H51" i="5"/>
  <c r="F34" i="5"/>
  <c r="AN41" i="5"/>
  <c r="AN45" i="5" s="1"/>
  <c r="L43" i="5"/>
  <c r="N43" i="5"/>
  <c r="L41" i="5"/>
  <c r="L45" i="5" s="1"/>
  <c r="AE43" i="5"/>
  <c r="V47" i="5"/>
  <c r="V51" i="5" s="1"/>
  <c r="U34" i="5"/>
  <c r="U41" i="5"/>
  <c r="U45" i="5" s="1"/>
  <c r="AK92" i="20"/>
  <c r="AL96" i="5"/>
  <c r="D96" i="5"/>
  <c r="AM96" i="5"/>
  <c r="AN96" i="5"/>
  <c r="O96" i="5"/>
  <c r="Y96" i="5"/>
  <c r="H96" i="5"/>
  <c r="I96" i="5"/>
  <c r="Q96" i="5"/>
  <c r="U96" i="5"/>
  <c r="V96" i="5"/>
  <c r="H83" i="5"/>
  <c r="AE83" i="5"/>
  <c r="AJ83" i="5"/>
  <c r="P83" i="5"/>
  <c r="AO83" i="5"/>
  <c r="Q83" i="5"/>
  <c r="N83" i="5"/>
  <c r="F83" i="5"/>
  <c r="AM83" i="5"/>
  <c r="J83" i="5"/>
  <c r="O83" i="5"/>
  <c r="AC83" i="5"/>
  <c r="X83" i="5"/>
  <c r="AH83" i="5"/>
  <c r="U83" i="5"/>
  <c r="K83" i="5"/>
  <c r="Y83" i="5"/>
  <c r="AL83" i="5"/>
  <c r="AB83" i="5"/>
  <c r="AI83" i="5"/>
  <c r="AK83" i="5"/>
  <c r="G83" i="5"/>
  <c r="AG83" i="5"/>
  <c r="Z83" i="5"/>
  <c r="T83" i="5"/>
  <c r="AD83" i="5"/>
  <c r="E83" i="5"/>
  <c r="AF83" i="5"/>
  <c r="R83" i="5"/>
  <c r="I83" i="5"/>
  <c r="W83" i="5"/>
  <c r="V83" i="5"/>
  <c r="AA83" i="5"/>
  <c r="L83" i="5"/>
  <c r="AN83" i="5"/>
  <c r="D83" i="5"/>
  <c r="AR219" i="13"/>
  <c r="BH236" i="13"/>
  <c r="AL76" i="12"/>
  <c r="AG76" i="12"/>
  <c r="O76" i="12"/>
  <c r="Y76" i="12"/>
  <c r="N76" i="12"/>
  <c r="C75" i="12"/>
  <c r="C76" i="12"/>
  <c r="AD75" i="12"/>
  <c r="AD76" i="12"/>
  <c r="AF76" i="12"/>
  <c r="X75" i="12"/>
  <c r="X76" i="12"/>
  <c r="AM76" i="12"/>
  <c r="L118" i="12"/>
  <c r="R118" i="12"/>
  <c r="AY127" i="13"/>
  <c r="AY234" i="13"/>
  <c r="AD76" i="5" s="1"/>
  <c r="AD78" i="5" s="1"/>
  <c r="AJ127" i="13"/>
  <c r="AJ234" i="13"/>
  <c r="O76" i="5" s="1"/>
  <c r="O78" i="5" s="1"/>
  <c r="BI127" i="13"/>
  <c r="BI234" i="13"/>
  <c r="AN76" i="5" s="1"/>
  <c r="AN78" i="5" s="1"/>
  <c r="BG127" i="13"/>
  <c r="BG234" i="13"/>
  <c r="AL76" i="5" s="1"/>
  <c r="AL78" i="5" s="1"/>
  <c r="AC234" i="13"/>
  <c r="H76" i="5" s="1"/>
  <c r="H78" i="5" s="1"/>
  <c r="AS127" i="13"/>
  <c r="AS234" i="13"/>
  <c r="X76" i="5" s="1"/>
  <c r="X78" i="5" s="1"/>
  <c r="AI234" i="13"/>
  <c r="N76" i="5" s="1"/>
  <c r="N78" i="5" s="1"/>
  <c r="AO127" i="13"/>
  <c r="AO234" i="13"/>
  <c r="T76" i="5" s="1"/>
  <c r="T78" i="5" s="1"/>
  <c r="BC234" i="13"/>
  <c r="AH76" i="5" s="1"/>
  <c r="AH78" i="5" s="1"/>
  <c r="AP127" i="13"/>
  <c r="AP234" i="13"/>
  <c r="U76" i="5" s="1"/>
  <c r="U78" i="5" s="1"/>
  <c r="BB127" i="13"/>
  <c r="BB234" i="13"/>
  <c r="AG76" i="5" s="1"/>
  <c r="AG78" i="5" s="1"/>
  <c r="BJ234" i="13"/>
  <c r="AO76" i="5" s="1"/>
  <c r="AO78" i="5" s="1"/>
  <c r="Z234" i="13"/>
  <c r="E76" i="5" s="1"/>
  <c r="E78" i="5" s="1"/>
  <c r="AE127" i="13"/>
  <c r="AE234" i="13"/>
  <c r="J76" i="5" s="1"/>
  <c r="J78" i="5" s="1"/>
  <c r="AL234" i="13"/>
  <c r="Q76" i="5" s="1"/>
  <c r="Q78" i="5" s="1"/>
  <c r="AV234" i="13"/>
  <c r="AA76" i="5" s="1"/>
  <c r="AA78" i="5" s="1"/>
  <c r="BH127" i="13"/>
  <c r="BH234" i="13"/>
  <c r="AM76" i="5" s="1"/>
  <c r="AM78" i="5" s="1"/>
  <c r="AF127" i="13"/>
  <c r="AF234" i="13"/>
  <c r="K76" i="5" s="1"/>
  <c r="K78" i="5" s="1"/>
  <c r="BE127" i="13"/>
  <c r="BE234" i="13"/>
  <c r="AJ76" i="5" s="1"/>
  <c r="AJ78" i="5" s="1"/>
  <c r="AQ234" i="13"/>
  <c r="V76" i="5" s="1"/>
  <c r="V78" i="5" s="1"/>
  <c r="BD127" i="13"/>
  <c r="BD234" i="13"/>
  <c r="AI76" i="5" s="1"/>
  <c r="AI78" i="5" s="1"/>
  <c r="AZ127" i="13"/>
  <c r="AZ234" i="13"/>
  <c r="AE76" i="5" s="1"/>
  <c r="AE78" i="5" s="1"/>
  <c r="AU127" i="13"/>
  <c r="AU234" i="13"/>
  <c r="Z76" i="5" s="1"/>
  <c r="Z78" i="5" s="1"/>
  <c r="BA127" i="13"/>
  <c r="BA234" i="13"/>
  <c r="AF76" i="5" s="1"/>
  <c r="AF78" i="5" s="1"/>
  <c r="L92" i="12"/>
  <c r="R92" i="12"/>
  <c r="AV127" i="13"/>
  <c r="BJ142" i="13"/>
  <c r="BJ236" i="13" s="1"/>
  <c r="AV142" i="13"/>
  <c r="AE58" i="12"/>
  <c r="AE62" i="12" s="1"/>
  <c r="H74" i="12"/>
  <c r="C121" i="12"/>
  <c r="G74" i="12"/>
  <c r="AN74" i="12"/>
  <c r="W74" i="12"/>
  <c r="K74" i="12"/>
  <c r="AM75" i="12"/>
  <c r="AF75" i="12"/>
  <c r="E74" i="12"/>
  <c r="Y121" i="12"/>
  <c r="N121" i="12"/>
  <c r="Z74" i="12"/>
  <c r="AG121" i="12"/>
  <c r="S74" i="12"/>
  <c r="AI74" i="12"/>
  <c r="F74" i="12"/>
  <c r="AL121" i="12"/>
  <c r="AA74" i="12"/>
  <c r="P74" i="12"/>
  <c r="T74" i="12"/>
  <c r="T76" i="12" s="1"/>
  <c r="V74" i="12"/>
  <c r="L52" i="12"/>
  <c r="L53" i="12" s="1"/>
  <c r="L6" i="4" s="1"/>
  <c r="L13" i="3" s="1"/>
  <c r="AF61" i="12"/>
  <c r="AF63" i="12" s="1"/>
  <c r="AF64" i="12" s="1"/>
  <c r="AF65" i="12" s="1"/>
  <c r="K44" i="12"/>
  <c r="U59" i="12"/>
  <c r="U60" i="12" s="1"/>
  <c r="U62" i="12"/>
  <c r="P58" i="12"/>
  <c r="V58" i="12"/>
  <c r="Y75" i="12"/>
  <c r="S45" i="12"/>
  <c r="V44" i="12"/>
  <c r="H59" i="12"/>
  <c r="H62" i="12"/>
  <c r="C59" i="12"/>
  <c r="C62" i="12"/>
  <c r="AH58" i="12"/>
  <c r="E45" i="12"/>
  <c r="U45" i="12"/>
  <c r="I58" i="12"/>
  <c r="C48" i="12"/>
  <c r="C46" i="12"/>
  <c r="C47" i="12" s="1"/>
  <c r="P45" i="12"/>
  <c r="Z58" i="12"/>
  <c r="T45" i="12"/>
  <c r="M121" i="12"/>
  <c r="M74" i="12"/>
  <c r="L64" i="12"/>
  <c r="L65" i="12" s="1"/>
  <c r="L66" i="12"/>
  <c r="AE49" i="12"/>
  <c r="AE51" i="12"/>
  <c r="AE50" i="12"/>
  <c r="AB59" i="12"/>
  <c r="AB60" i="12" s="1"/>
  <c r="AB62" i="12"/>
  <c r="AK121" i="12"/>
  <c r="AK74" i="12"/>
  <c r="AK45" i="12"/>
  <c r="AC121" i="12"/>
  <c r="AC74" i="12"/>
  <c r="AA59" i="12"/>
  <c r="AA60" i="12" s="1"/>
  <c r="AA62" i="12"/>
  <c r="I45" i="12"/>
  <c r="I121" i="12"/>
  <c r="I74" i="12"/>
  <c r="M44" i="12"/>
  <c r="AD59" i="12"/>
  <c r="AD62" i="12"/>
  <c r="AM48" i="12"/>
  <c r="AM46" i="12"/>
  <c r="AM47" i="12" s="1"/>
  <c r="AL58" i="12"/>
  <c r="Q58" i="12"/>
  <c r="N75" i="12"/>
  <c r="X61" i="12"/>
  <c r="X63" i="12" s="1"/>
  <c r="K58" i="12"/>
  <c r="J121" i="12"/>
  <c r="J74" i="12"/>
  <c r="W48" i="12"/>
  <c r="W46" i="12"/>
  <c r="W47" i="12" s="1"/>
  <c r="T58" i="12"/>
  <c r="AB121" i="12"/>
  <c r="AB74" i="12"/>
  <c r="AJ121" i="12"/>
  <c r="AJ74" i="12"/>
  <c r="S59" i="12"/>
  <c r="S60" i="12" s="1"/>
  <c r="S62" i="12"/>
  <c r="H46" i="12"/>
  <c r="H47" i="12" s="1"/>
  <c r="H48" i="12"/>
  <c r="AH121" i="12"/>
  <c r="AH74" i="12"/>
  <c r="D59" i="12"/>
  <c r="D60" i="12" s="1"/>
  <c r="D62" i="12"/>
  <c r="Y58" i="12"/>
  <c r="D45" i="12"/>
  <c r="O61" i="12"/>
  <c r="O63" i="12" s="1"/>
  <c r="AK59" i="12"/>
  <c r="AK60" i="12" s="1"/>
  <c r="AK62" i="12"/>
  <c r="AF46" i="12"/>
  <c r="AF47" i="12" s="1"/>
  <c r="AF48" i="12"/>
  <c r="AJ45" i="12"/>
  <c r="J45" i="12"/>
  <c r="AG45" i="12"/>
  <c r="O75" i="12"/>
  <c r="AG75" i="12"/>
  <c r="AI59" i="12"/>
  <c r="AI60" i="12" s="1"/>
  <c r="AI62" i="12"/>
  <c r="U121" i="12"/>
  <c r="U74" i="12"/>
  <c r="Y45" i="12"/>
  <c r="AC59" i="12"/>
  <c r="AC60" i="12" s="1"/>
  <c r="AC62" i="12"/>
  <c r="O46" i="12"/>
  <c r="O47" i="12" s="1"/>
  <c r="O48" i="12"/>
  <c r="G48" i="12"/>
  <c r="G46" i="12"/>
  <c r="G47" i="12" s="1"/>
  <c r="AI45" i="12"/>
  <c r="G59" i="12"/>
  <c r="G62" i="12"/>
  <c r="F58" i="12"/>
  <c r="J59" i="12"/>
  <c r="J60" i="12" s="1"/>
  <c r="J62" i="12"/>
  <c r="N45" i="12"/>
  <c r="AN45" i="12"/>
  <c r="Q121" i="12"/>
  <c r="Q74" i="12"/>
  <c r="AB45" i="12"/>
  <c r="AL45" i="12"/>
  <c r="Q45" i="12"/>
  <c r="AH45" i="12"/>
  <c r="E59" i="12"/>
  <c r="E60" i="12" s="1"/>
  <c r="E62" i="12"/>
  <c r="X48" i="12"/>
  <c r="X46" i="12"/>
  <c r="X47" i="12" s="1"/>
  <c r="AJ58" i="12"/>
  <c r="N59" i="12"/>
  <c r="N60" i="12" s="1"/>
  <c r="N62" i="12"/>
  <c r="AD48" i="12"/>
  <c r="AD46" i="12"/>
  <c r="AD47" i="12" s="1"/>
  <c r="D121" i="12"/>
  <c r="D74" i="12"/>
  <c r="Z45" i="12"/>
  <c r="R52" i="12"/>
  <c r="R53" i="12" s="1"/>
  <c r="R6" i="4" s="1"/>
  <c r="R13" i="3" s="1"/>
  <c r="AL75" i="12"/>
  <c r="AM59" i="12"/>
  <c r="AM62" i="12"/>
  <c r="W61" i="12"/>
  <c r="W63" i="12" s="1"/>
  <c r="AN58" i="12"/>
  <c r="AA45" i="12"/>
  <c r="R66" i="12"/>
  <c r="R64" i="12"/>
  <c r="R65" i="12" s="1"/>
  <c r="AC45" i="12"/>
  <c r="F45" i="12"/>
  <c r="AG59" i="12"/>
  <c r="AG60" i="12" s="1"/>
  <c r="AG62" i="12"/>
  <c r="AC127" i="13"/>
  <c r="AB220" i="13"/>
  <c r="AI127" i="13"/>
  <c r="AU142" i="13"/>
  <c r="AJ43" i="20"/>
  <c r="Z237" i="13"/>
  <c r="AO220" i="13"/>
  <c r="AM237" i="13"/>
  <c r="AT142" i="13"/>
  <c r="Z127" i="13"/>
  <c r="AL127" i="13"/>
  <c r="AQ127" i="13"/>
  <c r="BG142" i="13"/>
  <c r="BG236" i="13" s="1"/>
  <c r="BF142" i="13"/>
  <c r="AR142" i="13"/>
  <c r="AR236" i="13" s="1"/>
  <c r="BH140" i="13"/>
  <c r="BH219" i="13" s="1"/>
  <c r="AA237" i="13"/>
  <c r="Y83" i="20"/>
  <c r="Y142" i="13"/>
  <c r="Y236" i="13" s="1"/>
  <c r="AI220" i="13"/>
  <c r="AS142" i="13"/>
  <c r="AO142" i="13"/>
  <c r="AL142" i="13"/>
  <c r="AL236" i="13" s="1"/>
  <c r="AX220" i="13"/>
  <c r="AG220" i="13"/>
  <c r="BA220" i="13"/>
  <c r="BA142" i="13"/>
  <c r="AK142" i="13"/>
  <c r="X38" i="17"/>
  <c r="AZ142" i="13"/>
  <c r="AZ236" i="13" s="1"/>
  <c r="BD220" i="13"/>
  <c r="AP220" i="13"/>
  <c r="AS220" i="13"/>
  <c r="AG127" i="13"/>
  <c r="L76" i="5"/>
  <c r="L78" i="5" s="1"/>
  <c r="BF127" i="13"/>
  <c r="AT220" i="13"/>
  <c r="BJ127" i="13"/>
  <c r="AW142" i="13"/>
  <c r="AW236" i="13" s="1"/>
  <c r="AY220" i="13"/>
  <c r="BB140" i="13"/>
  <c r="BB219" i="13" s="1"/>
  <c r="BB142" i="13"/>
  <c r="BB236" i="13" s="1"/>
  <c r="AW220" i="13"/>
  <c r="AW127" i="13"/>
  <c r="AF220" i="13"/>
  <c r="BC220" i="13"/>
  <c r="BE220" i="13"/>
  <c r="AX219" i="13"/>
  <c r="AQ220" i="13"/>
  <c r="P76" i="5"/>
  <c r="P78" i="5" s="1"/>
  <c r="AK127" i="13"/>
  <c r="AB127" i="13"/>
  <c r="G76" i="5"/>
  <c r="G78" i="5" s="1"/>
  <c r="AX142" i="13"/>
  <c r="AX236" i="13" s="1"/>
  <c r="AT219" i="13"/>
  <c r="AQ140" i="13"/>
  <c r="AQ219" i="13" s="1"/>
  <c r="AQ142" i="13"/>
  <c r="AQ236" i="13" s="1"/>
  <c r="AD220" i="13"/>
  <c r="X39" i="17"/>
  <c r="AC39" i="17"/>
  <c r="D40" i="17"/>
  <c r="D41" i="17" s="1"/>
  <c r="D22" i="4" s="1"/>
  <c r="AG40" i="17"/>
  <c r="AG41" i="17" s="1"/>
  <c r="AG22" i="4" s="1"/>
  <c r="AN40" i="17"/>
  <c r="AN41" i="17" s="1"/>
  <c r="AN22" i="4" s="1"/>
  <c r="AD40" i="17"/>
  <c r="AD41" i="17" s="1"/>
  <c r="AD22" i="4" s="1"/>
  <c r="AC38" i="17"/>
  <c r="AK40" i="17"/>
  <c r="AK41" i="17" s="1"/>
  <c r="AK22" i="4" s="1"/>
  <c r="H37" i="17"/>
  <c r="AM40" i="17"/>
  <c r="AM41" i="17" s="1"/>
  <c r="AM22" i="4" s="1"/>
  <c r="S40" i="17"/>
  <c r="S41" i="17" s="1"/>
  <c r="S22" i="4" s="1"/>
  <c r="J40" i="17"/>
  <c r="J41" i="17" s="1"/>
  <c r="J22" i="4" s="1"/>
  <c r="P39" i="17"/>
  <c r="P38" i="17"/>
  <c r="H39" i="17"/>
  <c r="C38" i="17"/>
  <c r="C39" i="17"/>
  <c r="C37" i="17"/>
  <c r="E37" i="17"/>
  <c r="E39" i="17"/>
  <c r="E38" i="17"/>
  <c r="AB140" i="13"/>
  <c r="AB219" i="13" s="1"/>
  <c r="AB142" i="13"/>
  <c r="AB236" i="13" s="1"/>
  <c r="BC127" i="13"/>
  <c r="AD140" i="13"/>
  <c r="AD219" i="13" s="1"/>
  <c r="AD142" i="13"/>
  <c r="AD236" i="13" s="1"/>
  <c r="BI220" i="13"/>
  <c r="BJ237" i="13"/>
  <c r="BJ220" i="13"/>
  <c r="AZ237" i="13"/>
  <c r="AZ220" i="13"/>
  <c r="W76" i="5"/>
  <c r="W78" i="5" s="1"/>
  <c r="Y127" i="13"/>
  <c r="AL220" i="13"/>
  <c r="AF140" i="13"/>
  <c r="AF219" i="13" s="1"/>
  <c r="AF142" i="13"/>
  <c r="AF236" i="13" s="1"/>
  <c r="AC140" i="13"/>
  <c r="AC219" i="13" s="1"/>
  <c r="AC142" i="13"/>
  <c r="AC236" i="13" s="1"/>
  <c r="Y237" i="13"/>
  <c r="Y220" i="13"/>
  <c r="AM140" i="13"/>
  <c r="AM219" i="13" s="1"/>
  <c r="AM142" i="13"/>
  <c r="AM236" i="13" s="1"/>
  <c r="AV237" i="13"/>
  <c r="AV220" i="13"/>
  <c r="BH237" i="13"/>
  <c r="BH220" i="13"/>
  <c r="BD140" i="13"/>
  <c r="BD219" i="13" s="1"/>
  <c r="BD142" i="13"/>
  <c r="BD236" i="13" s="1"/>
  <c r="BG237" i="13"/>
  <c r="BG220" i="13"/>
  <c r="AJ140" i="13"/>
  <c r="AJ219" i="13" s="1"/>
  <c r="AJ142" i="13"/>
  <c r="AJ236" i="13" s="1"/>
  <c r="AA140" i="13"/>
  <c r="AA219" i="13" s="1"/>
  <c r="AA142" i="13"/>
  <c r="AA236" i="13" s="1"/>
  <c r="Y219" i="13"/>
  <c r="AK220" i="13"/>
  <c r="AY140" i="13"/>
  <c r="AY219" i="13" s="1"/>
  <c r="AY142" i="13"/>
  <c r="AY236" i="13" s="1"/>
  <c r="AI140" i="13"/>
  <c r="AI219" i="13" s="1"/>
  <c r="AI142" i="13"/>
  <c r="AI236" i="13" s="1"/>
  <c r="Z140" i="13"/>
  <c r="Z219" i="13" s="1"/>
  <c r="Z142" i="13"/>
  <c r="Z236" i="13" s="1"/>
  <c r="AR237" i="13"/>
  <c r="AR220" i="13"/>
  <c r="AD127" i="13"/>
  <c r="AG140" i="13"/>
  <c r="AG219" i="13" s="1"/>
  <c r="AG142" i="13"/>
  <c r="AG236" i="13" s="1"/>
  <c r="AA127" i="13"/>
  <c r="AP140" i="13"/>
  <c r="AP219" i="13" s="1"/>
  <c r="AP142" i="13"/>
  <c r="AP236" i="13" s="1"/>
  <c r="AX127" i="13"/>
  <c r="AC76" i="5"/>
  <c r="AC78" i="5" s="1"/>
  <c r="BI140" i="13"/>
  <c r="BI219" i="13" s="1"/>
  <c r="BI142" i="13"/>
  <c r="BI236" i="13" s="1"/>
  <c r="BC140" i="13"/>
  <c r="BC219" i="13" s="1"/>
  <c r="BC142" i="13"/>
  <c r="BC236" i="13" s="1"/>
  <c r="BB220" i="13"/>
  <c r="AU220" i="13"/>
  <c r="AJ220" i="13"/>
  <c r="BF220" i="13"/>
  <c r="AC220" i="13"/>
  <c r="BE140" i="13"/>
  <c r="BE219" i="13" s="1"/>
  <c r="BE142" i="13"/>
  <c r="BE236" i="13" s="1"/>
  <c r="AE237" i="13"/>
  <c r="AE220" i="13"/>
  <c r="AT127" i="13"/>
  <c r="AM127" i="13"/>
  <c r="AE140" i="13"/>
  <c r="AE219" i="13" s="1"/>
  <c r="AE142" i="13"/>
  <c r="AE236" i="13" s="1"/>
  <c r="BH143" i="13"/>
  <c r="AN127" i="13"/>
  <c r="M76" i="5"/>
  <c r="M78" i="5" s="1"/>
  <c r="S76" i="5"/>
  <c r="S78" i="5" s="1"/>
  <c r="Q44" i="20"/>
  <c r="AE42" i="20"/>
  <c r="AG40" i="20"/>
  <c r="AE44" i="20"/>
  <c r="AK41" i="20"/>
  <c r="V42" i="20"/>
  <c r="AH42" i="20"/>
  <c r="AG42" i="20"/>
  <c r="AD96" i="20"/>
  <c r="S85" i="20"/>
  <c r="S87" i="20" s="1"/>
  <c r="S10" i="4" s="1"/>
  <c r="S17" i="3" s="1"/>
  <c r="K64" i="20"/>
  <c r="AK83" i="20"/>
  <c r="AG96" i="20"/>
  <c r="AN64" i="20"/>
  <c r="P40" i="20"/>
  <c r="P83" i="20"/>
  <c r="Y64" i="20"/>
  <c r="AB45" i="20"/>
  <c r="X43" i="20"/>
  <c r="J42" i="20"/>
  <c r="J94" i="20"/>
  <c r="AK40" i="20"/>
  <c r="X45" i="20"/>
  <c r="J41" i="20"/>
  <c r="AK42" i="20"/>
  <c r="M45" i="20"/>
  <c r="X44" i="20"/>
  <c r="J45" i="20"/>
  <c r="N94" i="20"/>
  <c r="O83" i="20"/>
  <c r="N83" i="20"/>
  <c r="AG64" i="20"/>
  <c r="N43" i="20"/>
  <c r="G96" i="20"/>
  <c r="N45" i="20"/>
  <c r="N41" i="20"/>
  <c r="AN42" i="20"/>
  <c r="G44" i="20"/>
  <c r="AG45" i="20"/>
  <c r="AL64" i="20"/>
  <c r="AH41" i="21"/>
  <c r="AH44" i="21" s="1"/>
  <c r="AH62" i="21" s="1"/>
  <c r="S94" i="20"/>
  <c r="D64" i="20"/>
  <c r="AC45" i="20"/>
  <c r="L45" i="20"/>
  <c r="S40" i="20"/>
  <c r="W44" i="20"/>
  <c r="H40" i="20"/>
  <c r="AA41" i="20"/>
  <c r="V44" i="20"/>
  <c r="D43" i="20"/>
  <c r="R40" i="20"/>
  <c r="S41" i="20"/>
  <c r="H41" i="20"/>
  <c r="F43" i="20"/>
  <c r="AA43" i="20"/>
  <c r="E43" i="20"/>
  <c r="D42" i="20"/>
  <c r="O45" i="20"/>
  <c r="AK44" i="20"/>
  <c r="R41" i="20"/>
  <c r="S43" i="20"/>
  <c r="AJ42" i="20"/>
  <c r="H43" i="20"/>
  <c r="AH44" i="20"/>
  <c r="P41" i="20"/>
  <c r="AN45" i="20"/>
  <c r="F45" i="20"/>
  <c r="X42" i="20"/>
  <c r="G42" i="20"/>
  <c r="J43" i="20"/>
  <c r="AA45" i="20"/>
  <c r="E45" i="20"/>
  <c r="I42" i="20"/>
  <c r="M40" i="17"/>
  <c r="M41" i="17" s="1"/>
  <c r="M22" i="4" s="1"/>
  <c r="T40" i="17"/>
  <c r="T41" i="17" s="1"/>
  <c r="T22" i="4" s="1"/>
  <c r="AA40" i="17"/>
  <c r="AA41" i="17" s="1"/>
  <c r="AA22" i="4" s="1"/>
  <c r="AF40" i="17"/>
  <c r="AF41" i="17" s="1"/>
  <c r="AF22" i="4" s="1"/>
  <c r="AB40" i="17"/>
  <c r="AB41" i="17" s="1"/>
  <c r="AB22" i="4" s="1"/>
  <c r="G40" i="17"/>
  <c r="G41" i="17" s="1"/>
  <c r="G22" i="4" s="1"/>
  <c r="Y40" i="17"/>
  <c r="Y41" i="17" s="1"/>
  <c r="Y22" i="4" s="1"/>
  <c r="F40" i="17"/>
  <c r="F41" i="17" s="1"/>
  <c r="F22" i="4" s="1"/>
  <c r="AH40" i="17"/>
  <c r="AH41" i="17" s="1"/>
  <c r="AH22" i="4" s="1"/>
  <c r="U40" i="17"/>
  <c r="U41" i="17" s="1"/>
  <c r="U22" i="4" s="1"/>
  <c r="AI40" i="17"/>
  <c r="AI41" i="17" s="1"/>
  <c r="AI22" i="4" s="1"/>
  <c r="Z40" i="17"/>
  <c r="Z41" i="17" s="1"/>
  <c r="Z22" i="4" s="1"/>
  <c r="AE40" i="17"/>
  <c r="AE41" i="17" s="1"/>
  <c r="AE22" i="4" s="1"/>
  <c r="V40" i="17"/>
  <c r="V41" i="17" s="1"/>
  <c r="V22" i="4" s="1"/>
  <c r="Q40" i="17"/>
  <c r="Q41" i="17" s="1"/>
  <c r="Q22" i="4" s="1"/>
  <c r="I40" i="17"/>
  <c r="I41" i="17" s="1"/>
  <c r="I22" i="4" s="1"/>
  <c r="N40" i="17"/>
  <c r="N41" i="17" s="1"/>
  <c r="N22" i="4" s="1"/>
  <c r="N85" i="20"/>
  <c r="N86" i="20" s="1"/>
  <c r="AC64" i="20"/>
  <c r="U64" i="20"/>
  <c r="C96" i="20"/>
  <c r="AD64" i="20"/>
  <c r="H41" i="21"/>
  <c r="H43" i="21" s="1"/>
  <c r="H61" i="21" s="1"/>
  <c r="AI96" i="20"/>
  <c r="AM42" i="21"/>
  <c r="AM60" i="21" s="1"/>
  <c r="AK43" i="20"/>
  <c r="AI42" i="20"/>
  <c r="AG44" i="20"/>
  <c r="I44" i="20"/>
  <c r="Z41" i="21"/>
  <c r="Z43" i="21" s="1"/>
  <c r="AE85" i="20"/>
  <c r="AE87" i="20" s="1"/>
  <c r="AE10" i="4" s="1"/>
  <c r="AE17" i="3" s="1"/>
  <c r="AG94" i="20"/>
  <c r="AF64" i="20"/>
  <c r="D40" i="20"/>
  <c r="O42" i="20"/>
  <c r="R42" i="20"/>
  <c r="S45" i="20"/>
  <c r="P45" i="20"/>
  <c r="F41" i="20"/>
  <c r="G41" i="20"/>
  <c r="Q40" i="20"/>
  <c r="V45" i="20"/>
  <c r="AE45" i="20"/>
  <c r="H64" i="20"/>
  <c r="Z64" i="20"/>
  <c r="Q45" i="20"/>
  <c r="AK94" i="20"/>
  <c r="J85" i="20"/>
  <c r="J86" i="20" s="1"/>
  <c r="D41" i="20"/>
  <c r="R44" i="20"/>
  <c r="AH40" i="20"/>
  <c r="G40" i="20"/>
  <c r="J40" i="20"/>
  <c r="Q42" i="20"/>
  <c r="V40" i="20"/>
  <c r="AE40" i="20"/>
  <c r="AE96" i="20"/>
  <c r="H83" i="20"/>
  <c r="AE64" i="20"/>
  <c r="H96" i="20"/>
  <c r="AD42" i="20"/>
  <c r="Q83" i="20"/>
  <c r="D94" i="20"/>
  <c r="AI64" i="20"/>
  <c r="R83" i="20"/>
  <c r="AE83" i="20"/>
  <c r="D85" i="20"/>
  <c r="D87" i="20" s="1"/>
  <c r="D10" i="4" s="1"/>
  <c r="D17" i="3" s="1"/>
  <c r="AG83" i="20"/>
  <c r="AJ96" i="20"/>
  <c r="W94" i="20"/>
  <c r="R94" i="20"/>
  <c r="H94" i="20"/>
  <c r="AE94" i="20"/>
  <c r="F96" i="20"/>
  <c r="K41" i="21"/>
  <c r="K44" i="21" s="1"/>
  <c r="K62" i="21" s="1"/>
  <c r="E42" i="21"/>
  <c r="E60" i="21" s="1"/>
  <c r="Q41" i="21"/>
  <c r="Q43" i="21" s="1"/>
  <c r="Q61" i="21" s="1"/>
  <c r="AC83" i="20"/>
  <c r="AH64" i="20"/>
  <c r="V92" i="20"/>
  <c r="R85" i="20"/>
  <c r="R86" i="20" s="1"/>
  <c r="H85" i="20"/>
  <c r="H86" i="20" s="1"/>
  <c r="AI94" i="20"/>
  <c r="AD94" i="20"/>
  <c r="AN83" i="20"/>
  <c r="Z96" i="20"/>
  <c r="G64" i="20"/>
  <c r="O44" i="20"/>
  <c r="N44" i="20"/>
  <c r="R43" i="20"/>
  <c r="AJ45" i="20"/>
  <c r="H44" i="20"/>
  <c r="Y41" i="20"/>
  <c r="N96" i="20"/>
  <c r="AC85" i="20"/>
  <c r="AC86" i="20" s="1"/>
  <c r="AN85" i="20"/>
  <c r="AN87" i="20" s="1"/>
  <c r="AN10" i="4" s="1"/>
  <c r="AN17" i="3" s="1"/>
  <c r="AN94" i="20"/>
  <c r="AC40" i="20"/>
  <c r="AN40" i="20"/>
  <c r="K44" i="20"/>
  <c r="Y40" i="20"/>
  <c r="I45" i="20"/>
  <c r="AJ83" i="20"/>
  <c r="W85" i="20"/>
  <c r="W87" i="20" s="1"/>
  <c r="W10" i="4" s="1"/>
  <c r="W17" i="3" s="1"/>
  <c r="V42" i="21"/>
  <c r="V60" i="21" s="1"/>
  <c r="N64" i="20"/>
  <c r="D44" i="20"/>
  <c r="AC41" i="20"/>
  <c r="AM43" i="20"/>
  <c r="S42" i="20"/>
  <c r="W40" i="20"/>
  <c r="AI44" i="20"/>
  <c r="AN41" i="20"/>
  <c r="AD43" i="20"/>
  <c r="AG41" i="20"/>
  <c r="K40" i="20"/>
  <c r="AA44" i="20"/>
  <c r="Y42" i="20"/>
  <c r="I43" i="20"/>
  <c r="Y85" i="20"/>
  <c r="Y87" i="20" s="1"/>
  <c r="Y10" i="4" s="1"/>
  <c r="Y17" i="3" s="1"/>
  <c r="AI83" i="20"/>
  <c r="U85" i="20"/>
  <c r="U87" i="20" s="1"/>
  <c r="U10" i="4" s="1"/>
  <c r="U17" i="3" s="1"/>
  <c r="AD85" i="20"/>
  <c r="AD87" i="20" s="1"/>
  <c r="AD10" i="4" s="1"/>
  <c r="AD17" i="3" s="1"/>
  <c r="W43" i="20"/>
  <c r="AD41" i="20"/>
  <c r="AJ85" i="20"/>
  <c r="AJ87" i="20" s="1"/>
  <c r="AJ10" i="4" s="1"/>
  <c r="AJ17" i="3" s="1"/>
  <c r="Y94" i="20"/>
  <c r="AB83" i="20"/>
  <c r="W83" i="20"/>
  <c r="D45" i="20"/>
  <c r="AC43" i="20"/>
  <c r="AM41" i="20"/>
  <c r="J96" i="20"/>
  <c r="S44" i="20"/>
  <c r="W42" i="20"/>
  <c r="AI40" i="20"/>
  <c r="AN43" i="20"/>
  <c r="X41" i="20"/>
  <c r="AD40" i="20"/>
  <c r="AB43" i="20"/>
  <c r="AG43" i="20"/>
  <c r="K42" i="20"/>
  <c r="Q41" i="20"/>
  <c r="AA42" i="20"/>
  <c r="Y44" i="20"/>
  <c r="V41" i="20"/>
  <c r="I40" i="20"/>
  <c r="AA85" i="20"/>
  <c r="AA87" i="20" s="1"/>
  <c r="AA10" i="4" s="1"/>
  <c r="AA17" i="3" s="1"/>
  <c r="P96" i="20"/>
  <c r="Z83" i="20"/>
  <c r="AM94" i="20"/>
  <c r="E85" i="20"/>
  <c r="E86" i="20" s="1"/>
  <c r="V94" i="20"/>
  <c r="S64" i="20"/>
  <c r="X85" i="20"/>
  <c r="X87" i="20" s="1"/>
  <c r="X10" i="4" s="1"/>
  <c r="X17" i="3" s="1"/>
  <c r="Q85" i="20"/>
  <c r="Q86" i="20" s="1"/>
  <c r="AI85" i="20"/>
  <c r="AI87" i="20" s="1"/>
  <c r="AI10" i="4" s="1"/>
  <c r="AI17" i="3" s="1"/>
  <c r="AH85" i="20"/>
  <c r="AH86" i="20" s="1"/>
  <c r="E94" i="20"/>
  <c r="I83" i="20"/>
  <c r="AC94" i="20"/>
  <c r="V85" i="20"/>
  <c r="V86" i="20" s="1"/>
  <c r="E64" i="20"/>
  <c r="P64" i="20"/>
  <c r="J64" i="20"/>
  <c r="AC96" i="20"/>
  <c r="X83" i="20"/>
  <c r="G83" i="20"/>
  <c r="I94" i="20"/>
  <c r="J83" i="20"/>
  <c r="V83" i="20"/>
  <c r="AN96" i="20"/>
  <c r="Q96" i="20"/>
  <c r="AD44" i="20"/>
  <c r="Q94" i="20"/>
  <c r="AK85" i="20"/>
  <c r="AK87" i="20" s="1"/>
  <c r="AK10" i="4" s="1"/>
  <c r="AK17" i="3" s="1"/>
  <c r="U96" i="20"/>
  <c r="AA83" i="20"/>
  <c r="X94" i="20"/>
  <c r="G94" i="20"/>
  <c r="I85" i="20"/>
  <c r="I86" i="20" s="1"/>
  <c r="E96" i="20"/>
  <c r="AA94" i="20"/>
  <c r="AD83" i="20"/>
  <c r="G85" i="20"/>
  <c r="G86" i="20" s="1"/>
  <c r="AH96" i="20"/>
  <c r="Y96" i="20"/>
  <c r="F92" i="20"/>
  <c r="D96" i="20"/>
  <c r="S96" i="20"/>
  <c r="AL92" i="20"/>
  <c r="Z45" i="20"/>
  <c r="Q64" i="20"/>
  <c r="AO42" i="21"/>
  <c r="AO60" i="21" s="1"/>
  <c r="AK41" i="21"/>
  <c r="AK44" i="21" s="1"/>
  <c r="AK62" i="21" s="1"/>
  <c r="W41" i="21"/>
  <c r="W43" i="21" s="1"/>
  <c r="W61" i="21" s="1"/>
  <c r="AI41" i="21"/>
  <c r="AI44" i="21" s="1"/>
  <c r="AI62" i="21" s="1"/>
  <c r="AN42" i="21"/>
  <c r="AN60" i="21" s="1"/>
  <c r="R42" i="21"/>
  <c r="R60" i="21" s="1"/>
  <c r="AJ41" i="21"/>
  <c r="AJ44" i="21" s="1"/>
  <c r="AJ62" i="21" s="1"/>
  <c r="AA41" i="21"/>
  <c r="AA44" i="21" s="1"/>
  <c r="AA62" i="21" s="1"/>
  <c r="G41" i="21"/>
  <c r="G43" i="21" s="1"/>
  <c r="I41" i="21"/>
  <c r="I44" i="21" s="1"/>
  <c r="I62" i="21" s="1"/>
  <c r="L42" i="21"/>
  <c r="L60" i="21" s="1"/>
  <c r="X42" i="21"/>
  <c r="X60" i="21" s="1"/>
  <c r="AF41" i="21"/>
  <c r="AF43" i="21" s="1"/>
  <c r="AF61" i="21" s="1"/>
  <c r="U94" i="20"/>
  <c r="M85" i="20"/>
  <c r="M86" i="20" s="1"/>
  <c r="L85" i="20"/>
  <c r="L86" i="20" s="1"/>
  <c r="P41" i="21"/>
  <c r="P44" i="21" s="1"/>
  <c r="P62" i="21" s="1"/>
  <c r="C64" i="20"/>
  <c r="L44" i="20"/>
  <c r="AL42" i="20"/>
  <c r="M41" i="20"/>
  <c r="U43" i="20"/>
  <c r="AB41" i="20"/>
  <c r="Z41" i="20"/>
  <c r="C43" i="20"/>
  <c r="AF42" i="20"/>
  <c r="E44" i="20"/>
  <c r="T82" i="20"/>
  <c r="T43" i="20" s="1"/>
  <c r="U83" i="20"/>
  <c r="AJ94" i="20"/>
  <c r="M83" i="20"/>
  <c r="AH83" i="20"/>
  <c r="AB85" i="20"/>
  <c r="AB86" i="20" s="1"/>
  <c r="L83" i="20"/>
  <c r="M96" i="20"/>
  <c r="AC42" i="20"/>
  <c r="O40" i="20"/>
  <c r="L43" i="20"/>
  <c r="AL44" i="20"/>
  <c r="W45" i="20"/>
  <c r="AJ41" i="20"/>
  <c r="M43" i="20"/>
  <c r="U45" i="20"/>
  <c r="G45" i="20"/>
  <c r="AB44" i="20"/>
  <c r="Z43" i="20"/>
  <c r="C44" i="20"/>
  <c r="AF44" i="20"/>
  <c r="Y43" i="20"/>
  <c r="E41" i="20"/>
  <c r="AE41" i="20"/>
  <c r="I64" i="20"/>
  <c r="AL41" i="20"/>
  <c r="AF41" i="20"/>
  <c r="AM92" i="20"/>
  <c r="Z85" i="20"/>
  <c r="Z86" i="20" s="1"/>
  <c r="C94" i="20"/>
  <c r="AM83" i="20"/>
  <c r="AF85" i="20"/>
  <c r="AF86" i="20" s="1"/>
  <c r="E83" i="20"/>
  <c r="AL94" i="20"/>
  <c r="F85" i="20"/>
  <c r="F86" i="20" s="1"/>
  <c r="K94" i="20"/>
  <c r="O96" i="20"/>
  <c r="D42" i="21"/>
  <c r="D60" i="21" s="1"/>
  <c r="O64" i="20"/>
  <c r="V96" i="20"/>
  <c r="M64" i="20"/>
  <c r="L42" i="20"/>
  <c r="AL45" i="20"/>
  <c r="AM40" i="20"/>
  <c r="M44" i="20"/>
  <c r="U42" i="20"/>
  <c r="AI41" i="20"/>
  <c r="AH41" i="20"/>
  <c r="P43" i="20"/>
  <c r="F40" i="20"/>
  <c r="Z40" i="20"/>
  <c r="C40" i="20"/>
  <c r="AF40" i="20"/>
  <c r="K41" i="20"/>
  <c r="AM96" i="20"/>
  <c r="AM45" i="20"/>
  <c r="U40" i="20"/>
  <c r="C45" i="20"/>
  <c r="P85" i="20"/>
  <c r="P87" i="20" s="1"/>
  <c r="P10" i="4" s="1"/>
  <c r="P17" i="3" s="1"/>
  <c r="O85" i="20"/>
  <c r="O86" i="20" s="1"/>
  <c r="C83" i="20"/>
  <c r="AM85" i="20"/>
  <c r="AM86" i="20" s="1"/>
  <c r="AF83" i="20"/>
  <c r="AL83" i="20"/>
  <c r="F94" i="20"/>
  <c r="K83" i="20"/>
  <c r="W64" i="20"/>
  <c r="W96" i="20"/>
  <c r="O41" i="21"/>
  <c r="O44" i="21" s="1"/>
  <c r="O62" i="21" s="1"/>
  <c r="K96" i="20"/>
  <c r="J41" i="21"/>
  <c r="J44" i="21" s="1"/>
  <c r="J62" i="21" s="1"/>
  <c r="I96" i="20"/>
  <c r="O41" i="20"/>
  <c r="L40" i="20"/>
  <c r="AL43" i="20"/>
  <c r="N40" i="20"/>
  <c r="AM42" i="20"/>
  <c r="AJ40" i="20"/>
  <c r="M40" i="20"/>
  <c r="U44" i="20"/>
  <c r="H45" i="20"/>
  <c r="AI43" i="20"/>
  <c r="AH43" i="20"/>
  <c r="P42" i="20"/>
  <c r="F42" i="20"/>
  <c r="AB40" i="20"/>
  <c r="Z42" i="20"/>
  <c r="C41" i="20"/>
  <c r="AF45" i="20"/>
  <c r="K43" i="20"/>
  <c r="E40" i="20"/>
  <c r="Z94" i="20"/>
  <c r="P94" i="20"/>
  <c r="O94" i="20"/>
  <c r="C85" i="20"/>
  <c r="C87" i="20" s="1"/>
  <c r="C10" i="4" s="1"/>
  <c r="C17" i="3" s="1"/>
  <c r="M94" i="20"/>
  <c r="AH94" i="20"/>
  <c r="AF94" i="20"/>
  <c r="AL85" i="20"/>
  <c r="AL87" i="20" s="1"/>
  <c r="AL10" i="4" s="1"/>
  <c r="AL17" i="3" s="1"/>
  <c r="F83" i="20"/>
  <c r="AB94" i="20"/>
  <c r="L94" i="20"/>
  <c r="K85" i="20"/>
  <c r="K86" i="20" s="1"/>
  <c r="AJ92" i="20"/>
  <c r="AF92" i="20"/>
  <c r="U50" i="21"/>
  <c r="U67" i="21" s="1"/>
  <c r="E43" i="21"/>
  <c r="E44" i="21"/>
  <c r="E62" i="21" s="1"/>
  <c r="X43" i="21"/>
  <c r="X44" i="21"/>
  <c r="X62" i="21" s="1"/>
  <c r="L43" i="21"/>
  <c r="L44" i="21"/>
  <c r="L62" i="21" s="1"/>
  <c r="R43" i="21"/>
  <c r="R61" i="21" s="1"/>
  <c r="R44" i="21"/>
  <c r="R62" i="21" s="1"/>
  <c r="AN44" i="21"/>
  <c r="AN62" i="21" s="1"/>
  <c r="AN43" i="21"/>
  <c r="AM44" i="21"/>
  <c r="AM62" i="21" s="1"/>
  <c r="AM43" i="21"/>
  <c r="D44" i="21"/>
  <c r="D62" i="21" s="1"/>
  <c r="D43" i="21"/>
  <c r="U44" i="21"/>
  <c r="U62" i="21" s="1"/>
  <c r="U43" i="21"/>
  <c r="AO43" i="21"/>
  <c r="AO44" i="21"/>
  <c r="AO62" i="21" s="1"/>
  <c r="V43" i="21"/>
  <c r="V44" i="21"/>
  <c r="V62" i="21" s="1"/>
  <c r="W19" i="14"/>
  <c r="W20" i="14" s="1"/>
  <c r="W7" i="4" s="1"/>
  <c r="W14" i="3" s="1"/>
  <c r="AE19" i="14"/>
  <c r="AE20" i="14" s="1"/>
  <c r="AE7" i="4" s="1"/>
  <c r="AE14" i="3" s="1"/>
  <c r="AK19" i="14"/>
  <c r="AK20" i="14" s="1"/>
  <c r="AK7" i="4" s="1"/>
  <c r="AK14" i="3" s="1"/>
  <c r="E19" i="14"/>
  <c r="E20" i="14" s="1"/>
  <c r="E7" i="4" s="1"/>
  <c r="E14" i="3" s="1"/>
  <c r="M19" i="14"/>
  <c r="M20" i="14" s="1"/>
  <c r="M7" i="4" s="1"/>
  <c r="M14" i="3" s="1"/>
  <c r="AA19" i="14"/>
  <c r="AA20" i="14" s="1"/>
  <c r="AA7" i="4" s="1"/>
  <c r="AA14" i="3" s="1"/>
  <c r="Q19" i="14"/>
  <c r="Q20" i="14" s="1"/>
  <c r="Q7" i="4" s="1"/>
  <c r="Q14" i="3" s="1"/>
  <c r="AL19" i="14"/>
  <c r="AL20" i="14" s="1"/>
  <c r="AL7" i="4" s="1"/>
  <c r="AL14" i="3" s="1"/>
  <c r="Z19" i="14"/>
  <c r="Z20" i="14" s="1"/>
  <c r="Z7" i="4" s="1"/>
  <c r="Z14" i="3" s="1"/>
  <c r="AJ19" i="14"/>
  <c r="AJ20" i="14" s="1"/>
  <c r="AJ7" i="4" s="1"/>
  <c r="AJ14" i="3" s="1"/>
  <c r="G19" i="14"/>
  <c r="G20" i="14" s="1"/>
  <c r="G7" i="4" s="1"/>
  <c r="G14" i="3" s="1"/>
  <c r="AI19" i="14"/>
  <c r="AI20" i="14" s="1"/>
  <c r="AI7" i="4" s="1"/>
  <c r="AI14" i="3" s="1"/>
  <c r="AF19" i="14"/>
  <c r="AF20" i="14" s="1"/>
  <c r="AF7" i="4" s="1"/>
  <c r="AF14" i="3" s="1"/>
  <c r="Y19" i="14"/>
  <c r="Y20" i="14" s="1"/>
  <c r="Y7" i="4" s="1"/>
  <c r="Y14" i="3" s="1"/>
  <c r="I19" i="14"/>
  <c r="I20" i="14" s="1"/>
  <c r="I7" i="4" s="1"/>
  <c r="I14" i="3" s="1"/>
  <c r="AB19" i="14"/>
  <c r="AB20" i="14" s="1"/>
  <c r="AB7" i="4" s="1"/>
  <c r="AB14" i="3" s="1"/>
  <c r="M46" i="21"/>
  <c r="M47" i="21"/>
  <c r="S47" i="21"/>
  <c r="S46" i="21"/>
  <c r="O19" i="14"/>
  <c r="O20" i="14" s="1"/>
  <c r="O7" i="4" s="1"/>
  <c r="O14" i="3" s="1"/>
  <c r="S19" i="14"/>
  <c r="S20" i="14" s="1"/>
  <c r="S7" i="4" s="1"/>
  <c r="S14" i="3" s="1"/>
  <c r="C19" i="14"/>
  <c r="C20" i="14" s="1"/>
  <c r="C7" i="4" s="1"/>
  <c r="C14" i="3" s="1"/>
  <c r="AC19" i="14"/>
  <c r="AC20" i="14" s="1"/>
  <c r="AC7" i="4" s="1"/>
  <c r="AC14" i="3" s="1"/>
  <c r="AG86" i="20"/>
  <c r="AG87" i="20"/>
  <c r="AG10" i="4" s="1"/>
  <c r="AG17" i="3" s="1"/>
  <c r="N19" i="14"/>
  <c r="N20" i="14" s="1"/>
  <c r="N7" i="4" s="1"/>
  <c r="N14" i="3" s="1"/>
  <c r="D19" i="14"/>
  <c r="D20" i="14" s="1"/>
  <c r="D7" i="4" s="1"/>
  <c r="D14" i="3" s="1"/>
  <c r="AH19" i="14"/>
  <c r="AH20" i="14" s="1"/>
  <c r="AH7" i="4" s="1"/>
  <c r="AH14" i="3" s="1"/>
  <c r="X19" i="14"/>
  <c r="X20" i="14" s="1"/>
  <c r="X7" i="4" s="1"/>
  <c r="X14" i="3" s="1"/>
  <c r="U19" i="14"/>
  <c r="U20" i="14" s="1"/>
  <c r="U7" i="4" s="1"/>
  <c r="U14" i="3" s="1"/>
  <c r="V19" i="14"/>
  <c r="V20" i="14" s="1"/>
  <c r="V7" i="4" s="1"/>
  <c r="V14" i="3" s="1"/>
  <c r="J19" i="14"/>
  <c r="J20" i="14" s="1"/>
  <c r="J7" i="4" s="1"/>
  <c r="J14" i="3" s="1"/>
  <c r="K19" i="14"/>
  <c r="K20" i="14" s="1"/>
  <c r="K7" i="4" s="1"/>
  <c r="K14" i="3" s="1"/>
  <c r="AD19" i="14"/>
  <c r="AD20" i="14" s="1"/>
  <c r="AD7" i="4" s="1"/>
  <c r="AD14" i="3" s="1"/>
  <c r="H19" i="14"/>
  <c r="H20" i="14" s="1"/>
  <c r="H7" i="4" s="1"/>
  <c r="H14" i="3" s="1"/>
  <c r="AN19" i="14"/>
  <c r="AN20" i="14" s="1"/>
  <c r="AN7" i="4" s="1"/>
  <c r="AN14" i="3" s="1"/>
  <c r="F19" i="14"/>
  <c r="F20" i="14" s="1"/>
  <c r="F7" i="4" s="1"/>
  <c r="F14" i="3" s="1"/>
  <c r="P19" i="14"/>
  <c r="P20" i="14" s="1"/>
  <c r="P7" i="4" s="1"/>
  <c r="P14" i="3" s="1"/>
  <c r="AM19" i="14"/>
  <c r="AM20" i="14" s="1"/>
  <c r="AM7" i="4" s="1"/>
  <c r="AM14" i="3" s="1"/>
  <c r="AG19" i="14"/>
  <c r="AG20" i="14" s="1"/>
  <c r="AG7" i="4" s="1"/>
  <c r="AG14" i="3" s="1"/>
  <c r="DZ144" i="2"/>
  <c r="EB144" i="2"/>
  <c r="DX144" i="2"/>
  <c r="BF144" i="2"/>
  <c r="EA144" i="2"/>
  <c r="BG144" i="2"/>
  <c r="AR144" i="2"/>
  <c r="AS144" i="2"/>
  <c r="AT144" i="2"/>
  <c r="AU144" i="2"/>
  <c r="DA144" i="2"/>
  <c r="CT144" i="2"/>
  <c r="BH144" i="2"/>
  <c r="BI144" i="2"/>
  <c r="BJ144" i="2"/>
  <c r="BK144" i="2"/>
  <c r="DI144" i="2"/>
  <c r="DB144" i="2"/>
  <c r="BZ144" i="2"/>
  <c r="CZ144" i="2"/>
  <c r="DY144" i="2"/>
  <c r="DC144" i="2"/>
  <c r="T19" i="14"/>
  <c r="T20" i="14" s="1"/>
  <c r="T7" i="4" s="1"/>
  <c r="T14" i="3" s="1"/>
  <c r="AE81" i="12" l="1"/>
  <c r="AE83" i="12"/>
  <c r="AE80" i="12"/>
  <c r="AE82" i="12"/>
  <c r="T77" i="12"/>
  <c r="T78" i="12" s="1"/>
  <c r="AD77" i="12"/>
  <c r="AD78" i="12" s="1"/>
  <c r="AL77" i="12"/>
  <c r="AL78" i="12" s="1"/>
  <c r="AM77" i="12"/>
  <c r="AM78" i="12" s="1"/>
  <c r="AM82" i="12" s="1"/>
  <c r="N77" i="12"/>
  <c r="N78" i="12" s="1"/>
  <c r="X77" i="12"/>
  <c r="X78" i="12" s="1"/>
  <c r="Y77" i="12"/>
  <c r="Y78" i="12" s="1"/>
  <c r="O77" i="12"/>
  <c r="O78" i="12" s="1"/>
  <c r="AF77" i="12"/>
  <c r="AF78" i="12" s="1"/>
  <c r="AG77" i="12"/>
  <c r="AG78" i="12" s="1"/>
  <c r="C77" i="12"/>
  <c r="C78" i="12" s="1"/>
  <c r="Y42" i="21"/>
  <c r="Y60" i="21" s="1"/>
  <c r="D45" i="5"/>
  <c r="D46" i="5" s="1"/>
  <c r="D84" i="5" s="1"/>
  <c r="AE49" i="5"/>
  <c r="AE53" i="5" s="1"/>
  <c r="AE54" i="5" s="1"/>
  <c r="E49" i="5"/>
  <c r="E53" i="5" s="1"/>
  <c r="Y44" i="21"/>
  <c r="Y62" i="21" s="1"/>
  <c r="AL42" i="21"/>
  <c r="AL60" i="21" s="1"/>
  <c r="AL43" i="21"/>
  <c r="AL61" i="21" s="1"/>
  <c r="AB44" i="21"/>
  <c r="AB62" i="21" s="1"/>
  <c r="AB42" i="21"/>
  <c r="AB60" i="21" s="1"/>
  <c r="AC43" i="21"/>
  <c r="AC61" i="21" s="1"/>
  <c r="AC42" i="21"/>
  <c r="AC60" i="21" s="1"/>
  <c r="Y35" i="5"/>
  <c r="J49" i="5"/>
  <c r="J53" i="5" s="1"/>
  <c r="J54" i="5" s="1"/>
  <c r="AN42" i="5"/>
  <c r="AN50" i="5" s="1"/>
  <c r="AN49" i="5"/>
  <c r="AN53" i="5" s="1"/>
  <c r="AN54" i="5" s="1"/>
  <c r="AK49" i="5"/>
  <c r="AK53" i="5" s="1"/>
  <c r="AK54" i="5" s="1"/>
  <c r="H49" i="5"/>
  <c r="H53" i="5" s="1"/>
  <c r="H54" i="5" s="1"/>
  <c r="AJ49" i="5"/>
  <c r="AJ53" i="5" s="1"/>
  <c r="AJ54" i="5" s="1"/>
  <c r="R42" i="5"/>
  <c r="R50" i="5" s="1"/>
  <c r="Q49" i="5"/>
  <c r="Q53" i="5" s="1"/>
  <c r="Q54" i="5" s="1"/>
  <c r="E51" i="5"/>
  <c r="I35" i="5"/>
  <c r="K49" i="5"/>
  <c r="K53" i="5" s="1"/>
  <c r="K54" i="5" s="1"/>
  <c r="T41" i="21"/>
  <c r="T42" i="21"/>
  <c r="T60" i="21" s="1"/>
  <c r="AF42" i="5"/>
  <c r="AF50" i="5" s="1"/>
  <c r="AG42" i="21"/>
  <c r="AG60" i="21" s="1"/>
  <c r="AG41" i="21"/>
  <c r="O46" i="5"/>
  <c r="O84" i="5" s="1"/>
  <c r="F42" i="21"/>
  <c r="F60" i="21" s="1"/>
  <c r="F41" i="21"/>
  <c r="X49" i="5"/>
  <c r="X53" i="5" s="1"/>
  <c r="X54" i="5" s="1"/>
  <c r="W49" i="5"/>
  <c r="W53" i="5" s="1"/>
  <c r="W54" i="5" s="1"/>
  <c r="W87" i="5" s="1"/>
  <c r="W88" i="5" s="1"/>
  <c r="O42" i="5"/>
  <c r="O50" i="5" s="1"/>
  <c r="N42" i="21"/>
  <c r="N60" i="21" s="1"/>
  <c r="N41" i="21"/>
  <c r="P49" i="5"/>
  <c r="P53" i="5" s="1"/>
  <c r="P54" i="5" s="1"/>
  <c r="AF49" i="5"/>
  <c r="AF53" i="5" s="1"/>
  <c r="AF54" i="5" s="1"/>
  <c r="R49" i="5"/>
  <c r="R53" i="5" s="1"/>
  <c r="R54" i="5" s="1"/>
  <c r="F49" i="5"/>
  <c r="F53" i="5" s="1"/>
  <c r="F54" i="5" s="1"/>
  <c r="AD41" i="21"/>
  <c r="AD42" i="21"/>
  <c r="AD60" i="21" s="1"/>
  <c r="AA49" i="5"/>
  <c r="AA53" i="5" s="1"/>
  <c r="AA54" i="5" s="1"/>
  <c r="G49" i="5"/>
  <c r="G53" i="5" s="1"/>
  <c r="G54" i="5" s="1"/>
  <c r="AG45" i="5"/>
  <c r="AG46" i="5" s="1"/>
  <c r="AG84" i="5" s="1"/>
  <c r="P42" i="5"/>
  <c r="P50" i="5" s="1"/>
  <c r="G42" i="5"/>
  <c r="G50" i="5" s="1"/>
  <c r="AI42" i="5"/>
  <c r="AI50" i="5" s="1"/>
  <c r="U49" i="5"/>
  <c r="U53" i="5" s="1"/>
  <c r="U54" i="5" s="1"/>
  <c r="N42" i="5"/>
  <c r="N50" i="5" s="1"/>
  <c r="L42" i="5"/>
  <c r="L50" i="5" s="1"/>
  <c r="N49" i="5"/>
  <c r="N53" i="5" s="1"/>
  <c r="N54" i="5" s="1"/>
  <c r="AG49" i="5"/>
  <c r="AG53" i="5" s="1"/>
  <c r="AG54" i="5" s="1"/>
  <c r="O49" i="5"/>
  <c r="O53" i="5" s="1"/>
  <c r="O54" i="5" s="1"/>
  <c r="Y49" i="5"/>
  <c r="Y53" i="5" s="1"/>
  <c r="Y54" i="5" s="1"/>
  <c r="X42" i="5"/>
  <c r="X50" i="5" s="1"/>
  <c r="AM53" i="5"/>
  <c r="AM54" i="5" s="1"/>
  <c r="U42" i="5"/>
  <c r="U50" i="5" s="1"/>
  <c r="D50" i="5"/>
  <c r="Q42" i="5"/>
  <c r="Q50" i="5" s="1"/>
  <c r="AA42" i="5"/>
  <c r="AA50" i="5" s="1"/>
  <c r="V42" i="5"/>
  <c r="V50" i="5" s="1"/>
  <c r="AB49" i="5"/>
  <c r="AB53" i="5" s="1"/>
  <c r="AB54" i="5" s="1"/>
  <c r="AM45" i="5"/>
  <c r="AM46" i="5" s="1"/>
  <c r="AM84" i="5" s="1"/>
  <c r="AM42" i="5"/>
  <c r="AM50" i="5" s="1"/>
  <c r="D49" i="5"/>
  <c r="D37" i="5" s="1"/>
  <c r="AI49" i="5"/>
  <c r="AI53" i="5" s="1"/>
  <c r="AI54" i="5" s="1"/>
  <c r="AO45" i="5"/>
  <c r="AO42" i="5"/>
  <c r="AO50" i="5" s="1"/>
  <c r="AE46" i="5"/>
  <c r="AE84" i="5" s="1"/>
  <c r="AE35" i="5"/>
  <c r="AJ35" i="5"/>
  <c r="AJ46" i="5"/>
  <c r="AJ84" i="5" s="1"/>
  <c r="J46" i="5"/>
  <c r="J84" i="5" s="1"/>
  <c r="J35" i="5"/>
  <c r="V49" i="5"/>
  <c r="V53" i="5" s="1"/>
  <c r="V54" i="5" s="1"/>
  <c r="AE42" i="5"/>
  <c r="AE50" i="5" s="1"/>
  <c r="J42" i="5"/>
  <c r="J50" i="5" s="1"/>
  <c r="AM35" i="5"/>
  <c r="AH42" i="5"/>
  <c r="AH50" i="5" s="1"/>
  <c r="V35" i="5"/>
  <c r="Z49" i="5"/>
  <c r="Z53" i="5" s="1"/>
  <c r="Z54" i="5" s="1"/>
  <c r="AA35" i="5"/>
  <c r="AA46" i="5"/>
  <c r="AA84" i="5" s="1"/>
  <c r="T46" i="5"/>
  <c r="T84" i="5" s="1"/>
  <c r="T35" i="5"/>
  <c r="AO49" i="5"/>
  <c r="AO53" i="5" s="1"/>
  <c r="AO54" i="5" s="1"/>
  <c r="W42" i="5"/>
  <c r="W50" i="5" s="1"/>
  <c r="T49" i="5"/>
  <c r="T53" i="5" s="1"/>
  <c r="T54" i="5" s="1"/>
  <c r="H35" i="5"/>
  <c r="H46" i="5"/>
  <c r="H84" i="5" s="1"/>
  <c r="G35" i="5"/>
  <c r="G46" i="5"/>
  <c r="G84" i="5" s="1"/>
  <c r="AH49" i="5"/>
  <c r="AH53" i="5" s="1"/>
  <c r="AH54" i="5" s="1"/>
  <c r="AN35" i="5"/>
  <c r="AN46" i="5"/>
  <c r="AN84" i="5" s="1"/>
  <c r="U35" i="5"/>
  <c r="U46" i="5"/>
  <c r="U84" i="5" s="1"/>
  <c r="Z46" i="5"/>
  <c r="Z84" i="5" s="1"/>
  <c r="Z35" i="5"/>
  <c r="K35" i="5"/>
  <c r="K46" i="5"/>
  <c r="K84" i="5" s="1"/>
  <c r="AE42" i="21"/>
  <c r="AE60" i="21" s="1"/>
  <c r="AE41" i="21"/>
  <c r="I49" i="5"/>
  <c r="I53" i="5" s="1"/>
  <c r="I54" i="5" s="1"/>
  <c r="K42" i="5"/>
  <c r="K50" i="5" s="1"/>
  <c r="L49" i="5"/>
  <c r="L53" i="5" s="1"/>
  <c r="L54" i="5" s="1"/>
  <c r="F42" i="5"/>
  <c r="F50" i="5" s="1"/>
  <c r="AD49" i="5"/>
  <c r="AD53" i="5" s="1"/>
  <c r="AD54" i="5" s="1"/>
  <c r="AD42" i="5"/>
  <c r="AD50" i="5" s="1"/>
  <c r="AL49" i="5"/>
  <c r="AL53" i="5" s="1"/>
  <c r="AL54" i="5" s="1"/>
  <c r="AK35" i="5"/>
  <c r="AK46" i="5"/>
  <c r="AK84" i="5" s="1"/>
  <c r="AB35" i="5"/>
  <c r="AB46" i="5"/>
  <c r="AB84" i="5" s="1"/>
  <c r="P35" i="5"/>
  <c r="P46" i="5"/>
  <c r="P84" i="5" s="1"/>
  <c r="AL42" i="5"/>
  <c r="AL50" i="5" s="1"/>
  <c r="AG50" i="5"/>
  <c r="AI46" i="5"/>
  <c r="AI84" i="5" s="1"/>
  <c r="AI35" i="5"/>
  <c r="L35" i="5"/>
  <c r="L46" i="5"/>
  <c r="L84" i="5" s="1"/>
  <c r="AF46" i="5"/>
  <c r="AF84" i="5" s="1"/>
  <c r="AF35" i="5"/>
  <c r="AJ42" i="5"/>
  <c r="AJ50" i="5" s="1"/>
  <c r="I42" i="5"/>
  <c r="I50" i="5" s="1"/>
  <c r="F35" i="5"/>
  <c r="F46" i="5"/>
  <c r="F84" i="5" s="1"/>
  <c r="D35" i="5"/>
  <c r="AK42" i="5"/>
  <c r="AK50" i="5" s="1"/>
  <c r="AB42" i="5"/>
  <c r="AB50" i="5" s="1"/>
  <c r="H42" i="5"/>
  <c r="H50" i="5" s="1"/>
  <c r="E46" i="5"/>
  <c r="E84" i="5" s="1"/>
  <c r="AH46" i="5"/>
  <c r="AH84" i="5" s="1"/>
  <c r="AH35" i="5"/>
  <c r="Q35" i="5"/>
  <c r="Q46" i="5"/>
  <c r="Q84" i="5" s="1"/>
  <c r="Z42" i="5"/>
  <c r="Z50" i="5" s="1"/>
  <c r="R35" i="5"/>
  <c r="X35" i="5"/>
  <c r="X46" i="5"/>
  <c r="X84" i="5" s="1"/>
  <c r="AD46" i="5"/>
  <c r="AD84" i="5" s="1"/>
  <c r="AD35" i="5"/>
  <c r="AL35" i="5"/>
  <c r="AL46" i="5"/>
  <c r="AL84" i="5" s="1"/>
  <c r="N46" i="5"/>
  <c r="N84" i="5" s="1"/>
  <c r="N35" i="5"/>
  <c r="V46" i="5"/>
  <c r="V84" i="5" s="1"/>
  <c r="W35" i="5"/>
  <c r="W46" i="5"/>
  <c r="W84" i="5" s="1"/>
  <c r="E42" i="5"/>
  <c r="E50" i="5" s="1"/>
  <c r="Y42" i="5"/>
  <c r="Y50" i="5" s="1"/>
  <c r="T42" i="5"/>
  <c r="T50" i="5" s="1"/>
  <c r="AC45" i="5"/>
  <c r="AC42" i="5"/>
  <c r="AC50" i="5" s="1"/>
  <c r="BJ143" i="13"/>
  <c r="AM75" i="5"/>
  <c r="AM77" i="5" s="1"/>
  <c r="L114" i="12"/>
  <c r="R114" i="12"/>
  <c r="T75" i="12"/>
  <c r="G75" i="12"/>
  <c r="R100" i="12"/>
  <c r="R98" i="12"/>
  <c r="L100" i="12"/>
  <c r="L98" i="12"/>
  <c r="AL143" i="13"/>
  <c r="J75" i="12"/>
  <c r="J76" i="12"/>
  <c r="P76" i="12"/>
  <c r="AI76" i="12"/>
  <c r="AJ75" i="12"/>
  <c r="AJ76" i="12"/>
  <c r="AA76" i="12"/>
  <c r="S75" i="12"/>
  <c r="S76" i="12"/>
  <c r="K76" i="12"/>
  <c r="Q76" i="12"/>
  <c r="I76" i="12"/>
  <c r="AK75" i="12"/>
  <c r="AK76" i="12"/>
  <c r="V76" i="12"/>
  <c r="E76" i="12"/>
  <c r="W75" i="12"/>
  <c r="W76" i="12"/>
  <c r="D75" i="12"/>
  <c r="D76" i="12"/>
  <c r="U75" i="12"/>
  <c r="U76" i="12"/>
  <c r="AH75" i="12"/>
  <c r="AH76" i="12"/>
  <c r="AB76" i="12"/>
  <c r="AC76" i="12"/>
  <c r="M75" i="12"/>
  <c r="M76" i="12"/>
  <c r="F76" i="12"/>
  <c r="Z75" i="12"/>
  <c r="Z76" i="12"/>
  <c r="AN75" i="12"/>
  <c r="AN76" i="12"/>
  <c r="H76" i="12"/>
  <c r="G80" i="12"/>
  <c r="G83" i="12"/>
  <c r="G82" i="12"/>
  <c r="G81" i="12"/>
  <c r="AO236" i="13"/>
  <c r="T75" i="5" s="1"/>
  <c r="T77" i="5" s="1"/>
  <c r="AV143" i="13"/>
  <c r="AV236" i="13"/>
  <c r="AA75" i="5" s="1"/>
  <c r="AA77" i="5" s="1"/>
  <c r="AU236" i="13"/>
  <c r="Z75" i="5" s="1"/>
  <c r="Z77" i="5" s="1"/>
  <c r="AK236" i="13"/>
  <c r="P75" i="5" s="1"/>
  <c r="P77" i="5" s="1"/>
  <c r="AT236" i="13"/>
  <c r="Y75" i="5" s="1"/>
  <c r="Y77" i="5" s="1"/>
  <c r="BA143" i="13"/>
  <c r="BA236" i="13"/>
  <c r="AS236" i="13"/>
  <c r="X75" i="5" s="1"/>
  <c r="X77" i="5" s="1"/>
  <c r="BF236" i="13"/>
  <c r="AK75" i="5" s="1"/>
  <c r="AK77" i="5" s="1"/>
  <c r="AE59" i="12"/>
  <c r="AE61" i="12" s="1"/>
  <c r="AE63" i="12" s="1"/>
  <c r="H75" i="12"/>
  <c r="K75" i="12"/>
  <c r="E75" i="12"/>
  <c r="AI75" i="12"/>
  <c r="V75" i="12"/>
  <c r="F75" i="12"/>
  <c r="P75" i="12"/>
  <c r="AA75" i="12"/>
  <c r="AE52" i="12"/>
  <c r="AE53" i="12" s="1"/>
  <c r="AE6" i="4" s="1"/>
  <c r="AE13" i="3" s="1"/>
  <c r="AE21" i="3" s="1"/>
  <c r="AE22" i="3" s="1"/>
  <c r="AE23" i="3" s="1"/>
  <c r="AB75" i="12"/>
  <c r="E61" i="12"/>
  <c r="E63" i="12" s="1"/>
  <c r="E66" i="12" s="1"/>
  <c r="U61" i="12"/>
  <c r="U63" i="12" s="1"/>
  <c r="U64" i="12" s="1"/>
  <c r="U65" i="12" s="1"/>
  <c r="AC61" i="12"/>
  <c r="AC63" i="12" s="1"/>
  <c r="AC66" i="12" s="1"/>
  <c r="AB61" i="12"/>
  <c r="AB63" i="12" s="1"/>
  <c r="AB66" i="12" s="1"/>
  <c r="AF66" i="12"/>
  <c r="AF69" i="12" s="1"/>
  <c r="S61" i="12"/>
  <c r="S63" i="12" s="1"/>
  <c r="S64" i="12" s="1"/>
  <c r="S65" i="12" s="1"/>
  <c r="Q75" i="12"/>
  <c r="J61" i="12"/>
  <c r="J63" i="12" s="1"/>
  <c r="J64" i="12" s="1"/>
  <c r="J65" i="12" s="1"/>
  <c r="AC75" i="12"/>
  <c r="AI61" i="12"/>
  <c r="AI63" i="12" s="1"/>
  <c r="AI66" i="12" s="1"/>
  <c r="AC46" i="12"/>
  <c r="AC47" i="12" s="1"/>
  <c r="AC48" i="12"/>
  <c r="AJ59" i="12"/>
  <c r="AJ62" i="12"/>
  <c r="Q48" i="12"/>
  <c r="Q46" i="12"/>
  <c r="Q47" i="12" s="1"/>
  <c r="F59" i="12"/>
  <c r="F62" i="12"/>
  <c r="Y48" i="12"/>
  <c r="Y46" i="12"/>
  <c r="Y47" i="12" s="1"/>
  <c r="AJ46" i="12"/>
  <c r="AJ47" i="12" s="1"/>
  <c r="AJ48" i="12"/>
  <c r="AD60" i="12"/>
  <c r="AD61" i="12"/>
  <c r="AD63" i="12" s="1"/>
  <c r="T48" i="12"/>
  <c r="T46" i="12"/>
  <c r="T47" i="12" s="1"/>
  <c r="I59" i="12"/>
  <c r="I62" i="12"/>
  <c r="R67" i="12"/>
  <c r="R68" i="12"/>
  <c r="R69" i="12"/>
  <c r="AM60" i="12"/>
  <c r="AM61" i="12"/>
  <c r="AM63" i="12" s="1"/>
  <c r="AF51" i="12"/>
  <c r="AF49" i="12"/>
  <c r="AF50" i="12"/>
  <c r="Y59" i="12"/>
  <c r="Y62" i="12"/>
  <c r="S48" i="12"/>
  <c r="S46" i="12"/>
  <c r="S47" i="12" s="1"/>
  <c r="AA61" i="12"/>
  <c r="AA63" i="12" s="1"/>
  <c r="X50" i="12"/>
  <c r="X49" i="12"/>
  <c r="X51" i="12"/>
  <c r="AL46" i="12"/>
  <c r="AL47" i="12" s="1"/>
  <c r="AL48" i="12"/>
  <c r="AN48" i="12"/>
  <c r="AN46" i="12"/>
  <c r="AN47" i="12" s="1"/>
  <c r="G60" i="12"/>
  <c r="G61" i="12"/>
  <c r="G63" i="12" s="1"/>
  <c r="AG61" i="12"/>
  <c r="AG63" i="12" s="1"/>
  <c r="Q59" i="12"/>
  <c r="Q62" i="12"/>
  <c r="L68" i="12"/>
  <c r="L69" i="12"/>
  <c r="L67" i="12"/>
  <c r="Z59" i="12"/>
  <c r="Z62" i="12"/>
  <c r="U46" i="12"/>
  <c r="U47" i="12" s="1"/>
  <c r="U48" i="12"/>
  <c r="K45" i="12"/>
  <c r="O51" i="12"/>
  <c r="O49" i="12"/>
  <c r="O50" i="12"/>
  <c r="D46" i="12"/>
  <c r="D47" i="12" s="1"/>
  <c r="D48" i="12"/>
  <c r="V45" i="12"/>
  <c r="F48" i="12"/>
  <c r="F46" i="12"/>
  <c r="F47" i="12" s="1"/>
  <c r="AN59" i="12"/>
  <c r="AN62" i="12"/>
  <c r="AD51" i="12"/>
  <c r="AD49" i="12"/>
  <c r="AD50" i="12"/>
  <c r="J46" i="12"/>
  <c r="J47" i="12" s="1"/>
  <c r="J48" i="12"/>
  <c r="O66" i="12"/>
  <c r="O64" i="12"/>
  <c r="O65" i="12" s="1"/>
  <c r="T59" i="12"/>
  <c r="T62" i="12"/>
  <c r="M45" i="12"/>
  <c r="AK46" i="12"/>
  <c r="AK47" i="12" s="1"/>
  <c r="AK48" i="12"/>
  <c r="V59" i="12"/>
  <c r="V60" i="12" s="1"/>
  <c r="V62" i="12"/>
  <c r="H50" i="12"/>
  <c r="H49" i="12"/>
  <c r="H51" i="12"/>
  <c r="W49" i="12"/>
  <c r="W50" i="12"/>
  <c r="W51" i="12"/>
  <c r="P59" i="12"/>
  <c r="P62" i="12"/>
  <c r="AA48" i="12"/>
  <c r="AA46" i="12"/>
  <c r="AA47" i="12" s="1"/>
  <c r="N61" i="12"/>
  <c r="N63" i="12" s="1"/>
  <c r="AG46" i="12"/>
  <c r="AG47" i="12" s="1"/>
  <c r="AG48" i="12"/>
  <c r="AB48" i="12"/>
  <c r="AB46" i="12"/>
  <c r="AB47" i="12" s="1"/>
  <c r="N48" i="12"/>
  <c r="N46" i="12"/>
  <c r="N47" i="12" s="1"/>
  <c r="AI46" i="12"/>
  <c r="AI47" i="12" s="1"/>
  <c r="AI48" i="12"/>
  <c r="K59" i="12"/>
  <c r="K60" i="12" s="1"/>
  <c r="K62" i="12"/>
  <c r="AL59" i="12"/>
  <c r="AL62" i="12"/>
  <c r="M58" i="12"/>
  <c r="AK61" i="12"/>
  <c r="AK63" i="12" s="1"/>
  <c r="P48" i="12"/>
  <c r="P46" i="12"/>
  <c r="P47" i="12" s="1"/>
  <c r="E46" i="12"/>
  <c r="E47" i="12" s="1"/>
  <c r="E48" i="12"/>
  <c r="C60" i="12"/>
  <c r="C61" i="12"/>
  <c r="C63" i="12" s="1"/>
  <c r="W64" i="12"/>
  <c r="W65" i="12" s="1"/>
  <c r="W66" i="12"/>
  <c r="Z46" i="12"/>
  <c r="Z47" i="12" s="1"/>
  <c r="Z48" i="12"/>
  <c r="AH48" i="12"/>
  <c r="AH46" i="12"/>
  <c r="AH47" i="12" s="1"/>
  <c r="G51" i="12"/>
  <c r="G50" i="12"/>
  <c r="G49" i="12"/>
  <c r="D61" i="12"/>
  <c r="D63" i="12" s="1"/>
  <c r="X64" i="12"/>
  <c r="X65" i="12" s="1"/>
  <c r="X66" i="12"/>
  <c r="AM49" i="12"/>
  <c r="AM50" i="12"/>
  <c r="AM51" i="12"/>
  <c r="I75" i="12"/>
  <c r="I48" i="12"/>
  <c r="I46" i="12"/>
  <c r="I47" i="12" s="1"/>
  <c r="C49" i="12"/>
  <c r="C51" i="12"/>
  <c r="C50" i="12"/>
  <c r="AH59" i="12"/>
  <c r="AH62" i="12"/>
  <c r="H60" i="12"/>
  <c r="H61" i="12"/>
  <c r="H63" i="12" s="1"/>
  <c r="AU143" i="13"/>
  <c r="D75" i="5"/>
  <c r="D77" i="5" s="1"/>
  <c r="AS143" i="13"/>
  <c r="AR143" i="13"/>
  <c r="AT143" i="13"/>
  <c r="AL75" i="5"/>
  <c r="AL77" i="5" s="1"/>
  <c r="BG143" i="13"/>
  <c r="AO143" i="13"/>
  <c r="AK143" i="13"/>
  <c r="W75" i="5"/>
  <c r="W77" i="5" s="1"/>
  <c r="BF143" i="13"/>
  <c r="AZ143" i="13"/>
  <c r="Y143" i="13"/>
  <c r="AE75" i="5"/>
  <c r="AE77" i="5" s="1"/>
  <c r="X40" i="17"/>
  <c r="X41" i="17" s="1"/>
  <c r="X22" i="4" s="1"/>
  <c r="AK76" i="5"/>
  <c r="AK78" i="5" s="1"/>
  <c r="AB75" i="5"/>
  <c r="AB77" i="5" s="1"/>
  <c r="AW143" i="13"/>
  <c r="BB143" i="13"/>
  <c r="AX143" i="13"/>
  <c r="AC75" i="5"/>
  <c r="AC77" i="5" s="1"/>
  <c r="AQ143" i="13"/>
  <c r="AB76" i="5"/>
  <c r="AB78" i="5" s="1"/>
  <c r="AC40" i="17"/>
  <c r="AC41" i="17" s="1"/>
  <c r="AC22" i="4" s="1"/>
  <c r="H40" i="17"/>
  <c r="H41" i="17" s="1"/>
  <c r="H22" i="4" s="1"/>
  <c r="P40" i="17"/>
  <c r="P41" i="17" s="1"/>
  <c r="P22" i="4" s="1"/>
  <c r="E40" i="17"/>
  <c r="E41" i="17" s="1"/>
  <c r="E22" i="4" s="1"/>
  <c r="C40" i="17"/>
  <c r="C41" i="17" s="1"/>
  <c r="C22" i="4" s="1"/>
  <c r="AG143" i="13"/>
  <c r="Z143" i="13"/>
  <c r="Q75" i="5"/>
  <c r="Q77" i="5" s="1"/>
  <c r="F75" i="5"/>
  <c r="F77" i="5" s="1"/>
  <c r="AA143" i="13"/>
  <c r="K75" i="5"/>
  <c r="K77" i="5" s="1"/>
  <c r="AF143" i="13"/>
  <c r="AE143" i="13"/>
  <c r="R76" i="5"/>
  <c r="R78" i="5" s="1"/>
  <c r="I76" i="5"/>
  <c r="I78" i="5" s="1"/>
  <c r="AY143" i="13"/>
  <c r="BC143" i="13"/>
  <c r="AO75" i="5"/>
  <c r="AO77" i="5" s="1"/>
  <c r="D76" i="5"/>
  <c r="D78" i="5" s="1"/>
  <c r="BE143" i="13"/>
  <c r="R75" i="5"/>
  <c r="R77" i="5" s="1"/>
  <c r="AM143" i="13"/>
  <c r="O75" i="5"/>
  <c r="O77" i="5" s="1"/>
  <c r="AJ143" i="13"/>
  <c r="BD143" i="13"/>
  <c r="F76" i="5"/>
  <c r="F78" i="5" s="1"/>
  <c r="AB143" i="13"/>
  <c r="AI143" i="13"/>
  <c r="AP143" i="13"/>
  <c r="Y76" i="5"/>
  <c r="Y78" i="5" s="1"/>
  <c r="BI143" i="13"/>
  <c r="AC143" i="13"/>
  <c r="I75" i="5"/>
  <c r="I77" i="5" s="1"/>
  <c r="AD143" i="13"/>
  <c r="D86" i="20"/>
  <c r="P86" i="20"/>
  <c r="S86" i="20"/>
  <c r="F87" i="20"/>
  <c r="F10" i="4" s="1"/>
  <c r="F17" i="3" s="1"/>
  <c r="AN86" i="20"/>
  <c r="AL86" i="20"/>
  <c r="AE86" i="20"/>
  <c r="AH43" i="21"/>
  <c r="AH45" i="21" s="1"/>
  <c r="AK86" i="20"/>
  <c r="E87" i="20"/>
  <c r="E10" i="4" s="1"/>
  <c r="E17" i="3" s="1"/>
  <c r="L87" i="20"/>
  <c r="L10" i="4" s="1"/>
  <c r="L17" i="3" s="1"/>
  <c r="L21" i="3" s="1"/>
  <c r="L22" i="3" s="1"/>
  <c r="L23" i="3" s="1"/>
  <c r="H87" i="20"/>
  <c r="H10" i="4" s="1"/>
  <c r="H17" i="3" s="1"/>
  <c r="N87" i="20"/>
  <c r="N10" i="4" s="1"/>
  <c r="N17" i="3" s="1"/>
  <c r="Z44" i="21"/>
  <c r="Z62" i="21" s="1"/>
  <c r="U86" i="20"/>
  <c r="AH87" i="20"/>
  <c r="AH10" i="4" s="1"/>
  <c r="AH17" i="3" s="1"/>
  <c r="W86" i="20"/>
  <c r="J87" i="20"/>
  <c r="J10" i="4" s="1"/>
  <c r="J17" i="3" s="1"/>
  <c r="H44" i="21"/>
  <c r="H62" i="21" s="1"/>
  <c r="K43" i="21"/>
  <c r="K61" i="21" s="1"/>
  <c r="AI86" i="20"/>
  <c r="I87" i="20"/>
  <c r="I10" i="4" s="1"/>
  <c r="I17" i="3" s="1"/>
  <c r="R87" i="20"/>
  <c r="R10" i="4" s="1"/>
  <c r="R17" i="3" s="1"/>
  <c r="R21" i="3" s="1"/>
  <c r="R22" i="3" s="1"/>
  <c r="R23" i="3" s="1"/>
  <c r="T40" i="20"/>
  <c r="T41" i="20"/>
  <c r="T45" i="20"/>
  <c r="AJ86" i="20"/>
  <c r="AC87" i="20"/>
  <c r="AC10" i="4" s="1"/>
  <c r="AC17" i="3" s="1"/>
  <c r="Z87" i="20"/>
  <c r="Z10" i="4" s="1"/>
  <c r="Z17" i="3" s="1"/>
  <c r="Q44" i="21"/>
  <c r="Q62" i="21" s="1"/>
  <c r="Q69" i="21" s="1"/>
  <c r="Q70" i="21" s="1"/>
  <c r="T42" i="20"/>
  <c r="AF87" i="20"/>
  <c r="AF10" i="4" s="1"/>
  <c r="AF17" i="3" s="1"/>
  <c r="AB87" i="20"/>
  <c r="AB10" i="4" s="1"/>
  <c r="AB17" i="3" s="1"/>
  <c r="AD86" i="20"/>
  <c r="AK43" i="21"/>
  <c r="AK61" i="21" s="1"/>
  <c r="AK69" i="21" s="1"/>
  <c r="AK70" i="21" s="1"/>
  <c r="AA86" i="20"/>
  <c r="Q87" i="20"/>
  <c r="Q10" i="4" s="1"/>
  <c r="Q17" i="3" s="1"/>
  <c r="Y86" i="20"/>
  <c r="T83" i="20"/>
  <c r="AM87" i="20"/>
  <c r="AM10" i="4" s="1"/>
  <c r="AM17" i="3" s="1"/>
  <c r="X86" i="20"/>
  <c r="G87" i="20"/>
  <c r="G10" i="4" s="1"/>
  <c r="G17" i="3" s="1"/>
  <c r="K87" i="20"/>
  <c r="K10" i="4" s="1"/>
  <c r="K17" i="3" s="1"/>
  <c r="V87" i="20"/>
  <c r="V10" i="4" s="1"/>
  <c r="V17" i="3" s="1"/>
  <c r="M87" i="20"/>
  <c r="M10" i="4" s="1"/>
  <c r="M17" i="3" s="1"/>
  <c r="T94" i="20"/>
  <c r="T85" i="20"/>
  <c r="T87" i="20" s="1"/>
  <c r="C86" i="20"/>
  <c r="AI43" i="21"/>
  <c r="AI61" i="21" s="1"/>
  <c r="AF44" i="21"/>
  <c r="AF62" i="21" s="1"/>
  <c r="AF69" i="21" s="1"/>
  <c r="AF70" i="21" s="1"/>
  <c r="G44" i="21"/>
  <c r="G62" i="21" s="1"/>
  <c r="W44" i="21"/>
  <c r="W62" i="21" s="1"/>
  <c r="J43" i="21"/>
  <c r="J61" i="21" s="1"/>
  <c r="AA43" i="21"/>
  <c r="AA61" i="21" s="1"/>
  <c r="AJ43" i="21"/>
  <c r="AJ61" i="21" s="1"/>
  <c r="I43" i="21"/>
  <c r="I61" i="21" s="1"/>
  <c r="O43" i="21"/>
  <c r="O61" i="21" s="1"/>
  <c r="O87" i="20"/>
  <c r="O10" i="4" s="1"/>
  <c r="O17" i="3" s="1"/>
  <c r="P43" i="21"/>
  <c r="P45" i="21" s="1"/>
  <c r="T44" i="20"/>
  <c r="U52" i="21"/>
  <c r="U53" i="21" s="1"/>
  <c r="V61" i="21"/>
  <c r="V45" i="21"/>
  <c r="R45" i="21"/>
  <c r="E61" i="21"/>
  <c r="E45" i="21"/>
  <c r="Z61" i="21"/>
  <c r="AO61" i="21"/>
  <c r="AO45" i="21"/>
  <c r="U61" i="21"/>
  <c r="U45" i="21"/>
  <c r="D45" i="21"/>
  <c r="D61" i="21"/>
  <c r="D69" i="21" s="1"/>
  <c r="D70" i="21" s="1"/>
  <c r="L61" i="21"/>
  <c r="L69" i="21" s="1"/>
  <c r="L70" i="21" s="1"/>
  <c r="L45" i="21"/>
  <c r="G61" i="21"/>
  <c r="AN45" i="21"/>
  <c r="AN61" i="21"/>
  <c r="X61" i="21"/>
  <c r="X45" i="21"/>
  <c r="AM45" i="21"/>
  <c r="AM61" i="21"/>
  <c r="A23" i="14"/>
  <c r="M69" i="21"/>
  <c r="M70" i="21" s="1"/>
  <c r="AE96" i="12" l="1"/>
  <c r="AE102" i="12" s="1"/>
  <c r="G95" i="12"/>
  <c r="G101" i="12" s="1"/>
  <c r="G97" i="12"/>
  <c r="G103" i="12" s="1"/>
  <c r="G96" i="12"/>
  <c r="G102" i="12" s="1"/>
  <c r="AE94" i="12"/>
  <c r="AE100" i="12" s="1"/>
  <c r="G94" i="12"/>
  <c r="AE97" i="12"/>
  <c r="AE103" i="12" s="1"/>
  <c r="AE95" i="12"/>
  <c r="AE101" i="12" s="1"/>
  <c r="AE92" i="12"/>
  <c r="AM81" i="12"/>
  <c r="O82" i="12"/>
  <c r="O81" i="12"/>
  <c r="O83" i="12"/>
  <c r="O80" i="12"/>
  <c r="AF81" i="12"/>
  <c r="AF80" i="12"/>
  <c r="AF82" i="12"/>
  <c r="AF83" i="12"/>
  <c r="AD81" i="12"/>
  <c r="AD83" i="12"/>
  <c r="AD82" i="12"/>
  <c r="AD80" i="12"/>
  <c r="Y80" i="12"/>
  <c r="Y81" i="12"/>
  <c r="Y82" i="12"/>
  <c r="Y83" i="12"/>
  <c r="AG81" i="12"/>
  <c r="AG80" i="12"/>
  <c r="AG83" i="12"/>
  <c r="AG82" i="12"/>
  <c r="AL81" i="12"/>
  <c r="AL80" i="12"/>
  <c r="AL82" i="12"/>
  <c r="AL83" i="12"/>
  <c r="X83" i="12"/>
  <c r="X80" i="12"/>
  <c r="X81" i="12"/>
  <c r="X82" i="12"/>
  <c r="N82" i="12"/>
  <c r="N83" i="12"/>
  <c r="N80" i="12"/>
  <c r="N81" i="12"/>
  <c r="C83" i="12"/>
  <c r="C82" i="12"/>
  <c r="C81" i="12"/>
  <c r="C80" i="12"/>
  <c r="D77" i="12"/>
  <c r="D78" i="12" s="1"/>
  <c r="AA77" i="12"/>
  <c r="AA78" i="12" s="1"/>
  <c r="H77" i="12"/>
  <c r="H78" i="12" s="1"/>
  <c r="AC77" i="12"/>
  <c r="AC78" i="12" s="1"/>
  <c r="I77" i="12"/>
  <c r="I78" i="12" s="1"/>
  <c r="AJ77" i="12"/>
  <c r="AJ78" i="12" s="1"/>
  <c r="AN77" i="12"/>
  <c r="AN78" i="12" s="1"/>
  <c r="AB77" i="12"/>
  <c r="AB78" i="12" s="1"/>
  <c r="AM80" i="12"/>
  <c r="Q77" i="12"/>
  <c r="Q78" i="12" s="1"/>
  <c r="F77" i="12"/>
  <c r="F78" i="12" s="1"/>
  <c r="V77" i="12"/>
  <c r="V78" i="12" s="1"/>
  <c r="S77" i="12"/>
  <c r="S78" i="12" s="1"/>
  <c r="S80" i="12" s="1"/>
  <c r="M77" i="12"/>
  <c r="M78" i="12" s="1"/>
  <c r="AK77" i="12"/>
  <c r="AK78" i="12" s="1"/>
  <c r="AH77" i="12"/>
  <c r="AH78" i="12" s="1"/>
  <c r="W77" i="12"/>
  <c r="W78" i="12" s="1"/>
  <c r="AI77" i="12"/>
  <c r="AI78" i="12" s="1"/>
  <c r="Z77" i="12"/>
  <c r="Z78" i="12" s="1"/>
  <c r="AM83" i="12"/>
  <c r="AM96" i="12" s="1"/>
  <c r="P77" i="12"/>
  <c r="P78" i="12" s="1"/>
  <c r="AE118" i="12"/>
  <c r="U77" i="12"/>
  <c r="U78" i="12" s="1"/>
  <c r="E77" i="12"/>
  <c r="E78" i="12" s="1"/>
  <c r="K77" i="12"/>
  <c r="K78" i="12" s="1"/>
  <c r="J77" i="12"/>
  <c r="J78" i="12" s="1"/>
  <c r="E37" i="5"/>
  <c r="E38" i="5" s="1"/>
  <c r="E54" i="5"/>
  <c r="AE37" i="5"/>
  <c r="AE38" i="5" s="1"/>
  <c r="J37" i="5"/>
  <c r="J38" i="5" s="1"/>
  <c r="AL69" i="21"/>
  <c r="AL70" i="21" s="1"/>
  <c r="Y45" i="21"/>
  <c r="Y47" i="21" s="1"/>
  <c r="AL45" i="21"/>
  <c r="AL47" i="21" s="1"/>
  <c r="AB45" i="21"/>
  <c r="AB47" i="21" s="1"/>
  <c r="AC45" i="21"/>
  <c r="AC46" i="21" s="1"/>
  <c r="AJ37" i="5"/>
  <c r="AJ38" i="5" s="1"/>
  <c r="X37" i="5"/>
  <c r="X38" i="5" s="1"/>
  <c r="AK37" i="5"/>
  <c r="AK38" i="5" s="1"/>
  <c r="H37" i="5"/>
  <c r="H38" i="5" s="1"/>
  <c r="AN37" i="5"/>
  <c r="AN38" i="5" s="1"/>
  <c r="U37" i="5"/>
  <c r="U38" i="5" s="1"/>
  <c r="Q37" i="5"/>
  <c r="Q38" i="5" s="1"/>
  <c r="AG37" i="5"/>
  <c r="AG38" i="5" s="1"/>
  <c r="O37" i="5"/>
  <c r="O38" i="5" s="1"/>
  <c r="AA37" i="5"/>
  <c r="AA38" i="5" s="1"/>
  <c r="T37" i="5"/>
  <c r="T38" i="5" s="1"/>
  <c r="R37" i="5"/>
  <c r="R38" i="5" s="1"/>
  <c r="P37" i="5"/>
  <c r="P38" i="5" s="1"/>
  <c r="D53" i="5"/>
  <c r="D54" i="5" s="1"/>
  <c r="AI37" i="5"/>
  <c r="AI38" i="5" s="1"/>
  <c r="AF37" i="5"/>
  <c r="AF38" i="5" s="1"/>
  <c r="K37" i="5"/>
  <c r="K38" i="5" s="1"/>
  <c r="G37" i="5"/>
  <c r="G38" i="5" s="1"/>
  <c r="N44" i="21"/>
  <c r="N62" i="21" s="1"/>
  <c r="N43" i="21"/>
  <c r="AB37" i="5"/>
  <c r="AB38" i="5" s="1"/>
  <c r="F44" i="21"/>
  <c r="F62" i="21" s="1"/>
  <c r="F43" i="21"/>
  <c r="AG43" i="21"/>
  <c r="AG61" i="21" s="1"/>
  <c r="AG44" i="21"/>
  <c r="AG62" i="21" s="1"/>
  <c r="AD44" i="21"/>
  <c r="AD62" i="21" s="1"/>
  <c r="AD43" i="21"/>
  <c r="D38" i="5"/>
  <c r="F37" i="5"/>
  <c r="F38" i="5" s="1"/>
  <c r="W37" i="5"/>
  <c r="W38" i="5" s="1"/>
  <c r="T43" i="21"/>
  <c r="T44" i="21"/>
  <c r="T62" i="21" s="1"/>
  <c r="AM37" i="5"/>
  <c r="AM38" i="5" s="1"/>
  <c r="N37" i="5"/>
  <c r="N38" i="5" s="1"/>
  <c r="Y37" i="5"/>
  <c r="Y38" i="5" s="1"/>
  <c r="L37" i="5"/>
  <c r="L38" i="5" s="1"/>
  <c r="AO37" i="5"/>
  <c r="AO38" i="5" s="1"/>
  <c r="AO46" i="5"/>
  <c r="AO84" i="5" s="1"/>
  <c r="V37" i="5"/>
  <c r="V38" i="5" s="1"/>
  <c r="Z37" i="5"/>
  <c r="Z38" i="5" s="1"/>
  <c r="AC37" i="5"/>
  <c r="AC38" i="5" s="1"/>
  <c r="AC46" i="5"/>
  <c r="AC84" i="5" s="1"/>
  <c r="AL37" i="5"/>
  <c r="AL38" i="5" s="1"/>
  <c r="AD37" i="5"/>
  <c r="AD38" i="5" s="1"/>
  <c r="I37" i="5"/>
  <c r="I38" i="5" s="1"/>
  <c r="AE44" i="21"/>
  <c r="AE62" i="21" s="1"/>
  <c r="AE43" i="21"/>
  <c r="AE61" i="21" s="1"/>
  <c r="AH37" i="5"/>
  <c r="AH38" i="5" s="1"/>
  <c r="AF75" i="5"/>
  <c r="AF77" i="5" s="1"/>
  <c r="R119" i="12"/>
  <c r="R120" i="12" s="1"/>
  <c r="R122" i="12" s="1"/>
  <c r="R115" i="12"/>
  <c r="L112" i="12"/>
  <c r="L115" i="12"/>
  <c r="L119" i="12"/>
  <c r="L120" i="12" s="1"/>
  <c r="L122" i="12" s="1"/>
  <c r="R112" i="12"/>
  <c r="T81" i="12"/>
  <c r="T82" i="12"/>
  <c r="T83" i="12"/>
  <c r="T80" i="12"/>
  <c r="G118" i="12"/>
  <c r="G92" i="12"/>
  <c r="AE60" i="12"/>
  <c r="AF52" i="12"/>
  <c r="AF53" i="12" s="1"/>
  <c r="AF6" i="4" s="1"/>
  <c r="AF13" i="3" s="1"/>
  <c r="AF21" i="3" s="1"/>
  <c r="AF22" i="3" s="1"/>
  <c r="AF23" i="3" s="1"/>
  <c r="G52" i="12"/>
  <c r="G53" i="12" s="1"/>
  <c r="G6" i="4" s="1"/>
  <c r="G13" i="3" s="1"/>
  <c r="G21" i="3" s="1"/>
  <c r="G22" i="3" s="1"/>
  <c r="G23" i="3" s="1"/>
  <c r="O52" i="12"/>
  <c r="O53" i="12" s="1"/>
  <c r="O6" i="4" s="1"/>
  <c r="O13" i="3" s="1"/>
  <c r="O21" i="3" s="1"/>
  <c r="O22" i="3" s="1"/>
  <c r="O23" i="3" s="1"/>
  <c r="C52" i="12"/>
  <c r="C53" i="12" s="1"/>
  <c r="C6" i="4" s="1"/>
  <c r="C13" i="3" s="1"/>
  <c r="C21" i="3" s="1"/>
  <c r="C22" i="3" s="1"/>
  <c r="C23" i="3" s="1"/>
  <c r="E64" i="12"/>
  <c r="E65" i="12" s="1"/>
  <c r="U66" i="12"/>
  <c r="U68" i="12" s="1"/>
  <c r="V61" i="12"/>
  <c r="V63" i="12" s="1"/>
  <c r="V64" i="12" s="1"/>
  <c r="V65" i="12" s="1"/>
  <c r="AF67" i="12"/>
  <c r="AF68" i="12"/>
  <c r="S66" i="12"/>
  <c r="S68" i="12" s="1"/>
  <c r="AB64" i="12"/>
  <c r="AB65" i="12" s="1"/>
  <c r="J66" i="12"/>
  <c r="J68" i="12" s="1"/>
  <c r="AC64" i="12"/>
  <c r="AC65" i="12" s="1"/>
  <c r="AI64" i="12"/>
  <c r="AI65" i="12" s="1"/>
  <c r="C66" i="12"/>
  <c r="C64" i="12"/>
  <c r="C65" i="12" s="1"/>
  <c r="AB50" i="12"/>
  <c r="AB49" i="12"/>
  <c r="AB51" i="12"/>
  <c r="AK49" i="12"/>
  <c r="AK50" i="12"/>
  <c r="AK51" i="12"/>
  <c r="AG66" i="12"/>
  <c r="AG64" i="12"/>
  <c r="AG65" i="12" s="1"/>
  <c r="Y51" i="12"/>
  <c r="Y50" i="12"/>
  <c r="Y49" i="12"/>
  <c r="E69" i="12"/>
  <c r="E67" i="12"/>
  <c r="E68" i="12"/>
  <c r="AB67" i="12"/>
  <c r="AB68" i="12"/>
  <c r="AB69" i="12"/>
  <c r="W52" i="12"/>
  <c r="W53" i="12" s="1"/>
  <c r="W6" i="4" s="1"/>
  <c r="W13" i="3" s="1"/>
  <c r="W21" i="3" s="1"/>
  <c r="W22" i="3" s="1"/>
  <c r="W23" i="3" s="1"/>
  <c r="T60" i="12"/>
  <c r="T61" i="12"/>
  <c r="T63" i="12" s="1"/>
  <c r="K61" i="12"/>
  <c r="K63" i="12" s="1"/>
  <c r="G66" i="12"/>
  <c r="G64" i="12"/>
  <c r="G65" i="12" s="1"/>
  <c r="X52" i="12"/>
  <c r="X53" i="12" s="1"/>
  <c r="X6" i="4" s="1"/>
  <c r="X13" i="3" s="1"/>
  <c r="X21" i="3" s="1"/>
  <c r="X22" i="3" s="1"/>
  <c r="X23" i="3" s="1"/>
  <c r="I50" i="12"/>
  <c r="I51" i="12"/>
  <c r="I49" i="12"/>
  <c r="D64" i="12"/>
  <c r="D65" i="12" s="1"/>
  <c r="D66" i="12"/>
  <c r="W67" i="12"/>
  <c r="W68" i="12"/>
  <c r="W69" i="12"/>
  <c r="E49" i="12"/>
  <c r="E50" i="12"/>
  <c r="E51" i="12"/>
  <c r="AK64" i="12"/>
  <c r="AK65" i="12" s="1"/>
  <c r="AK66" i="12"/>
  <c r="AD52" i="12"/>
  <c r="AD53" i="12" s="1"/>
  <c r="AD6" i="4" s="1"/>
  <c r="AD13" i="3" s="1"/>
  <c r="AD21" i="3" s="1"/>
  <c r="AD22" i="3" s="1"/>
  <c r="AD23" i="3" s="1"/>
  <c r="V48" i="12"/>
  <c r="V46" i="12"/>
  <c r="V47" i="12" s="1"/>
  <c r="K46" i="12"/>
  <c r="K47" i="12" s="1"/>
  <c r="K48" i="12"/>
  <c r="Z60" i="12"/>
  <c r="Z61" i="12"/>
  <c r="Z63" i="12" s="1"/>
  <c r="S51" i="12"/>
  <c r="S50" i="12"/>
  <c r="S49" i="12"/>
  <c r="F60" i="12"/>
  <c r="F61" i="12"/>
  <c r="F63" i="12" s="1"/>
  <c r="AI49" i="12"/>
  <c r="AI50" i="12"/>
  <c r="AI51" i="12"/>
  <c r="M46" i="12"/>
  <c r="M47" i="12" s="1"/>
  <c r="M48" i="12"/>
  <c r="O67" i="12"/>
  <c r="O68" i="12"/>
  <c r="O69" i="12"/>
  <c r="Q60" i="12"/>
  <c r="Q61" i="12"/>
  <c r="Q63" i="12" s="1"/>
  <c r="AM66" i="12"/>
  <c r="AM64" i="12"/>
  <c r="AM65" i="12" s="1"/>
  <c r="Z51" i="12"/>
  <c r="Z49" i="12"/>
  <c r="Z50" i="12"/>
  <c r="F51" i="12"/>
  <c r="F50" i="12"/>
  <c r="F49" i="12"/>
  <c r="H66" i="12"/>
  <c r="H64" i="12"/>
  <c r="H65" i="12" s="1"/>
  <c r="AH60" i="12"/>
  <c r="AH61" i="12"/>
  <c r="AH63" i="12" s="1"/>
  <c r="M59" i="12"/>
  <c r="M62" i="12"/>
  <c r="AE66" i="12"/>
  <c r="AE64" i="12"/>
  <c r="AE65" i="12" s="1"/>
  <c r="J50" i="12"/>
  <c r="J51" i="12"/>
  <c r="J49" i="12"/>
  <c r="AN50" i="12"/>
  <c r="AN49" i="12"/>
  <c r="AN51" i="12"/>
  <c r="I60" i="12"/>
  <c r="I61" i="12"/>
  <c r="I63" i="12" s="1"/>
  <c r="Q50" i="12"/>
  <c r="Q49" i="12"/>
  <c r="Q51" i="12"/>
  <c r="AM52" i="12"/>
  <c r="AM53" i="12" s="1"/>
  <c r="AM6" i="4" s="1"/>
  <c r="AM13" i="3" s="1"/>
  <c r="AM21" i="3" s="1"/>
  <c r="AM22" i="3" s="1"/>
  <c r="AM23" i="3" s="1"/>
  <c r="AC68" i="12"/>
  <c r="AC67" i="12"/>
  <c r="AC69" i="12"/>
  <c r="P50" i="12"/>
  <c r="P51" i="12"/>
  <c r="P49" i="12"/>
  <c r="AG49" i="12"/>
  <c r="AG50" i="12"/>
  <c r="AG51" i="12"/>
  <c r="H52" i="12"/>
  <c r="H53" i="12" s="1"/>
  <c r="H6" i="4" s="1"/>
  <c r="H13" i="3" s="1"/>
  <c r="H21" i="3" s="1"/>
  <c r="H22" i="3" s="1"/>
  <c r="H23" i="3" s="1"/>
  <c r="L70" i="12"/>
  <c r="L71" i="12" s="1"/>
  <c r="L20" i="4" s="1"/>
  <c r="AL49" i="12"/>
  <c r="AL50" i="12"/>
  <c r="AL51" i="12"/>
  <c r="AJ50" i="12"/>
  <c r="AJ51" i="12"/>
  <c r="AJ49" i="12"/>
  <c r="AC51" i="12"/>
  <c r="AC49" i="12"/>
  <c r="AC50" i="12"/>
  <c r="AL60" i="12"/>
  <c r="AL61" i="12"/>
  <c r="AL63" i="12" s="1"/>
  <c r="N50" i="12"/>
  <c r="N49" i="12"/>
  <c r="N51" i="12"/>
  <c r="AN60" i="12"/>
  <c r="AN61" i="12"/>
  <c r="AN63" i="12" s="1"/>
  <c r="AA64" i="12"/>
  <c r="AA65" i="12" s="1"/>
  <c r="AA66" i="12"/>
  <c r="R70" i="12"/>
  <c r="R71" i="12" s="1"/>
  <c r="R20" i="4" s="1"/>
  <c r="T49" i="12"/>
  <c r="T51" i="12"/>
  <c r="T50" i="12"/>
  <c r="AJ60" i="12"/>
  <c r="AJ61" i="12"/>
  <c r="AJ63" i="12" s="1"/>
  <c r="X67" i="12"/>
  <c r="X69" i="12"/>
  <c r="X68" i="12"/>
  <c r="AH49" i="12"/>
  <c r="AH51" i="12"/>
  <c r="AH50" i="12"/>
  <c r="N66" i="12"/>
  <c r="N64" i="12"/>
  <c r="N65" i="12" s="1"/>
  <c r="AA51" i="12"/>
  <c r="AA49" i="12"/>
  <c r="AA50" i="12"/>
  <c r="P60" i="12"/>
  <c r="P61" i="12"/>
  <c r="P63" i="12" s="1"/>
  <c r="AI67" i="12"/>
  <c r="AI68" i="12"/>
  <c r="AI69" i="12"/>
  <c r="D51" i="12"/>
  <c r="D50" i="12"/>
  <c r="D49" i="12"/>
  <c r="U51" i="12"/>
  <c r="U49" i="12"/>
  <c r="U50" i="12"/>
  <c r="Y60" i="12"/>
  <c r="Y61" i="12"/>
  <c r="Y63" i="12" s="1"/>
  <c r="AD66" i="12"/>
  <c r="AD64" i="12"/>
  <c r="AD65" i="12" s="1"/>
  <c r="AG75" i="5"/>
  <c r="AG77" i="5" s="1"/>
  <c r="V75" i="5"/>
  <c r="V77" i="5" s="1"/>
  <c r="AN75" i="5"/>
  <c r="AN77" i="5" s="1"/>
  <c r="G75" i="5"/>
  <c r="G77" i="5" s="1"/>
  <c r="U75" i="5"/>
  <c r="U77" i="5" s="1"/>
  <c r="AJ75" i="5"/>
  <c r="AJ77" i="5" s="1"/>
  <c r="AD75" i="5"/>
  <c r="AD77" i="5" s="1"/>
  <c r="AH75" i="5"/>
  <c r="AH77" i="5" s="1"/>
  <c r="J75" i="5"/>
  <c r="J77" i="5" s="1"/>
  <c r="E75" i="5"/>
  <c r="E77" i="5" s="1"/>
  <c r="H75" i="5"/>
  <c r="H77" i="5" s="1"/>
  <c r="N75" i="5"/>
  <c r="N77" i="5" s="1"/>
  <c r="AI75" i="5"/>
  <c r="AI77" i="5" s="1"/>
  <c r="L75" i="5"/>
  <c r="L77" i="5" s="1"/>
  <c r="Z45" i="21"/>
  <c r="Z47" i="21" s="1"/>
  <c r="AH61" i="21"/>
  <c r="AH69" i="21" s="1"/>
  <c r="AH70" i="21" s="1"/>
  <c r="Z69" i="21"/>
  <c r="Z70" i="21" s="1"/>
  <c r="K45" i="21"/>
  <c r="K46" i="21" s="1"/>
  <c r="H45" i="21"/>
  <c r="H47" i="21" s="1"/>
  <c r="AK45" i="21"/>
  <c r="AK47" i="21" s="1"/>
  <c r="Q45" i="21"/>
  <c r="Q47" i="21" s="1"/>
  <c r="T86" i="20"/>
  <c r="AF45" i="21"/>
  <c r="AF46" i="21" s="1"/>
  <c r="W45" i="21"/>
  <c r="W46" i="21" s="1"/>
  <c r="AI45" i="21"/>
  <c r="AI47" i="21" s="1"/>
  <c r="G45" i="21"/>
  <c r="G46" i="21" s="1"/>
  <c r="AJ45" i="21"/>
  <c r="AJ46" i="21" s="1"/>
  <c r="J45" i="21"/>
  <c r="J47" i="21" s="1"/>
  <c r="I45" i="21"/>
  <c r="I46" i="21" s="1"/>
  <c r="AA45" i="21"/>
  <c r="AA47" i="21" s="1"/>
  <c r="O45" i="21"/>
  <c r="O46" i="21" s="1"/>
  <c r="P61" i="21"/>
  <c r="X47" i="21"/>
  <c r="X46" i="21"/>
  <c r="AN47" i="21"/>
  <c r="AN46" i="21"/>
  <c r="D47" i="21"/>
  <c r="D46" i="21"/>
  <c r="E46" i="21"/>
  <c r="E47" i="21"/>
  <c r="AH46" i="21"/>
  <c r="AH47" i="21"/>
  <c r="P47" i="21"/>
  <c r="P46" i="21"/>
  <c r="AM46" i="21"/>
  <c r="AM47" i="21"/>
  <c r="U46" i="21"/>
  <c r="U47" i="21"/>
  <c r="AO47" i="21"/>
  <c r="AO46" i="21"/>
  <c r="R47" i="21"/>
  <c r="R46" i="21"/>
  <c r="L47" i="21"/>
  <c r="L46" i="21"/>
  <c r="V46" i="21"/>
  <c r="V47" i="21"/>
  <c r="T10" i="4"/>
  <c r="T17" i="3" s="1"/>
  <c r="N28" i="14"/>
  <c r="N26" i="14"/>
  <c r="N27" i="14" s="1"/>
  <c r="AC26" i="14"/>
  <c r="AC27" i="14" s="1"/>
  <c r="AC28" i="14"/>
  <c r="X28" i="14"/>
  <c r="X26" i="14"/>
  <c r="X27" i="14" s="1"/>
  <c r="AI28" i="14"/>
  <c r="AI26" i="14"/>
  <c r="AI27" i="14" s="1"/>
  <c r="R28" i="14"/>
  <c r="R26" i="14"/>
  <c r="R27" i="14" s="1"/>
  <c r="C26" i="14"/>
  <c r="C27" i="14" s="1"/>
  <c r="C28" i="14"/>
  <c r="P28" i="14"/>
  <c r="P26" i="14"/>
  <c r="P27" i="14" s="1"/>
  <c r="AH28" i="14"/>
  <c r="AH26" i="14"/>
  <c r="AH27" i="14" s="1"/>
  <c r="AD28" i="14"/>
  <c r="AD26" i="14"/>
  <c r="AD27" i="14" s="1"/>
  <c r="F26" i="14"/>
  <c r="F27" i="14" s="1"/>
  <c r="F28" i="14"/>
  <c r="AN26" i="14"/>
  <c r="AN27" i="14" s="1"/>
  <c r="AN28" i="14"/>
  <c r="AJ26" i="14"/>
  <c r="AJ27" i="14" s="1"/>
  <c r="AJ28" i="14"/>
  <c r="J28" i="14"/>
  <c r="J26" i="14"/>
  <c r="J27" i="14" s="1"/>
  <c r="AA28" i="14"/>
  <c r="AA26" i="14"/>
  <c r="AA27" i="14" s="1"/>
  <c r="AL26" i="14"/>
  <c r="AL27" i="14" s="1"/>
  <c r="AL28" i="14"/>
  <c r="AG26" i="14"/>
  <c r="AG27" i="14" s="1"/>
  <c r="AG28" i="14"/>
  <c r="S28" i="14"/>
  <c r="S26" i="14"/>
  <c r="S27" i="14" s="1"/>
  <c r="Z28" i="14"/>
  <c r="Z26" i="14"/>
  <c r="Z27" i="14" s="1"/>
  <c r="D28" i="14"/>
  <c r="D26" i="14"/>
  <c r="D27" i="14" s="1"/>
  <c r="V28" i="14"/>
  <c r="V26" i="14"/>
  <c r="V27" i="14" s="1"/>
  <c r="AE28" i="14"/>
  <c r="AE26" i="14"/>
  <c r="AE27" i="14" s="1"/>
  <c r="E28" i="14"/>
  <c r="E26" i="14"/>
  <c r="E27" i="14" s="1"/>
  <c r="U26" i="14"/>
  <c r="U27" i="14" s="1"/>
  <c r="U28" i="14"/>
  <c r="AK26" i="14"/>
  <c r="AK27" i="14" s="1"/>
  <c r="AK28" i="14"/>
  <c r="AM26" i="14"/>
  <c r="AM27" i="14" s="1"/>
  <c r="AM28" i="14"/>
  <c r="W28" i="14"/>
  <c r="W26" i="14"/>
  <c r="W27" i="14" s="1"/>
  <c r="AB28" i="14"/>
  <c r="AB26" i="14"/>
  <c r="AB27" i="14" s="1"/>
  <c r="T26" i="14"/>
  <c r="T27" i="14" s="1"/>
  <c r="T28" i="14"/>
  <c r="Q26" i="14"/>
  <c r="Q27" i="14" s="1"/>
  <c r="Q28" i="14"/>
  <c r="Y26" i="14"/>
  <c r="Y27" i="14" s="1"/>
  <c r="Y28" i="14"/>
  <c r="O28" i="14"/>
  <c r="O26" i="14"/>
  <c r="O27" i="14" s="1"/>
  <c r="I28" i="14"/>
  <c r="I26" i="14"/>
  <c r="I27" i="14" s="1"/>
  <c r="K28" i="14"/>
  <c r="K26" i="14"/>
  <c r="K27" i="14" s="1"/>
  <c r="L26" i="14"/>
  <c r="L27" i="14" s="1"/>
  <c r="L28" i="14"/>
  <c r="G26" i="14"/>
  <c r="G27" i="14" s="1"/>
  <c r="G28" i="14"/>
  <c r="H28" i="14"/>
  <c r="H26" i="14"/>
  <c r="H27" i="14" s="1"/>
  <c r="AF28" i="14"/>
  <c r="AF26" i="14"/>
  <c r="AF27" i="14" s="1"/>
  <c r="M26" i="14"/>
  <c r="M27" i="14" s="1"/>
  <c r="M28" i="14"/>
  <c r="H69" i="21"/>
  <c r="H70" i="21" s="1"/>
  <c r="I69" i="21"/>
  <c r="I70" i="21" s="1"/>
  <c r="AM69" i="21"/>
  <c r="AM70" i="21" s="1"/>
  <c r="R69" i="21"/>
  <c r="R70" i="21" s="1"/>
  <c r="Y69" i="21"/>
  <c r="Y70" i="21" s="1"/>
  <c r="AM94" i="12" l="1"/>
  <c r="AM100" i="12" s="1"/>
  <c r="T97" i="12"/>
  <c r="T103" i="12" s="1"/>
  <c r="C94" i="12"/>
  <c r="C100" i="12" s="1"/>
  <c r="AG96" i="12"/>
  <c r="AG102" i="12" s="1"/>
  <c r="O97" i="12"/>
  <c r="O103" i="12" s="1"/>
  <c r="N94" i="12"/>
  <c r="N100" i="12" s="1"/>
  <c r="AL96" i="12"/>
  <c r="AL102" i="12" s="1"/>
  <c r="Y96" i="12"/>
  <c r="Y102" i="12" s="1"/>
  <c r="N96" i="12"/>
  <c r="N102" i="12" s="1"/>
  <c r="Y94" i="12"/>
  <c r="Y100" i="12" s="1"/>
  <c r="X96" i="12"/>
  <c r="X102" i="12" s="1"/>
  <c r="AD94" i="12"/>
  <c r="AD100" i="12" s="1"/>
  <c r="AL95" i="12"/>
  <c r="AL101" i="12" s="1"/>
  <c r="AF95" i="12"/>
  <c r="AF101" i="12" s="1"/>
  <c r="T95" i="12"/>
  <c r="T101" i="12" s="1"/>
  <c r="X95" i="12"/>
  <c r="X101" i="12" s="1"/>
  <c r="AD96" i="12"/>
  <c r="AD102" i="12" s="1"/>
  <c r="O94" i="12"/>
  <c r="O100" i="12" s="1"/>
  <c r="AG95" i="12"/>
  <c r="AG101" i="12" s="1"/>
  <c r="C97" i="12"/>
  <c r="C103" i="12" s="1"/>
  <c r="AF96" i="12"/>
  <c r="AF102" i="12" s="1"/>
  <c r="T96" i="12"/>
  <c r="T102" i="12" s="1"/>
  <c r="AE114" i="12"/>
  <c r="AG97" i="12"/>
  <c r="AG103" i="12" s="1"/>
  <c r="AE115" i="12"/>
  <c r="C96" i="12"/>
  <c r="C102" i="12" s="1"/>
  <c r="X94" i="12"/>
  <c r="X100" i="12" s="1"/>
  <c r="AG94" i="12"/>
  <c r="AG100" i="12" s="1"/>
  <c r="AD97" i="12"/>
  <c r="AD103" i="12" s="1"/>
  <c r="AM102" i="12"/>
  <c r="AM97" i="12"/>
  <c r="AM103" i="12" s="1"/>
  <c r="N95" i="12"/>
  <c r="N101" i="12" s="1"/>
  <c r="AL97" i="12"/>
  <c r="AL103" i="12" s="1"/>
  <c r="Y97" i="12"/>
  <c r="Y103" i="12" s="1"/>
  <c r="AF97" i="12"/>
  <c r="AF103" i="12" s="1"/>
  <c r="O96" i="12"/>
  <c r="O102" i="12" s="1"/>
  <c r="C95" i="12"/>
  <c r="C101" i="12" s="1"/>
  <c r="X97" i="12"/>
  <c r="X103" i="12" s="1"/>
  <c r="O95" i="12"/>
  <c r="O101" i="12" s="1"/>
  <c r="AM95" i="12"/>
  <c r="AM101" i="12" s="1"/>
  <c r="AD95" i="12"/>
  <c r="AD101" i="12" s="1"/>
  <c r="T94" i="12"/>
  <c r="N97" i="12"/>
  <c r="N103" i="12" s="1"/>
  <c r="AL94" i="12"/>
  <c r="AL100" i="12" s="1"/>
  <c r="Y95" i="12"/>
  <c r="Y101" i="12" s="1"/>
  <c r="AF94" i="12"/>
  <c r="AF100" i="12" s="1"/>
  <c r="O118" i="12"/>
  <c r="AL118" i="12"/>
  <c r="AM92" i="12"/>
  <c r="AE98" i="12"/>
  <c r="AJ83" i="12"/>
  <c r="AJ81" i="12"/>
  <c r="AJ82" i="12"/>
  <c r="O92" i="12"/>
  <c r="Y92" i="12"/>
  <c r="N118" i="12"/>
  <c r="AF92" i="12"/>
  <c r="AA81" i="12"/>
  <c r="AA80" i="12"/>
  <c r="W83" i="12"/>
  <c r="W82" i="12"/>
  <c r="U82" i="12"/>
  <c r="U83" i="12"/>
  <c r="Y118" i="12"/>
  <c r="AM118" i="12"/>
  <c r="AG118" i="12"/>
  <c r="N92" i="12"/>
  <c r="AE119" i="12"/>
  <c r="AE120" i="12" s="1"/>
  <c r="AE122" i="12" s="1"/>
  <c r="X118" i="12"/>
  <c r="AG92" i="12"/>
  <c r="AL92" i="12"/>
  <c r="AE112" i="12"/>
  <c r="J80" i="12"/>
  <c r="J81" i="12"/>
  <c r="J82" i="12"/>
  <c r="J83" i="12"/>
  <c r="Z82" i="12"/>
  <c r="Z83" i="12"/>
  <c r="Z80" i="12"/>
  <c r="Z81" i="12"/>
  <c r="E83" i="12"/>
  <c r="E80" i="12"/>
  <c r="E82" i="12"/>
  <c r="E81" i="12"/>
  <c r="AI81" i="12"/>
  <c r="AI83" i="12"/>
  <c r="AI80" i="12"/>
  <c r="AI82" i="12"/>
  <c r="V81" i="12"/>
  <c r="V83" i="12"/>
  <c r="V80" i="12"/>
  <c r="V82" i="12"/>
  <c r="I82" i="12"/>
  <c r="I83" i="12"/>
  <c r="I81" i="12"/>
  <c r="I80" i="12"/>
  <c r="F81" i="12"/>
  <c r="F80" i="12"/>
  <c r="F83" i="12"/>
  <c r="F82" i="12"/>
  <c r="AC80" i="12"/>
  <c r="AC83" i="12"/>
  <c r="AC81" i="12"/>
  <c r="AC82" i="12"/>
  <c r="Q81" i="12"/>
  <c r="Q83" i="12"/>
  <c r="Q82" i="12"/>
  <c r="Q80" i="12"/>
  <c r="H81" i="12"/>
  <c r="H83" i="12"/>
  <c r="H82" i="12"/>
  <c r="H80" i="12"/>
  <c r="K82" i="12"/>
  <c r="K83" i="12"/>
  <c r="K81" i="12"/>
  <c r="K80" i="12"/>
  <c r="AH82" i="12"/>
  <c r="AH83" i="12"/>
  <c r="AH80" i="12"/>
  <c r="AH81" i="12"/>
  <c r="AK82" i="12"/>
  <c r="AK80" i="12"/>
  <c r="AK83" i="12"/>
  <c r="AK81" i="12"/>
  <c r="AB81" i="12"/>
  <c r="AB82" i="12"/>
  <c r="AB80" i="12"/>
  <c r="AB83" i="12"/>
  <c r="P82" i="12"/>
  <c r="P80" i="12"/>
  <c r="P83" i="12"/>
  <c r="P81" i="12"/>
  <c r="M81" i="12"/>
  <c r="M82" i="12"/>
  <c r="M83" i="12"/>
  <c r="M80" i="12"/>
  <c r="AN83" i="12"/>
  <c r="AN80" i="12"/>
  <c r="AN81" i="12"/>
  <c r="AN82" i="12"/>
  <c r="D81" i="12"/>
  <c r="D82" i="12"/>
  <c r="D83" i="12"/>
  <c r="D80" i="12"/>
  <c r="C118" i="12"/>
  <c r="S83" i="12"/>
  <c r="U80" i="12"/>
  <c r="AD118" i="12"/>
  <c r="W80" i="12"/>
  <c r="C92" i="12"/>
  <c r="AD92" i="12"/>
  <c r="S82" i="12"/>
  <c r="U81" i="12"/>
  <c r="S81" i="12"/>
  <c r="S95" i="12" s="1"/>
  <c r="AF118" i="12"/>
  <c r="X92" i="12"/>
  <c r="AJ80" i="12"/>
  <c r="W81" i="12"/>
  <c r="AA82" i="12"/>
  <c r="AA83" i="12"/>
  <c r="Y46" i="21"/>
  <c r="AL46" i="21"/>
  <c r="AB46" i="21"/>
  <c r="AC47" i="21"/>
  <c r="AG69" i="21"/>
  <c r="AG70" i="21" s="1"/>
  <c r="AG45" i="21"/>
  <c r="AG47" i="21" s="1"/>
  <c r="F61" i="21"/>
  <c r="F45" i="21"/>
  <c r="AD61" i="21"/>
  <c r="AD45" i="21"/>
  <c r="N61" i="21"/>
  <c r="N69" i="21" s="1"/>
  <c r="N70" i="21" s="1"/>
  <c r="N45" i="21"/>
  <c r="T45" i="21"/>
  <c r="T61" i="21"/>
  <c r="T69" i="21" s="1"/>
  <c r="T70" i="21" s="1"/>
  <c r="AE45" i="21"/>
  <c r="G114" i="12"/>
  <c r="G100" i="12"/>
  <c r="G119" i="12" s="1"/>
  <c r="G120" i="12" s="1"/>
  <c r="G122" i="12" s="1"/>
  <c r="G98" i="12"/>
  <c r="T118" i="12"/>
  <c r="T92" i="12"/>
  <c r="AC52" i="12"/>
  <c r="AC53" i="12" s="1"/>
  <c r="AC6" i="4" s="1"/>
  <c r="AC13" i="3" s="1"/>
  <c r="AC21" i="3" s="1"/>
  <c r="AC22" i="3" s="1"/>
  <c r="AC23" i="3" s="1"/>
  <c r="T52" i="12"/>
  <c r="T53" i="12" s="1"/>
  <c r="T6" i="4" s="1"/>
  <c r="T13" i="3" s="1"/>
  <c r="T21" i="3" s="1"/>
  <c r="T22" i="3" s="1"/>
  <c r="T23" i="3" s="1"/>
  <c r="AA52" i="12"/>
  <c r="AA53" i="12" s="1"/>
  <c r="AA6" i="4" s="1"/>
  <c r="AA13" i="3" s="1"/>
  <c r="AA21" i="3" s="1"/>
  <c r="AA22" i="3" s="1"/>
  <c r="AA23" i="3" s="1"/>
  <c r="Z52" i="12"/>
  <c r="Z53" i="12" s="1"/>
  <c r="Z6" i="4" s="1"/>
  <c r="Z13" i="3" s="1"/>
  <c r="Z21" i="3" s="1"/>
  <c r="Z22" i="3" s="1"/>
  <c r="Z23" i="3" s="1"/>
  <c r="E52" i="12"/>
  <c r="E53" i="12" s="1"/>
  <c r="E6" i="4" s="1"/>
  <c r="E13" i="3" s="1"/>
  <c r="E21" i="3" s="1"/>
  <c r="E22" i="3" s="1"/>
  <c r="E23" i="3" s="1"/>
  <c r="U69" i="12"/>
  <c r="AG52" i="12"/>
  <c r="AG53" i="12" s="1"/>
  <c r="AG6" i="4" s="1"/>
  <c r="AG13" i="3" s="1"/>
  <c r="AG21" i="3" s="1"/>
  <c r="AG22" i="3" s="1"/>
  <c r="AG23" i="3" s="1"/>
  <c r="F52" i="12"/>
  <c r="F53" i="12" s="1"/>
  <c r="F6" i="4" s="1"/>
  <c r="F13" i="3" s="1"/>
  <c r="F21" i="3" s="1"/>
  <c r="F22" i="3" s="1"/>
  <c r="F23" i="3" s="1"/>
  <c r="U52" i="12"/>
  <c r="U53" i="12" s="1"/>
  <c r="U6" i="4" s="1"/>
  <c r="U13" i="3" s="1"/>
  <c r="U21" i="3" s="1"/>
  <c r="U22" i="3" s="1"/>
  <c r="U23" i="3" s="1"/>
  <c r="AH52" i="12"/>
  <c r="AH53" i="12" s="1"/>
  <c r="AH6" i="4" s="1"/>
  <c r="AH13" i="3" s="1"/>
  <c r="AH21" i="3" s="1"/>
  <c r="AH22" i="3" s="1"/>
  <c r="AH23" i="3" s="1"/>
  <c r="J67" i="12"/>
  <c r="J69" i="12"/>
  <c r="U67" i="12"/>
  <c r="AF70" i="12"/>
  <c r="AF71" i="12" s="1"/>
  <c r="AF20" i="4" s="1"/>
  <c r="V66" i="12"/>
  <c r="V69" i="12" s="1"/>
  <c r="S69" i="12"/>
  <c r="S67" i="12"/>
  <c r="X70" i="12"/>
  <c r="X71" i="12" s="1"/>
  <c r="X20" i="4" s="1"/>
  <c r="E70" i="12"/>
  <c r="E71" i="12" s="1"/>
  <c r="E20" i="4" s="1"/>
  <c r="F64" i="12"/>
  <c r="F65" i="12" s="1"/>
  <c r="F66" i="12"/>
  <c r="P66" i="12"/>
  <c r="P64" i="12"/>
  <c r="P65" i="12" s="1"/>
  <c r="Q66" i="12"/>
  <c r="Q64" i="12"/>
  <c r="Q65" i="12" s="1"/>
  <c r="AB70" i="12"/>
  <c r="AB71" i="12" s="1"/>
  <c r="AB20" i="4" s="1"/>
  <c r="M60" i="12"/>
  <c r="M61" i="12"/>
  <c r="M63" i="12" s="1"/>
  <c r="V50" i="12"/>
  <c r="V49" i="12"/>
  <c r="V51" i="12"/>
  <c r="K64" i="12"/>
  <c r="K65" i="12" s="1"/>
  <c r="K66" i="12"/>
  <c r="S52" i="12"/>
  <c r="S53" i="12" s="1"/>
  <c r="S6" i="4" s="1"/>
  <c r="S13" i="3" s="1"/>
  <c r="S21" i="3" s="1"/>
  <c r="S22" i="3" s="1"/>
  <c r="S23" i="3" s="1"/>
  <c r="D52" i="12"/>
  <c r="D53" i="12" s="1"/>
  <c r="D6" i="4" s="1"/>
  <c r="D13" i="3" s="1"/>
  <c r="D21" i="3" s="1"/>
  <c r="D22" i="3" s="1"/>
  <c r="D23" i="3" s="1"/>
  <c r="AA68" i="12"/>
  <c r="AA67" i="12"/>
  <c r="AA69" i="12"/>
  <c r="N52" i="12"/>
  <c r="N53" i="12" s="1"/>
  <c r="N6" i="4" s="1"/>
  <c r="N13" i="3" s="1"/>
  <c r="N21" i="3" s="1"/>
  <c r="N22" i="3" s="1"/>
  <c r="N23" i="3" s="1"/>
  <c r="P52" i="12"/>
  <c r="P53" i="12" s="1"/>
  <c r="P6" i="4" s="1"/>
  <c r="P13" i="3" s="1"/>
  <c r="P21" i="3" s="1"/>
  <c r="P22" i="3" s="1"/>
  <c r="P23" i="3" s="1"/>
  <c r="Y52" i="12"/>
  <c r="Y53" i="12" s="1"/>
  <c r="Y6" i="4" s="1"/>
  <c r="Y13" i="3" s="1"/>
  <c r="Y21" i="3" s="1"/>
  <c r="Y22" i="3" s="1"/>
  <c r="Y23" i="3" s="1"/>
  <c r="AD69" i="12"/>
  <c r="AD68" i="12"/>
  <c r="AD67" i="12"/>
  <c r="AL64" i="12"/>
  <c r="AL65" i="12" s="1"/>
  <c r="AL66" i="12"/>
  <c r="AJ52" i="12"/>
  <c r="AJ53" i="12" s="1"/>
  <c r="AJ6" i="4" s="1"/>
  <c r="AJ13" i="3" s="1"/>
  <c r="AJ21" i="3" s="1"/>
  <c r="AJ22" i="3" s="1"/>
  <c r="AJ23" i="3" s="1"/>
  <c r="Q52" i="12"/>
  <c r="Q53" i="12" s="1"/>
  <c r="Q6" i="4" s="1"/>
  <c r="Q13" i="3" s="1"/>
  <c r="Q21" i="3" s="1"/>
  <c r="Q22" i="3" s="1"/>
  <c r="Q23" i="3" s="1"/>
  <c r="J52" i="12"/>
  <c r="J53" i="12" s="1"/>
  <c r="J6" i="4" s="1"/>
  <c r="J13" i="3" s="1"/>
  <c r="J21" i="3" s="1"/>
  <c r="J22" i="3" s="1"/>
  <c r="J23" i="3" s="1"/>
  <c r="O70" i="12"/>
  <c r="O71" i="12" s="1"/>
  <c r="O20" i="4" s="1"/>
  <c r="Z66" i="12"/>
  <c r="Z64" i="12"/>
  <c r="Z65" i="12" s="1"/>
  <c r="AK67" i="12"/>
  <c r="AK69" i="12"/>
  <c r="AK68" i="12"/>
  <c r="T66" i="12"/>
  <c r="T64" i="12"/>
  <c r="T65" i="12" s="1"/>
  <c r="AB52" i="12"/>
  <c r="AB53" i="12" s="1"/>
  <c r="AB6" i="4" s="1"/>
  <c r="AB13" i="3" s="1"/>
  <c r="AB21" i="3" s="1"/>
  <c r="AB22" i="3" s="1"/>
  <c r="AB23" i="3" s="1"/>
  <c r="AN64" i="12"/>
  <c r="AN65" i="12" s="1"/>
  <c r="AN66" i="12"/>
  <c r="AE69" i="12"/>
  <c r="AE68" i="12"/>
  <c r="AE67" i="12"/>
  <c r="G67" i="12"/>
  <c r="G68" i="12"/>
  <c r="G69" i="12"/>
  <c r="AI52" i="12"/>
  <c r="AI53" i="12" s="1"/>
  <c r="AI6" i="4" s="1"/>
  <c r="AI13" i="3" s="1"/>
  <c r="AI21" i="3" s="1"/>
  <c r="AI22" i="3" s="1"/>
  <c r="AI23" i="3" s="1"/>
  <c r="W70" i="12"/>
  <c r="W71" i="12" s="1"/>
  <c r="W20" i="4" s="1"/>
  <c r="Y64" i="12"/>
  <c r="Y65" i="12" s="1"/>
  <c r="Y66" i="12"/>
  <c r="I64" i="12"/>
  <c r="I65" i="12" s="1"/>
  <c r="I66" i="12"/>
  <c r="H67" i="12"/>
  <c r="H68" i="12"/>
  <c r="H69" i="12"/>
  <c r="AK52" i="12"/>
  <c r="AK53" i="12" s="1"/>
  <c r="AK6" i="4" s="1"/>
  <c r="AK13" i="3" s="1"/>
  <c r="AK21" i="3" s="1"/>
  <c r="AK22" i="3" s="1"/>
  <c r="AK23" i="3" s="1"/>
  <c r="AN52" i="12"/>
  <c r="AN53" i="12" s="1"/>
  <c r="AN6" i="4" s="1"/>
  <c r="AN13" i="3" s="1"/>
  <c r="AN21" i="3" s="1"/>
  <c r="AN22" i="3" s="1"/>
  <c r="AN23" i="3" s="1"/>
  <c r="I52" i="12"/>
  <c r="I53" i="12" s="1"/>
  <c r="I6" i="4" s="1"/>
  <c r="I13" i="3" s="1"/>
  <c r="I21" i="3" s="1"/>
  <c r="I22" i="3" s="1"/>
  <c r="I23" i="3" s="1"/>
  <c r="AL52" i="12"/>
  <c r="AL53" i="12" s="1"/>
  <c r="AL6" i="4" s="1"/>
  <c r="AL13" i="3" s="1"/>
  <c r="AL21" i="3" s="1"/>
  <c r="AL22" i="3" s="1"/>
  <c r="AL23" i="3" s="1"/>
  <c r="AH66" i="12"/>
  <c r="AH64" i="12"/>
  <c r="AH65" i="12" s="1"/>
  <c r="AJ66" i="12"/>
  <c r="AJ64" i="12"/>
  <c r="AJ65" i="12" s="1"/>
  <c r="D68" i="12"/>
  <c r="D67" i="12"/>
  <c r="D69" i="12"/>
  <c r="AI70" i="12"/>
  <c r="AI71" i="12" s="1"/>
  <c r="AI20" i="4" s="1"/>
  <c r="N69" i="12"/>
  <c r="N68" i="12"/>
  <c r="N67" i="12"/>
  <c r="AC70" i="12"/>
  <c r="AC71" i="12" s="1"/>
  <c r="AC20" i="4" s="1"/>
  <c r="AM68" i="12"/>
  <c r="AM67" i="12"/>
  <c r="AM69" i="12"/>
  <c r="M50" i="12"/>
  <c r="M51" i="12"/>
  <c r="M49" i="12"/>
  <c r="K49" i="12"/>
  <c r="K51" i="12"/>
  <c r="K50" i="12"/>
  <c r="AG68" i="12"/>
  <c r="AG67" i="12"/>
  <c r="AG69" i="12"/>
  <c r="C69" i="12"/>
  <c r="C67" i="12"/>
  <c r="C68" i="12"/>
  <c r="Z46" i="21"/>
  <c r="H46" i="21"/>
  <c r="K47" i="21"/>
  <c r="AK46" i="21"/>
  <c r="Q46" i="21"/>
  <c r="AF47" i="21"/>
  <c r="AI46" i="21"/>
  <c r="AJ47" i="21"/>
  <c r="W47" i="21"/>
  <c r="O47" i="21"/>
  <c r="G47" i="21"/>
  <c r="I47" i="21"/>
  <c r="J46" i="21"/>
  <c r="AA46" i="21"/>
  <c r="L31" i="14"/>
  <c r="L30" i="14"/>
  <c r="L29" i="14"/>
  <c r="F29" i="14"/>
  <c r="F30" i="14"/>
  <c r="F31" i="14"/>
  <c r="W29" i="14"/>
  <c r="W30" i="14"/>
  <c r="W31" i="14"/>
  <c r="E31" i="14"/>
  <c r="E29" i="14"/>
  <c r="E30" i="14"/>
  <c r="Z30" i="14"/>
  <c r="Z31" i="14"/>
  <c r="Z29" i="14"/>
  <c r="AA29" i="14"/>
  <c r="AA31" i="14"/>
  <c r="AA30" i="14"/>
  <c r="AI31" i="14"/>
  <c r="AI30" i="14"/>
  <c r="AI29" i="14"/>
  <c r="M29" i="14"/>
  <c r="M31" i="14"/>
  <c r="M30" i="14"/>
  <c r="Q31" i="14"/>
  <c r="Q30" i="14"/>
  <c r="Q29" i="14"/>
  <c r="AM31" i="14"/>
  <c r="AM29" i="14"/>
  <c r="AM30" i="14"/>
  <c r="C29" i="14"/>
  <c r="C31" i="14"/>
  <c r="C30" i="14"/>
  <c r="Y31" i="14"/>
  <c r="Y30" i="14"/>
  <c r="Y29" i="14"/>
  <c r="P30" i="14"/>
  <c r="P31" i="14"/>
  <c r="P29" i="14"/>
  <c r="AF30" i="14"/>
  <c r="AF31" i="14"/>
  <c r="AF29" i="14"/>
  <c r="K31" i="14"/>
  <c r="K30" i="14"/>
  <c r="K29" i="14"/>
  <c r="AE29" i="14"/>
  <c r="AE31" i="14"/>
  <c r="AE30" i="14"/>
  <c r="S31" i="14"/>
  <c r="S30" i="14"/>
  <c r="S29" i="14"/>
  <c r="J31" i="14"/>
  <c r="J29" i="14"/>
  <c r="J30" i="14"/>
  <c r="AD30" i="14"/>
  <c r="AD31" i="14"/>
  <c r="AD29" i="14"/>
  <c r="X31" i="14"/>
  <c r="X30" i="14"/>
  <c r="X29" i="14"/>
  <c r="T29" i="14"/>
  <c r="T30" i="14"/>
  <c r="T31" i="14"/>
  <c r="AK30" i="14"/>
  <c r="AK29" i="14"/>
  <c r="AK31" i="14"/>
  <c r="AG30" i="14"/>
  <c r="AG31" i="14"/>
  <c r="AG29" i="14"/>
  <c r="AC29" i="14"/>
  <c r="AC31" i="14"/>
  <c r="AC30" i="14"/>
  <c r="AJ30" i="14"/>
  <c r="AJ29" i="14"/>
  <c r="AJ31" i="14"/>
  <c r="H30" i="14"/>
  <c r="H31" i="14"/>
  <c r="H29" i="14"/>
  <c r="I31" i="14"/>
  <c r="I30" i="14"/>
  <c r="I29" i="14"/>
  <c r="V31" i="14"/>
  <c r="V29" i="14"/>
  <c r="V30" i="14"/>
  <c r="G30" i="14"/>
  <c r="G31" i="14"/>
  <c r="G29" i="14"/>
  <c r="AL29" i="14"/>
  <c r="AL31" i="14"/>
  <c r="AL30" i="14"/>
  <c r="AN29" i="14"/>
  <c r="AN31" i="14"/>
  <c r="AN30" i="14"/>
  <c r="AH31" i="14"/>
  <c r="AH30" i="14"/>
  <c r="AH29" i="14"/>
  <c r="U31" i="14"/>
  <c r="U30" i="14"/>
  <c r="U29" i="14"/>
  <c r="O30" i="14"/>
  <c r="O31" i="14"/>
  <c r="O29" i="14"/>
  <c r="AB29" i="14"/>
  <c r="AB30" i="14"/>
  <c r="AB31" i="14"/>
  <c r="D30" i="14"/>
  <c r="D31" i="14"/>
  <c r="D29" i="14"/>
  <c r="R31" i="14"/>
  <c r="R29" i="14"/>
  <c r="R30" i="14"/>
  <c r="N30" i="14"/>
  <c r="N31" i="14"/>
  <c r="N29" i="14"/>
  <c r="U69" i="21"/>
  <c r="U70" i="21" s="1"/>
  <c r="J69" i="21"/>
  <c r="J70" i="21" s="1"/>
  <c r="X69" i="21"/>
  <c r="X70" i="21" s="1"/>
  <c r="E69" i="21"/>
  <c r="E70" i="21" s="1"/>
  <c r="AI69" i="21"/>
  <c r="AI70" i="21" s="1"/>
  <c r="G69" i="21"/>
  <c r="G70" i="21" s="1"/>
  <c r="AA69" i="21"/>
  <c r="AA70" i="21" s="1"/>
  <c r="AM114" i="12" l="1"/>
  <c r="S96" i="12"/>
  <c r="S102" i="12" s="1"/>
  <c r="AH95" i="12"/>
  <c r="AH101" i="12" s="1"/>
  <c r="I94" i="12"/>
  <c r="I100" i="12" s="1"/>
  <c r="AA97" i="12"/>
  <c r="AA103" i="12" s="1"/>
  <c r="AB95" i="12"/>
  <c r="AB101" i="12" s="1"/>
  <c r="AC94" i="12"/>
  <c r="AC100" i="12" s="1"/>
  <c r="AI95" i="12"/>
  <c r="AI101" i="12" s="1"/>
  <c r="P95" i="12"/>
  <c r="P101" i="12" s="1"/>
  <c r="AK95" i="12"/>
  <c r="AK101" i="12" s="1"/>
  <c r="K94" i="12"/>
  <c r="K100" i="12" s="1"/>
  <c r="F96" i="12"/>
  <c r="F102" i="12" s="1"/>
  <c r="V96" i="12"/>
  <c r="V102" i="12" s="1"/>
  <c r="E95" i="12"/>
  <c r="E101" i="12" s="1"/>
  <c r="J97" i="12"/>
  <c r="J103" i="12" s="1"/>
  <c r="AA94" i="12"/>
  <c r="AA100" i="12" s="1"/>
  <c r="M95" i="12"/>
  <c r="M101" i="12" s="1"/>
  <c r="D95" i="12"/>
  <c r="D101" i="12" s="1"/>
  <c r="H95" i="12"/>
  <c r="H101" i="12" s="1"/>
  <c r="W95" i="12"/>
  <c r="W101" i="12" s="1"/>
  <c r="Z95" i="12"/>
  <c r="Z101" i="12" s="1"/>
  <c r="U96" i="12"/>
  <c r="U102" i="12" s="1"/>
  <c r="AJ95" i="12"/>
  <c r="AJ101" i="12" s="1"/>
  <c r="D96" i="12"/>
  <c r="D102" i="12" s="1"/>
  <c r="M96" i="12"/>
  <c r="M102" i="12" s="1"/>
  <c r="AB96" i="12"/>
  <c r="AB102" i="12" s="1"/>
  <c r="AH97" i="12"/>
  <c r="AH103" i="12" s="1"/>
  <c r="H97" i="12"/>
  <c r="H103" i="12" s="1"/>
  <c r="AC97" i="12"/>
  <c r="AC103" i="12" s="1"/>
  <c r="I97" i="12"/>
  <c r="I103" i="12" s="1"/>
  <c r="AI97" i="12"/>
  <c r="AI103" i="12" s="1"/>
  <c r="Z97" i="12"/>
  <c r="Z103" i="12" s="1"/>
  <c r="W96" i="12"/>
  <c r="W102" i="12" s="1"/>
  <c r="AJ97" i="12"/>
  <c r="AJ103" i="12" s="1"/>
  <c r="AN96" i="12"/>
  <c r="AN102" i="12" s="1"/>
  <c r="Q94" i="12"/>
  <c r="Q100" i="12" s="1"/>
  <c r="AN95" i="12"/>
  <c r="AN101" i="12" s="1"/>
  <c r="P97" i="12"/>
  <c r="P103" i="12" s="1"/>
  <c r="AK97" i="12"/>
  <c r="AK103" i="12" s="1"/>
  <c r="Q96" i="12"/>
  <c r="Q102" i="12" s="1"/>
  <c r="V94" i="12"/>
  <c r="V100" i="12" s="1"/>
  <c r="E96" i="12"/>
  <c r="E102" i="12" s="1"/>
  <c r="F94" i="12"/>
  <c r="F100" i="12" s="1"/>
  <c r="C114" i="12"/>
  <c r="AJ94" i="12"/>
  <c r="AJ100" i="12" s="1"/>
  <c r="U95" i="12"/>
  <c r="U101" i="12" s="1"/>
  <c r="U94" i="12"/>
  <c r="U100" i="12" s="1"/>
  <c r="AH96" i="12"/>
  <c r="AH102" i="12" s="1"/>
  <c r="I96" i="12"/>
  <c r="I102" i="12" s="1"/>
  <c r="Z96" i="12"/>
  <c r="Z102" i="12" s="1"/>
  <c r="U97" i="12"/>
  <c r="U103" i="12" s="1"/>
  <c r="AJ96" i="12"/>
  <c r="AJ102" i="12" s="1"/>
  <c r="P94" i="12"/>
  <c r="P100" i="12" s="1"/>
  <c r="V97" i="12"/>
  <c r="V103" i="12" s="1"/>
  <c r="J95" i="12"/>
  <c r="J101" i="12" s="1"/>
  <c r="W97" i="12"/>
  <c r="W103" i="12" s="1"/>
  <c r="W94" i="12"/>
  <c r="W100" i="12" s="1"/>
  <c r="AN97" i="12"/>
  <c r="AN103" i="12" s="1"/>
  <c r="P96" i="12"/>
  <c r="P102" i="12" s="1"/>
  <c r="AK96" i="12"/>
  <c r="AK102" i="12" s="1"/>
  <c r="K96" i="12"/>
  <c r="K102" i="12" s="1"/>
  <c r="Q95" i="12"/>
  <c r="Q101" i="12" s="1"/>
  <c r="F95" i="12"/>
  <c r="F101" i="12" s="1"/>
  <c r="V95" i="12"/>
  <c r="V101" i="12" s="1"/>
  <c r="E97" i="12"/>
  <c r="E103" i="12" s="1"/>
  <c r="J94" i="12"/>
  <c r="J100" i="12" s="1"/>
  <c r="K95" i="12"/>
  <c r="K101" i="12" s="1"/>
  <c r="F97" i="12"/>
  <c r="F103" i="12" s="1"/>
  <c r="AN94" i="12"/>
  <c r="AN100" i="12" s="1"/>
  <c r="K97" i="12"/>
  <c r="K103" i="12" s="1"/>
  <c r="Q97" i="12"/>
  <c r="Q103" i="12" s="1"/>
  <c r="E94" i="12"/>
  <c r="E100" i="12" s="1"/>
  <c r="AL114" i="12"/>
  <c r="D94" i="12"/>
  <c r="D100" i="12" s="1"/>
  <c r="M94" i="12"/>
  <c r="M100" i="12" s="1"/>
  <c r="AB97" i="12"/>
  <c r="AB103" i="12" s="1"/>
  <c r="H94" i="12"/>
  <c r="H100" i="12" s="1"/>
  <c r="AC96" i="12"/>
  <c r="AC102" i="12" s="1"/>
  <c r="AI96" i="12"/>
  <c r="AI102" i="12" s="1"/>
  <c r="AA95" i="12"/>
  <c r="AA101" i="12" s="1"/>
  <c r="S97" i="12"/>
  <c r="S103" i="12" s="1"/>
  <c r="J96" i="12"/>
  <c r="J102" i="12" s="1"/>
  <c r="AK94" i="12"/>
  <c r="AK100" i="12" s="1"/>
  <c r="AA96" i="12"/>
  <c r="AA102" i="12" s="1"/>
  <c r="D97" i="12"/>
  <c r="D103" i="12" s="1"/>
  <c r="M97" i="12"/>
  <c r="M103" i="12" s="1"/>
  <c r="AB94" i="12"/>
  <c r="AB100" i="12" s="1"/>
  <c r="AH94" i="12"/>
  <c r="AH100" i="12" s="1"/>
  <c r="H96" i="12"/>
  <c r="H102" i="12" s="1"/>
  <c r="AC95" i="12"/>
  <c r="AC101" i="12" s="1"/>
  <c r="I95" i="12"/>
  <c r="I101" i="12" s="1"/>
  <c r="AI94" i="12"/>
  <c r="AI100" i="12" s="1"/>
  <c r="Z94" i="12"/>
  <c r="Z100" i="12" s="1"/>
  <c r="S94" i="12"/>
  <c r="S100" i="12" s="1"/>
  <c r="O114" i="12"/>
  <c r="N114" i="12"/>
  <c r="AG114" i="12"/>
  <c r="AD115" i="12"/>
  <c r="X114" i="12"/>
  <c r="Y119" i="12"/>
  <c r="Y120" i="12" s="1"/>
  <c r="Y122" i="12" s="1"/>
  <c r="AD114" i="12"/>
  <c r="AF115" i="12"/>
  <c r="AF114" i="12"/>
  <c r="AK92" i="12"/>
  <c r="V92" i="12"/>
  <c r="AL115" i="12"/>
  <c r="D92" i="12"/>
  <c r="Y114" i="12"/>
  <c r="O112" i="12"/>
  <c r="AA118" i="12"/>
  <c r="AL98" i="12"/>
  <c r="I92" i="12"/>
  <c r="AM112" i="12"/>
  <c r="AF112" i="12"/>
  <c r="AN118" i="12"/>
  <c r="P92" i="12"/>
  <c r="E92" i="12"/>
  <c r="C98" i="12"/>
  <c r="O98" i="12"/>
  <c r="Z118" i="12"/>
  <c r="F92" i="12"/>
  <c r="AH118" i="12"/>
  <c r="J92" i="12"/>
  <c r="V118" i="12"/>
  <c r="W92" i="12"/>
  <c r="AM98" i="12"/>
  <c r="Q118" i="12"/>
  <c r="AG98" i="12"/>
  <c r="X98" i="12"/>
  <c r="AD98" i="12"/>
  <c r="K92" i="12"/>
  <c r="P118" i="12"/>
  <c r="J118" i="12"/>
  <c r="AJ118" i="12"/>
  <c r="AK118" i="12"/>
  <c r="H92" i="12"/>
  <c r="Y98" i="12"/>
  <c r="E118" i="12"/>
  <c r="F118" i="12"/>
  <c r="S118" i="12"/>
  <c r="M92" i="12"/>
  <c r="D118" i="12"/>
  <c r="AB118" i="12"/>
  <c r="M118" i="12"/>
  <c r="N98" i="12"/>
  <c r="S101" i="12"/>
  <c r="AA92" i="12"/>
  <c r="AJ92" i="12"/>
  <c r="U92" i="12"/>
  <c r="U118" i="12"/>
  <c r="AF119" i="12"/>
  <c r="AF120" i="12" s="1"/>
  <c r="AF122" i="12" s="1"/>
  <c r="AF98" i="12"/>
  <c r="AB92" i="12"/>
  <c r="AI118" i="12"/>
  <c r="AH92" i="12"/>
  <c r="W118" i="12"/>
  <c r="I118" i="12"/>
  <c r="Q92" i="12"/>
  <c r="Z92" i="12"/>
  <c r="AI92" i="12"/>
  <c r="S92" i="12"/>
  <c r="AC118" i="12"/>
  <c r="AC92" i="12"/>
  <c r="H118" i="12"/>
  <c r="AN92" i="12"/>
  <c r="K118" i="12"/>
  <c r="AG46" i="21"/>
  <c r="T46" i="21"/>
  <c r="T47" i="21"/>
  <c r="N46" i="21"/>
  <c r="N47" i="21"/>
  <c r="F46" i="21"/>
  <c r="F47" i="21"/>
  <c r="AD46" i="21"/>
  <c r="AD47" i="21"/>
  <c r="AE46" i="21"/>
  <c r="AE47" i="21"/>
  <c r="AD112" i="12"/>
  <c r="AD119" i="12"/>
  <c r="AD120" i="12" s="1"/>
  <c r="AD122" i="12" s="1"/>
  <c r="AL119" i="12"/>
  <c r="AL120" i="12" s="1"/>
  <c r="AL122" i="12" s="1"/>
  <c r="AL112" i="12"/>
  <c r="C119" i="12"/>
  <c r="C120" i="12" s="1"/>
  <c r="C122" i="12" s="1"/>
  <c r="C115" i="12"/>
  <c r="N112" i="12"/>
  <c r="N115" i="12"/>
  <c r="Y112" i="12"/>
  <c r="Y115" i="12"/>
  <c r="O119" i="12"/>
  <c r="O120" i="12" s="1"/>
  <c r="O122" i="12" s="1"/>
  <c r="O115" i="12"/>
  <c r="G112" i="12"/>
  <c r="G115" i="12"/>
  <c r="T114" i="12"/>
  <c r="AG112" i="12"/>
  <c r="AG115" i="12"/>
  <c r="X112" i="12"/>
  <c r="X115" i="12"/>
  <c r="AM119" i="12"/>
  <c r="AM120" i="12" s="1"/>
  <c r="AM122" i="12" s="1"/>
  <c r="AM115" i="12"/>
  <c r="N119" i="12"/>
  <c r="N120" i="12" s="1"/>
  <c r="N122" i="12" s="1"/>
  <c r="C112" i="12"/>
  <c r="X119" i="12"/>
  <c r="X120" i="12" s="1"/>
  <c r="X122" i="12" s="1"/>
  <c r="AG119" i="12"/>
  <c r="AG120" i="12" s="1"/>
  <c r="AG122" i="12" s="1"/>
  <c r="T100" i="12"/>
  <c r="T98" i="12"/>
  <c r="K52" i="12"/>
  <c r="K53" i="12" s="1"/>
  <c r="K6" i="4" s="1"/>
  <c r="K13" i="3" s="1"/>
  <c r="K21" i="3" s="1"/>
  <c r="K22" i="3" s="1"/>
  <c r="K23" i="3" s="1"/>
  <c r="U70" i="12"/>
  <c r="U71" i="12" s="1"/>
  <c r="U20" i="4" s="1"/>
  <c r="J70" i="12"/>
  <c r="J71" i="12" s="1"/>
  <c r="J20" i="4" s="1"/>
  <c r="V68" i="12"/>
  <c r="V67" i="12"/>
  <c r="S70" i="12"/>
  <c r="S71" i="12" s="1"/>
  <c r="S20" i="4" s="1"/>
  <c r="AK70" i="12"/>
  <c r="AK71" i="12" s="1"/>
  <c r="AK20" i="4" s="1"/>
  <c r="AD70" i="12"/>
  <c r="AD71" i="12" s="1"/>
  <c r="AD20" i="4" s="1"/>
  <c r="AE70" i="12"/>
  <c r="AE71" i="12" s="1"/>
  <c r="AE20" i="4" s="1"/>
  <c r="AH67" i="12"/>
  <c r="AH69" i="12"/>
  <c r="AH68" i="12"/>
  <c r="AN69" i="12"/>
  <c r="AN67" i="12"/>
  <c r="AN68" i="12"/>
  <c r="AG70" i="12"/>
  <c r="AG71" i="12" s="1"/>
  <c r="AG20" i="4" s="1"/>
  <c r="G70" i="12"/>
  <c r="G71" i="12" s="1"/>
  <c r="G20" i="4" s="1"/>
  <c r="AA70" i="12"/>
  <c r="AA71" i="12" s="1"/>
  <c r="AA20" i="4" s="1"/>
  <c r="V52" i="12"/>
  <c r="V53" i="12" s="1"/>
  <c r="V6" i="4" s="1"/>
  <c r="V13" i="3" s="1"/>
  <c r="V21" i="3" s="1"/>
  <c r="V22" i="3" s="1"/>
  <c r="V23" i="3" s="1"/>
  <c r="F68" i="12"/>
  <c r="F67" i="12"/>
  <c r="F69" i="12"/>
  <c r="I68" i="12"/>
  <c r="I69" i="12"/>
  <c r="I67" i="12"/>
  <c r="AL68" i="12"/>
  <c r="AL69" i="12"/>
  <c r="AL67" i="12"/>
  <c r="K69" i="12"/>
  <c r="K67" i="12"/>
  <c r="K68" i="12"/>
  <c r="Q68" i="12"/>
  <c r="Q69" i="12"/>
  <c r="Q67" i="12"/>
  <c r="P67" i="12"/>
  <c r="P69" i="12"/>
  <c r="P68" i="12"/>
  <c r="C70" i="12"/>
  <c r="C71" i="12" s="1"/>
  <c r="C20" i="4" s="1"/>
  <c r="AJ68" i="12"/>
  <c r="AJ67" i="12"/>
  <c r="AJ69" i="12"/>
  <c r="T68" i="12"/>
  <c r="T69" i="12"/>
  <c r="T67" i="12"/>
  <c r="M52" i="12"/>
  <c r="M53" i="12" s="1"/>
  <c r="M6" i="4" s="1"/>
  <c r="M13" i="3" s="1"/>
  <c r="M21" i="3" s="1"/>
  <c r="M22" i="3" s="1"/>
  <c r="M23" i="3" s="1"/>
  <c r="Y69" i="12"/>
  <c r="Y67" i="12"/>
  <c r="Y68" i="12"/>
  <c r="AM70" i="12"/>
  <c r="AM71" i="12" s="1"/>
  <c r="AM20" i="4" s="1"/>
  <c r="D70" i="12"/>
  <c r="D71" i="12" s="1"/>
  <c r="D20" i="4" s="1"/>
  <c r="Z69" i="12"/>
  <c r="Z68" i="12"/>
  <c r="Z67" i="12"/>
  <c r="M64" i="12"/>
  <c r="M65" i="12" s="1"/>
  <c r="M66" i="12"/>
  <c r="N70" i="12"/>
  <c r="N71" i="12" s="1"/>
  <c r="N20" i="4" s="1"/>
  <c r="H70" i="12"/>
  <c r="H71" i="12" s="1"/>
  <c r="H20" i="4" s="1"/>
  <c r="T32" i="14"/>
  <c r="T33" i="14" s="1"/>
  <c r="T21" i="4" s="1"/>
  <c r="L32" i="14"/>
  <c r="L33" i="14" s="1"/>
  <c r="L21" i="4" s="1"/>
  <c r="AG32" i="14"/>
  <c r="AG33" i="14" s="1"/>
  <c r="AG21" i="4" s="1"/>
  <c r="Z32" i="14"/>
  <c r="Z33" i="14" s="1"/>
  <c r="Z21" i="4" s="1"/>
  <c r="J32" i="14"/>
  <c r="J33" i="14" s="1"/>
  <c r="J21" i="4" s="1"/>
  <c r="AM32" i="14"/>
  <c r="AM33" i="14" s="1"/>
  <c r="AM21" i="4" s="1"/>
  <c r="W32" i="14"/>
  <c r="W33" i="14" s="1"/>
  <c r="W21" i="4" s="1"/>
  <c r="S32" i="14"/>
  <c r="S33" i="14" s="1"/>
  <c r="S21" i="4" s="1"/>
  <c r="Q32" i="14"/>
  <c r="Q33" i="14" s="1"/>
  <c r="Q21" i="4" s="1"/>
  <c r="G32" i="14"/>
  <c r="G33" i="14" s="1"/>
  <c r="G21" i="4" s="1"/>
  <c r="AE32" i="14"/>
  <c r="AE33" i="14" s="1"/>
  <c r="AE21" i="4" s="1"/>
  <c r="M32" i="14"/>
  <c r="M33" i="14" s="1"/>
  <c r="M21" i="4" s="1"/>
  <c r="AA32" i="14"/>
  <c r="AA33" i="14" s="1"/>
  <c r="AA21" i="4" s="1"/>
  <c r="V32" i="14"/>
  <c r="V33" i="14" s="1"/>
  <c r="V21" i="4" s="1"/>
  <c r="H32" i="14"/>
  <c r="H33" i="14" s="1"/>
  <c r="H21" i="4" s="1"/>
  <c r="N32" i="14"/>
  <c r="N33" i="14" s="1"/>
  <c r="N21" i="4" s="1"/>
  <c r="AB32" i="14"/>
  <c r="AB33" i="14" s="1"/>
  <c r="AB21" i="4" s="1"/>
  <c r="P32" i="14"/>
  <c r="P33" i="14" s="1"/>
  <c r="P21" i="4" s="1"/>
  <c r="R32" i="14"/>
  <c r="R33" i="14" s="1"/>
  <c r="R21" i="4" s="1"/>
  <c r="AH32" i="14"/>
  <c r="AH33" i="14" s="1"/>
  <c r="AH21" i="4" s="1"/>
  <c r="I32" i="14"/>
  <c r="I33" i="14" s="1"/>
  <c r="I21" i="4" s="1"/>
  <c r="AJ32" i="14"/>
  <c r="AJ33" i="14" s="1"/>
  <c r="AJ21" i="4" s="1"/>
  <c r="K32" i="14"/>
  <c r="K33" i="14" s="1"/>
  <c r="K21" i="4" s="1"/>
  <c r="Y32" i="14"/>
  <c r="Y33" i="14" s="1"/>
  <c r="Y21" i="4" s="1"/>
  <c r="AI32" i="14"/>
  <c r="AI33" i="14" s="1"/>
  <c r="AI21" i="4" s="1"/>
  <c r="AC32" i="14"/>
  <c r="AC33" i="14" s="1"/>
  <c r="AC21" i="4" s="1"/>
  <c r="X32" i="14"/>
  <c r="X33" i="14" s="1"/>
  <c r="X21" i="4" s="1"/>
  <c r="F32" i="14"/>
  <c r="F33" i="14" s="1"/>
  <c r="F21" i="4" s="1"/>
  <c r="AN32" i="14"/>
  <c r="AN33" i="14" s="1"/>
  <c r="AN21" i="4" s="1"/>
  <c r="E32" i="14"/>
  <c r="E33" i="14" s="1"/>
  <c r="E21" i="4" s="1"/>
  <c r="O32" i="14"/>
  <c r="O33" i="14" s="1"/>
  <c r="O21" i="4" s="1"/>
  <c r="AK32" i="14"/>
  <c r="AK33" i="14" s="1"/>
  <c r="AK21" i="4" s="1"/>
  <c r="AD32" i="14"/>
  <c r="AD33" i="14" s="1"/>
  <c r="AD21" i="4" s="1"/>
  <c r="AF32" i="14"/>
  <c r="AF33" i="14" s="1"/>
  <c r="AF21" i="4" s="1"/>
  <c r="C32" i="14"/>
  <c r="C33" i="14" s="1"/>
  <c r="C21" i="4" s="1"/>
  <c r="D32" i="14"/>
  <c r="D33" i="14" s="1"/>
  <c r="D21" i="4" s="1"/>
  <c r="U32" i="14"/>
  <c r="U33" i="14" s="1"/>
  <c r="U21" i="4" s="1"/>
  <c r="AL32" i="14"/>
  <c r="AL33" i="14" s="1"/>
  <c r="AL21" i="4" s="1"/>
  <c r="AB69" i="21"/>
  <c r="AB70" i="21" s="1"/>
  <c r="V69" i="21"/>
  <c r="V70" i="21" s="1"/>
  <c r="S69" i="21"/>
  <c r="S70" i="21" s="1"/>
  <c r="AJ69" i="21"/>
  <c r="AJ70" i="21" s="1"/>
  <c r="K69" i="21"/>
  <c r="K70" i="21" s="1"/>
  <c r="F69" i="21"/>
  <c r="F70" i="21" s="1"/>
  <c r="AD69" i="21"/>
  <c r="AD70" i="21" s="1"/>
  <c r="AE69" i="21"/>
  <c r="AE70" i="21" s="1"/>
  <c r="AC69" i="21"/>
  <c r="AC70" i="21" s="1"/>
  <c r="W69" i="21"/>
  <c r="W70" i="21" s="1"/>
  <c r="AN69" i="21"/>
  <c r="AN70" i="21" s="1"/>
  <c r="P69" i="21"/>
  <c r="P70" i="21" s="1"/>
  <c r="AO69" i="21"/>
  <c r="AO70" i="21" s="1"/>
  <c r="O69" i="21"/>
  <c r="O70" i="21" s="1"/>
  <c r="S114" i="12" l="1"/>
  <c r="K114" i="12"/>
  <c r="M114" i="12"/>
  <c r="AB115" i="12"/>
  <c r="F114" i="12"/>
  <c r="K115" i="12"/>
  <c r="AA115" i="12"/>
  <c r="AJ114" i="12"/>
  <c r="W114" i="12"/>
  <c r="V114" i="12"/>
  <c r="D114" i="12"/>
  <c r="F115" i="12"/>
  <c r="U114" i="12"/>
  <c r="J114" i="12"/>
  <c r="E115" i="12"/>
  <c r="AI115" i="12"/>
  <c r="V112" i="12"/>
  <c r="E112" i="12"/>
  <c r="P115" i="12"/>
  <c r="AB114" i="12"/>
  <c r="AN114" i="12"/>
  <c r="Q114" i="12"/>
  <c r="H114" i="12"/>
  <c r="H98" i="12"/>
  <c r="Q115" i="12"/>
  <c r="J98" i="12"/>
  <c r="V115" i="12"/>
  <c r="Z119" i="12"/>
  <c r="Z120" i="12" s="1"/>
  <c r="Z122" i="12" s="1"/>
  <c r="Z114" i="12"/>
  <c r="F119" i="12"/>
  <c r="F120" i="12" s="1"/>
  <c r="F122" i="12" s="1"/>
  <c r="D98" i="12"/>
  <c r="AH114" i="12"/>
  <c r="Z98" i="12"/>
  <c r="P112" i="12"/>
  <c r="E119" i="12"/>
  <c r="E120" i="12" s="1"/>
  <c r="E122" i="12" s="1"/>
  <c r="P119" i="12"/>
  <c r="P120" i="12" s="1"/>
  <c r="P122" i="12" s="1"/>
  <c r="E114" i="12"/>
  <c r="AI114" i="12"/>
  <c r="I112" i="12"/>
  <c r="AB119" i="12"/>
  <c r="AB120" i="12" s="1"/>
  <c r="AB122" i="12" s="1"/>
  <c r="AC114" i="12"/>
  <c r="AK114" i="12"/>
  <c r="AK119" i="12"/>
  <c r="AK120" i="12" s="1"/>
  <c r="AK122" i="12" s="1"/>
  <c r="E98" i="12"/>
  <c r="P114" i="12"/>
  <c r="H115" i="12"/>
  <c r="H112" i="12"/>
  <c r="AN98" i="12"/>
  <c r="V119" i="12"/>
  <c r="V120" i="12" s="1"/>
  <c r="V122" i="12" s="1"/>
  <c r="K112" i="12"/>
  <c r="K119" i="12"/>
  <c r="K120" i="12" s="1"/>
  <c r="K122" i="12" s="1"/>
  <c r="I114" i="12"/>
  <c r="AK98" i="12"/>
  <c r="K98" i="12"/>
  <c r="AA98" i="12"/>
  <c r="U98" i="12"/>
  <c r="F98" i="12"/>
  <c r="V98" i="12"/>
  <c r="Q112" i="12"/>
  <c r="AC119" i="12"/>
  <c r="AC120" i="12" s="1"/>
  <c r="AC122" i="12" s="1"/>
  <c r="AC115" i="12"/>
  <c r="AC112" i="12"/>
  <c r="AH98" i="12"/>
  <c r="AI119" i="12"/>
  <c r="AI120" i="12" s="1"/>
  <c r="AI122" i="12" s="1"/>
  <c r="F112" i="12"/>
  <c r="W98" i="12"/>
  <c r="S98" i="12"/>
  <c r="Q119" i="12"/>
  <c r="Q120" i="12" s="1"/>
  <c r="Q122" i="12" s="1"/>
  <c r="AB112" i="12"/>
  <c r="AA114" i="12"/>
  <c r="AC98" i="12"/>
  <c r="AI112" i="12"/>
  <c r="I98" i="12"/>
  <c r="I115" i="12"/>
  <c r="M98" i="12"/>
  <c r="Q98" i="12"/>
  <c r="AI98" i="12"/>
  <c r="AJ98" i="12"/>
  <c r="I119" i="12"/>
  <c r="I120" i="12" s="1"/>
  <c r="I122" i="12" s="1"/>
  <c r="AB98" i="12"/>
  <c r="AA112" i="12"/>
  <c r="H119" i="12"/>
  <c r="H120" i="12" s="1"/>
  <c r="H122" i="12" s="1"/>
  <c r="P98" i="12"/>
  <c r="AA119" i="12"/>
  <c r="AA120" i="12" s="1"/>
  <c r="AA122" i="12" s="1"/>
  <c r="AK112" i="12"/>
  <c r="AK115" i="12"/>
  <c r="D119" i="12"/>
  <c r="D120" i="12" s="1"/>
  <c r="D122" i="12" s="1"/>
  <c r="D115" i="12"/>
  <c r="M119" i="12"/>
  <c r="M120" i="12" s="1"/>
  <c r="M122" i="12" s="1"/>
  <c r="M115" i="12"/>
  <c r="S119" i="12"/>
  <c r="S120" i="12" s="1"/>
  <c r="S122" i="12" s="1"/>
  <c r="S115" i="12"/>
  <c r="AH112" i="12"/>
  <c r="AH115" i="12"/>
  <c r="AJ112" i="12"/>
  <c r="AJ115" i="12"/>
  <c r="AH119" i="12"/>
  <c r="AH120" i="12" s="1"/>
  <c r="AH122" i="12" s="1"/>
  <c r="W119" i="12"/>
  <c r="W120" i="12" s="1"/>
  <c r="W122" i="12" s="1"/>
  <c r="W115" i="12"/>
  <c r="T119" i="12"/>
  <c r="T120" i="12" s="1"/>
  <c r="T122" i="12" s="1"/>
  <c r="T115" i="12"/>
  <c r="J119" i="12"/>
  <c r="J120" i="12" s="1"/>
  <c r="J122" i="12" s="1"/>
  <c r="J115" i="12"/>
  <c r="U119" i="12"/>
  <c r="U120" i="12" s="1"/>
  <c r="U122" i="12" s="1"/>
  <c r="U115" i="12"/>
  <c r="Z112" i="12"/>
  <c r="Z115" i="12"/>
  <c r="AN112" i="12"/>
  <c r="AN115" i="12"/>
  <c r="AN119" i="12"/>
  <c r="AN120" i="12" s="1"/>
  <c r="AN122" i="12" s="1"/>
  <c r="W112" i="12"/>
  <c r="U112" i="12"/>
  <c r="D112" i="12"/>
  <c r="M112" i="12"/>
  <c r="S112" i="12"/>
  <c r="J112" i="12"/>
  <c r="T112" i="12"/>
  <c r="AJ119" i="12"/>
  <c r="AJ120" i="12" s="1"/>
  <c r="AJ122" i="12" s="1"/>
  <c r="V70" i="12"/>
  <c r="V71" i="12" s="1"/>
  <c r="V20" i="4" s="1"/>
  <c r="P70" i="12"/>
  <c r="P71" i="12" s="1"/>
  <c r="P20" i="4" s="1"/>
  <c r="AN70" i="12"/>
  <c r="AN71" i="12" s="1"/>
  <c r="AN20" i="4" s="1"/>
  <c r="Y70" i="12"/>
  <c r="Y71" i="12" s="1"/>
  <c r="Y20" i="4" s="1"/>
  <c r="Q70" i="12"/>
  <c r="Q71" i="12" s="1"/>
  <c r="Q20" i="4" s="1"/>
  <c r="K70" i="12"/>
  <c r="K71" i="12" s="1"/>
  <c r="K20" i="4" s="1"/>
  <c r="AH70" i="12"/>
  <c r="AH71" i="12" s="1"/>
  <c r="AH20" i="4" s="1"/>
  <c r="M69" i="12"/>
  <c r="M67" i="12"/>
  <c r="M68" i="12"/>
  <c r="T70" i="12"/>
  <c r="T71" i="12" s="1"/>
  <c r="T20" i="4" s="1"/>
  <c r="AL70" i="12"/>
  <c r="AL71" i="12" s="1"/>
  <c r="AL20" i="4" s="1"/>
  <c r="AJ70" i="12"/>
  <c r="AJ71" i="12" s="1"/>
  <c r="AJ20" i="4" s="1"/>
  <c r="I70" i="12"/>
  <c r="I71" i="12" s="1"/>
  <c r="I20" i="4" s="1"/>
  <c r="Z70" i="12"/>
  <c r="Z71" i="12" s="1"/>
  <c r="Z20" i="4" s="1"/>
  <c r="F70" i="12"/>
  <c r="F71" i="12" s="1"/>
  <c r="F20" i="4" s="1"/>
  <c r="M70" i="12" l="1"/>
  <c r="M71" i="12" s="1"/>
  <c r="M20" i="4" s="1"/>
  <c r="K231" i="2" l="1"/>
  <c r="E231" i="2" l="1"/>
  <c r="H80" i="20" l="1"/>
  <c r="AH80" i="20"/>
  <c r="D80" i="20"/>
  <c r="R80" i="20"/>
  <c r="M80" i="20"/>
  <c r="S80" i="20"/>
  <c r="AJ80" i="20"/>
  <c r="Y80" i="20"/>
  <c r="P80" i="20"/>
  <c r="X80" i="20"/>
  <c r="AA80" i="20"/>
  <c r="I80" i="20"/>
  <c r="Q80" i="20"/>
  <c r="N80" i="20"/>
  <c r="T80" i="20"/>
  <c r="AK80" i="20"/>
  <c r="C80" i="20"/>
  <c r="AM80" i="20"/>
  <c r="J80" i="20"/>
  <c r="AG80" i="20"/>
  <c r="AD80" i="20"/>
  <c r="AL80" i="20"/>
  <c r="V80" i="20"/>
  <c r="F80" i="20"/>
  <c r="AF80" i="20"/>
  <c r="W80" i="20"/>
  <c r="U80" i="20"/>
  <c r="AB80" i="20"/>
  <c r="AI80" i="20"/>
  <c r="Z80" i="20"/>
  <c r="AE80" i="20"/>
  <c r="AC80" i="20"/>
  <c r="K80" i="20"/>
  <c r="E80" i="20"/>
  <c r="L80" i="20"/>
  <c r="O80" i="20"/>
  <c r="G80" i="20"/>
  <c r="AN80" i="20"/>
  <c r="B1" i="20"/>
  <c r="T97" i="20" l="1"/>
  <c r="T98" i="20" s="1"/>
  <c r="N97" i="20"/>
  <c r="N98" i="20" s="1"/>
  <c r="AF97" i="20"/>
  <c r="AF98" i="20" s="1"/>
  <c r="AN97" i="20"/>
  <c r="AN98" i="20" s="1"/>
  <c r="W97" i="20"/>
  <c r="W98" i="20" s="1"/>
  <c r="Z97" i="20"/>
  <c r="Z98" i="20" s="1"/>
  <c r="AA97" i="20"/>
  <c r="AA98" i="20" s="1"/>
  <c r="AD97" i="20"/>
  <c r="AD98" i="20" s="1"/>
  <c r="R97" i="20"/>
  <c r="R98" i="20" s="1"/>
  <c r="G97" i="20"/>
  <c r="G98" i="20" s="1"/>
  <c r="AK97" i="20"/>
  <c r="AK98" i="20" s="1"/>
  <c r="D97" i="20"/>
  <c r="D98" i="20" s="1"/>
  <c r="U97" i="20"/>
  <c r="U98" i="20" s="1"/>
  <c r="AB97" i="20"/>
  <c r="AB98" i="20" s="1"/>
  <c r="C97" i="20"/>
  <c r="C98" i="20" s="1"/>
  <c r="AE97" i="20"/>
  <c r="AE98" i="20" s="1"/>
  <c r="V97" i="20"/>
  <c r="V98" i="20" s="1"/>
  <c r="I97" i="20"/>
  <c r="I98" i="20" s="1"/>
  <c r="Y97" i="20"/>
  <c r="Y98" i="20" s="1"/>
  <c r="AG97" i="20"/>
  <c r="AG98" i="20" s="1"/>
  <c r="AM97" i="20"/>
  <c r="AM98" i="20" s="1"/>
  <c r="K97" i="20"/>
  <c r="K98" i="20" s="1"/>
  <c r="H97" i="20"/>
  <c r="H98" i="20" s="1"/>
  <c r="M97" i="20"/>
  <c r="M98" i="20" s="1"/>
  <c r="P97" i="20"/>
  <c r="P98" i="20" s="1"/>
  <c r="O97" i="20"/>
  <c r="O98" i="20" s="1"/>
  <c r="L97" i="20"/>
  <c r="L98" i="20" s="1"/>
  <c r="E97" i="20"/>
  <c r="E98" i="20" s="1"/>
  <c r="AJ97" i="20"/>
  <c r="AJ98" i="20" s="1"/>
  <c r="AC97" i="20"/>
  <c r="AC98" i="20" s="1"/>
  <c r="AI97" i="20"/>
  <c r="AI98" i="20" s="1"/>
  <c r="AL97" i="20"/>
  <c r="AL98" i="20" s="1"/>
  <c r="S97" i="20"/>
  <c r="S98" i="20" s="1"/>
  <c r="J97" i="20"/>
  <c r="J98" i="20" s="1"/>
  <c r="X97" i="20"/>
  <c r="X98" i="20" s="1"/>
  <c r="Q97" i="20"/>
  <c r="Q98" i="20" s="1"/>
  <c r="AH97" i="20"/>
  <c r="AH98" i="20" s="1"/>
  <c r="F97" i="20"/>
  <c r="F98" i="20" s="1"/>
  <c r="AC142" i="2"/>
  <c r="AK142" i="2"/>
  <c r="BQ142" i="2"/>
  <c r="BY142" i="2"/>
  <c r="CG142" i="2"/>
  <c r="CO142" i="2"/>
  <c r="EK142" i="2"/>
  <c r="V142" i="2"/>
  <c r="AD142" i="2"/>
  <c r="AL142" i="2"/>
  <c r="BR142" i="2"/>
  <c r="BZ142" i="2"/>
  <c r="CH142" i="2"/>
  <c r="CP142" i="2"/>
  <c r="ED142" i="2"/>
  <c r="W142" i="2"/>
  <c r="AE142" i="2"/>
  <c r="AM142" i="2"/>
  <c r="BS142" i="2"/>
  <c r="CA142" i="2"/>
  <c r="CI142" i="2"/>
  <c r="CQ142" i="2"/>
  <c r="EE142" i="2"/>
  <c r="X142" i="2"/>
  <c r="AF142" i="2"/>
  <c r="AN142" i="2"/>
  <c r="BL142" i="2"/>
  <c r="BT142" i="2"/>
  <c r="CB142" i="2"/>
  <c r="CJ142" i="2"/>
  <c r="CR142" i="2"/>
  <c r="EF142" i="2"/>
  <c r="Y142" i="2"/>
  <c r="AG142" i="2"/>
  <c r="AO142" i="2"/>
  <c r="BM142" i="2"/>
  <c r="BU142" i="2"/>
  <c r="CC142" i="2"/>
  <c r="CK142" i="2"/>
  <c r="CS142" i="2"/>
  <c r="EG142" i="2"/>
  <c r="Z142" i="2"/>
  <c r="AH142" i="2"/>
  <c r="AP142" i="2"/>
  <c r="BN142" i="2"/>
  <c r="BV142" i="2"/>
  <c r="CD142" i="2"/>
  <c r="CL142" i="2"/>
  <c r="CT142" i="2"/>
  <c r="EH142" i="2"/>
  <c r="AA142" i="2"/>
  <c r="AI142" i="2"/>
  <c r="BO142" i="2"/>
  <c r="BW142" i="2"/>
  <c r="CE142" i="2"/>
  <c r="CM142" i="2"/>
  <c r="EI142" i="2"/>
  <c r="AB142" i="2"/>
  <c r="AJ142" i="2"/>
  <c r="BP142" i="2"/>
  <c r="BX142" i="2"/>
  <c r="CF142" i="2"/>
  <c r="CN142" i="2"/>
  <c r="EJ142" i="2"/>
  <c r="U95" i="20"/>
  <c r="AK95" i="20"/>
  <c r="P95" i="20"/>
  <c r="AH95" i="20"/>
  <c r="AN95" i="20"/>
  <c r="AE95" i="20"/>
  <c r="R95" i="20"/>
  <c r="Z95" i="20"/>
  <c r="X95" i="20"/>
  <c r="AC95" i="20"/>
  <c r="AM95" i="20"/>
  <c r="O95" i="20"/>
  <c r="H95" i="20"/>
  <c r="L95" i="20"/>
  <c r="Y95" i="20"/>
  <c r="S95" i="20"/>
  <c r="W95" i="20"/>
  <c r="M95" i="20"/>
  <c r="AJ95" i="20"/>
  <c r="C95" i="20"/>
  <c r="V95" i="20"/>
  <c r="Q95" i="20"/>
  <c r="AL95" i="20"/>
  <c r="T95" i="20"/>
  <c r="AD95" i="20"/>
  <c r="I95" i="20"/>
  <c r="K95" i="20"/>
  <c r="F95" i="20"/>
  <c r="D95" i="20"/>
  <c r="N95" i="20"/>
  <c r="AI95" i="20"/>
  <c r="J95" i="20"/>
  <c r="G95" i="20"/>
  <c r="AA95" i="20"/>
  <c r="AF95" i="20"/>
  <c r="AG95" i="20"/>
  <c r="E95" i="20"/>
  <c r="AB95" i="20"/>
  <c r="AD103" i="20" l="1"/>
  <c r="AD104" i="20" s="1"/>
  <c r="AD99" i="20"/>
  <c r="AG103" i="20"/>
  <c r="AG104" i="20" s="1"/>
  <c r="AG99" i="20"/>
  <c r="Z103" i="20"/>
  <c r="Z104" i="20" s="1"/>
  <c r="Z99" i="20"/>
  <c r="H103" i="20"/>
  <c r="H104" i="20" s="1"/>
  <c r="H99" i="20"/>
  <c r="AM103" i="20"/>
  <c r="AM104" i="20" s="1"/>
  <c r="AM99" i="20"/>
  <c r="AK103" i="20"/>
  <c r="AK104" i="20" s="1"/>
  <c r="AK99" i="20"/>
  <c r="K103" i="20"/>
  <c r="K104" i="20" s="1"/>
  <c r="K99" i="20"/>
  <c r="D103" i="20"/>
  <c r="D104" i="20" s="1"/>
  <c r="D99" i="20"/>
  <c r="L103" i="20"/>
  <c r="L104" i="20" s="1"/>
  <c r="L99" i="20"/>
  <c r="R103" i="20"/>
  <c r="R104" i="20" s="1"/>
  <c r="R99" i="20"/>
  <c r="AN103" i="20"/>
  <c r="AN104" i="20" s="1"/>
  <c r="AN99" i="20"/>
  <c r="AI103" i="20"/>
  <c r="AI104" i="20" s="1"/>
  <c r="AI99" i="20"/>
  <c r="AJ103" i="20"/>
  <c r="AJ104" i="20" s="1"/>
  <c r="AJ99" i="20"/>
  <c r="F103" i="20"/>
  <c r="F104" i="20" s="1"/>
  <c r="F99" i="20"/>
  <c r="N99" i="20"/>
  <c r="N103" i="20"/>
  <c r="N104" i="20" s="1"/>
  <c r="E103" i="20"/>
  <c r="E104" i="20" s="1"/>
  <c r="E99" i="20"/>
  <c r="I103" i="20"/>
  <c r="I104" i="20" s="1"/>
  <c r="I99" i="20"/>
  <c r="M103" i="20"/>
  <c r="M104" i="20" s="1"/>
  <c r="M99" i="20"/>
  <c r="S103" i="20"/>
  <c r="S104" i="20" s="1"/>
  <c r="S99" i="20"/>
  <c r="V99" i="20"/>
  <c r="V103" i="20"/>
  <c r="V104" i="20" s="1"/>
  <c r="Q103" i="20"/>
  <c r="Q104" i="20" s="1"/>
  <c r="Q99" i="20"/>
  <c r="AF99" i="20"/>
  <c r="AF103" i="20"/>
  <c r="AF104" i="20" s="1"/>
  <c r="J103" i="20"/>
  <c r="J104" i="20" s="1"/>
  <c r="J99" i="20"/>
  <c r="Y103" i="20"/>
  <c r="Y104" i="20" s="1"/>
  <c r="Y99" i="20"/>
  <c r="T103" i="20"/>
  <c r="T104" i="20" s="1"/>
  <c r="T99" i="20"/>
  <c r="G103" i="20"/>
  <c r="G104" i="20" s="1"/>
  <c r="G99" i="20"/>
  <c r="C103" i="20"/>
  <c r="C104" i="20" s="1"/>
  <c r="C99" i="20"/>
  <c r="AC103" i="20"/>
  <c r="AC104" i="20" s="1"/>
  <c r="AC99" i="20"/>
  <c r="AL103" i="20"/>
  <c r="AL104" i="20" s="1"/>
  <c r="AL99" i="20"/>
  <c r="P103" i="20"/>
  <c r="P104" i="20" s="1"/>
  <c r="P99" i="20"/>
  <c r="AE103" i="20"/>
  <c r="AE104" i="20" s="1"/>
  <c r="AE99" i="20"/>
  <c r="W103" i="20"/>
  <c r="W104" i="20" s="1"/>
  <c r="W99" i="20"/>
  <c r="AA99" i="20"/>
  <c r="AA103" i="20"/>
  <c r="AA104" i="20" s="1"/>
  <c r="X103" i="20"/>
  <c r="X104" i="20" s="1"/>
  <c r="X99" i="20"/>
  <c r="O103" i="20"/>
  <c r="O104" i="20" s="1"/>
  <c r="O99" i="20"/>
  <c r="AH103" i="20"/>
  <c r="AH104" i="20" s="1"/>
  <c r="AH99" i="20"/>
  <c r="U103" i="20"/>
  <c r="U104" i="20" s="1"/>
  <c r="U99" i="20"/>
  <c r="AB103" i="20"/>
  <c r="AB104" i="20" s="1"/>
  <c r="AB99" i="20"/>
  <c r="AA101" i="20" l="1"/>
  <c r="AA100" i="20"/>
  <c r="AA102" i="20" s="1"/>
  <c r="I108" i="20"/>
  <c r="I105" i="20"/>
  <c r="I106" i="20"/>
  <c r="I107" i="20" s="1"/>
  <c r="L101" i="20"/>
  <c r="L100" i="20"/>
  <c r="L102" i="20" s="1"/>
  <c r="W101" i="20"/>
  <c r="W100" i="20"/>
  <c r="W102" i="20" s="1"/>
  <c r="E101" i="20"/>
  <c r="E100" i="20"/>
  <c r="E102" i="20" s="1"/>
  <c r="H105" i="20"/>
  <c r="H106" i="20"/>
  <c r="H107" i="20" s="1"/>
  <c r="H108" i="20"/>
  <c r="AH105" i="20"/>
  <c r="AH106" i="20"/>
  <c r="AH107" i="20" s="1"/>
  <c r="AH108" i="20"/>
  <c r="W105" i="20"/>
  <c r="W106" i="20"/>
  <c r="W107" i="20" s="1"/>
  <c r="W108" i="20"/>
  <c r="AC106" i="20"/>
  <c r="AC107" i="20" s="1"/>
  <c r="AC105" i="20"/>
  <c r="AC108" i="20"/>
  <c r="Y105" i="20"/>
  <c r="Y106" i="20"/>
  <c r="Y107" i="20" s="1"/>
  <c r="Y108" i="20"/>
  <c r="V101" i="20"/>
  <c r="V100" i="20"/>
  <c r="V102" i="20" s="1"/>
  <c r="E106" i="20"/>
  <c r="E107" i="20" s="1"/>
  <c r="E105" i="20"/>
  <c r="E108" i="20"/>
  <c r="AI101" i="20"/>
  <c r="AI100" i="20"/>
  <c r="AI102" i="20" s="1"/>
  <c r="AM106" i="20"/>
  <c r="AM107" i="20" s="1"/>
  <c r="AM105" i="20"/>
  <c r="AM108" i="20"/>
  <c r="Z101" i="20"/>
  <c r="Z100" i="20"/>
  <c r="Z102" i="20" s="1"/>
  <c r="O101" i="20"/>
  <c r="O100" i="20"/>
  <c r="O102" i="20" s="1"/>
  <c r="AE101" i="20"/>
  <c r="AE100" i="20"/>
  <c r="AE102" i="20" s="1"/>
  <c r="C101" i="20"/>
  <c r="C100" i="20"/>
  <c r="C102" i="20" s="1"/>
  <c r="J101" i="20"/>
  <c r="J100" i="20"/>
  <c r="J102" i="20" s="1"/>
  <c r="S101" i="20"/>
  <c r="S100" i="20"/>
  <c r="S102" i="20" s="1"/>
  <c r="N105" i="20"/>
  <c r="N108" i="20"/>
  <c r="N106" i="20"/>
  <c r="N107" i="20" s="1"/>
  <c r="AI106" i="20"/>
  <c r="AI107" i="20" s="1"/>
  <c r="AI108" i="20"/>
  <c r="AI105" i="20"/>
  <c r="D101" i="20"/>
  <c r="D100" i="20"/>
  <c r="D102" i="20" s="1"/>
  <c r="Z105" i="20"/>
  <c r="Z108" i="20"/>
  <c r="Z106" i="20"/>
  <c r="Z107" i="20" s="1"/>
  <c r="T106" i="20"/>
  <c r="T107" i="20" s="1"/>
  <c r="T105" i="20"/>
  <c r="T108" i="20"/>
  <c r="AJ101" i="20"/>
  <c r="AJ100" i="20"/>
  <c r="AJ102" i="20" s="1"/>
  <c r="V105" i="20"/>
  <c r="V106" i="20"/>
  <c r="V107" i="20" s="1"/>
  <c r="V108" i="20"/>
  <c r="AM101" i="20"/>
  <c r="AM100" i="20"/>
  <c r="AM102" i="20" s="1"/>
  <c r="C106" i="20"/>
  <c r="C107" i="20" s="1"/>
  <c r="C105" i="20"/>
  <c r="C108" i="20"/>
  <c r="D105" i="20"/>
  <c r="D106" i="20"/>
  <c r="D107" i="20" s="1"/>
  <c r="D108" i="20"/>
  <c r="P101" i="20"/>
  <c r="P100" i="20"/>
  <c r="P102" i="20" s="1"/>
  <c r="AN105" i="20"/>
  <c r="AN106" i="20"/>
  <c r="AN107" i="20" s="1"/>
  <c r="AN108" i="20"/>
  <c r="AG105" i="20"/>
  <c r="AG106" i="20"/>
  <c r="AG107" i="20" s="1"/>
  <c r="AG108" i="20"/>
  <c r="AL105" i="20"/>
  <c r="AL106" i="20"/>
  <c r="AL107" i="20" s="1"/>
  <c r="AL108" i="20"/>
  <c r="AK105" i="20"/>
  <c r="AK108" i="20"/>
  <c r="AK106" i="20"/>
  <c r="AK107" i="20" s="1"/>
  <c r="AC101" i="20"/>
  <c r="AC100" i="20"/>
  <c r="AC102" i="20" s="1"/>
  <c r="AJ105" i="20"/>
  <c r="AJ106" i="20"/>
  <c r="AJ107" i="20" s="1"/>
  <c r="AJ108" i="20"/>
  <c r="O108" i="20"/>
  <c r="O106" i="20"/>
  <c r="O107" i="20" s="1"/>
  <c r="O105" i="20"/>
  <c r="S108" i="20"/>
  <c r="S105" i="20"/>
  <c r="S106" i="20"/>
  <c r="S107" i="20" s="1"/>
  <c r="AN101" i="20"/>
  <c r="AN100" i="20"/>
  <c r="AN102" i="20" s="1"/>
  <c r="AG101" i="20"/>
  <c r="AG100" i="20"/>
  <c r="AG102" i="20" s="1"/>
  <c r="AB101" i="20"/>
  <c r="AB100" i="20"/>
  <c r="AB102" i="20" s="1"/>
  <c r="G101" i="20"/>
  <c r="G100" i="20"/>
  <c r="G102" i="20" s="1"/>
  <c r="F100" i="20"/>
  <c r="F102" i="20" s="1"/>
  <c r="F101" i="20"/>
  <c r="AB108" i="20"/>
  <c r="AB106" i="20"/>
  <c r="AB107" i="20" s="1"/>
  <c r="AB105" i="20"/>
  <c r="P105" i="20"/>
  <c r="P108" i="20"/>
  <c r="P106" i="20"/>
  <c r="P107" i="20" s="1"/>
  <c r="G105" i="20"/>
  <c r="G106" i="20"/>
  <c r="G107" i="20" s="1"/>
  <c r="G108" i="20"/>
  <c r="AF101" i="20"/>
  <c r="AF100" i="20"/>
  <c r="AF102" i="20" s="1"/>
  <c r="M105" i="20"/>
  <c r="M108" i="20"/>
  <c r="M106" i="20"/>
  <c r="M107" i="20" s="1"/>
  <c r="F108" i="20"/>
  <c r="F105" i="20"/>
  <c r="F106" i="20"/>
  <c r="F107" i="20" s="1"/>
  <c r="R101" i="20"/>
  <c r="R100" i="20"/>
  <c r="R102" i="20" s="1"/>
  <c r="K106" i="20"/>
  <c r="K107" i="20" s="1"/>
  <c r="K105" i="20"/>
  <c r="K108" i="20"/>
  <c r="AD101" i="20"/>
  <c r="AD100" i="20"/>
  <c r="AD102" i="20" s="1"/>
  <c r="U105" i="20"/>
  <c r="U106" i="20"/>
  <c r="U107" i="20" s="1"/>
  <c r="U108" i="20"/>
  <c r="Q105" i="20"/>
  <c r="Q108" i="20"/>
  <c r="Q106" i="20"/>
  <c r="Q107" i="20" s="1"/>
  <c r="H100" i="20"/>
  <c r="H102" i="20" s="1"/>
  <c r="H101" i="20"/>
  <c r="AH101" i="20"/>
  <c r="AH100" i="20"/>
  <c r="AH102" i="20" s="1"/>
  <c r="Y101" i="20"/>
  <c r="Y100" i="20"/>
  <c r="Y102" i="20" s="1"/>
  <c r="L105" i="20"/>
  <c r="L106" i="20"/>
  <c r="L107" i="20" s="1"/>
  <c r="L108" i="20"/>
  <c r="AE105" i="20"/>
  <c r="AE106" i="20"/>
  <c r="AE107" i="20" s="1"/>
  <c r="AE108" i="20"/>
  <c r="J105" i="20"/>
  <c r="J108" i="20"/>
  <c r="J106" i="20"/>
  <c r="J107" i="20" s="1"/>
  <c r="N101" i="20"/>
  <c r="N100" i="20"/>
  <c r="N102" i="20" s="1"/>
  <c r="X101" i="20"/>
  <c r="X100" i="20"/>
  <c r="X102" i="20" s="1"/>
  <c r="AF105" i="20"/>
  <c r="AF106" i="20"/>
  <c r="AF107" i="20" s="1"/>
  <c r="AF108" i="20"/>
  <c r="M101" i="20"/>
  <c r="M100" i="20"/>
  <c r="M102" i="20" s="1"/>
  <c r="K101" i="20"/>
  <c r="K100" i="20"/>
  <c r="K102" i="20" s="1"/>
  <c r="X105" i="20"/>
  <c r="X108" i="20"/>
  <c r="X106" i="20"/>
  <c r="X107" i="20" s="1"/>
  <c r="U101" i="20"/>
  <c r="U100" i="20"/>
  <c r="U102" i="20" s="1"/>
  <c r="AA105" i="20"/>
  <c r="AA106" i="20"/>
  <c r="AA107" i="20" s="1"/>
  <c r="AA108" i="20"/>
  <c r="AL101" i="20"/>
  <c r="AL100" i="20"/>
  <c r="AL102" i="20" s="1"/>
  <c r="T100" i="20"/>
  <c r="T102" i="20" s="1"/>
  <c r="T101" i="20"/>
  <c r="Q101" i="20"/>
  <c r="Q100" i="20"/>
  <c r="Q102" i="20" s="1"/>
  <c r="I101" i="20"/>
  <c r="I100" i="20"/>
  <c r="I102" i="20" s="1"/>
  <c r="R105" i="20"/>
  <c r="R108" i="20"/>
  <c r="R106" i="20"/>
  <c r="R107" i="20" s="1"/>
  <c r="AK101" i="20"/>
  <c r="AK100" i="20"/>
  <c r="AK102" i="20" s="1"/>
  <c r="AD105" i="20"/>
  <c r="AD106" i="20"/>
  <c r="AD107" i="20" s="1"/>
  <c r="AD108" i="20"/>
  <c r="D231" i="2" l="1"/>
  <c r="I231" i="2" l="1"/>
  <c r="H231" i="2"/>
  <c r="J231" i="2"/>
  <c r="F231" i="2" l="1"/>
  <c r="M91" i="5" l="1"/>
  <c r="M98" i="5" l="1"/>
  <c r="M97" i="5"/>
  <c r="W91" i="5"/>
  <c r="W98" i="5" l="1"/>
  <c r="W97" i="5"/>
  <c r="AC87" i="5" l="1"/>
  <c r="AM87" i="5"/>
  <c r="AI87" i="5"/>
  <c r="AI88" i="5" l="1"/>
  <c r="AC88" i="5"/>
  <c r="AC91" i="5" s="1"/>
  <c r="AC97" i="5" s="1"/>
  <c r="AM88" i="5"/>
  <c r="AM91" i="5" s="1"/>
  <c r="AB87" i="5"/>
  <c r="T87" i="5"/>
  <c r="H87" i="5"/>
  <c r="D87" i="5"/>
  <c r="AJ87" i="5"/>
  <c r="AC98" i="5" l="1"/>
  <c r="AJ88" i="5"/>
  <c r="AJ91" i="5" s="1"/>
  <c r="AB88" i="5"/>
  <c r="AB91" i="5" s="1"/>
  <c r="AB97" i="5" s="1"/>
  <c r="H88" i="5"/>
  <c r="H91" i="5" s="1"/>
  <c r="D88" i="5"/>
  <c r="D91" i="5" s="1"/>
  <c r="D98" i="5" s="1"/>
  <c r="T88" i="5"/>
  <c r="T91" i="5" s="1"/>
  <c r="AI91" i="5"/>
  <c r="AM98" i="5"/>
  <c r="AM97" i="5"/>
  <c r="H97" i="5" l="1"/>
  <c r="H98" i="5"/>
  <c r="AJ98" i="5"/>
  <c r="AJ97" i="5"/>
  <c r="AI97" i="5"/>
  <c r="AI98" i="5"/>
  <c r="D97" i="5"/>
  <c r="AB98" i="5"/>
  <c r="T97" i="5"/>
  <c r="T98" i="5"/>
  <c r="AE87" i="5" l="1"/>
  <c r="AE88" i="5" s="1"/>
  <c r="X87" i="5"/>
  <c r="X88" i="5" s="1"/>
  <c r="AN87" i="5"/>
  <c r="N87" i="5"/>
  <c r="L85" i="5"/>
  <c r="AG87" i="5"/>
  <c r="U87" i="5"/>
  <c r="H85" i="5"/>
  <c r="H90" i="5" l="1"/>
  <c r="N88" i="5"/>
  <c r="N91" i="5" s="1"/>
  <c r="AN88" i="5"/>
  <c r="AN91" i="5" s="1"/>
  <c r="U88" i="5"/>
  <c r="U91" i="5" s="1"/>
  <c r="AG88" i="5"/>
  <c r="AG91" i="5" s="1"/>
  <c r="AE91" i="5"/>
  <c r="X91" i="5"/>
  <c r="H89" i="5"/>
  <c r="H100" i="5"/>
  <c r="H86" i="5"/>
  <c r="L86" i="5"/>
  <c r="AG97" i="5" l="1"/>
  <c r="AG98" i="5"/>
  <c r="AN97" i="5"/>
  <c r="AN98" i="5"/>
  <c r="U97" i="5"/>
  <c r="U98" i="5"/>
  <c r="N97" i="5"/>
  <c r="N98" i="5"/>
  <c r="AE98" i="5"/>
  <c r="AE97" i="5"/>
  <c r="X98" i="5"/>
  <c r="X97" i="5"/>
  <c r="L93" i="5"/>
  <c r="L94" i="5"/>
  <c r="H92" i="5"/>
  <c r="H93" i="5"/>
  <c r="H94" i="5"/>
  <c r="H118" i="5" s="1"/>
  <c r="H140" i="5" s="1"/>
  <c r="H74" i="5" l="1"/>
  <c r="H110" i="5"/>
  <c r="H101" i="5"/>
  <c r="H102" i="5" s="1"/>
  <c r="L115" i="5"/>
  <c r="H115" i="5"/>
  <c r="H117" i="5"/>
  <c r="H135" i="5" s="1"/>
  <c r="G14" i="4"/>
  <c r="H111" i="5" l="1"/>
  <c r="H112" i="5" s="1"/>
  <c r="H113" i="5" s="1"/>
  <c r="H139" i="5"/>
  <c r="H119" i="5"/>
  <c r="H138" i="5"/>
  <c r="H124" i="5"/>
  <c r="H127" i="5"/>
  <c r="H132" i="5"/>
  <c r="H128" i="5" l="1"/>
  <c r="H129" i="5" s="1"/>
  <c r="H144" i="5" s="1"/>
  <c r="H141" i="5"/>
  <c r="H142" i="5" s="1"/>
  <c r="H146" i="5" l="1"/>
  <c r="F87" i="5"/>
  <c r="H147" i="5" l="1"/>
  <c r="H150" i="5"/>
  <c r="F88" i="5"/>
  <c r="F91" i="5" s="1"/>
  <c r="F98" i="5" s="1"/>
  <c r="O85" i="5"/>
  <c r="AH87" i="5"/>
  <c r="AH88" i="5" s="1"/>
  <c r="V85" i="5"/>
  <c r="H148" i="5" l="1"/>
  <c r="G18" i="4" s="1"/>
  <c r="G32" i="3" s="1"/>
  <c r="H151" i="5"/>
  <c r="H152" i="5" s="1"/>
  <c r="AL85" i="5"/>
  <c r="F97" i="5"/>
  <c r="V86" i="5"/>
  <c r="AH91" i="5"/>
  <c r="O86" i="5"/>
  <c r="AL86" i="5" l="1"/>
  <c r="AL94" i="5" s="1"/>
  <c r="V93" i="5"/>
  <c r="V94" i="5"/>
  <c r="O93" i="5"/>
  <c r="O94" i="5"/>
  <c r="AH98" i="5"/>
  <c r="AH97" i="5"/>
  <c r="V115" i="5" l="1"/>
  <c r="O115" i="5"/>
  <c r="AL93" i="5"/>
  <c r="D89" i="5"/>
  <c r="E85" i="5"/>
  <c r="E87" i="5"/>
  <c r="E88" i="5" s="1"/>
  <c r="F89" i="5"/>
  <c r="G85" i="5"/>
  <c r="G87" i="5"/>
  <c r="G88" i="5" s="1"/>
  <c r="I87" i="5"/>
  <c r="I88" i="5" s="1"/>
  <c r="I91" i="5" s="1"/>
  <c r="J87" i="5"/>
  <c r="J88" i="5" s="1"/>
  <c r="J91" i="5" s="1"/>
  <c r="J98" i="5" s="1"/>
  <c r="K85" i="5"/>
  <c r="K87" i="5"/>
  <c r="K88" i="5" s="1"/>
  <c r="L87" i="5"/>
  <c r="L89" i="5" s="1"/>
  <c r="M89" i="5"/>
  <c r="O87" i="5"/>
  <c r="O88" i="5" s="1"/>
  <c r="P87" i="5"/>
  <c r="P88" i="5" s="1"/>
  <c r="Q85" i="5"/>
  <c r="Q87" i="5"/>
  <c r="Q88" i="5" s="1"/>
  <c r="R87" i="5"/>
  <c r="R88" i="5" s="1"/>
  <c r="S85" i="5"/>
  <c r="S87" i="5"/>
  <c r="S88" i="5" s="1"/>
  <c r="V87" i="5"/>
  <c r="V89" i="5" s="1"/>
  <c r="W89" i="5"/>
  <c r="X89" i="5"/>
  <c r="Y87" i="5"/>
  <c r="Y88" i="5" s="1"/>
  <c r="Y91" i="5" s="1"/>
  <c r="Z87" i="5"/>
  <c r="Z88" i="5" s="1"/>
  <c r="AA87" i="5"/>
  <c r="AA88" i="5" s="1"/>
  <c r="AB89" i="5"/>
  <c r="AC85" i="5"/>
  <c r="AD85" i="5"/>
  <c r="AD87" i="5"/>
  <c r="AD88" i="5" s="1"/>
  <c r="AE89" i="5"/>
  <c r="AF87" i="5"/>
  <c r="AG89" i="5"/>
  <c r="AH85" i="5"/>
  <c r="AI85" i="5"/>
  <c r="AJ89" i="5"/>
  <c r="AK87" i="5"/>
  <c r="AK88" i="5" s="1"/>
  <c r="AL87" i="5"/>
  <c r="AL88" i="5" s="1"/>
  <c r="AM89" i="5"/>
  <c r="AN89" i="5"/>
  <c r="AO87" i="5"/>
  <c r="AO88" i="5" s="1"/>
  <c r="AO91" i="5" s="1"/>
  <c r="AL115" i="5" l="1"/>
  <c r="AH100" i="5"/>
  <c r="R91" i="5"/>
  <c r="R97" i="5" s="1"/>
  <c r="O89" i="5"/>
  <c r="R89" i="5"/>
  <c r="AL89" i="5"/>
  <c r="AD91" i="5"/>
  <c r="AD98" i="5" s="1"/>
  <c r="X85" i="5"/>
  <c r="I97" i="5"/>
  <c r="I98" i="5"/>
  <c r="O91" i="5"/>
  <c r="O92" i="5" s="1"/>
  <c r="O100" i="5"/>
  <c r="AF88" i="5"/>
  <c r="AF91" i="5" s="1"/>
  <c r="S91" i="5"/>
  <c r="S98" i="5" s="1"/>
  <c r="AO98" i="5"/>
  <c r="AO97" i="5"/>
  <c r="AL91" i="5"/>
  <c r="AL90" i="5"/>
  <c r="Y97" i="5"/>
  <c r="Y98" i="5"/>
  <c r="AL100" i="5"/>
  <c r="P91" i="5"/>
  <c r="G91" i="5"/>
  <c r="AK89" i="5"/>
  <c r="E89" i="5"/>
  <c r="E90" i="5"/>
  <c r="AK91" i="5"/>
  <c r="Z91" i="5"/>
  <c r="V88" i="5"/>
  <c r="L88" i="5"/>
  <c r="AD90" i="5"/>
  <c r="Y89" i="5"/>
  <c r="Q91" i="5"/>
  <c r="AA91" i="5"/>
  <c r="J97" i="5"/>
  <c r="K91" i="5"/>
  <c r="E91" i="5"/>
  <c r="AA89" i="5"/>
  <c r="O90" i="5"/>
  <c r="I89" i="5"/>
  <c r="S89" i="5"/>
  <c r="G89" i="5"/>
  <c r="D85" i="5"/>
  <c r="AK85" i="5"/>
  <c r="I85" i="5"/>
  <c r="R85" i="5"/>
  <c r="M85" i="5"/>
  <c r="K90" i="5"/>
  <c r="AE85" i="5"/>
  <c r="AB85" i="5"/>
  <c r="AC100" i="5"/>
  <c r="AC90" i="5"/>
  <c r="Q90" i="5"/>
  <c r="F85" i="5"/>
  <c r="Q100" i="5"/>
  <c r="AH86" i="5"/>
  <c r="AH92" i="5" s="1"/>
  <c r="E100" i="5"/>
  <c r="Q89" i="5"/>
  <c r="E86" i="5"/>
  <c r="G90" i="5"/>
  <c r="G100" i="5"/>
  <c r="G86" i="5"/>
  <c r="S100" i="5"/>
  <c r="S90" i="5"/>
  <c r="S86" i="5"/>
  <c r="AI90" i="5"/>
  <c r="AH90" i="5"/>
  <c r="AH89" i="5"/>
  <c r="AN85" i="5"/>
  <c r="AI100" i="5"/>
  <c r="K89" i="5"/>
  <c r="W85" i="5"/>
  <c r="K86" i="5"/>
  <c r="K100" i="5"/>
  <c r="Y85" i="5"/>
  <c r="Q86" i="5"/>
  <c r="N89" i="5"/>
  <c r="N85" i="5"/>
  <c r="P89" i="5"/>
  <c r="P85" i="5"/>
  <c r="AJ85" i="5"/>
  <c r="AO89" i="5"/>
  <c r="AO85" i="5"/>
  <c r="AD100" i="5"/>
  <c r="AD89" i="5"/>
  <c r="AD86" i="5"/>
  <c r="AC89" i="5"/>
  <c r="AC86" i="5"/>
  <c r="AA85" i="5"/>
  <c r="U85" i="5"/>
  <c r="U89" i="5"/>
  <c r="T89" i="5"/>
  <c r="T85" i="5"/>
  <c r="AM85" i="5"/>
  <c r="AI89" i="5"/>
  <c r="AI86" i="5"/>
  <c r="AG85" i="5"/>
  <c r="Z89" i="5"/>
  <c r="Z85" i="5"/>
  <c r="AF89" i="5"/>
  <c r="AF85" i="5"/>
  <c r="J89" i="5"/>
  <c r="J85" i="5"/>
  <c r="AH74" i="5" l="1"/>
  <c r="O74" i="5"/>
  <c r="O110" i="5"/>
  <c r="AH110" i="5"/>
  <c r="AH101" i="5"/>
  <c r="AH102" i="5" s="1"/>
  <c r="O101" i="5"/>
  <c r="O102" i="5" s="1"/>
  <c r="L100" i="5"/>
  <c r="F90" i="5"/>
  <c r="AO86" i="5"/>
  <c r="AO92" i="5" s="1"/>
  <c r="R100" i="5"/>
  <c r="M90" i="5"/>
  <c r="I100" i="5"/>
  <c r="P100" i="5"/>
  <c r="AJ86" i="5"/>
  <c r="AJ94" i="5" s="1"/>
  <c r="AJ118" i="5" s="1"/>
  <c r="AJ140" i="5" s="1"/>
  <c r="AM100" i="5"/>
  <c r="D100" i="5"/>
  <c r="V100" i="5"/>
  <c r="W100" i="5"/>
  <c r="T86" i="5"/>
  <c r="T93" i="5" s="1"/>
  <c r="N100" i="5"/>
  <c r="AE86" i="5"/>
  <c r="AE92" i="5" s="1"/>
  <c r="AG100" i="5"/>
  <c r="AA86" i="5"/>
  <c r="AA92" i="5" s="1"/>
  <c r="Z100" i="5"/>
  <c r="N14" i="4"/>
  <c r="AD97" i="5"/>
  <c r="S97" i="5"/>
  <c r="R98" i="5"/>
  <c r="L91" i="5"/>
  <c r="L98" i="5" s="1"/>
  <c r="L118" i="5" s="1"/>
  <c r="L140" i="5" s="1"/>
  <c r="X86" i="5"/>
  <c r="X93" i="5" s="1"/>
  <c r="X100" i="5"/>
  <c r="X90" i="5"/>
  <c r="AF97" i="5"/>
  <c r="AF98" i="5"/>
  <c r="O97" i="5"/>
  <c r="O117" i="5" s="1"/>
  <c r="O98" i="5"/>
  <c r="O118" i="5" s="1"/>
  <c r="O140" i="5" s="1"/>
  <c r="E97" i="5"/>
  <c r="E98" i="5"/>
  <c r="K97" i="5"/>
  <c r="K98" i="5"/>
  <c r="V90" i="5"/>
  <c r="P98" i="5"/>
  <c r="P97" i="5"/>
  <c r="E92" i="5"/>
  <c r="V91" i="5"/>
  <c r="Z97" i="5"/>
  <c r="Z98" i="5"/>
  <c r="G97" i="5"/>
  <c r="G98" i="5"/>
  <c r="AA98" i="5"/>
  <c r="AA97" i="5"/>
  <c r="AK98" i="5"/>
  <c r="AK97" i="5"/>
  <c r="L90" i="5"/>
  <c r="Q98" i="5"/>
  <c r="Q97" i="5"/>
  <c r="AL98" i="5"/>
  <c r="AL118" i="5" s="1"/>
  <c r="AL140" i="5" s="1"/>
  <c r="AL92" i="5"/>
  <c r="AL97" i="5"/>
  <c r="AL117" i="5" s="1"/>
  <c r="I86" i="5"/>
  <c r="I94" i="5" s="1"/>
  <c r="I118" i="5" s="1"/>
  <c r="I140" i="5" s="1"/>
  <c r="I90" i="5"/>
  <c r="AK100" i="5"/>
  <c r="AK90" i="5"/>
  <c r="D86" i="5"/>
  <c r="D93" i="5" s="1"/>
  <c r="D90" i="5"/>
  <c r="AK86" i="5"/>
  <c r="AK92" i="5" s="1"/>
  <c r="M86" i="5"/>
  <c r="M92" i="5" s="1"/>
  <c r="R86" i="5"/>
  <c r="R92" i="5" s="1"/>
  <c r="M100" i="5"/>
  <c r="R90" i="5"/>
  <c r="AB86" i="5"/>
  <c r="AB92" i="5" s="1"/>
  <c r="E94" i="5"/>
  <c r="E93" i="5"/>
  <c r="AH93" i="5"/>
  <c r="AH94" i="5"/>
  <c r="AH118" i="5" s="1"/>
  <c r="AH140" i="5" s="1"/>
  <c r="P86" i="5"/>
  <c r="P92" i="5" s="1"/>
  <c r="AE100" i="5"/>
  <c r="AE90" i="5"/>
  <c r="AB100" i="5"/>
  <c r="AB90" i="5"/>
  <c r="Z86" i="5"/>
  <c r="Z94" i="5" s="1"/>
  <c r="F86" i="5"/>
  <c r="F92" i="5" s="1"/>
  <c r="F100" i="5"/>
  <c r="AM86" i="5"/>
  <c r="AM92" i="5" s="1"/>
  <c r="AA100" i="5"/>
  <c r="Y90" i="5"/>
  <c r="Y100" i="5"/>
  <c r="Y86" i="5"/>
  <c r="W90" i="5"/>
  <c r="W86" i="5"/>
  <c r="W93" i="5" s="1"/>
  <c r="Q92" i="5"/>
  <c r="Q94" i="5"/>
  <c r="Q93" i="5"/>
  <c r="AN86" i="5"/>
  <c r="AN90" i="5"/>
  <c r="G92" i="5"/>
  <c r="G93" i="5"/>
  <c r="G94" i="5"/>
  <c r="K92" i="5"/>
  <c r="K94" i="5"/>
  <c r="K93" i="5"/>
  <c r="AN100" i="5"/>
  <c r="S92" i="5"/>
  <c r="S93" i="5"/>
  <c r="S94" i="5"/>
  <c r="S118" i="5" s="1"/>
  <c r="S140" i="5" s="1"/>
  <c r="AM90" i="5"/>
  <c r="AC92" i="5"/>
  <c r="AC93" i="5"/>
  <c r="AC94" i="5"/>
  <c r="AC118" i="5" s="1"/>
  <c r="AC140" i="5" s="1"/>
  <c r="N90" i="5"/>
  <c r="J100" i="5"/>
  <c r="J86" i="5"/>
  <c r="J90" i="5"/>
  <c r="U90" i="5"/>
  <c r="AF100" i="5"/>
  <c r="AF86" i="5"/>
  <c r="AF90" i="5"/>
  <c r="Z90" i="5"/>
  <c r="AJ100" i="5"/>
  <c r="AJ90" i="5"/>
  <c r="AA90" i="5"/>
  <c r="AD92" i="5"/>
  <c r="AD93" i="5"/>
  <c r="AD94" i="5"/>
  <c r="AD118" i="5" s="1"/>
  <c r="AD140" i="5" s="1"/>
  <c r="AI92" i="5"/>
  <c r="AI94" i="5"/>
  <c r="AI118" i="5" s="1"/>
  <c r="AI140" i="5" s="1"/>
  <c r="AI93" i="5"/>
  <c r="U86" i="5"/>
  <c r="AO100" i="5"/>
  <c r="AO90" i="5"/>
  <c r="P90" i="5"/>
  <c r="T90" i="5"/>
  <c r="AG86" i="5"/>
  <c r="AG90" i="5"/>
  <c r="T100" i="5"/>
  <c r="U100" i="5"/>
  <c r="N86" i="5"/>
  <c r="AL135" i="5" l="1"/>
  <c r="O135" i="5"/>
  <c r="O111" i="5"/>
  <c r="O112" i="5" s="1"/>
  <c r="O113" i="5" s="1"/>
  <c r="AH111" i="5"/>
  <c r="AH112" i="5" s="1"/>
  <c r="AH113" i="5" s="1"/>
  <c r="AB74" i="5"/>
  <c r="AE74" i="5"/>
  <c r="R74" i="5"/>
  <c r="M74" i="5"/>
  <c r="AO74" i="5"/>
  <c r="F74" i="5"/>
  <c r="AK74" i="5"/>
  <c r="AM74" i="5"/>
  <c r="P74" i="5"/>
  <c r="AA74" i="5"/>
  <c r="AK110" i="5"/>
  <c r="AO110" i="5"/>
  <c r="G74" i="5"/>
  <c r="G110" i="5"/>
  <c r="AE110" i="5"/>
  <c r="P110" i="5"/>
  <c r="AD74" i="5"/>
  <c r="AD110" i="5"/>
  <c r="AL74" i="5"/>
  <c r="AL110" i="5"/>
  <c r="AA110" i="5"/>
  <c r="AC74" i="5"/>
  <c r="AC110" i="5"/>
  <c r="E74" i="5"/>
  <c r="E110" i="5"/>
  <c r="AB110" i="5"/>
  <c r="M110" i="5"/>
  <c r="Q74" i="5"/>
  <c r="Q110" i="5"/>
  <c r="AM110" i="5"/>
  <c r="AI74" i="5"/>
  <c r="AI110" i="5"/>
  <c r="S74" i="5"/>
  <c r="S110" i="5"/>
  <c r="K74" i="5"/>
  <c r="K110" i="5"/>
  <c r="R110" i="5"/>
  <c r="F110" i="5"/>
  <c r="G118" i="5"/>
  <c r="G140" i="5" s="1"/>
  <c r="F101" i="5"/>
  <c r="F102" i="5" s="1"/>
  <c r="Q101" i="5"/>
  <c r="Q102" i="5" s="1"/>
  <c r="AB101" i="5"/>
  <c r="AB102" i="5" s="1"/>
  <c r="AL101" i="5"/>
  <c r="AL102" i="5" s="1"/>
  <c r="K101" i="5"/>
  <c r="K102" i="5" s="1"/>
  <c r="AM101" i="5"/>
  <c r="AM102" i="5" s="1"/>
  <c r="G101" i="5"/>
  <c r="G102" i="5" s="1"/>
  <c r="AO101" i="5"/>
  <c r="AO102" i="5" s="1"/>
  <c r="AD101" i="5"/>
  <c r="AD102" i="5" s="1"/>
  <c r="M101" i="5"/>
  <c r="M102" i="5" s="1"/>
  <c r="AI101" i="5"/>
  <c r="AI102" i="5" s="1"/>
  <c r="S101" i="5"/>
  <c r="S102" i="5" s="1"/>
  <c r="AC101" i="5"/>
  <c r="AC102" i="5" s="1"/>
  <c r="P101" i="5"/>
  <c r="P102" i="5" s="1"/>
  <c r="AA101" i="5"/>
  <c r="AA102" i="5" s="1"/>
  <c r="Q118" i="5"/>
  <c r="Q140" i="5" s="1"/>
  <c r="K118" i="5"/>
  <c r="K140" i="5" s="1"/>
  <c r="Z118" i="5"/>
  <c r="Z140" i="5" s="1"/>
  <c r="AL138" i="5"/>
  <c r="AL124" i="5"/>
  <c r="AL127" i="5"/>
  <c r="AL119" i="5"/>
  <c r="AL132" i="5"/>
  <c r="E118" i="5"/>
  <c r="E140" i="5" s="1"/>
  <c r="O139" i="5"/>
  <c r="O127" i="5"/>
  <c r="O132" i="5"/>
  <c r="O138" i="5"/>
  <c r="O119" i="5"/>
  <c r="O124" i="5"/>
  <c r="AL139" i="5"/>
  <c r="AK101" i="5"/>
  <c r="AK102" i="5" s="1"/>
  <c r="R101" i="5"/>
  <c r="R102" i="5" s="1"/>
  <c r="E101" i="5"/>
  <c r="E102" i="5" s="1"/>
  <c r="AE101" i="5"/>
  <c r="AE102" i="5" s="1"/>
  <c r="S115" i="5"/>
  <c r="S117" i="5"/>
  <c r="S135" i="5" s="1"/>
  <c r="X115" i="5"/>
  <c r="X117" i="5"/>
  <c r="T115" i="5"/>
  <c r="T117" i="5"/>
  <c r="AI115" i="5"/>
  <c r="AI117" i="5"/>
  <c r="AI135" i="5" s="1"/>
  <c r="AD115" i="5"/>
  <c r="AD117" i="5"/>
  <c r="AD135" i="5" s="1"/>
  <c r="K115" i="5"/>
  <c r="K117" i="5"/>
  <c r="AC115" i="5"/>
  <c r="AC117" i="5"/>
  <c r="AC135" i="5" s="1"/>
  <c r="G115" i="5"/>
  <c r="G117" i="5"/>
  <c r="W115" i="5"/>
  <c r="W117" i="5"/>
  <c r="AH115" i="5"/>
  <c r="AH117" i="5"/>
  <c r="AH135" i="5" s="1"/>
  <c r="Q115" i="5"/>
  <c r="Q117" i="5"/>
  <c r="E115" i="5"/>
  <c r="E117" i="5"/>
  <c r="D115" i="5"/>
  <c r="D117" i="5"/>
  <c r="AE94" i="5"/>
  <c r="AE118" i="5" s="1"/>
  <c r="AE140" i="5" s="1"/>
  <c r="AJ92" i="5"/>
  <c r="AE93" i="5"/>
  <c r="AO94" i="5"/>
  <c r="AO118" i="5" s="1"/>
  <c r="AO140" i="5" s="1"/>
  <c r="T94" i="5"/>
  <c r="T118" i="5" s="1"/>
  <c r="T140" i="5" s="1"/>
  <c r="AJ93" i="5"/>
  <c r="T92" i="5"/>
  <c r="AO93" i="5"/>
  <c r="AA93" i="5"/>
  <c r="AD14" i="4"/>
  <c r="AA94" i="5"/>
  <c r="AA118" i="5" s="1"/>
  <c r="AA140" i="5" s="1"/>
  <c r="AC14" i="4"/>
  <c r="AB14" i="4"/>
  <c r="J14" i="4"/>
  <c r="R14" i="4"/>
  <c r="E14" i="4"/>
  <c r="O14" i="4"/>
  <c r="L14" i="4"/>
  <c r="Z14" i="4"/>
  <c r="AL14" i="4"/>
  <c r="P14" i="4"/>
  <c r="AK14" i="4"/>
  <c r="AH14" i="4"/>
  <c r="AN14" i="4"/>
  <c r="F14" i="4"/>
  <c r="AJ14" i="4"/>
  <c r="D14" i="4"/>
  <c r="Q14" i="4"/>
  <c r="L97" i="5"/>
  <c r="L117" i="5" s="1"/>
  <c r="L135" i="5" s="1"/>
  <c r="L92" i="5"/>
  <c r="X94" i="5"/>
  <c r="X118" i="5" s="1"/>
  <c r="X140" i="5" s="1"/>
  <c r="X92" i="5"/>
  <c r="D92" i="5"/>
  <c r="I92" i="5"/>
  <c r="I93" i="5"/>
  <c r="V97" i="5"/>
  <c r="V117" i="5" s="1"/>
  <c r="V98" i="5"/>
  <c r="V118" i="5" s="1"/>
  <c r="V140" i="5" s="1"/>
  <c r="V92" i="5"/>
  <c r="D94" i="5"/>
  <c r="D118" i="5" s="1"/>
  <c r="D140" i="5" s="1"/>
  <c r="M94" i="5"/>
  <c r="M118" i="5" s="1"/>
  <c r="M140" i="5" s="1"/>
  <c r="AK94" i="5"/>
  <c r="AK118" i="5" s="1"/>
  <c r="AK140" i="5" s="1"/>
  <c r="M93" i="5"/>
  <c r="AK93" i="5"/>
  <c r="R93" i="5"/>
  <c r="R94" i="5"/>
  <c r="R118" i="5" s="1"/>
  <c r="R140" i="5" s="1"/>
  <c r="AB94" i="5"/>
  <c r="AB118" i="5" s="1"/>
  <c r="AB140" i="5" s="1"/>
  <c r="AB93" i="5"/>
  <c r="Z93" i="5"/>
  <c r="Z92" i="5"/>
  <c r="AM94" i="5"/>
  <c r="AM118" i="5" s="1"/>
  <c r="AM140" i="5" s="1"/>
  <c r="W94" i="5"/>
  <c r="W118" i="5" s="1"/>
  <c r="W140" i="5" s="1"/>
  <c r="P93" i="5"/>
  <c r="AM93" i="5"/>
  <c r="P94" i="5"/>
  <c r="P118" i="5" s="1"/>
  <c r="P140" i="5" s="1"/>
  <c r="F93" i="5"/>
  <c r="F94" i="5"/>
  <c r="F118" i="5" s="1"/>
  <c r="F140" i="5" s="1"/>
  <c r="Y94" i="5"/>
  <c r="Y118" i="5" s="1"/>
  <c r="Y140" i="5" s="1"/>
  <c r="Y93" i="5"/>
  <c r="Y92" i="5"/>
  <c r="W92" i="5"/>
  <c r="AN92" i="5"/>
  <c r="AN93" i="5"/>
  <c r="AN94" i="5"/>
  <c r="AN118" i="5" s="1"/>
  <c r="AN140" i="5" s="1"/>
  <c r="AG14" i="4"/>
  <c r="AG92" i="5"/>
  <c r="AG94" i="5"/>
  <c r="AG118" i="5" s="1"/>
  <c r="AG140" i="5" s="1"/>
  <c r="AG93" i="5"/>
  <c r="AF92" i="5"/>
  <c r="AF93" i="5"/>
  <c r="AF94" i="5"/>
  <c r="AF118" i="5" s="1"/>
  <c r="AF140" i="5" s="1"/>
  <c r="N92" i="5"/>
  <c r="N93" i="5"/>
  <c r="N94" i="5"/>
  <c r="N118" i="5" s="1"/>
  <c r="N140" i="5" s="1"/>
  <c r="J92" i="5"/>
  <c r="J93" i="5"/>
  <c r="J94" i="5"/>
  <c r="J118" i="5" s="1"/>
  <c r="J140" i="5" s="1"/>
  <c r="U92" i="5"/>
  <c r="U94" i="5"/>
  <c r="U118" i="5" s="1"/>
  <c r="U140" i="5" s="1"/>
  <c r="U93" i="5"/>
  <c r="D135" i="5" l="1"/>
  <c r="Q135" i="5"/>
  <c r="E135" i="5"/>
  <c r="G135" i="5"/>
  <c r="T135" i="5"/>
  <c r="V135" i="5"/>
  <c r="W135" i="5"/>
  <c r="K135" i="5"/>
  <c r="X135" i="5"/>
  <c r="AD111" i="5"/>
  <c r="AD112" i="5" s="1"/>
  <c r="AD113" i="5" s="1"/>
  <c r="E111" i="5"/>
  <c r="E112" i="5" s="1"/>
  <c r="E113" i="5" s="1"/>
  <c r="AI111" i="5"/>
  <c r="AI112" i="5" s="1"/>
  <c r="AI113" i="5" s="1"/>
  <c r="P111" i="5"/>
  <c r="P112" i="5" s="1"/>
  <c r="P113" i="5" s="1"/>
  <c r="AB111" i="5"/>
  <c r="AB112" i="5" s="1"/>
  <c r="AB113" i="5" s="1"/>
  <c r="AE111" i="5"/>
  <c r="AE112" i="5" s="1"/>
  <c r="AE113" i="5" s="1"/>
  <c r="F111" i="5"/>
  <c r="F112" i="5" s="1"/>
  <c r="F113" i="5" s="1"/>
  <c r="AM111" i="5"/>
  <c r="AM112" i="5" s="1"/>
  <c r="AM113" i="5" s="1"/>
  <c r="G111" i="5"/>
  <c r="G112" i="5" s="1"/>
  <c r="G113" i="5" s="1"/>
  <c r="AK111" i="5"/>
  <c r="AK112" i="5" s="1"/>
  <c r="AK113" i="5" s="1"/>
  <c r="AC111" i="5"/>
  <c r="AC112" i="5" s="1"/>
  <c r="AC113" i="5" s="1"/>
  <c r="R111" i="5"/>
  <c r="R112" i="5" s="1"/>
  <c r="R113" i="5" s="1"/>
  <c r="Q111" i="5"/>
  <c r="Q112" i="5" s="1"/>
  <c r="Q113" i="5" s="1"/>
  <c r="AA111" i="5"/>
  <c r="AA112" i="5" s="1"/>
  <c r="AA113" i="5" s="1"/>
  <c r="M111" i="5"/>
  <c r="M112" i="5" s="1"/>
  <c r="M113" i="5" s="1"/>
  <c r="AL111" i="5"/>
  <c r="AL112" i="5" s="1"/>
  <c r="AL113" i="5" s="1"/>
  <c r="AO111" i="5"/>
  <c r="AO112" i="5" s="1"/>
  <c r="AO113" i="5" s="1"/>
  <c r="W74" i="5"/>
  <c r="W110" i="5"/>
  <c r="Y74" i="5"/>
  <c r="Y110" i="5"/>
  <c r="X74" i="5"/>
  <c r="X110" i="5"/>
  <c r="AG74" i="5"/>
  <c r="AG110" i="5"/>
  <c r="T74" i="5"/>
  <c r="T110" i="5"/>
  <c r="D74" i="5"/>
  <c r="D110" i="5"/>
  <c r="K111" i="5"/>
  <c r="K112" i="5" s="1"/>
  <c r="K113" i="5" s="1"/>
  <c r="L74" i="5"/>
  <c r="L110" i="5"/>
  <c r="J74" i="5"/>
  <c r="J110" i="5"/>
  <c r="AN74" i="5"/>
  <c r="AN110" i="5"/>
  <c r="Z74" i="5"/>
  <c r="Z110" i="5"/>
  <c r="V74" i="5"/>
  <c r="V110" i="5"/>
  <c r="N74" i="5"/>
  <c r="N110" i="5"/>
  <c r="AJ74" i="5"/>
  <c r="AJ110" i="5"/>
  <c r="U74" i="5"/>
  <c r="U110" i="5"/>
  <c r="S111" i="5"/>
  <c r="S112" i="5" s="1"/>
  <c r="S113" i="5" s="1"/>
  <c r="I74" i="5"/>
  <c r="I110" i="5"/>
  <c r="AF74" i="5"/>
  <c r="AF110" i="5"/>
  <c r="AL128" i="5"/>
  <c r="AL129" i="5" s="1"/>
  <c r="O128" i="5"/>
  <c r="O129" i="5" s="1"/>
  <c r="O144" i="5" s="1"/>
  <c r="V101" i="5"/>
  <c r="V102" i="5" s="1"/>
  <c r="U101" i="5"/>
  <c r="U102" i="5" s="1"/>
  <c r="AF101" i="5"/>
  <c r="AF102" i="5" s="1"/>
  <c r="Y101" i="5"/>
  <c r="Y102" i="5" s="1"/>
  <c r="N101" i="5"/>
  <c r="N102" i="5" s="1"/>
  <c r="AN101" i="5"/>
  <c r="AN102" i="5" s="1"/>
  <c r="J101" i="5"/>
  <c r="J102" i="5" s="1"/>
  <c r="AG101" i="5"/>
  <c r="AG102" i="5" s="1"/>
  <c r="AL141" i="5"/>
  <c r="AL142" i="5" s="1"/>
  <c r="L124" i="5"/>
  <c r="L127" i="5"/>
  <c r="L138" i="5"/>
  <c r="L119" i="5"/>
  <c r="L132" i="5"/>
  <c r="L139" i="5"/>
  <c r="V127" i="5"/>
  <c r="V139" i="5"/>
  <c r="V138" i="5"/>
  <c r="V124" i="5"/>
  <c r="V132" i="5"/>
  <c r="V119" i="5"/>
  <c r="O141" i="5"/>
  <c r="O142" i="5" s="1"/>
  <c r="W101" i="5"/>
  <c r="W102" i="5" s="1"/>
  <c r="D101" i="5"/>
  <c r="D102" i="5" s="1"/>
  <c r="X101" i="5"/>
  <c r="X102" i="5" s="1"/>
  <c r="T101" i="5"/>
  <c r="T102" i="5" s="1"/>
  <c r="L101" i="5"/>
  <c r="L102" i="5" s="1"/>
  <c r="AJ101" i="5"/>
  <c r="AJ102" i="5" s="1"/>
  <c r="Z101" i="5"/>
  <c r="Z102" i="5" s="1"/>
  <c r="I101" i="5"/>
  <c r="I102" i="5" s="1"/>
  <c r="Y115" i="5"/>
  <c r="Y117" i="5"/>
  <c r="Y135" i="5" s="1"/>
  <c r="F115" i="5"/>
  <c r="F117" i="5"/>
  <c r="F135" i="5" s="1"/>
  <c r="P115" i="5"/>
  <c r="P117" i="5"/>
  <c r="P135" i="5" s="1"/>
  <c r="I115" i="5"/>
  <c r="I117" i="5"/>
  <c r="I135" i="5" s="1"/>
  <c r="AA115" i="5"/>
  <c r="AA117" i="5"/>
  <c r="AA135" i="5" s="1"/>
  <c r="AE115" i="5"/>
  <c r="AE117" i="5"/>
  <c r="AE135" i="5" s="1"/>
  <c r="W139" i="5"/>
  <c r="W132" i="5"/>
  <c r="W119" i="5"/>
  <c r="W124" i="5"/>
  <c r="W138" i="5"/>
  <c r="W127" i="5"/>
  <c r="U115" i="5"/>
  <c r="U117" i="5"/>
  <c r="U135" i="5" s="1"/>
  <c r="N115" i="5"/>
  <c r="N117" i="5"/>
  <c r="N135" i="5" s="1"/>
  <c r="AF115" i="5"/>
  <c r="AF117" i="5"/>
  <c r="AF135" i="5" s="1"/>
  <c r="Z115" i="5"/>
  <c r="Z117" i="5"/>
  <c r="Z135" i="5" s="1"/>
  <c r="AO115" i="5"/>
  <c r="AO117" i="5"/>
  <c r="AO135" i="5" s="1"/>
  <c r="AJ115" i="5"/>
  <c r="AJ117" i="5"/>
  <c r="AJ135" i="5" s="1"/>
  <c r="AH139" i="5"/>
  <c r="AH124" i="5"/>
  <c r="AH138" i="5"/>
  <c r="AH132" i="5"/>
  <c r="AH127" i="5"/>
  <c r="AH119" i="5"/>
  <c r="AC139" i="5"/>
  <c r="AC132" i="5"/>
  <c r="AC119" i="5"/>
  <c r="AC127" i="5"/>
  <c r="AC138" i="5"/>
  <c r="AC124" i="5"/>
  <c r="K139" i="5"/>
  <c r="K127" i="5"/>
  <c r="K132" i="5"/>
  <c r="K124" i="5"/>
  <c r="K138" i="5"/>
  <c r="K119" i="5"/>
  <c r="AI139" i="5"/>
  <c r="AI132" i="5"/>
  <c r="AI127" i="5"/>
  <c r="AI124" i="5"/>
  <c r="AI119" i="5"/>
  <c r="AI138" i="5"/>
  <c r="T139" i="5"/>
  <c r="T119" i="5"/>
  <c r="T132" i="5"/>
  <c r="T138" i="5"/>
  <c r="T124" i="5"/>
  <c r="T127" i="5"/>
  <c r="J115" i="5"/>
  <c r="J117" i="5"/>
  <c r="J135" i="5" s="1"/>
  <c r="AB115" i="5"/>
  <c r="AB117" i="5"/>
  <c r="AB135" i="5" s="1"/>
  <c r="AK115" i="5"/>
  <c r="AK117" i="5"/>
  <c r="AK135" i="5" s="1"/>
  <c r="G139" i="5"/>
  <c r="G127" i="5"/>
  <c r="G132" i="5"/>
  <c r="G124" i="5"/>
  <c r="G138" i="5"/>
  <c r="G119" i="5"/>
  <c r="S139" i="5"/>
  <c r="S127" i="5"/>
  <c r="S132" i="5"/>
  <c r="S119" i="5"/>
  <c r="S138" i="5"/>
  <c r="S124" i="5"/>
  <c r="AG115" i="5"/>
  <c r="AG117" i="5"/>
  <c r="AG135" i="5" s="1"/>
  <c r="AN115" i="5"/>
  <c r="AN117" i="5"/>
  <c r="AN135" i="5" s="1"/>
  <c r="AM115" i="5"/>
  <c r="AM117" i="5"/>
  <c r="AM135" i="5" s="1"/>
  <c r="R115" i="5"/>
  <c r="R117" i="5"/>
  <c r="R135" i="5" s="1"/>
  <c r="M115" i="5"/>
  <c r="M117" i="5"/>
  <c r="M135" i="5" s="1"/>
  <c r="E139" i="5"/>
  <c r="E124" i="5"/>
  <c r="E132" i="5"/>
  <c r="E138" i="5"/>
  <c r="E119" i="5"/>
  <c r="E127" i="5"/>
  <c r="Q139" i="5"/>
  <c r="Q132" i="5"/>
  <c r="Q119" i="5"/>
  <c r="Q127" i="5"/>
  <c r="Q124" i="5"/>
  <c r="Q138" i="5"/>
  <c r="AD139" i="5"/>
  <c r="AD138" i="5"/>
  <c r="AD119" i="5"/>
  <c r="AD132" i="5"/>
  <c r="AD127" i="5"/>
  <c r="AD124" i="5"/>
  <c r="X139" i="5"/>
  <c r="X127" i="5"/>
  <c r="X132" i="5"/>
  <c r="X138" i="5"/>
  <c r="X119" i="5"/>
  <c r="X124" i="5"/>
  <c r="D139" i="5"/>
  <c r="D127" i="5"/>
  <c r="D138" i="5"/>
  <c r="D132" i="5"/>
  <c r="D124" i="5"/>
  <c r="D119" i="5"/>
  <c r="AI14" i="4"/>
  <c r="S14" i="4"/>
  <c r="T14" i="4"/>
  <c r="M14" i="4"/>
  <c r="U14" i="4"/>
  <c r="X14" i="4"/>
  <c r="AE14" i="4"/>
  <c r="I14" i="4"/>
  <c r="AF14" i="4"/>
  <c r="Y14" i="4"/>
  <c r="K14" i="4"/>
  <c r="H14" i="4"/>
  <c r="C14" i="4"/>
  <c r="V14" i="4"/>
  <c r="W14" i="4"/>
  <c r="AA14" i="4"/>
  <c r="AL144" i="5" l="1"/>
  <c r="AL146" i="5" s="1"/>
  <c r="J111" i="5"/>
  <c r="J112" i="5" s="1"/>
  <c r="J113" i="5" s="1"/>
  <c r="V111" i="5"/>
  <c r="V112" i="5" s="1"/>
  <c r="V113" i="5" s="1"/>
  <c r="L111" i="5"/>
  <c r="L112" i="5" s="1"/>
  <c r="L113" i="5" s="1"/>
  <c r="AG111" i="5"/>
  <c r="AG112" i="5" s="1"/>
  <c r="AG113" i="5" s="1"/>
  <c r="T111" i="5"/>
  <c r="T112" i="5" s="1"/>
  <c r="T113" i="5" s="1"/>
  <c r="Z111" i="5"/>
  <c r="Z112" i="5" s="1"/>
  <c r="Z113" i="5" s="1"/>
  <c r="AJ111" i="5"/>
  <c r="AJ112" i="5" s="1"/>
  <c r="AJ113" i="5" s="1"/>
  <c r="AN111" i="5"/>
  <c r="AN112" i="5" s="1"/>
  <c r="AN113" i="5" s="1"/>
  <c r="D111" i="5"/>
  <c r="D112" i="5" s="1"/>
  <c r="D113" i="5" s="1"/>
  <c r="Y111" i="5"/>
  <c r="Y112" i="5" s="1"/>
  <c r="Y113" i="5" s="1"/>
  <c r="N111" i="5"/>
  <c r="N112" i="5" s="1"/>
  <c r="N113" i="5" s="1"/>
  <c r="U111" i="5"/>
  <c r="U112" i="5" s="1"/>
  <c r="U113" i="5" s="1"/>
  <c r="X111" i="5"/>
  <c r="X112" i="5" s="1"/>
  <c r="X113" i="5" s="1"/>
  <c r="AF111" i="5"/>
  <c r="AF112" i="5" s="1"/>
  <c r="AF113" i="5" s="1"/>
  <c r="I111" i="5"/>
  <c r="I112" i="5" s="1"/>
  <c r="I113" i="5" s="1"/>
  <c r="W111" i="5"/>
  <c r="W112" i="5" s="1"/>
  <c r="W113" i="5" s="1"/>
  <c r="O146" i="5"/>
  <c r="AI128" i="5"/>
  <c r="AI129" i="5" s="1"/>
  <c r="AI144" i="5" s="1"/>
  <c r="AH128" i="5"/>
  <c r="AH129" i="5" s="1"/>
  <c r="AH144" i="5" s="1"/>
  <c r="G128" i="5"/>
  <c r="G129" i="5" s="1"/>
  <c r="G144" i="5" s="1"/>
  <c r="V128" i="5"/>
  <c r="V129" i="5" s="1"/>
  <c r="K128" i="5"/>
  <c r="K129" i="5" s="1"/>
  <c r="K144" i="5" s="1"/>
  <c r="AC128" i="5"/>
  <c r="AC129" i="5" s="1"/>
  <c r="AC144" i="5" s="1"/>
  <c r="W128" i="5"/>
  <c r="W129" i="5" s="1"/>
  <c r="L128" i="5"/>
  <c r="L129" i="5" s="1"/>
  <c r="V141" i="5"/>
  <c r="V142" i="5" s="1"/>
  <c r="L141" i="5"/>
  <c r="L142" i="5" s="1"/>
  <c r="AD141" i="5"/>
  <c r="AD142" i="5" s="1"/>
  <c r="E141" i="5"/>
  <c r="E142" i="5" s="1"/>
  <c r="K141" i="5"/>
  <c r="K142" i="5" s="1"/>
  <c r="G141" i="5"/>
  <c r="G142" i="5" s="1"/>
  <c r="S141" i="5"/>
  <c r="S142" i="5" s="1"/>
  <c r="X128" i="5"/>
  <c r="X129" i="5" s="1"/>
  <c r="M139" i="5"/>
  <c r="M132" i="5"/>
  <c r="M124" i="5"/>
  <c r="M138" i="5"/>
  <c r="M119" i="5"/>
  <c r="M127" i="5"/>
  <c r="AM139" i="5"/>
  <c r="AM119" i="5"/>
  <c r="AM132" i="5"/>
  <c r="AM138" i="5"/>
  <c r="AM127" i="5"/>
  <c r="AM124" i="5"/>
  <c r="S128" i="5"/>
  <c r="S129" i="5" s="1"/>
  <c r="S144" i="5" s="1"/>
  <c r="AB139" i="5"/>
  <c r="AB127" i="5"/>
  <c r="AB119" i="5"/>
  <c r="AB132" i="5"/>
  <c r="AB124" i="5"/>
  <c r="AB138" i="5"/>
  <c r="AH141" i="5"/>
  <c r="AH142" i="5" s="1"/>
  <c r="Z139" i="5"/>
  <c r="Z119" i="5"/>
  <c r="Z132" i="5"/>
  <c r="Z127" i="5"/>
  <c r="Z138" i="5"/>
  <c r="Z124" i="5"/>
  <c r="N139" i="5"/>
  <c r="N124" i="5"/>
  <c r="N138" i="5"/>
  <c r="N119" i="5"/>
  <c r="N132" i="5"/>
  <c r="N127" i="5"/>
  <c r="AE139" i="5"/>
  <c r="AE124" i="5"/>
  <c r="AE138" i="5"/>
  <c r="AE127" i="5"/>
  <c r="AE119" i="5"/>
  <c r="AE132" i="5"/>
  <c r="P139" i="5"/>
  <c r="P124" i="5"/>
  <c r="P138" i="5"/>
  <c r="P119" i="5"/>
  <c r="P127" i="5"/>
  <c r="P132" i="5"/>
  <c r="X141" i="5"/>
  <c r="X142" i="5" s="1"/>
  <c r="Q141" i="5"/>
  <c r="Q142" i="5" s="1"/>
  <c r="E128" i="5"/>
  <c r="E129" i="5" s="1"/>
  <c r="E144" i="5" s="1"/>
  <c r="R139" i="5"/>
  <c r="R124" i="5"/>
  <c r="R138" i="5"/>
  <c r="R119" i="5"/>
  <c r="R127" i="5"/>
  <c r="R132" i="5"/>
  <c r="AN139" i="5"/>
  <c r="AN124" i="5"/>
  <c r="AN119" i="5"/>
  <c r="AN127" i="5"/>
  <c r="AN138" i="5"/>
  <c r="AN132" i="5"/>
  <c r="AK139" i="5"/>
  <c r="AK132" i="5"/>
  <c r="AK127" i="5"/>
  <c r="AK124" i="5"/>
  <c r="AK119" i="5"/>
  <c r="AK138" i="5"/>
  <c r="J139" i="5"/>
  <c r="J127" i="5"/>
  <c r="J138" i="5"/>
  <c r="J119" i="5"/>
  <c r="J132" i="5"/>
  <c r="J124" i="5"/>
  <c r="T128" i="5"/>
  <c r="T129" i="5" s="1"/>
  <c r="AC141" i="5"/>
  <c r="AC142" i="5" s="1"/>
  <c r="AF139" i="5"/>
  <c r="AF119" i="5"/>
  <c r="AF132" i="5"/>
  <c r="AF138" i="5"/>
  <c r="AF124" i="5"/>
  <c r="AF127" i="5"/>
  <c r="U139" i="5"/>
  <c r="U124" i="5"/>
  <c r="U138" i="5"/>
  <c r="U119" i="5"/>
  <c r="U127" i="5"/>
  <c r="U132" i="5"/>
  <c r="AG139" i="5"/>
  <c r="AG132" i="5"/>
  <c r="AG119" i="5"/>
  <c r="AG127" i="5"/>
  <c r="AG138" i="5"/>
  <c r="AG124" i="5"/>
  <c r="AO139" i="5"/>
  <c r="AO124" i="5"/>
  <c r="AO132" i="5"/>
  <c r="AO119" i="5"/>
  <c r="AO127" i="5"/>
  <c r="AO138" i="5"/>
  <c r="I139" i="5"/>
  <c r="I132" i="5"/>
  <c r="I119" i="5"/>
  <c r="I124" i="5"/>
  <c r="I127" i="5"/>
  <c r="I138" i="5"/>
  <c r="Y139" i="5"/>
  <c r="Y124" i="5"/>
  <c r="Y119" i="5"/>
  <c r="Y132" i="5"/>
  <c r="Y138" i="5"/>
  <c r="Y127" i="5"/>
  <c r="AD128" i="5"/>
  <c r="AD129" i="5" s="1"/>
  <c r="AD144" i="5" s="1"/>
  <c r="Q128" i="5"/>
  <c r="Q129" i="5" s="1"/>
  <c r="Q144" i="5" s="1"/>
  <c r="T141" i="5"/>
  <c r="T142" i="5" s="1"/>
  <c r="AI141" i="5"/>
  <c r="AI142" i="5" s="1"/>
  <c r="AJ139" i="5"/>
  <c r="AJ132" i="5"/>
  <c r="AJ138" i="5"/>
  <c r="AJ127" i="5"/>
  <c r="AJ119" i="5"/>
  <c r="AJ124" i="5"/>
  <c r="W141" i="5"/>
  <c r="W142" i="5" s="1"/>
  <c r="AA139" i="5"/>
  <c r="AA119" i="5"/>
  <c r="AA124" i="5"/>
  <c r="AA138" i="5"/>
  <c r="AA132" i="5"/>
  <c r="AA127" i="5"/>
  <c r="F139" i="5"/>
  <c r="F132" i="5"/>
  <c r="F138" i="5"/>
  <c r="F119" i="5"/>
  <c r="F127" i="5"/>
  <c r="F124" i="5"/>
  <c r="D141" i="5"/>
  <c r="D142" i="5" s="1"/>
  <c r="D128" i="5"/>
  <c r="D129" i="5" s="1"/>
  <c r="AM14" i="4"/>
  <c r="O147" i="5" l="1"/>
  <c r="O150" i="5"/>
  <c r="AL147" i="5"/>
  <c r="AL150" i="5"/>
  <c r="T144" i="5"/>
  <c r="T146" i="5" s="1"/>
  <c r="L144" i="5"/>
  <c r="L146" i="5" s="1"/>
  <c r="D144" i="5"/>
  <c r="D146" i="5" s="1"/>
  <c r="W144" i="5"/>
  <c r="W146" i="5" s="1"/>
  <c r="V144" i="5"/>
  <c r="V146" i="5" s="1"/>
  <c r="X144" i="5"/>
  <c r="X146" i="5" s="1"/>
  <c r="Q146" i="5"/>
  <c r="AD146" i="5"/>
  <c r="S146" i="5"/>
  <c r="E146" i="5"/>
  <c r="AC146" i="5"/>
  <c r="G146" i="5"/>
  <c r="K146" i="5"/>
  <c r="AH146" i="5"/>
  <c r="AI146" i="5"/>
  <c r="AB128" i="5"/>
  <c r="AB129" i="5" s="1"/>
  <c r="AB144" i="5" s="1"/>
  <c r="P128" i="5"/>
  <c r="P129" i="5" s="1"/>
  <c r="P144" i="5" s="1"/>
  <c r="AM128" i="5"/>
  <c r="AM129" i="5" s="1"/>
  <c r="AM144" i="5" s="1"/>
  <c r="J128" i="5"/>
  <c r="J129" i="5" s="1"/>
  <c r="J144" i="5" s="1"/>
  <c r="AG128" i="5"/>
  <c r="AG129" i="5" s="1"/>
  <c r="AG144" i="5" s="1"/>
  <c r="Z141" i="5"/>
  <c r="Z142" i="5" s="1"/>
  <c r="I141" i="5"/>
  <c r="I142" i="5" s="1"/>
  <c r="AE141" i="5"/>
  <c r="AE142" i="5" s="1"/>
  <c r="AA141" i="5"/>
  <c r="AA142" i="5" s="1"/>
  <c r="AJ141" i="5"/>
  <c r="AJ142" i="5" s="1"/>
  <c r="F141" i="5"/>
  <c r="F142" i="5" s="1"/>
  <c r="AM141" i="5"/>
  <c r="AM142" i="5" s="1"/>
  <c r="M141" i="5"/>
  <c r="M142" i="5" s="1"/>
  <c r="U141" i="5"/>
  <c r="U142" i="5" s="1"/>
  <c r="R141" i="5"/>
  <c r="R142" i="5" s="1"/>
  <c r="AB141" i="5"/>
  <c r="AB142" i="5" s="1"/>
  <c r="AA128" i="5"/>
  <c r="AA129" i="5" s="1"/>
  <c r="AA144" i="5" s="1"/>
  <c r="AJ128" i="5"/>
  <c r="AJ129" i="5" s="1"/>
  <c r="AJ144" i="5" s="1"/>
  <c r="Y141" i="5"/>
  <c r="Y142" i="5" s="1"/>
  <c r="I128" i="5"/>
  <c r="I129" i="5" s="1"/>
  <c r="I144" i="5" s="1"/>
  <c r="AO141" i="5"/>
  <c r="AO142" i="5" s="1"/>
  <c r="AG141" i="5"/>
  <c r="AG142" i="5" s="1"/>
  <c r="AF141" i="5"/>
  <c r="AF142" i="5" s="1"/>
  <c r="AN128" i="5"/>
  <c r="AN129" i="5" s="1"/>
  <c r="AN144" i="5" s="1"/>
  <c r="Z128" i="5"/>
  <c r="Z129" i="5" s="1"/>
  <c r="Z144" i="5" s="1"/>
  <c r="F128" i="5"/>
  <c r="F129" i="5" s="1"/>
  <c r="F144" i="5" s="1"/>
  <c r="AO128" i="5"/>
  <c r="AO129" i="5" s="1"/>
  <c r="AO144" i="5" s="1"/>
  <c r="AK128" i="5"/>
  <c r="AK129" i="5" s="1"/>
  <c r="AK144" i="5" s="1"/>
  <c r="AN141" i="5"/>
  <c r="AN142" i="5" s="1"/>
  <c r="P141" i="5"/>
  <c r="P142" i="5" s="1"/>
  <c r="AE128" i="5"/>
  <c r="AE129" i="5" s="1"/>
  <c r="AE144" i="5" s="1"/>
  <c r="N141" i="5"/>
  <c r="N142" i="5" s="1"/>
  <c r="N128" i="5"/>
  <c r="N129" i="5" s="1"/>
  <c r="N144" i="5" s="1"/>
  <c r="Y128" i="5"/>
  <c r="Y129" i="5" s="1"/>
  <c r="Y144" i="5" s="1"/>
  <c r="U128" i="5"/>
  <c r="U129" i="5" s="1"/>
  <c r="U144" i="5" s="1"/>
  <c r="AF128" i="5"/>
  <c r="AF129" i="5" s="1"/>
  <c r="AF144" i="5" s="1"/>
  <c r="J141" i="5"/>
  <c r="J142" i="5" s="1"/>
  <c r="AK141" i="5"/>
  <c r="AK142" i="5" s="1"/>
  <c r="R128" i="5"/>
  <c r="R129" i="5" s="1"/>
  <c r="R144" i="5" s="1"/>
  <c r="M128" i="5"/>
  <c r="M129" i="5" s="1"/>
  <c r="M144" i="5" s="1"/>
  <c r="AL148" i="5" l="1"/>
  <c r="AK18" i="4" s="1"/>
  <c r="AK32" i="3" s="1"/>
  <c r="O148" i="5"/>
  <c r="N18" i="4" s="1"/>
  <c r="N32" i="3" s="1"/>
  <c r="S147" i="5"/>
  <c r="S150" i="5"/>
  <c r="AD147" i="5"/>
  <c r="AD150" i="5"/>
  <c r="L147" i="5"/>
  <c r="L150" i="5"/>
  <c r="AI147" i="5"/>
  <c r="AI150" i="5"/>
  <c r="T147" i="5"/>
  <c r="T150" i="5"/>
  <c r="K147" i="5"/>
  <c r="K150" i="5"/>
  <c r="W147" i="5"/>
  <c r="W150" i="5"/>
  <c r="G147" i="5"/>
  <c r="G150" i="5"/>
  <c r="X147" i="5"/>
  <c r="X150" i="5"/>
  <c r="D147" i="5"/>
  <c r="D150" i="5"/>
  <c r="AC147" i="5"/>
  <c r="AC150" i="5"/>
  <c r="V147" i="5"/>
  <c r="V150" i="5"/>
  <c r="E147" i="5"/>
  <c r="E150" i="5"/>
  <c r="Q147" i="5"/>
  <c r="Q150" i="5"/>
  <c r="AH147" i="5"/>
  <c r="AH150" i="5"/>
  <c r="O151" i="5"/>
  <c r="O152" i="5" s="1"/>
  <c r="AL151" i="5"/>
  <c r="AL152" i="5" s="1"/>
  <c r="J146" i="5"/>
  <c r="AN146" i="5"/>
  <c r="AE146" i="5"/>
  <c r="AM146" i="5"/>
  <c r="U146" i="5"/>
  <c r="P146" i="5"/>
  <c r="AB146" i="5"/>
  <c r="AK146" i="5"/>
  <c r="I146" i="5"/>
  <c r="Z146" i="5"/>
  <c r="AJ146" i="5"/>
  <c r="AA146" i="5"/>
  <c r="M146" i="5"/>
  <c r="R146" i="5"/>
  <c r="N146" i="5"/>
  <c r="AO146" i="5"/>
  <c r="AG146" i="5"/>
  <c r="AF146" i="5"/>
  <c r="Y146" i="5"/>
  <c r="F146" i="5"/>
  <c r="P50" i="30"/>
  <c r="S148" i="5" l="1"/>
  <c r="R18" i="4" s="1"/>
  <c r="R32" i="3" s="1"/>
  <c r="Q148" i="5"/>
  <c r="P18" i="4" s="1"/>
  <c r="P32" i="3" s="1"/>
  <c r="K148" i="5"/>
  <c r="J18" i="4" s="1"/>
  <c r="J32" i="3" s="1"/>
  <c r="AD148" i="5"/>
  <c r="AC18" i="4" s="1"/>
  <c r="AC32" i="3" s="1"/>
  <c r="AC148" i="5"/>
  <c r="AB18" i="4" s="1"/>
  <c r="AB32" i="3" s="1"/>
  <c r="L148" i="5"/>
  <c r="K18" i="4" s="1"/>
  <c r="K32" i="3" s="1"/>
  <c r="E148" i="5"/>
  <c r="D18" i="4" s="1"/>
  <c r="D32" i="3" s="1"/>
  <c r="X148" i="5"/>
  <c r="W18" i="4" s="1"/>
  <c r="W32" i="3" s="1"/>
  <c r="T148" i="5"/>
  <c r="S18" i="4" s="1"/>
  <c r="S32" i="3" s="1"/>
  <c r="AH148" i="5"/>
  <c r="AG18" i="4" s="1"/>
  <c r="AG32" i="3" s="1"/>
  <c r="W148" i="5"/>
  <c r="V18" i="4" s="1"/>
  <c r="V32" i="3" s="1"/>
  <c r="V148" i="5"/>
  <c r="U18" i="4" s="1"/>
  <c r="U32" i="3" s="1"/>
  <c r="G148" i="5"/>
  <c r="F18" i="4" s="1"/>
  <c r="F32" i="3" s="1"/>
  <c r="AI148" i="5"/>
  <c r="AH18" i="4" s="1"/>
  <c r="AH32" i="3" s="1"/>
  <c r="D148" i="5"/>
  <c r="C18" i="4" s="1"/>
  <c r="C32" i="3" s="1"/>
  <c r="AM147" i="5"/>
  <c r="AM150" i="5"/>
  <c r="Y147" i="5"/>
  <c r="Y150" i="5"/>
  <c r="AJ147" i="5"/>
  <c r="AJ150" i="5"/>
  <c r="AE147" i="5"/>
  <c r="AE150" i="5"/>
  <c r="AF147" i="5"/>
  <c r="AF150" i="5"/>
  <c r="AN147" i="5"/>
  <c r="AN150" i="5"/>
  <c r="F147" i="5"/>
  <c r="F150" i="5"/>
  <c r="AK147" i="5"/>
  <c r="AK150" i="5"/>
  <c r="N147" i="5"/>
  <c r="N150" i="5"/>
  <c r="I147" i="5"/>
  <c r="I150" i="5"/>
  <c r="J147" i="5"/>
  <c r="J150" i="5"/>
  <c r="AB147" i="5"/>
  <c r="AB150" i="5"/>
  <c r="R147" i="5"/>
  <c r="R150" i="5"/>
  <c r="P147" i="5"/>
  <c r="P150" i="5"/>
  <c r="AO147" i="5"/>
  <c r="AO150" i="5"/>
  <c r="M147" i="5"/>
  <c r="M150" i="5"/>
  <c r="U147" i="5"/>
  <c r="U150" i="5"/>
  <c r="AG147" i="5"/>
  <c r="AG150" i="5"/>
  <c r="AA147" i="5"/>
  <c r="AA150" i="5"/>
  <c r="Z147" i="5"/>
  <c r="Z150" i="5"/>
  <c r="AD151" i="5"/>
  <c r="AD152" i="5" s="1"/>
  <c r="K151" i="5"/>
  <c r="K152" i="5" s="1"/>
  <c r="E151" i="5"/>
  <c r="E152" i="5" s="1"/>
  <c r="S151" i="5"/>
  <c r="S152" i="5" s="1"/>
  <c r="V151" i="5"/>
  <c r="V152" i="5" s="1"/>
  <c r="L151" i="5"/>
  <c r="L152" i="5" s="1"/>
  <c r="AH151" i="5"/>
  <c r="AH152" i="5" s="1"/>
  <c r="X151" i="5"/>
  <c r="X152" i="5" s="1"/>
  <c r="AI151" i="5"/>
  <c r="AI152" i="5" s="1"/>
  <c r="Q151" i="5"/>
  <c r="Q152" i="5" s="1"/>
  <c r="G151" i="5"/>
  <c r="G152" i="5" s="1"/>
  <c r="D151" i="5"/>
  <c r="D152" i="5" s="1"/>
  <c r="AC151" i="5"/>
  <c r="AC152" i="5" s="1"/>
  <c r="W151" i="5"/>
  <c r="W152" i="5" s="1"/>
  <c r="T151" i="5"/>
  <c r="T152" i="5" s="1"/>
  <c r="AA148" i="5" l="1"/>
  <c r="Z18" i="4" s="1"/>
  <c r="Z32" i="3" s="1"/>
  <c r="J148" i="5"/>
  <c r="I18" i="4" s="1"/>
  <c r="I32" i="3" s="1"/>
  <c r="F148" i="5"/>
  <c r="E18" i="4" s="1"/>
  <c r="E32" i="3" s="1"/>
  <c r="AJ148" i="5"/>
  <c r="AI18" i="4" s="1"/>
  <c r="AI32" i="3" s="1"/>
  <c r="AG148" i="5"/>
  <c r="AF18" i="4" s="1"/>
  <c r="AF32" i="3" s="1"/>
  <c r="P148" i="5"/>
  <c r="O18" i="4" s="1"/>
  <c r="O32" i="3" s="1"/>
  <c r="I148" i="5"/>
  <c r="H18" i="4" s="1"/>
  <c r="H32" i="3" s="1"/>
  <c r="AN148" i="5"/>
  <c r="AM18" i="4" s="1"/>
  <c r="AM32" i="3" s="1"/>
  <c r="Y148" i="5"/>
  <c r="X18" i="4" s="1"/>
  <c r="X32" i="3" s="1"/>
  <c r="AO148" i="5"/>
  <c r="AN18" i="4" s="1"/>
  <c r="AN32" i="3" s="1"/>
  <c r="U148" i="5"/>
  <c r="T18" i="4" s="1"/>
  <c r="T32" i="3" s="1"/>
  <c r="R148" i="5"/>
  <c r="Q18" i="4" s="1"/>
  <c r="Q32" i="3" s="1"/>
  <c r="N148" i="5"/>
  <c r="M18" i="4" s="1"/>
  <c r="M32" i="3" s="1"/>
  <c r="AF148" i="5"/>
  <c r="AE18" i="4" s="1"/>
  <c r="AE32" i="3" s="1"/>
  <c r="AM148" i="5"/>
  <c r="AL18" i="4" s="1"/>
  <c r="AL32" i="3" s="1"/>
  <c r="Z148" i="5"/>
  <c r="Y18" i="4" s="1"/>
  <c r="Y32" i="3" s="1"/>
  <c r="M148" i="5"/>
  <c r="L18" i="4" s="1"/>
  <c r="L32" i="3" s="1"/>
  <c r="AB148" i="5"/>
  <c r="AA18" i="4" s="1"/>
  <c r="AA32" i="3" s="1"/>
  <c r="AK148" i="5"/>
  <c r="AJ18" i="4" s="1"/>
  <c r="AJ32" i="3" s="1"/>
  <c r="AE148" i="5"/>
  <c r="AD18" i="4" s="1"/>
  <c r="AD32" i="3" s="1"/>
  <c r="J151" i="5"/>
  <c r="J152" i="5" s="1"/>
  <c r="AG151" i="5"/>
  <c r="AG152" i="5" s="1"/>
  <c r="AE151" i="5"/>
  <c r="AE152" i="5" s="1"/>
  <c r="AA151" i="5"/>
  <c r="AA152" i="5" s="1"/>
  <c r="P151" i="5"/>
  <c r="P152" i="5" s="1"/>
  <c r="AN151" i="5"/>
  <c r="AN152" i="5" s="1"/>
  <c r="Z151" i="5"/>
  <c r="Z152" i="5" s="1"/>
  <c r="AJ151" i="5"/>
  <c r="AJ152" i="5" s="1"/>
  <c r="R151" i="5"/>
  <c r="R152" i="5" s="1"/>
  <c r="Y151" i="5"/>
  <c r="Y152" i="5" s="1"/>
  <c r="AB151" i="5"/>
  <c r="AB152" i="5" s="1"/>
  <c r="M151" i="5"/>
  <c r="M152" i="5" s="1"/>
  <c r="N151" i="5"/>
  <c r="N152" i="5" s="1"/>
  <c r="I151" i="5"/>
  <c r="I152" i="5" s="1"/>
  <c r="AM151" i="5"/>
  <c r="AM152" i="5" s="1"/>
  <c r="F151" i="5"/>
  <c r="F152" i="5" s="1"/>
  <c r="U151" i="5"/>
  <c r="U152" i="5" s="1"/>
  <c r="AK151" i="5"/>
  <c r="AK152" i="5" s="1"/>
  <c r="AO151" i="5"/>
  <c r="AO152" i="5" s="1"/>
  <c r="AF151" i="5"/>
  <c r="AF152" i="5" s="1"/>
  <c r="F67" i="26"/>
  <c r="F9" i="26"/>
  <c r="F10" i="26" l="1"/>
  <c r="F11" i="26"/>
  <c r="F13" i="26" l="1"/>
  <c r="F14" i="26" l="1"/>
  <c r="F15" i="26" l="1"/>
  <c r="F16" i="26" l="1"/>
  <c r="F17" i="26"/>
  <c r="F18" i="26" l="1"/>
  <c r="F21" i="26"/>
  <c r="F19" i="26" l="1"/>
  <c r="F20" i="26" s="1"/>
  <c r="F25" i="26"/>
  <c r="F22" i="26" l="1"/>
  <c r="F23" i="26" s="1"/>
  <c r="F26" i="26"/>
  <c r="F30" i="26"/>
  <c r="F32" i="26" s="1"/>
  <c r="F29" i="26" l="1"/>
  <c r="F27" i="26"/>
  <c r="F34" i="26"/>
  <c r="F35" i="26" s="1"/>
  <c r="F42" i="26"/>
  <c r="F44" i="26"/>
  <c r="F46" i="26" s="1"/>
  <c r="F31" i="26" l="1"/>
  <c r="F33" i="26" s="1"/>
  <c r="F37" i="26" s="1"/>
  <c r="F39" i="26" s="1"/>
  <c r="F48" i="26"/>
  <c r="F49" i="26" s="1"/>
  <c r="F36" i="26" l="1"/>
  <c r="F47" i="26" s="1"/>
  <c r="F83" i="26"/>
  <c r="F54" i="26"/>
  <c r="F55" i="26"/>
  <c r="F86" i="26"/>
  <c r="F53" i="26" l="1"/>
  <c r="F65" i="26"/>
  <c r="F58" i="26"/>
  <c r="F59" i="26" s="1"/>
  <c r="F110" i="26"/>
  <c r="F63" i="26" l="1"/>
  <c r="F61" i="26"/>
  <c r="F97" i="26"/>
  <c r="F85" i="26"/>
  <c r="F122" i="26"/>
  <c r="F62" i="26" l="1"/>
  <c r="F71" i="26" s="1"/>
  <c r="F87" i="26"/>
  <c r="F124" i="26"/>
  <c r="F84" i="26" l="1"/>
  <c r="F74" i="26"/>
  <c r="F88" i="26"/>
  <c r="F225" i="26"/>
  <c r="F226" i="26" s="1"/>
  <c r="F228" i="26" s="1"/>
  <c r="F89" i="26" l="1"/>
  <c r="F105" i="26"/>
  <c r="F107" i="26" s="1"/>
  <c r="F104" i="26"/>
  <c r="F137" i="26"/>
  <c r="F91" i="26" l="1"/>
  <c r="F102" i="26" s="1"/>
  <c r="F103" i="26"/>
  <c r="F119" i="26" s="1"/>
  <c r="F141" i="26"/>
  <c r="F144" i="26" s="1"/>
  <c r="F172" i="26" s="1"/>
  <c r="F174" i="26" s="1"/>
  <c r="F176" i="26" s="1"/>
  <c r="F177" i="26" s="1"/>
  <c r="F108" i="26" l="1"/>
  <c r="F117" i="26" s="1"/>
  <c r="F123" i="26" s="1"/>
  <c r="F135" i="26" s="1"/>
  <c r="F229" i="26"/>
  <c r="F136" i="26" l="1"/>
  <c r="F5" i="26" s="1"/>
  <c r="F6" i="26" s="1"/>
  <c r="G241" i="26" s="1"/>
  <c r="F234" i="26"/>
  <c r="F256" i="26" s="1"/>
  <c r="F263" i="26" s="1"/>
  <c r="G263" i="26" l="1"/>
  <c r="G197" i="26"/>
  <c r="G194" i="26"/>
  <c r="G160" i="26"/>
  <c r="G252" i="26"/>
  <c r="G130" i="26"/>
  <c r="G158" i="26"/>
  <c r="G73" i="26"/>
  <c r="G142" i="26"/>
  <c r="G126" i="26"/>
  <c r="G134" i="26"/>
  <c r="G99" i="26"/>
  <c r="G75" i="26"/>
  <c r="G214" i="26"/>
  <c r="G246" i="26"/>
  <c r="G192" i="26"/>
  <c r="G250" i="26"/>
  <c r="G131" i="26"/>
  <c r="G88" i="26"/>
  <c r="G60" i="26"/>
  <c r="G165" i="26"/>
  <c r="G80" i="26"/>
  <c r="G64" i="26"/>
  <c r="G76" i="26"/>
  <c r="G240" i="26"/>
  <c r="G225" i="26"/>
  <c r="G220" i="26"/>
  <c r="G26" i="26"/>
  <c r="G127" i="26"/>
  <c r="G249" i="26"/>
  <c r="G147" i="26"/>
  <c r="G168" i="26"/>
  <c r="G206" i="26"/>
  <c r="G52" i="26"/>
  <c r="G231" i="26"/>
  <c r="G258" i="26"/>
  <c r="G65" i="26"/>
  <c r="G144" i="26"/>
  <c r="G48" i="26"/>
  <c r="G20" i="26"/>
  <c r="G125" i="26"/>
  <c r="G199" i="26"/>
  <c r="G200" i="26"/>
  <c r="G218" i="26"/>
  <c r="G114" i="26"/>
  <c r="G106" i="26"/>
  <c r="G209" i="26"/>
  <c r="G33" i="26"/>
  <c r="G57" i="26"/>
  <c r="G83" i="26"/>
  <c r="G25" i="26"/>
  <c r="G53" i="26"/>
  <c r="G89" i="26"/>
  <c r="G182" i="26"/>
  <c r="G201" i="26"/>
  <c r="G187" i="26"/>
  <c r="G12" i="26"/>
  <c r="G183" i="26"/>
  <c r="G155" i="26"/>
  <c r="G210" i="26"/>
  <c r="G202" i="26"/>
  <c r="G137" i="26"/>
  <c r="G228" i="26"/>
  <c r="G67" i="26"/>
  <c r="G190" i="26"/>
  <c r="G257" i="26"/>
  <c r="G195" i="26"/>
  <c r="G110" i="26"/>
  <c r="G35" i="26"/>
  <c r="G236" i="26"/>
  <c r="G84" i="26"/>
  <c r="G221" i="26"/>
  <c r="G102" i="26"/>
  <c r="G91" i="26"/>
  <c r="G68" i="26"/>
  <c r="G31" i="26"/>
  <c r="G217" i="26"/>
  <c r="G105" i="26"/>
  <c r="G78" i="26"/>
  <c r="G167" i="26"/>
  <c r="G27" i="26"/>
  <c r="G259" i="26"/>
  <c r="G211" i="26"/>
  <c r="G224" i="26"/>
  <c r="G29" i="26"/>
  <c r="G54" i="26"/>
  <c r="G112" i="26"/>
  <c r="G255" i="26"/>
  <c r="G132" i="26"/>
  <c r="G176" i="26"/>
  <c r="G229" i="26"/>
  <c r="G92" i="26"/>
  <c r="G222" i="26"/>
  <c r="G178" i="26"/>
  <c r="G85" i="26"/>
  <c r="G37" i="26"/>
  <c r="G72" i="26"/>
  <c r="G138" i="26"/>
  <c r="G18" i="26"/>
  <c r="G216" i="26"/>
  <c r="G140" i="26"/>
  <c r="G50" i="26"/>
  <c r="G174" i="26"/>
  <c r="G8" i="26"/>
  <c r="G40" i="26"/>
  <c r="G248" i="26"/>
  <c r="G86" i="26"/>
  <c r="G162" i="26"/>
  <c r="G149" i="26"/>
  <c r="G181" i="26"/>
  <c r="G97" i="26"/>
  <c r="G242" i="26"/>
  <c r="G159" i="26"/>
  <c r="G196" i="26"/>
  <c r="G62" i="26"/>
  <c r="G82" i="26"/>
  <c r="G109" i="26"/>
  <c r="G153" i="26"/>
  <c r="G235" i="26"/>
  <c r="G150" i="26"/>
  <c r="G128" i="26"/>
  <c r="G118" i="26"/>
  <c r="G41" i="26"/>
  <c r="G63" i="26"/>
  <c r="G172" i="26"/>
  <c r="G253" i="26"/>
  <c r="G245" i="26"/>
  <c r="G24" i="26"/>
  <c r="G161" i="26"/>
  <c r="G19" i="26"/>
  <c r="G81" i="26"/>
  <c r="G188" i="26"/>
  <c r="G185" i="26"/>
  <c r="G203" i="26"/>
  <c r="G14" i="26"/>
  <c r="G239" i="26"/>
  <c r="G207" i="26"/>
  <c r="G93" i="26"/>
  <c r="G107" i="26"/>
  <c r="G111" i="26"/>
  <c r="G70" i="26"/>
  <c r="G10" i="26"/>
  <c r="G247" i="26"/>
  <c r="G36" i="26"/>
  <c r="G115" i="26"/>
  <c r="G177" i="26"/>
  <c r="G154" i="26"/>
  <c r="G232" i="26"/>
  <c r="G212" i="26"/>
  <c r="G79" i="26"/>
  <c r="G166" i="26"/>
  <c r="G135" i="26"/>
  <c r="G103" i="26"/>
  <c r="G94" i="26"/>
  <c r="G16" i="26"/>
  <c r="G198" i="26"/>
  <c r="G213" i="26"/>
  <c r="G23" i="26"/>
  <c r="G260" i="26"/>
  <c r="G226" i="26"/>
  <c r="G56" i="26"/>
  <c r="G233" i="26"/>
  <c r="G230" i="26"/>
  <c r="G133" i="26"/>
  <c r="G44" i="26"/>
  <c r="G21" i="26"/>
  <c r="G45" i="26"/>
  <c r="G237" i="26"/>
  <c r="G170" i="26"/>
  <c r="G175" i="26"/>
  <c r="G42" i="26"/>
  <c r="G139" i="26"/>
  <c r="G163" i="26"/>
  <c r="G13" i="26"/>
  <c r="G116" i="26"/>
  <c r="G173" i="26"/>
  <c r="G15" i="26"/>
  <c r="G59" i="26"/>
  <c r="G113" i="26"/>
  <c r="G164" i="26"/>
  <c r="G95" i="26"/>
  <c r="G238" i="26"/>
  <c r="G124" i="26"/>
  <c r="G244" i="26"/>
  <c r="G11" i="26"/>
  <c r="G100" i="26"/>
  <c r="G262" i="26"/>
  <c r="G51" i="26"/>
  <c r="G55" i="26"/>
  <c r="G98" i="26"/>
  <c r="G186" i="26"/>
  <c r="G157" i="26"/>
  <c r="G66" i="26"/>
  <c r="G108" i="26"/>
  <c r="G191" i="26"/>
  <c r="G71" i="26"/>
  <c r="G9" i="26"/>
  <c r="G58" i="26"/>
  <c r="G179" i="26"/>
  <c r="G121" i="26"/>
  <c r="G39" i="26"/>
  <c r="G227" i="26"/>
  <c r="G243" i="26"/>
  <c r="G101" i="26"/>
  <c r="G32" i="26"/>
  <c r="G156" i="26"/>
  <c r="G180" i="26"/>
  <c r="G208" i="26"/>
  <c r="G61" i="26"/>
  <c r="G193" i="26"/>
  <c r="G122" i="26"/>
  <c r="G251" i="26"/>
  <c r="G184" i="26"/>
  <c r="G129" i="26"/>
  <c r="G34" i="26"/>
  <c r="G22" i="26"/>
  <c r="G104" i="26"/>
  <c r="G77" i="26"/>
  <c r="G87" i="26"/>
  <c r="G148" i="26"/>
  <c r="G146" i="26"/>
  <c r="G119" i="26"/>
  <c r="G96" i="26"/>
  <c r="G223" i="26"/>
  <c r="G17" i="26"/>
  <c r="G123" i="26"/>
  <c r="G205" i="26"/>
  <c r="G219" i="26"/>
  <c r="G141" i="26"/>
  <c r="G261" i="26"/>
  <c r="G69" i="26"/>
  <c r="G215" i="26"/>
  <c r="G117" i="26"/>
  <c r="G46" i="26"/>
  <c r="G90" i="26"/>
  <c r="G189" i="26"/>
  <c r="G169" i="26"/>
  <c r="G254" i="26"/>
  <c r="G43" i="26"/>
  <c r="G47" i="26"/>
  <c r="G151" i="26"/>
  <c r="G136" i="26"/>
  <c r="G120" i="26"/>
  <c r="G38" i="26"/>
  <c r="G152" i="26"/>
  <c r="G30" i="26"/>
  <c r="G74" i="26"/>
  <c r="G204" i="26"/>
  <c r="G145" i="26"/>
  <c r="G28" i="26"/>
  <c r="G171" i="26"/>
  <c r="G143" i="26"/>
  <c r="G49" i="26"/>
  <c r="G234" i="26"/>
  <c r="F3" i="26"/>
  <c r="F4" i="26"/>
  <c r="G256" i="26"/>
  <c r="G6" i="26" l="1"/>
  <c r="G231" i="2"/>
  <c r="L231" i="2"/>
  <c r="M231" i="2"/>
  <c r="G232" i="2" l="1"/>
  <c r="F232" i="2"/>
  <c r="D232" i="2"/>
  <c r="D233" i="2" s="1"/>
  <c r="D244" i="2" s="1"/>
  <c r="H232" i="2"/>
  <c r="I232" i="2"/>
  <c r="E232" i="2"/>
  <c r="J232" i="2"/>
  <c r="E233" i="2"/>
  <c r="E244" i="2" l="1"/>
  <c r="L232" i="2"/>
  <c r="K232" i="2"/>
  <c r="M232" i="2"/>
  <c r="D236" i="2"/>
  <c r="D235" i="2"/>
  <c r="D238" i="2"/>
  <c r="E235" i="2"/>
  <c r="E238" i="2"/>
  <c r="E236" i="2"/>
  <c r="AP142" i="11"/>
  <c r="AP114" i="11"/>
  <c r="AP92" i="11"/>
  <c r="AP96" i="11"/>
  <c r="AP98" i="11"/>
  <c r="AP104" i="11"/>
  <c r="AP77" i="11"/>
  <c r="AP43" i="11"/>
  <c r="AP88" i="11"/>
  <c r="AP116" i="11"/>
  <c r="AP72" i="11"/>
  <c r="AP67" i="11"/>
  <c r="AP82" i="11"/>
  <c r="AP75" i="11"/>
  <c r="AP47" i="11"/>
  <c r="AP79" i="11"/>
  <c r="AP50" i="11"/>
  <c r="AP94" i="11"/>
  <c r="AP95" i="11"/>
  <c r="AP53" i="11"/>
  <c r="AP97" i="11"/>
  <c r="AP112" i="11"/>
  <c r="AP45" i="11"/>
  <c r="AP117" i="11"/>
  <c r="AP42" i="11"/>
  <c r="AP105" i="11"/>
  <c r="AP90" i="11"/>
  <c r="AP63" i="11"/>
  <c r="AP58" i="11"/>
  <c r="AP109" i="11"/>
  <c r="AP54" i="11"/>
  <c r="AP66" i="11"/>
  <c r="AP74" i="11"/>
  <c r="AP108" i="11"/>
  <c r="AP55" i="11"/>
  <c r="AP84" i="11"/>
  <c r="AP48" i="11"/>
  <c r="AP56" i="11"/>
  <c r="AP78" i="11"/>
  <c r="AP89" i="11"/>
  <c r="AP51" i="11"/>
  <c r="AP71" i="11"/>
  <c r="AP70" i="11"/>
  <c r="AP80" i="11"/>
  <c r="AP81" i="11"/>
  <c r="AP102" i="11"/>
  <c r="AP52" i="11"/>
  <c r="AP86" i="11"/>
  <c r="AP65" i="11"/>
  <c r="AP99" i="11"/>
  <c r="AP49" i="11"/>
  <c r="AP64" i="11"/>
  <c r="AP76" i="11"/>
  <c r="AP110" i="11"/>
  <c r="AP103" i="11"/>
  <c r="AP41" i="11"/>
  <c r="AP69" i="11"/>
  <c r="AP59" i="11"/>
  <c r="AP60" i="11"/>
  <c r="AP85" i="11"/>
  <c r="AP44" i="11"/>
  <c r="AP62" i="11"/>
  <c r="AP68" i="11"/>
  <c r="AP100" i="11"/>
  <c r="AP61" i="11"/>
  <c r="AP101" i="11"/>
  <c r="AP57" i="11"/>
  <c r="AP93" i="11"/>
  <c r="AP106" i="11"/>
  <c r="AP115" i="11"/>
  <c r="AP83" i="11"/>
  <c r="AP46" i="11"/>
  <c r="AP111" i="11"/>
  <c r="AP40" i="11"/>
  <c r="AP113" i="11"/>
  <c r="AP87" i="11"/>
  <c r="AP73" i="11"/>
  <c r="AP91" i="11"/>
  <c r="AP39" i="11"/>
  <c r="F233" i="2"/>
  <c r="F244" i="2" l="1"/>
  <c r="F238" i="2"/>
  <c r="F236" i="2"/>
  <c r="F235" i="2"/>
  <c r="AP118" i="11"/>
  <c r="B38" i="11"/>
  <c r="B4" i="11" s="1"/>
  <c r="G233" i="2"/>
  <c r="G236" i="2" l="1"/>
  <c r="G238" i="2"/>
  <c r="G235" i="2"/>
  <c r="AP38" i="11"/>
  <c r="C3" i="30" s="1"/>
  <c r="B7" i="17"/>
  <c r="H233" i="2"/>
  <c r="AO7" i="17" l="1"/>
  <c r="H238" i="2"/>
  <c r="H235" i="2"/>
  <c r="H236" i="2"/>
  <c r="I233" i="2"/>
  <c r="I244" i="2" l="1"/>
  <c r="I236" i="2"/>
  <c r="I238" i="2"/>
  <c r="I235" i="2"/>
  <c r="AP107" i="11"/>
  <c r="J233" i="2"/>
  <c r="J244" i="2" l="1"/>
  <c r="J236" i="2"/>
  <c r="J238" i="2"/>
  <c r="J235" i="2"/>
  <c r="K233" i="2"/>
  <c r="K244" i="2" l="1"/>
  <c r="K236" i="2"/>
  <c r="K235" i="2"/>
  <c r="K238" i="2"/>
  <c r="B7" i="20"/>
  <c r="AP4" i="11"/>
  <c r="B122" i="11"/>
  <c r="L233" i="2"/>
  <c r="L244" i="2" l="1"/>
  <c r="L238" i="2"/>
  <c r="L235" i="2"/>
  <c r="L236" i="2"/>
  <c r="Y121" i="11"/>
  <c r="I121" i="11"/>
  <c r="G121" i="11"/>
  <c r="AM121" i="11"/>
  <c r="R121" i="11"/>
  <c r="AH121" i="11"/>
  <c r="D121" i="11"/>
  <c r="L121" i="11"/>
  <c r="U121" i="11"/>
  <c r="AI121" i="11"/>
  <c r="H121" i="11"/>
  <c r="AE121" i="11"/>
  <c r="AA121" i="11"/>
  <c r="V121" i="11"/>
  <c r="AP122" i="11"/>
  <c r="Z121" i="11"/>
  <c r="AL121" i="11"/>
  <c r="W121" i="11"/>
  <c r="AC121" i="11"/>
  <c r="K121" i="11"/>
  <c r="AK121" i="11"/>
  <c r="AD121" i="11"/>
  <c r="AB121" i="11"/>
  <c r="N121" i="11"/>
  <c r="AF121" i="11"/>
  <c r="P121" i="11"/>
  <c r="M121" i="11"/>
  <c r="T121" i="11"/>
  <c r="O121" i="11"/>
  <c r="AN121" i="11"/>
  <c r="AG121" i="11"/>
  <c r="X121" i="11"/>
  <c r="J121" i="11"/>
  <c r="AJ121" i="11"/>
  <c r="S121" i="11"/>
  <c r="Q121" i="11"/>
  <c r="F121" i="11"/>
  <c r="C121" i="11"/>
  <c r="E121" i="11"/>
  <c r="C5" i="21"/>
  <c r="B3" i="10"/>
  <c r="D5" i="23"/>
  <c r="B7" i="18"/>
  <c r="B3" i="17"/>
  <c r="B5" i="11"/>
  <c r="B3" i="3"/>
  <c r="B7" i="3" s="1"/>
  <c r="B3" i="12"/>
  <c r="B3" i="14"/>
  <c r="B6" i="20"/>
  <c r="B3" i="22"/>
  <c r="C3" i="5"/>
  <c r="B121" i="11"/>
  <c r="AO7" i="20"/>
  <c r="M233" i="2"/>
  <c r="B25" i="12" l="1"/>
  <c r="B35" i="12"/>
  <c r="B36" i="12" s="1"/>
  <c r="C13" i="5"/>
  <c r="C12" i="5"/>
  <c r="C11" i="5"/>
  <c r="D53" i="23"/>
  <c r="AQ53" i="23" s="1"/>
  <c r="D85" i="23"/>
  <c r="AQ85" i="23" s="1"/>
  <c r="B90" i="12"/>
  <c r="B110" i="12" s="1"/>
  <c r="B89" i="12"/>
  <c r="B109" i="12" s="1"/>
  <c r="B85" i="12"/>
  <c r="B105" i="12" s="1"/>
  <c r="B91" i="12"/>
  <c r="B111" i="12" s="1"/>
  <c r="B88" i="12"/>
  <c r="B108" i="12" s="1"/>
  <c r="B87" i="12"/>
  <c r="B107" i="12" s="1"/>
  <c r="B86" i="12"/>
  <c r="B106" i="12" s="1"/>
  <c r="B84" i="12"/>
  <c r="B104" i="12" s="1"/>
  <c r="B5" i="12"/>
  <c r="M244" i="2"/>
  <c r="B31" i="12"/>
  <c r="B32" i="12" s="1"/>
  <c r="B56" i="12" s="1"/>
  <c r="B11" i="12"/>
  <c r="B12" i="12"/>
  <c r="B28" i="12"/>
  <c r="B40" i="12" s="1"/>
  <c r="B7" i="12"/>
  <c r="B16" i="12" s="1"/>
  <c r="B17" i="12" s="1"/>
  <c r="B5" i="17"/>
  <c r="AO5" i="17" s="1"/>
  <c r="B14" i="17"/>
  <c r="AO14" i="17" s="1"/>
  <c r="E65" i="2"/>
  <c r="B35" i="11"/>
  <c r="B15" i="17"/>
  <c r="AO15" i="17" s="1"/>
  <c r="B10" i="17"/>
  <c r="B8" i="17"/>
  <c r="M236" i="2"/>
  <c r="M238" i="2"/>
  <c r="M235" i="2"/>
  <c r="B8" i="3"/>
  <c r="B5" i="3"/>
  <c r="B6" i="3"/>
  <c r="B28" i="11"/>
  <c r="AP28" i="11" s="1"/>
  <c r="B32" i="11"/>
  <c r="AP32" i="11" s="1"/>
  <c r="C46" i="24" s="1"/>
  <c r="C47" i="24" s="1"/>
  <c r="C48" i="24" s="1"/>
  <c r="B31" i="11"/>
  <c r="B27" i="11"/>
  <c r="B34" i="11"/>
  <c r="B8" i="11"/>
  <c r="C71" i="5"/>
  <c r="AP71" i="5" s="1"/>
  <c r="B4" i="14"/>
  <c r="B10" i="14"/>
  <c r="AO10" i="14" s="1"/>
  <c r="B10" i="22"/>
  <c r="B9" i="22"/>
  <c r="C15" i="21"/>
  <c r="C7" i="21"/>
  <c r="AP121" i="11"/>
  <c r="B10" i="20"/>
  <c r="B84" i="20"/>
  <c r="B13" i="20"/>
  <c r="B12" i="20"/>
  <c r="B11" i="20"/>
  <c r="B9" i="20"/>
  <c r="B91" i="20" s="1"/>
  <c r="B8" i="20"/>
  <c r="AO36" i="12" l="1"/>
  <c r="B73" i="12"/>
  <c r="C11" i="2"/>
  <c r="B11" i="2" s="1"/>
  <c r="AP12" i="5"/>
  <c r="C14" i="5"/>
  <c r="C21" i="5"/>
  <c r="C120" i="5" s="1"/>
  <c r="B9" i="3"/>
  <c r="B11" i="3" s="1"/>
  <c r="C16" i="5"/>
  <c r="AP16" i="5" s="1"/>
  <c r="B20" i="3"/>
  <c r="B12" i="3"/>
  <c r="B18" i="3"/>
  <c r="AR85" i="23"/>
  <c r="AS85" i="23" s="1"/>
  <c r="B13" i="12"/>
  <c r="AO40" i="12"/>
  <c r="B72" i="12"/>
  <c r="AO32" i="12"/>
  <c r="B26" i="12"/>
  <c r="B38" i="12" s="1"/>
  <c r="B33" i="12"/>
  <c r="B37" i="12" s="1"/>
  <c r="B6" i="17"/>
  <c r="AO6" i="17" s="1"/>
  <c r="C18" i="2" s="1"/>
  <c r="B57" i="12"/>
  <c r="B41" i="12"/>
  <c r="B42" i="12" s="1"/>
  <c r="AP36" i="12"/>
  <c r="AO5" i="12"/>
  <c r="E64" i="2" s="1"/>
  <c r="E67" i="2" s="1"/>
  <c r="AO31" i="12"/>
  <c r="C17" i="5"/>
  <c r="X179" i="13"/>
  <c r="X113" i="13"/>
  <c r="X152" i="13" s="1"/>
  <c r="B12" i="17"/>
  <c r="AO10" i="17"/>
  <c r="AO8" i="17"/>
  <c r="B16" i="17"/>
  <c r="B55" i="20"/>
  <c r="B72" i="20" s="1"/>
  <c r="C54" i="21"/>
  <c r="AP54" i="21" s="1"/>
  <c r="B54" i="20"/>
  <c r="B57" i="20" s="1"/>
  <c r="B65" i="20" s="1"/>
  <c r="B7" i="14"/>
  <c r="B28" i="3"/>
  <c r="AP35" i="11"/>
  <c r="F46" i="24" s="1"/>
  <c r="B12" i="22"/>
  <c r="B13" i="22" s="1"/>
  <c r="AO13" i="22" s="1"/>
  <c r="AP31" i="11"/>
  <c r="B46" i="24" s="1"/>
  <c r="B33" i="11"/>
  <c r="AP33" i="11" s="1"/>
  <c r="B19" i="20"/>
  <c r="B14" i="20"/>
  <c r="B15" i="20" s="1"/>
  <c r="B45" i="3"/>
  <c r="AP27" i="11"/>
  <c r="B29" i="11"/>
  <c r="AP29" i="11" s="1"/>
  <c r="C14" i="2" s="1"/>
  <c r="B20" i="20"/>
  <c r="AP13" i="5"/>
  <c r="AQ71" i="5" s="1"/>
  <c r="B14" i="2" s="1"/>
  <c r="B12" i="2"/>
  <c r="C56" i="5"/>
  <c r="AP56" i="5" s="1"/>
  <c r="C12" i="2" s="1"/>
  <c r="B22" i="20"/>
  <c r="B30" i="20" s="1"/>
  <c r="B37" i="20" s="1"/>
  <c r="AO9" i="22"/>
  <c r="B14" i="22"/>
  <c r="B15" i="22" s="1"/>
  <c r="D7" i="23"/>
  <c r="B24" i="20"/>
  <c r="B32" i="20" s="1"/>
  <c r="B39" i="20" s="1"/>
  <c r="B5" i="14"/>
  <c r="B24" i="14"/>
  <c r="AO24" i="14" s="1"/>
  <c r="E7" i="2"/>
  <c r="F223" i="2"/>
  <c r="H223" i="2"/>
  <c r="J223" i="2"/>
  <c r="L223" i="2"/>
  <c r="I223" i="2"/>
  <c r="E223" i="2"/>
  <c r="G223" i="2"/>
  <c r="D223" i="2"/>
  <c r="D241" i="2" s="1"/>
  <c r="M223" i="2"/>
  <c r="M241" i="2" s="1"/>
  <c r="K223" i="2"/>
  <c r="B23" i="20"/>
  <c r="B31" i="20" s="1"/>
  <c r="B38" i="20" s="1"/>
  <c r="AO84" i="20"/>
  <c r="AO17" i="18" s="1"/>
  <c r="B21" i="20"/>
  <c r="B29" i="20" s="1"/>
  <c r="B36" i="20" s="1"/>
  <c r="B9" i="14"/>
  <c r="AP34" i="11"/>
  <c r="C19" i="5" l="1"/>
  <c r="C32" i="5" s="1"/>
  <c r="C40" i="5" s="1"/>
  <c r="C18" i="5"/>
  <c r="C23" i="5" s="1"/>
  <c r="C27" i="5" s="1"/>
  <c r="B18" i="2"/>
  <c r="L241" i="2"/>
  <c r="G241" i="2"/>
  <c r="E241" i="2"/>
  <c r="J241" i="2"/>
  <c r="K241" i="2"/>
  <c r="H241" i="2"/>
  <c r="I241" i="2"/>
  <c r="F241" i="2"/>
  <c r="B39" i="12"/>
  <c r="B43" i="12" s="1"/>
  <c r="B29" i="12"/>
  <c r="AO35" i="12"/>
  <c r="AO18" i="12"/>
  <c r="AO12" i="17"/>
  <c r="B17" i="17"/>
  <c r="B20" i="17" s="1"/>
  <c r="X129" i="13"/>
  <c r="X163" i="13" s="1"/>
  <c r="X118" i="13"/>
  <c r="X121" i="13" s="1"/>
  <c r="X114" i="13"/>
  <c r="X117" i="13"/>
  <c r="X120" i="13" s="1"/>
  <c r="X122" i="13"/>
  <c r="B29" i="17"/>
  <c r="AO29" i="17" s="1"/>
  <c r="X180" i="13"/>
  <c r="X193" i="13"/>
  <c r="X184" i="13"/>
  <c r="X187" i="13" s="1"/>
  <c r="X183" i="13"/>
  <c r="X186" i="13" s="1"/>
  <c r="X188" i="13"/>
  <c r="B28" i="17"/>
  <c r="AO28" i="17" s="1"/>
  <c r="AO16" i="17"/>
  <c r="C26" i="29"/>
  <c r="B78" i="20"/>
  <c r="B79" i="20" s="1"/>
  <c r="B95" i="20"/>
  <c r="AO95" i="20" s="1"/>
  <c r="B68" i="20"/>
  <c r="B53" i="20"/>
  <c r="B56" i="20" s="1"/>
  <c r="B58" i="20" s="1"/>
  <c r="AO54" i="20"/>
  <c r="B17" i="20"/>
  <c r="AO17" i="20" s="1"/>
  <c r="AO12" i="22"/>
  <c r="E46" i="24"/>
  <c r="C16" i="2"/>
  <c r="B16" i="22"/>
  <c r="B17" i="22" s="1"/>
  <c r="B18" i="22"/>
  <c r="B20" i="22"/>
  <c r="B19" i="22"/>
  <c r="B28" i="20"/>
  <c r="B35" i="20" s="1"/>
  <c r="AO20" i="20"/>
  <c r="B25" i="14"/>
  <c r="B12" i="14"/>
  <c r="D10" i="30"/>
  <c r="C10" i="30" s="1"/>
  <c r="C22" i="29"/>
  <c r="E14" i="2"/>
  <c r="F14" i="2" s="1"/>
  <c r="H222" i="2" s="1"/>
  <c r="AO14" i="20"/>
  <c r="C10" i="2" s="1"/>
  <c r="B25" i="20"/>
  <c r="B27" i="20"/>
  <c r="C15" i="2"/>
  <c r="C19" i="29"/>
  <c r="D7" i="30"/>
  <c r="C7" i="30" s="1"/>
  <c r="E11" i="2"/>
  <c r="F11" i="2" s="1"/>
  <c r="D56" i="23"/>
  <c r="D88" i="23"/>
  <c r="J3" i="30"/>
  <c r="D8" i="30"/>
  <c r="C8" i="30" s="1"/>
  <c r="C20" i="29"/>
  <c r="E12" i="2"/>
  <c r="F12" i="2" s="1"/>
  <c r="F222" i="2" s="1"/>
  <c r="C48" i="21"/>
  <c r="AO91" i="20"/>
  <c r="C49" i="21"/>
  <c r="C19" i="2" l="1"/>
  <c r="E19" i="2" s="1"/>
  <c r="C24" i="5"/>
  <c r="C28" i="5" s="1"/>
  <c r="C96" i="5" s="1"/>
  <c r="AP18" i="5"/>
  <c r="C22" i="5"/>
  <c r="C31" i="5"/>
  <c r="C20" i="5"/>
  <c r="AO15" i="20"/>
  <c r="B16" i="3"/>
  <c r="E225" i="2"/>
  <c r="E221" i="2"/>
  <c r="E222" i="2"/>
  <c r="H225" i="2"/>
  <c r="H221" i="2"/>
  <c r="F225" i="2"/>
  <c r="F221" i="2"/>
  <c r="X153" i="13"/>
  <c r="X154" i="13" s="1"/>
  <c r="X156" i="13" s="1"/>
  <c r="X157" i="13" s="1"/>
  <c r="L33" i="4"/>
  <c r="L34" i="3" s="1"/>
  <c r="R33" i="4"/>
  <c r="R34" i="3" s="1"/>
  <c r="AC33" i="4"/>
  <c r="AC34" i="3" s="1"/>
  <c r="E33" i="4"/>
  <c r="E34" i="3" s="1"/>
  <c r="AI33" i="4"/>
  <c r="AI34" i="3" s="1"/>
  <c r="X33" i="4"/>
  <c r="X34" i="3" s="1"/>
  <c r="AB33" i="4"/>
  <c r="AB34" i="3" s="1"/>
  <c r="AF33" i="4"/>
  <c r="AF34" i="3" s="1"/>
  <c r="W33" i="4"/>
  <c r="W34" i="3" s="1"/>
  <c r="O33" i="4"/>
  <c r="O34" i="3" s="1"/>
  <c r="AD33" i="4"/>
  <c r="AD34" i="3" s="1"/>
  <c r="N33" i="4"/>
  <c r="N34" i="3" s="1"/>
  <c r="U33" i="4"/>
  <c r="U34" i="3" s="1"/>
  <c r="D33" i="4"/>
  <c r="D34" i="3" s="1"/>
  <c r="AA33" i="4"/>
  <c r="AA34" i="3" s="1"/>
  <c r="AG33" i="4"/>
  <c r="AG34" i="3" s="1"/>
  <c r="H33" i="4"/>
  <c r="H34" i="3" s="1"/>
  <c r="C33" i="4"/>
  <c r="C34" i="3" s="1"/>
  <c r="AM33" i="4"/>
  <c r="AM34" i="3" s="1"/>
  <c r="J33" i="4"/>
  <c r="J34" i="3" s="1"/>
  <c r="S33" i="4"/>
  <c r="S34" i="3" s="1"/>
  <c r="G33" i="4"/>
  <c r="G34" i="3" s="1"/>
  <c r="AK33" i="4"/>
  <c r="AK34" i="3" s="1"/>
  <c r="AE33" i="4"/>
  <c r="AE34" i="3" s="1"/>
  <c r="AH33" i="4"/>
  <c r="AH34" i="3" s="1"/>
  <c r="I33" i="4"/>
  <c r="I34" i="3" s="1"/>
  <c r="K33" i="4"/>
  <c r="K34" i="3" s="1"/>
  <c r="AJ33" i="4"/>
  <c r="AJ34" i="3" s="1"/>
  <c r="AL33" i="4"/>
  <c r="AL34" i="3" s="1"/>
  <c r="AN33" i="4"/>
  <c r="AN34" i="3" s="1"/>
  <c r="F33" i="4"/>
  <c r="F34" i="3" s="1"/>
  <c r="P33" i="4"/>
  <c r="P34" i="3" s="1"/>
  <c r="V33" i="4"/>
  <c r="V34" i="3" s="1"/>
  <c r="Q33" i="4"/>
  <c r="Q34" i="3" s="1"/>
  <c r="T33" i="4"/>
  <c r="T34" i="3" s="1"/>
  <c r="Y33" i="4"/>
  <c r="Y34" i="3" s="1"/>
  <c r="Z33" i="4"/>
  <c r="Z34" i="3" s="1"/>
  <c r="M33" i="4"/>
  <c r="M34" i="3" s="1"/>
  <c r="X123" i="13"/>
  <c r="X124" i="13" s="1"/>
  <c r="B30" i="17"/>
  <c r="X194" i="13"/>
  <c r="X197" i="13"/>
  <c r="X200" i="13" s="1"/>
  <c r="X198" i="13"/>
  <c r="X201" i="13" s="1"/>
  <c r="X202" i="13"/>
  <c r="B33" i="17"/>
  <c r="AO33" i="17" s="1"/>
  <c r="F18" i="2" s="1"/>
  <c r="B31" i="17"/>
  <c r="AO31" i="17" s="1"/>
  <c r="X189" i="13"/>
  <c r="X190" i="13" s="1"/>
  <c r="X235" i="13" s="1"/>
  <c r="X130" i="13"/>
  <c r="X133" i="13"/>
  <c r="X136" i="13" s="1"/>
  <c r="X134" i="13"/>
  <c r="X137" i="13" s="1"/>
  <c r="X138" i="13"/>
  <c r="B18" i="17"/>
  <c r="B19" i="17" s="1"/>
  <c r="AO19" i="17" s="1"/>
  <c r="AO78" i="20"/>
  <c r="AO79" i="20" s="1"/>
  <c r="D14" i="30"/>
  <c r="C14" i="30" s="1"/>
  <c r="E18" i="2"/>
  <c r="B23" i="17"/>
  <c r="B22" i="17"/>
  <c r="B21" i="17"/>
  <c r="B71" i="20"/>
  <c r="AO53" i="20"/>
  <c r="B90" i="20"/>
  <c r="B16" i="20"/>
  <c r="AO16" i="20" s="1"/>
  <c r="B19" i="2"/>
  <c r="C48" i="5"/>
  <c r="D15" i="30"/>
  <c r="C15" i="30" s="1"/>
  <c r="G15" i="30" s="1"/>
  <c r="L20" i="18"/>
  <c r="D89" i="23"/>
  <c r="AQ89" i="23" s="1"/>
  <c r="B33" i="20"/>
  <c r="B34" i="20"/>
  <c r="B26" i="20"/>
  <c r="B46" i="3"/>
  <c r="AO25" i="20"/>
  <c r="AO26" i="20" s="1"/>
  <c r="K10" i="30"/>
  <c r="G10" i="30"/>
  <c r="D12" i="30"/>
  <c r="C12" i="30" s="1"/>
  <c r="C24" i="29"/>
  <c r="E16" i="2"/>
  <c r="F16" i="2" s="1"/>
  <c r="J222" i="2" s="1"/>
  <c r="K8" i="30"/>
  <c r="G8" i="30"/>
  <c r="C23" i="29"/>
  <c r="D11" i="30"/>
  <c r="C11" i="30" s="1"/>
  <c r="E15" i="2"/>
  <c r="F15" i="2" s="1"/>
  <c r="I222" i="2" s="1"/>
  <c r="AO4" i="4"/>
  <c r="B15" i="14"/>
  <c r="B13" i="14"/>
  <c r="B14" i="14" s="1"/>
  <c r="C17" i="2"/>
  <c r="F47" i="24"/>
  <c r="F48" i="24" s="1"/>
  <c r="C50" i="21"/>
  <c r="C67" i="21" s="1"/>
  <c r="C51" i="21"/>
  <c r="C66" i="21" s="1"/>
  <c r="B47" i="24"/>
  <c r="B28" i="14"/>
  <c r="B26" i="14"/>
  <c r="B27" i="14" s="1"/>
  <c r="B21" i="22"/>
  <c r="B22" i="22" s="1"/>
  <c r="B12" i="4" s="1"/>
  <c r="B19" i="3" s="1"/>
  <c r="E160" i="2"/>
  <c r="K155" i="2"/>
  <c r="K7" i="30"/>
  <c r="G7" i="30"/>
  <c r="H160" i="2"/>
  <c r="K159" i="2"/>
  <c r="C65" i="21"/>
  <c r="F160" i="2"/>
  <c r="K157" i="2"/>
  <c r="C27" i="29" l="1"/>
  <c r="F19" i="2"/>
  <c r="K154" i="2"/>
  <c r="FE144" i="2" s="1"/>
  <c r="M160" i="2"/>
  <c r="C44" i="5"/>
  <c r="C36" i="5" s="1"/>
  <c r="C25" i="5"/>
  <c r="C26" i="5" s="1"/>
  <c r="C30" i="5" s="1"/>
  <c r="C33" i="5"/>
  <c r="C34" i="5" s="1"/>
  <c r="C39" i="5"/>
  <c r="L225" i="2"/>
  <c r="L222" i="2"/>
  <c r="J225" i="2"/>
  <c r="J221" i="2"/>
  <c r="I225" i="2"/>
  <c r="I221" i="2"/>
  <c r="L221" i="2"/>
  <c r="C82" i="5"/>
  <c r="X164" i="13"/>
  <c r="X165" i="13" s="1"/>
  <c r="X167" i="13" s="1"/>
  <c r="X168" i="13" s="1"/>
  <c r="X126" i="13"/>
  <c r="X234" i="13" s="1"/>
  <c r="C76" i="5" s="1"/>
  <c r="C78" i="5" s="1"/>
  <c r="B44" i="12"/>
  <c r="AO41" i="12"/>
  <c r="AO30" i="17"/>
  <c r="B32" i="17"/>
  <c r="B36" i="17" s="1"/>
  <c r="B39" i="17" s="1"/>
  <c r="X139" i="13"/>
  <c r="X203" i="13"/>
  <c r="X204" i="13" s="1"/>
  <c r="B48" i="24"/>
  <c r="M153" i="2"/>
  <c r="L160" i="2"/>
  <c r="K14" i="30"/>
  <c r="G14" i="30"/>
  <c r="B24" i="17"/>
  <c r="B25" i="17" s="1"/>
  <c r="B8" i="4" s="1"/>
  <c r="B15" i="3" s="1"/>
  <c r="B61" i="20"/>
  <c r="B64" i="20" s="1"/>
  <c r="B18" i="20"/>
  <c r="AO18" i="20" s="1"/>
  <c r="K15" i="30"/>
  <c r="C52" i="5"/>
  <c r="AF20" i="18"/>
  <c r="AF25" i="18" s="1"/>
  <c r="U20" i="18"/>
  <c r="U24" i="18" s="1"/>
  <c r="AL20" i="18"/>
  <c r="AL24" i="18" s="1"/>
  <c r="X20" i="18"/>
  <c r="X23" i="18" s="1"/>
  <c r="G20" i="18"/>
  <c r="G25" i="18" s="1"/>
  <c r="AE20" i="18"/>
  <c r="AE23" i="18" s="1"/>
  <c r="D6" i="30"/>
  <c r="C6" i="30" s="1"/>
  <c r="G6" i="30" s="1"/>
  <c r="AH20" i="18"/>
  <c r="AH23" i="18" s="1"/>
  <c r="AK20" i="18"/>
  <c r="AK25" i="18" s="1"/>
  <c r="AJ20" i="18"/>
  <c r="AJ24" i="18" s="1"/>
  <c r="AA20" i="18"/>
  <c r="AA25" i="18" s="1"/>
  <c r="C20" i="18"/>
  <c r="C21" i="18" s="1"/>
  <c r="C22" i="18" s="1"/>
  <c r="S20" i="18"/>
  <c r="S21" i="18" s="1"/>
  <c r="S22" i="18" s="1"/>
  <c r="AM20" i="18"/>
  <c r="AM23" i="18" s="1"/>
  <c r="AI20" i="18"/>
  <c r="AI23" i="18" s="1"/>
  <c r="AN20" i="18"/>
  <c r="AN23" i="18" s="1"/>
  <c r="P20" i="18"/>
  <c r="P23" i="18" s="1"/>
  <c r="AB20" i="18"/>
  <c r="AB25" i="18" s="1"/>
  <c r="D20" i="18"/>
  <c r="D25" i="18" s="1"/>
  <c r="K20" i="18"/>
  <c r="K24" i="18" s="1"/>
  <c r="Q20" i="18"/>
  <c r="Q25" i="18" s="1"/>
  <c r="Z20" i="18"/>
  <c r="Z24" i="18" s="1"/>
  <c r="Y20" i="18"/>
  <c r="Y24" i="18" s="1"/>
  <c r="T20" i="18"/>
  <c r="T23" i="18" s="1"/>
  <c r="V20" i="18"/>
  <c r="V24" i="18" s="1"/>
  <c r="C18" i="29"/>
  <c r="O20" i="18"/>
  <c r="O25" i="18" s="1"/>
  <c r="I20" i="18"/>
  <c r="I25" i="18" s="1"/>
  <c r="E10" i="2"/>
  <c r="E20" i="18"/>
  <c r="E21" i="18" s="1"/>
  <c r="E22" i="18" s="1"/>
  <c r="F20" i="18"/>
  <c r="F25" i="18" s="1"/>
  <c r="AC20" i="18"/>
  <c r="AC23" i="18" s="1"/>
  <c r="M20" i="18"/>
  <c r="M25" i="18" s="1"/>
  <c r="R20" i="18"/>
  <c r="R23" i="18" s="1"/>
  <c r="J20" i="18"/>
  <c r="J21" i="18" s="1"/>
  <c r="J22" i="18" s="1"/>
  <c r="N20" i="18"/>
  <c r="N21" i="18" s="1"/>
  <c r="N22" i="18" s="1"/>
  <c r="H20" i="18"/>
  <c r="H24" i="18" s="1"/>
  <c r="AD20" i="18"/>
  <c r="AD25" i="18" s="1"/>
  <c r="W20" i="18"/>
  <c r="W23" i="18" s="1"/>
  <c r="AG20" i="18"/>
  <c r="AG21" i="18" s="1"/>
  <c r="AG22" i="18" s="1"/>
  <c r="C52" i="21"/>
  <c r="C53" i="21" s="1"/>
  <c r="EJ144" i="2"/>
  <c r="AC144" i="2"/>
  <c r="GX144" i="2"/>
  <c r="IO144" i="2"/>
  <c r="CE144" i="2"/>
  <c r="DK144" i="2"/>
  <c r="IP144" i="2"/>
  <c r="EF144" i="2"/>
  <c r="HM144" i="2"/>
  <c r="AO12" i="4"/>
  <c r="L25" i="18"/>
  <c r="L23" i="18"/>
  <c r="L21" i="18"/>
  <c r="L22" i="18" s="1"/>
  <c r="L24" i="18"/>
  <c r="C25" i="29"/>
  <c r="D13" i="30"/>
  <c r="C13" i="30" s="1"/>
  <c r="E17" i="2"/>
  <c r="F17" i="2" s="1"/>
  <c r="K222" i="2" s="1"/>
  <c r="M156" i="2"/>
  <c r="J160" i="2"/>
  <c r="B16" i="14"/>
  <c r="B18" i="14"/>
  <c r="B17" i="14"/>
  <c r="I160" i="2"/>
  <c r="K156" i="2"/>
  <c r="G12" i="30"/>
  <c r="K12" i="30"/>
  <c r="B29" i="14"/>
  <c r="B31" i="14"/>
  <c r="B30" i="14"/>
  <c r="CR149" i="2"/>
  <c r="EW149" i="2"/>
  <c r="FB149" i="2"/>
  <c r="FE149" i="2"/>
  <c r="IB149" i="2"/>
  <c r="IP149" i="2"/>
  <c r="HL149" i="2"/>
  <c r="FG149" i="2"/>
  <c r="IO149" i="2"/>
  <c r="HJ149" i="2"/>
  <c r="IR149" i="2"/>
  <c r="HO149" i="2"/>
  <c r="FJ149" i="2"/>
  <c r="AJ149" i="2"/>
  <c r="EZ149" i="2"/>
  <c r="BT149" i="2"/>
  <c r="CI149" i="2"/>
  <c r="HN149" i="2"/>
  <c r="IX149" i="2"/>
  <c r="HV149" i="2"/>
  <c r="IC149" i="2"/>
  <c r="FY149" i="2"/>
  <c r="IJ149" i="2"/>
  <c r="IE149" i="2"/>
  <c r="DI149" i="2"/>
  <c r="EA149" i="2"/>
  <c r="AO149" i="2"/>
  <c r="IY149" i="2"/>
  <c r="HS149" i="2"/>
  <c r="IH149" i="2"/>
  <c r="BH149" i="2"/>
  <c r="CT149" i="2"/>
  <c r="AA149" i="2"/>
  <c r="GA149" i="2"/>
  <c r="CM149" i="2"/>
  <c r="BW149" i="2"/>
  <c r="CO149" i="2"/>
  <c r="HG149" i="2"/>
  <c r="HC149" i="2"/>
  <c r="GX149" i="2"/>
  <c r="IM149" i="2"/>
  <c r="HH149" i="2"/>
  <c r="IT149" i="2"/>
  <c r="HZ149" i="2"/>
  <c r="BP149" i="2"/>
  <c r="FS149" i="2"/>
  <c r="GF149" i="2"/>
  <c r="FV149" i="2"/>
  <c r="CY149" i="2"/>
  <c r="BJ149" i="2"/>
  <c r="ID149" i="2"/>
  <c r="CG149" i="2"/>
  <c r="AM149" i="2"/>
  <c r="FK149" i="2"/>
  <c r="HE149" i="2"/>
  <c r="EV149" i="2"/>
  <c r="BZ149" i="2"/>
  <c r="DC149" i="2"/>
  <c r="IU149" i="2"/>
  <c r="DM149" i="2"/>
  <c r="CP149" i="2"/>
  <c r="IN149" i="2"/>
  <c r="GZ149" i="2"/>
  <c r="DR149" i="2"/>
  <c r="GK149" i="2"/>
  <c r="EB149" i="2"/>
  <c r="DP149" i="2"/>
  <c r="IW149" i="2"/>
  <c r="CD149" i="2"/>
  <c r="IQ149" i="2"/>
  <c r="DV149" i="2"/>
  <c r="AP149" i="2"/>
  <c r="GD149" i="2"/>
  <c r="EG149" i="2"/>
  <c r="GN149" i="2"/>
  <c r="II149" i="2"/>
  <c r="GB149" i="2"/>
  <c r="GE149" i="2"/>
  <c r="ER149" i="2"/>
  <c r="HY149" i="2"/>
  <c r="HX149" i="2"/>
  <c r="U149" i="2"/>
  <c r="BA149" i="2"/>
  <c r="IV149" i="2"/>
  <c r="DS149" i="2"/>
  <c r="HP149" i="2"/>
  <c r="FL149" i="2"/>
  <c r="FF149" i="2"/>
  <c r="HU149" i="2"/>
  <c r="BE149" i="2"/>
  <c r="EL149" i="2"/>
  <c r="IK149" i="2"/>
  <c r="FI149" i="2"/>
  <c r="HD149" i="2"/>
  <c r="EJ149" i="2"/>
  <c r="GL149" i="2"/>
  <c r="HA149" i="2"/>
  <c r="DY149" i="2"/>
  <c r="AF149" i="2"/>
  <c r="GI149" i="2"/>
  <c r="GO149" i="2"/>
  <c r="GT149" i="2"/>
  <c r="EC149" i="2"/>
  <c r="DX149" i="2"/>
  <c r="CJ149" i="2"/>
  <c r="GP149" i="2"/>
  <c r="HM149" i="2"/>
  <c r="GS149" i="2"/>
  <c r="EU149" i="2"/>
  <c r="EP149" i="2"/>
  <c r="GR149" i="2"/>
  <c r="IG149" i="2"/>
  <c r="EM149" i="2"/>
  <c r="BK149" i="2"/>
  <c r="AV149" i="2"/>
  <c r="DF149" i="2"/>
  <c r="HI149" i="2"/>
  <c r="FC149" i="2"/>
  <c r="DH149" i="2"/>
  <c r="FU149" i="2"/>
  <c r="BY149" i="2"/>
  <c r="CS149" i="2"/>
  <c r="ES149" i="2"/>
  <c r="GU149" i="2"/>
  <c r="FP149" i="2"/>
  <c r="N149" i="2"/>
  <c r="K11" i="30"/>
  <c r="G11" i="30"/>
  <c r="AO33" i="20"/>
  <c r="B81" i="20"/>
  <c r="GN147" i="2"/>
  <c r="FI147" i="2"/>
  <c r="ER147" i="2"/>
  <c r="BY147" i="2"/>
  <c r="GJ147" i="2"/>
  <c r="HG147" i="2"/>
  <c r="IF147" i="2"/>
  <c r="GF147" i="2"/>
  <c r="DG147" i="2"/>
  <c r="IB147" i="2"/>
  <c r="HP147" i="2"/>
  <c r="IW147" i="2"/>
  <c r="EW147" i="2"/>
  <c r="IY147" i="2"/>
  <c r="HX147" i="2"/>
  <c r="N147" i="2"/>
  <c r="FB147" i="2"/>
  <c r="GU147" i="2"/>
  <c r="EL147" i="2"/>
  <c r="IS147" i="2"/>
  <c r="IP147" i="2"/>
  <c r="FE147" i="2"/>
  <c r="AO147" i="2"/>
  <c r="DQ147" i="2"/>
  <c r="EK147" i="2"/>
  <c r="FK147" i="2"/>
  <c r="FA147" i="2"/>
  <c r="HK147" i="2"/>
  <c r="FH147" i="2"/>
  <c r="GT147" i="2"/>
  <c r="IO147" i="2"/>
  <c r="EQ147" i="2"/>
  <c r="CT147" i="2"/>
  <c r="HZ147" i="2"/>
  <c r="IM147" i="2"/>
  <c r="DZ147" i="2"/>
  <c r="GK147" i="2"/>
  <c r="BJ147" i="2"/>
  <c r="IJ147" i="2"/>
  <c r="EA147" i="2"/>
  <c r="CR147" i="2"/>
  <c r="CH147" i="2"/>
  <c r="BI147" i="2"/>
  <c r="GY147" i="2"/>
  <c r="FL147" i="2"/>
  <c r="IL147" i="2"/>
  <c r="HU147" i="2"/>
  <c r="AN147" i="2"/>
  <c r="GR147" i="2"/>
  <c r="DH147" i="2"/>
  <c r="HC147" i="2"/>
  <c r="IV147" i="2"/>
  <c r="FZ147" i="2"/>
  <c r="EU147" i="2"/>
  <c r="HI147" i="2"/>
  <c r="IR147" i="2"/>
  <c r="FG147" i="2"/>
  <c r="GP147" i="2"/>
  <c r="EC147" i="2"/>
  <c r="IG147" i="2"/>
  <c r="HF147" i="2"/>
  <c r="HB147" i="2"/>
  <c r="HL147" i="2"/>
  <c r="GC147" i="2"/>
  <c r="IK147" i="2"/>
  <c r="IQ147" i="2"/>
  <c r="DX147" i="2"/>
  <c r="GA147" i="2"/>
  <c r="FT147" i="2"/>
  <c r="HE147" i="2"/>
  <c r="GM147" i="2"/>
  <c r="GD147" i="2"/>
  <c r="IA147" i="2"/>
  <c r="DR147" i="2"/>
  <c r="GQ147" i="2"/>
  <c r="CO147" i="2"/>
  <c r="IE147" i="2"/>
  <c r="CI147" i="2"/>
  <c r="FU147" i="2"/>
  <c r="HT147" i="2"/>
  <c r="IT147" i="2"/>
  <c r="ET147" i="2"/>
  <c r="GZ147" i="2"/>
  <c r="CN147" i="2"/>
  <c r="CQ147" i="2"/>
  <c r="BX147" i="2"/>
  <c r="HO147" i="2"/>
  <c r="HW147" i="2"/>
  <c r="DW147" i="2"/>
  <c r="HN147" i="2"/>
  <c r="EN147" i="2"/>
  <c r="IX147" i="2"/>
  <c r="ID147" i="2"/>
  <c r="FD147" i="2"/>
  <c r="II147" i="2"/>
  <c r="HJ147" i="2"/>
  <c r="Y147" i="2"/>
  <c r="FW147" i="2"/>
  <c r="EX147" i="2"/>
  <c r="DD147" i="2"/>
  <c r="CE147" i="2"/>
  <c r="DT147" i="2"/>
  <c r="EE147" i="2"/>
  <c r="EH147" i="2"/>
  <c r="AT147" i="2"/>
  <c r="DA147" i="2"/>
  <c r="FN147" i="2"/>
  <c r="BN147" i="2"/>
  <c r="AD147" i="2"/>
  <c r="CW147" i="2"/>
  <c r="AH147" i="2"/>
  <c r="CB147" i="2"/>
  <c r="BR147" i="2"/>
  <c r="GG147" i="2"/>
  <c r="DK147" i="2"/>
  <c r="FQ147" i="2"/>
  <c r="BF147" i="2"/>
  <c r="BU147" i="2"/>
  <c r="HQ147" i="2"/>
  <c r="AY147" i="2"/>
  <c r="S147" i="2"/>
  <c r="AK147" i="2"/>
  <c r="CK147" i="2"/>
  <c r="BC147" i="2"/>
  <c r="DN147" i="2"/>
  <c r="GV147" i="2"/>
  <c r="BB145" i="2"/>
  <c r="FO145" i="2"/>
  <c r="IN145" i="2"/>
  <c r="IG145" i="2"/>
  <c r="GL145" i="2"/>
  <c r="BD145" i="2"/>
  <c r="BR145" i="2"/>
  <c r="IO145" i="2"/>
  <c r="HU145" i="2"/>
  <c r="DB145" i="2"/>
  <c r="CZ145" i="2"/>
  <c r="FJ145" i="2"/>
  <c r="HQ145" i="2"/>
  <c r="DY145" i="2"/>
  <c r="HF145" i="2"/>
  <c r="GT145" i="2"/>
  <c r="IF145" i="2"/>
  <c r="GK145" i="2"/>
  <c r="CP145" i="2"/>
  <c r="FP145" i="2"/>
  <c r="FH145" i="2"/>
  <c r="IR145" i="2"/>
  <c r="HV145" i="2"/>
  <c r="N145" i="2"/>
  <c r="ID145" i="2"/>
  <c r="IU145" i="2"/>
  <c r="CD145" i="2"/>
  <c r="BC145" i="2"/>
  <c r="CC145" i="2"/>
  <c r="GB145" i="2"/>
  <c r="GX145" i="2"/>
  <c r="GG145" i="2"/>
  <c r="HL145" i="2"/>
  <c r="FN145" i="2"/>
  <c r="DW145" i="2"/>
  <c r="ED145" i="2"/>
  <c r="FA145" i="2"/>
  <c r="GV145" i="2"/>
  <c r="IH145" i="2"/>
  <c r="HN145" i="2"/>
  <c r="GA145" i="2"/>
  <c r="FK145" i="2"/>
  <c r="EG145" i="2"/>
  <c r="IK145" i="2"/>
  <c r="DV145" i="2"/>
  <c r="IA145" i="2"/>
  <c r="EY145" i="2"/>
  <c r="DK145" i="2"/>
  <c r="FC145" i="2"/>
  <c r="BT145" i="2"/>
  <c r="FX145" i="2"/>
  <c r="IY145" i="2"/>
  <c r="IS145" i="2"/>
  <c r="DC145" i="2"/>
  <c r="HI145" i="2"/>
  <c r="GH145" i="2"/>
  <c r="EQ145" i="2"/>
  <c r="DX145" i="2"/>
  <c r="HM145" i="2"/>
  <c r="EZ145" i="2"/>
  <c r="GZ145" i="2"/>
  <c r="GW145" i="2"/>
  <c r="BQ145" i="2"/>
  <c r="GJ145" i="2"/>
  <c r="BS145" i="2"/>
  <c r="FY145" i="2"/>
  <c r="IQ145" i="2"/>
  <c r="ER145" i="2"/>
  <c r="HK145" i="2"/>
  <c r="CB145" i="2"/>
  <c r="II145" i="2"/>
  <c r="IC145" i="2"/>
  <c r="AH145" i="2"/>
  <c r="DL145" i="2"/>
  <c r="HH145" i="2"/>
  <c r="EP145" i="2"/>
  <c r="GI145" i="2"/>
  <c r="GY145" i="2"/>
  <c r="GR145" i="2"/>
  <c r="IL145" i="2"/>
  <c r="EF145" i="2"/>
  <c r="AJ145" i="2"/>
  <c r="DU145" i="2"/>
  <c r="FW145" i="2"/>
  <c r="HR145" i="2"/>
  <c r="AI145" i="2"/>
  <c r="AG145" i="2"/>
  <c r="EE145" i="2"/>
  <c r="CN145" i="2"/>
  <c r="GQ145" i="2"/>
  <c r="GS145" i="2"/>
  <c r="EO145" i="2"/>
  <c r="IX145" i="2"/>
  <c r="HG145" i="2"/>
  <c r="FM145" i="2"/>
  <c r="CK145" i="2"/>
  <c r="DT145" i="2"/>
  <c r="HT145" i="2"/>
  <c r="IV145" i="2"/>
  <c r="EN145" i="2"/>
  <c r="HA145" i="2"/>
  <c r="BE145" i="2"/>
  <c r="IB145" i="2"/>
  <c r="CO145" i="2"/>
  <c r="DA145" i="2"/>
  <c r="IM145" i="2"/>
  <c r="IT145" i="2"/>
  <c r="DM145" i="2"/>
  <c r="DJ145" i="2"/>
  <c r="CL145" i="2"/>
  <c r="HS145" i="2"/>
  <c r="FI145" i="2"/>
  <c r="ES145" i="2"/>
  <c r="CM145" i="2"/>
  <c r="EX145" i="2"/>
  <c r="FZ145" i="2"/>
  <c r="CA145" i="2"/>
  <c r="FB145" i="2"/>
  <c r="HP145" i="2"/>
  <c r="Q145" i="2"/>
  <c r="BL145" i="2"/>
  <c r="W145" i="2"/>
  <c r="CU145" i="2"/>
  <c r="AW145" i="2"/>
  <c r="AR145" i="2"/>
  <c r="AB145" i="2"/>
  <c r="AO160" i="2"/>
  <c r="CO160" i="2"/>
  <c r="AH160" i="2"/>
  <c r="AJ160" i="2"/>
  <c r="HU144" i="2" l="1"/>
  <c r="FC144" i="2"/>
  <c r="IN144" i="2"/>
  <c r="GM144" i="2"/>
  <c r="CJ144" i="2"/>
  <c r="EK144" i="2"/>
  <c r="FQ144" i="2"/>
  <c r="HZ144" i="2"/>
  <c r="CB144" i="2"/>
  <c r="IU144" i="2"/>
  <c r="CH144" i="2"/>
  <c r="GH144" i="2"/>
  <c r="IT144" i="2"/>
  <c r="FF144" i="2"/>
  <c r="BN144" i="2"/>
  <c r="IH144" i="2"/>
  <c r="HN144" i="2"/>
  <c r="FN144" i="2"/>
  <c r="CI144" i="2"/>
  <c r="GP144" i="2"/>
  <c r="EL144" i="2"/>
  <c r="CC144" i="2"/>
  <c r="AX144" i="2"/>
  <c r="IL144" i="2"/>
  <c r="IF144" i="2"/>
  <c r="HC144" i="2"/>
  <c r="FS144" i="2"/>
  <c r="GV144" i="2"/>
  <c r="FM144" i="2"/>
  <c r="IS144" i="2"/>
  <c r="BL144" i="2"/>
  <c r="HD144" i="2"/>
  <c r="FG144" i="2"/>
  <c r="CA144" i="2"/>
  <c r="DO144" i="2"/>
  <c r="DP144" i="2"/>
  <c r="FR144" i="2"/>
  <c r="ED144" i="2"/>
  <c r="P144" i="2"/>
  <c r="GN144" i="2"/>
  <c r="HS144" i="2"/>
  <c r="GK144" i="2"/>
  <c r="AZ144" i="2"/>
  <c r="BA144" i="2"/>
  <c r="IG144" i="2"/>
  <c r="HK144" i="2"/>
  <c r="CW144" i="2"/>
  <c r="CV144" i="2"/>
  <c r="HQ144" i="2"/>
  <c r="GZ144" i="2"/>
  <c r="FD144" i="2"/>
  <c r="DM144" i="2"/>
  <c r="FV144" i="2"/>
  <c r="HO144" i="2"/>
  <c r="V144" i="2"/>
  <c r="FP144" i="2"/>
  <c r="N144" i="2"/>
  <c r="HB144" i="2"/>
  <c r="FO144" i="2"/>
  <c r="AB144" i="2"/>
  <c r="AW144" i="2"/>
  <c r="EE144" i="2"/>
  <c r="GO144" i="2"/>
  <c r="IJ144" i="2"/>
  <c r="DN144" i="2"/>
  <c r="FT144" i="2"/>
  <c r="HR144" i="2"/>
  <c r="IM144" i="2"/>
  <c r="DQ144" i="2"/>
  <c r="CG144" i="2"/>
  <c r="AE144" i="2"/>
  <c r="DS144" i="2"/>
  <c r="GI144" i="2"/>
  <c r="EI144" i="2"/>
  <c r="AY144" i="2"/>
  <c r="FU144" i="2"/>
  <c r="II144" i="2"/>
  <c r="BM144" i="2"/>
  <c r="BP144" i="2"/>
  <c r="HA144" i="2"/>
  <c r="DR144" i="2"/>
  <c r="EY144" i="2"/>
  <c r="IV144" i="2"/>
  <c r="GL144" i="2"/>
  <c r="AF144" i="2"/>
  <c r="CX144" i="2"/>
  <c r="DJ144" i="2"/>
  <c r="AD144" i="2"/>
  <c r="FA144" i="2"/>
  <c r="HV144" i="2"/>
  <c r="IR144" i="2"/>
  <c r="GJ144" i="2"/>
  <c r="HL144" i="2"/>
  <c r="EH144" i="2"/>
  <c r="IY144" i="2"/>
  <c r="CD144" i="2"/>
  <c r="DL144" i="2"/>
  <c r="FB144" i="2"/>
  <c r="CY144" i="2"/>
  <c r="GG144" i="2"/>
  <c r="CU144" i="2"/>
  <c r="AQ144" i="2"/>
  <c r="EX144" i="2"/>
  <c r="HT144" i="2"/>
  <c r="EG144" i="2"/>
  <c r="HX144" i="2"/>
  <c r="IW144" i="2"/>
  <c r="HY144" i="2"/>
  <c r="HW144" i="2"/>
  <c r="BO144" i="2"/>
  <c r="EZ144" i="2"/>
  <c r="HE144" i="2"/>
  <c r="CF144" i="2"/>
  <c r="GY144" i="2"/>
  <c r="EM144" i="2"/>
  <c r="GW144" i="2"/>
  <c r="M221" i="2"/>
  <c r="M225" i="2"/>
  <c r="M243" i="2" s="1"/>
  <c r="M222" i="2"/>
  <c r="C41" i="5"/>
  <c r="C42" i="5" s="1"/>
  <c r="C50" i="5" s="1"/>
  <c r="C29" i="5"/>
  <c r="C43" i="5"/>
  <c r="C47" i="5"/>
  <c r="C51" i="5" s="1"/>
  <c r="AO8" i="4"/>
  <c r="N146" i="2"/>
  <c r="N26" i="3"/>
  <c r="N27" i="3" s="1"/>
  <c r="N29" i="3" s="1"/>
  <c r="C26" i="3"/>
  <c r="C27" i="3" s="1"/>
  <c r="C29" i="3" s="1"/>
  <c r="J26" i="3"/>
  <c r="J27" i="3" s="1"/>
  <c r="J29" i="3" s="1"/>
  <c r="AG26" i="3"/>
  <c r="AG27" i="3" s="1"/>
  <c r="AG29" i="3" s="1"/>
  <c r="E26" i="3"/>
  <c r="E27" i="3" s="1"/>
  <c r="E29" i="3" s="1"/>
  <c r="L26" i="3"/>
  <c r="L27" i="3" s="1"/>
  <c r="L29" i="3" s="1"/>
  <c r="S26" i="3"/>
  <c r="S27" i="3" s="1"/>
  <c r="S29" i="3" s="1"/>
  <c r="AP41" i="12"/>
  <c r="B13" i="2" s="1"/>
  <c r="AP40" i="12"/>
  <c r="C88" i="13" s="1"/>
  <c r="K225" i="2"/>
  <c r="K221" i="2"/>
  <c r="K152" i="2"/>
  <c r="IA142" i="2" s="1"/>
  <c r="F10" i="2"/>
  <c r="X127" i="13"/>
  <c r="C83" i="5"/>
  <c r="L243" i="2"/>
  <c r="B58" i="12"/>
  <c r="AO56" i="12"/>
  <c r="AP56" i="12" s="1"/>
  <c r="C13" i="2" s="1"/>
  <c r="B45" i="12"/>
  <c r="B37" i="17"/>
  <c r="B38" i="17"/>
  <c r="B34" i="17"/>
  <c r="B35" i="17" s="1"/>
  <c r="X237" i="13"/>
  <c r="X220" i="13"/>
  <c r="X140" i="13"/>
  <c r="X219" i="13" s="1"/>
  <c r="X142" i="13"/>
  <c r="X236" i="13" s="1"/>
  <c r="B92" i="20"/>
  <c r="AO92" i="20" s="1"/>
  <c r="B96" i="20"/>
  <c r="AO96" i="20" s="1"/>
  <c r="B82" i="20"/>
  <c r="B44" i="20" s="1"/>
  <c r="AO90" i="20"/>
  <c r="C41" i="21"/>
  <c r="C42" i="21"/>
  <c r="AF23" i="18"/>
  <c r="AF21" i="18"/>
  <c r="AF22" i="18" s="1"/>
  <c r="AF24" i="18"/>
  <c r="AL25" i="18"/>
  <c r="U21" i="18"/>
  <c r="U22" i="18" s="1"/>
  <c r="C24" i="18"/>
  <c r="U23" i="18"/>
  <c r="U25" i="18"/>
  <c r="S23" i="18"/>
  <c r="AL21" i="18"/>
  <c r="AL22" i="18" s="1"/>
  <c r="AL23" i="18"/>
  <c r="D160" i="2"/>
  <c r="D8" i="26" s="1"/>
  <c r="AE24" i="18"/>
  <c r="X21" i="18"/>
  <c r="X22" i="18" s="1"/>
  <c r="AE25" i="18"/>
  <c r="Q24" i="18"/>
  <c r="G23" i="18"/>
  <c r="Q21" i="18"/>
  <c r="Q22" i="18" s="1"/>
  <c r="H21" i="18"/>
  <c r="H22" i="18" s="1"/>
  <c r="H23" i="18"/>
  <c r="S24" i="18"/>
  <c r="H25" i="18"/>
  <c r="S25" i="18"/>
  <c r="AE21" i="18"/>
  <c r="AE22" i="18" s="1"/>
  <c r="X24" i="18"/>
  <c r="F21" i="18"/>
  <c r="F22" i="18" s="1"/>
  <c r="AD24" i="18"/>
  <c r="X25" i="18"/>
  <c r="K6" i="30"/>
  <c r="Z25" i="18"/>
  <c r="Q23" i="18"/>
  <c r="AD21" i="18"/>
  <c r="AD22" i="18" s="1"/>
  <c r="E23" i="18"/>
  <c r="G21" i="18"/>
  <c r="G22" i="18" s="1"/>
  <c r="Y21" i="18"/>
  <c r="Y22" i="18" s="1"/>
  <c r="AG23" i="18"/>
  <c r="AD23" i="18"/>
  <c r="Y23" i="18"/>
  <c r="AH24" i="18"/>
  <c r="Y25" i="18"/>
  <c r="Z21" i="18"/>
  <c r="Z22" i="18" s="1"/>
  <c r="E24" i="18"/>
  <c r="Z23" i="18"/>
  <c r="W24" i="18"/>
  <c r="AM24" i="18"/>
  <c r="E25" i="18"/>
  <c r="AJ21" i="18"/>
  <c r="AJ22" i="18" s="1"/>
  <c r="AJ23" i="18"/>
  <c r="G24" i="18"/>
  <c r="AH21" i="18"/>
  <c r="AH22" i="18" s="1"/>
  <c r="AN25" i="18"/>
  <c r="V25" i="18"/>
  <c r="AH25" i="18"/>
  <c r="K21" i="18"/>
  <c r="K22" i="18" s="1"/>
  <c r="N24" i="18"/>
  <c r="AI24" i="18"/>
  <c r="V23" i="18"/>
  <c r="T24" i="18"/>
  <c r="P24" i="18"/>
  <c r="AG25" i="18"/>
  <c r="AI25" i="18"/>
  <c r="AJ25" i="18"/>
  <c r="T25" i="18"/>
  <c r="AM21" i="18"/>
  <c r="AM22" i="18" s="1"/>
  <c r="M23" i="18"/>
  <c r="AK24" i="18"/>
  <c r="AM25" i="18"/>
  <c r="AB23" i="18"/>
  <c r="AN21" i="18"/>
  <c r="AN22" i="18" s="1"/>
  <c r="AC25" i="18"/>
  <c r="AK21" i="18"/>
  <c r="AK22" i="18" s="1"/>
  <c r="AK23" i="18"/>
  <c r="V21" i="18"/>
  <c r="V22" i="18" s="1"/>
  <c r="P21" i="18"/>
  <c r="P22" i="18" s="1"/>
  <c r="AN24" i="18"/>
  <c r="K25" i="18"/>
  <c r="N23" i="18"/>
  <c r="C23" i="18"/>
  <c r="T21" i="18"/>
  <c r="T22" i="18" s="1"/>
  <c r="K23" i="18"/>
  <c r="C25" i="18"/>
  <c r="I21" i="18"/>
  <c r="I22" i="18" s="1"/>
  <c r="AC21" i="18"/>
  <c r="AC22" i="18" s="1"/>
  <c r="I24" i="18"/>
  <c r="AA24" i="18"/>
  <c r="AA23" i="18"/>
  <c r="I23" i="18"/>
  <c r="AG24" i="18"/>
  <c r="AC24" i="18"/>
  <c r="N25" i="18"/>
  <c r="AA21" i="18"/>
  <c r="AA22" i="18" s="1"/>
  <c r="J25" i="18"/>
  <c r="D24" i="18"/>
  <c r="D23" i="18"/>
  <c r="P25" i="18"/>
  <c r="AI21" i="18"/>
  <c r="AI22" i="18" s="1"/>
  <c r="D21" i="18"/>
  <c r="D22" i="18" s="1"/>
  <c r="M24" i="18"/>
  <c r="W21" i="18"/>
  <c r="W22" i="18" s="1"/>
  <c r="AB21" i="18"/>
  <c r="AB22" i="18" s="1"/>
  <c r="F24" i="18"/>
  <c r="O21" i="18"/>
  <c r="O22" i="18" s="1"/>
  <c r="R21" i="18"/>
  <c r="R22" i="18" s="1"/>
  <c r="R24" i="18"/>
  <c r="M21" i="18"/>
  <c r="M22" i="18" s="1"/>
  <c r="W25" i="18"/>
  <c r="AB24" i="18"/>
  <c r="F23" i="18"/>
  <c r="O23" i="18"/>
  <c r="R25" i="18"/>
  <c r="J24" i="18"/>
  <c r="J23" i="18"/>
  <c r="O24" i="18"/>
  <c r="B19" i="14"/>
  <c r="B20" i="14" s="1"/>
  <c r="B7" i="4" s="1"/>
  <c r="B32" i="14"/>
  <c r="B33" i="14" s="1"/>
  <c r="B21" i="4" s="1"/>
  <c r="L26" i="18"/>
  <c r="L27" i="18" s="1"/>
  <c r="K160" i="2"/>
  <c r="K153" i="2"/>
  <c r="N143" i="2" s="1"/>
  <c r="G13" i="30"/>
  <c r="K13" i="30"/>
  <c r="E224" i="2"/>
  <c r="E239" i="2"/>
  <c r="J243" i="2"/>
  <c r="GM146" i="2"/>
  <c r="IY146" i="2"/>
  <c r="DN146" i="2"/>
  <c r="GO146" i="2"/>
  <c r="HQ146" i="2"/>
  <c r="BH146" i="2"/>
  <c r="CS146" i="2"/>
  <c r="HS146" i="2"/>
  <c r="GN146" i="2"/>
  <c r="FF146" i="2"/>
  <c r="HH146" i="2"/>
  <c r="BU146" i="2"/>
  <c r="FS146" i="2"/>
  <c r="HO146" i="2"/>
  <c r="HG146" i="2"/>
  <c r="FE146" i="2"/>
  <c r="HW146" i="2"/>
  <c r="IG146" i="2"/>
  <c r="GC146" i="2"/>
  <c r="IH146" i="2"/>
  <c r="EB146" i="2"/>
  <c r="GV146" i="2"/>
  <c r="CF146" i="2"/>
  <c r="CM146" i="2"/>
  <c r="HF146" i="2"/>
  <c r="HM146" i="2"/>
  <c r="IQ146" i="2"/>
  <c r="HL146" i="2"/>
  <c r="EH146" i="2"/>
  <c r="IC146" i="2"/>
  <c r="FW146" i="2"/>
  <c r="IJ146" i="2"/>
  <c r="FR146" i="2"/>
  <c r="CQ146" i="2"/>
  <c r="EY146" i="2"/>
  <c r="FD146" i="2"/>
  <c r="GS146" i="2"/>
  <c r="IN146" i="2"/>
  <c r="FL146" i="2"/>
  <c r="GH146" i="2"/>
  <c r="IT146" i="2"/>
  <c r="DE146" i="2"/>
  <c r="HY146" i="2"/>
  <c r="IP146" i="2"/>
  <c r="EP146" i="2"/>
  <c r="HX146" i="2"/>
  <c r="FJ146" i="2"/>
  <c r="BW146" i="2"/>
  <c r="IF146" i="2"/>
  <c r="IB146" i="2"/>
  <c r="IU146" i="2"/>
  <c r="ET146" i="2"/>
  <c r="AL146" i="2"/>
  <c r="CR146" i="2"/>
  <c r="FQ146" i="2"/>
  <c r="FX146" i="2"/>
  <c r="GR146" i="2"/>
  <c r="EO146" i="2"/>
  <c r="FI146" i="2"/>
  <c r="GG146" i="2"/>
  <c r="IM146" i="2"/>
  <c r="DF146" i="2"/>
  <c r="CK146" i="2"/>
  <c r="DP146" i="2"/>
  <c r="EV146" i="2"/>
  <c r="BF146" i="2"/>
  <c r="EN146" i="2"/>
  <c r="IS146" i="2"/>
  <c r="DO146" i="2"/>
  <c r="HR146" i="2"/>
  <c r="FY146" i="2"/>
  <c r="DD146" i="2"/>
  <c r="CG146" i="2"/>
  <c r="DT146" i="2"/>
  <c r="BG146" i="2"/>
  <c r="GI146" i="2"/>
  <c r="IE146" i="2"/>
  <c r="DU146" i="2"/>
  <c r="GQ146" i="2"/>
  <c r="EI146" i="2"/>
  <c r="IW146" i="2"/>
  <c r="GD146" i="2"/>
  <c r="GX146" i="2"/>
  <c r="GU146" i="2"/>
  <c r="HJ146" i="2"/>
  <c r="IX146" i="2"/>
  <c r="GW146" i="2"/>
  <c r="HC146" i="2"/>
  <c r="GE146" i="2"/>
  <c r="DV146" i="2"/>
  <c r="IR146" i="2"/>
  <c r="HP146" i="2"/>
  <c r="HB146" i="2"/>
  <c r="FH146" i="2"/>
  <c r="HK146" i="2"/>
  <c r="EZ146" i="2"/>
  <c r="EU146" i="2"/>
  <c r="EJ146" i="2"/>
  <c r="CL146" i="2"/>
  <c r="IL146" i="2"/>
  <c r="IA146" i="2"/>
  <c r="CE146" i="2"/>
  <c r="DZ146" i="2"/>
  <c r="AK146" i="2"/>
  <c r="EA146" i="2"/>
  <c r="BV146" i="2"/>
  <c r="IK146" i="2"/>
  <c r="AM146" i="2"/>
  <c r="EX146" i="2"/>
  <c r="HD146" i="2"/>
  <c r="AG146" i="2"/>
  <c r="AC146" i="2"/>
  <c r="R146" i="2"/>
  <c r="DJ146" i="2"/>
  <c r="AX146" i="2"/>
  <c r="CV146" i="2"/>
  <c r="BQ146" i="2"/>
  <c r="FM146" i="2"/>
  <c r="BB146" i="2"/>
  <c r="CZ146" i="2"/>
  <c r="AS146" i="2"/>
  <c r="BM146" i="2"/>
  <c r="CA146" i="2"/>
  <c r="ED146" i="2"/>
  <c r="X146" i="2"/>
  <c r="CR160" i="2"/>
  <c r="CI160" i="2"/>
  <c r="FI160" i="2"/>
  <c r="AF160" i="2"/>
  <c r="CD160" i="2"/>
  <c r="AB160" i="2"/>
  <c r="AG160" i="2"/>
  <c r="AD160" i="2"/>
  <c r="AC160" i="2"/>
  <c r="CA160" i="2"/>
  <c r="CK160" i="2"/>
  <c r="EZ160" i="2"/>
  <c r="CM160" i="2"/>
  <c r="AK160" i="2"/>
  <c r="CE160" i="2"/>
  <c r="FB160" i="2"/>
  <c r="HL160" i="2"/>
  <c r="CB160" i="2"/>
  <c r="FE160" i="2"/>
  <c r="EX160" i="2"/>
  <c r="AM160" i="2"/>
  <c r="CG160" i="2"/>
  <c r="G27" i="4" l="1"/>
  <c r="G40" i="4" s="1"/>
  <c r="G41" i="3" s="1"/>
  <c r="AK26" i="4"/>
  <c r="AK25" i="4"/>
  <c r="AK38" i="4" s="1"/>
  <c r="AK39" i="3" s="1"/>
  <c r="D26" i="4"/>
  <c r="D39" i="4" s="1"/>
  <c r="D40" i="3" s="1"/>
  <c r="C27" i="4"/>
  <c r="C40" i="4" s="1"/>
  <c r="C41" i="3" s="1"/>
  <c r="S27" i="4"/>
  <c r="S40" i="4" s="1"/>
  <c r="S41" i="3" s="1"/>
  <c r="U27" i="4"/>
  <c r="U40" i="4" s="1"/>
  <c r="U41" i="3" s="1"/>
  <c r="J24" i="4"/>
  <c r="J37" i="4" s="1"/>
  <c r="J38" i="3" s="1"/>
  <c r="D27" i="4"/>
  <c r="C26" i="4"/>
  <c r="C39" i="4" s="1"/>
  <c r="C40" i="3" s="1"/>
  <c r="S26" i="4"/>
  <c r="S39" i="4" s="1"/>
  <c r="S40" i="3" s="1"/>
  <c r="U26" i="4"/>
  <c r="U39" i="4" s="1"/>
  <c r="U40" i="3" s="1"/>
  <c r="K24" i="4"/>
  <c r="K37" i="4" s="1"/>
  <c r="K38" i="3" s="1"/>
  <c r="AG25" i="4"/>
  <c r="AG38" i="4" s="1"/>
  <c r="AG39" i="3" s="1"/>
  <c r="AC25" i="4"/>
  <c r="AC38" i="4" s="1"/>
  <c r="AC39" i="3" s="1"/>
  <c r="V25" i="4"/>
  <c r="V38" i="4" s="1"/>
  <c r="V39" i="3" s="1"/>
  <c r="AH25" i="4"/>
  <c r="AH38" i="4" s="1"/>
  <c r="AH39" i="3" s="1"/>
  <c r="AC24" i="4"/>
  <c r="AC37" i="4" s="1"/>
  <c r="AC38" i="3" s="1"/>
  <c r="I27" i="4"/>
  <c r="I40" i="4" s="1"/>
  <c r="I41" i="3" s="1"/>
  <c r="M27" i="4"/>
  <c r="M40" i="4" s="1"/>
  <c r="M41" i="3" s="1"/>
  <c r="H27" i="4"/>
  <c r="H40" i="4" s="1"/>
  <c r="H41" i="3" s="1"/>
  <c r="AJ27" i="4"/>
  <c r="AJ40" i="4" s="1"/>
  <c r="AJ41" i="3" s="1"/>
  <c r="AI26" i="4"/>
  <c r="AI39" i="4" s="1"/>
  <c r="AI40" i="3" s="1"/>
  <c r="I26" i="4"/>
  <c r="I39" i="4" s="1"/>
  <c r="I40" i="3" s="1"/>
  <c r="M26" i="4"/>
  <c r="M39" i="4" s="1"/>
  <c r="M40" i="3" s="1"/>
  <c r="H26" i="4"/>
  <c r="H39" i="4" s="1"/>
  <c r="H40" i="3" s="1"/>
  <c r="AJ26" i="4"/>
  <c r="AJ39" i="4" s="1"/>
  <c r="AJ40" i="3" s="1"/>
  <c r="AI27" i="4"/>
  <c r="AI40" i="4" s="1"/>
  <c r="AI41" i="3" s="1"/>
  <c r="I25" i="4"/>
  <c r="M25" i="4"/>
  <c r="M38" i="4" s="1"/>
  <c r="M39" i="3" s="1"/>
  <c r="H25" i="4"/>
  <c r="H38" i="4" s="1"/>
  <c r="H39" i="3" s="1"/>
  <c r="AJ25" i="4"/>
  <c r="AJ38" i="4" s="1"/>
  <c r="AJ39" i="3" s="1"/>
  <c r="AI25" i="4"/>
  <c r="AI38" i="4" s="1"/>
  <c r="AI39" i="3" s="1"/>
  <c r="I24" i="4"/>
  <c r="I37" i="4" s="1"/>
  <c r="I38" i="3" s="1"/>
  <c r="M24" i="4"/>
  <c r="M37" i="4" s="1"/>
  <c r="M38" i="3" s="1"/>
  <c r="H24" i="4"/>
  <c r="H37" i="4" s="1"/>
  <c r="H38" i="3" s="1"/>
  <c r="AJ24" i="4"/>
  <c r="AJ37" i="4" s="1"/>
  <c r="AJ38" i="3" s="1"/>
  <c r="AI24" i="4"/>
  <c r="AI37" i="4" s="1"/>
  <c r="AI38" i="3" s="1"/>
  <c r="AN25" i="4"/>
  <c r="AN38" i="4" s="1"/>
  <c r="AN39" i="3" s="1"/>
  <c r="AM25" i="4"/>
  <c r="AM38" i="4" s="1"/>
  <c r="AM39" i="3" s="1"/>
  <c r="T24" i="4"/>
  <c r="T37" i="4" s="1"/>
  <c r="T38" i="3" s="1"/>
  <c r="AL24" i="4"/>
  <c r="AL37" i="4" s="1"/>
  <c r="AL38" i="3" s="1"/>
  <c r="L24" i="4"/>
  <c r="L37" i="4" s="1"/>
  <c r="L38" i="3" s="1"/>
  <c r="AN24" i="4"/>
  <c r="AN37" i="4" s="1"/>
  <c r="AN38" i="3" s="1"/>
  <c r="AM24" i="4"/>
  <c r="AM37" i="4" s="1"/>
  <c r="AM38" i="3" s="1"/>
  <c r="G24" i="4"/>
  <c r="G37" i="4" s="1"/>
  <c r="G38" i="3" s="1"/>
  <c r="N24" i="4"/>
  <c r="N37" i="4" s="1"/>
  <c r="N38" i="3" s="1"/>
  <c r="P27" i="4"/>
  <c r="P40" i="4" s="1"/>
  <c r="P41" i="3" s="1"/>
  <c r="W26" i="4"/>
  <c r="W39" i="4" s="1"/>
  <c r="W40" i="3" s="1"/>
  <c r="K26" i="4"/>
  <c r="K39" i="4" s="1"/>
  <c r="K40" i="3" s="1"/>
  <c r="P24" i="4"/>
  <c r="P37" i="4" s="1"/>
  <c r="P38" i="3" s="1"/>
  <c r="F24" i="4"/>
  <c r="F37" i="4" s="1"/>
  <c r="F38" i="3" s="1"/>
  <c r="P26" i="4"/>
  <c r="P39" i="4" s="1"/>
  <c r="P40" i="3" s="1"/>
  <c r="K27" i="4"/>
  <c r="K40" i="4" s="1"/>
  <c r="K41" i="3" s="1"/>
  <c r="R25" i="4"/>
  <c r="R38" i="4" s="1"/>
  <c r="R39" i="3" s="1"/>
  <c r="AB25" i="4"/>
  <c r="AB38" i="4" s="1"/>
  <c r="AB39" i="3" s="1"/>
  <c r="F25" i="4"/>
  <c r="F38" i="4" s="1"/>
  <c r="F39" i="3" s="1"/>
  <c r="U24" i="4"/>
  <c r="U37" i="4" s="1"/>
  <c r="U38" i="3" s="1"/>
  <c r="Z27" i="4"/>
  <c r="Z40" i="4" s="1"/>
  <c r="Z41" i="3" s="1"/>
  <c r="E26" i="4"/>
  <c r="E39" i="4" s="1"/>
  <c r="E40" i="3" s="1"/>
  <c r="Q27" i="4"/>
  <c r="Q40" i="4" s="1"/>
  <c r="Q41" i="3" s="1"/>
  <c r="AA27" i="4"/>
  <c r="AA40" i="4" s="1"/>
  <c r="AA41" i="3" s="1"/>
  <c r="X26" i="4"/>
  <c r="X39" i="4" s="1"/>
  <c r="X40" i="3" s="1"/>
  <c r="Q25" i="4"/>
  <c r="Q38" i="4" s="1"/>
  <c r="Q39" i="3" s="1"/>
  <c r="AA25" i="4"/>
  <c r="AA38" i="4" s="1"/>
  <c r="AA39" i="3" s="1"/>
  <c r="X25" i="4"/>
  <c r="X38" i="4" s="1"/>
  <c r="X39" i="3" s="1"/>
  <c r="AA24" i="4"/>
  <c r="AA37" i="4" s="1"/>
  <c r="AA38" i="3" s="1"/>
  <c r="E24" i="4"/>
  <c r="E37" i="4" s="1"/>
  <c r="E38" i="3" s="1"/>
  <c r="X24" i="4"/>
  <c r="X37" i="4" s="1"/>
  <c r="X38" i="3" s="1"/>
  <c r="G26" i="4"/>
  <c r="G39" i="4" s="1"/>
  <c r="G40" i="3" s="1"/>
  <c r="N26" i="4"/>
  <c r="N39" i="4" s="1"/>
  <c r="N40" i="3" s="1"/>
  <c r="N25" i="4"/>
  <c r="N38" i="4" s="1"/>
  <c r="N39" i="3" s="1"/>
  <c r="R27" i="4"/>
  <c r="R40" i="4" s="1"/>
  <c r="R41" i="3" s="1"/>
  <c r="J26" i="4"/>
  <c r="J39" i="4" s="1"/>
  <c r="J40" i="3" s="1"/>
  <c r="AB27" i="4"/>
  <c r="AB40" i="4" s="1"/>
  <c r="AB41" i="3" s="1"/>
  <c r="F27" i="4"/>
  <c r="F40" i="4" s="1"/>
  <c r="F41" i="3" s="1"/>
  <c r="W24" i="4"/>
  <c r="W37" i="4" s="1"/>
  <c r="W38" i="3" s="1"/>
  <c r="R26" i="4"/>
  <c r="R39" i="4" s="1"/>
  <c r="R40" i="3" s="1"/>
  <c r="J27" i="4"/>
  <c r="J40" i="4" s="1"/>
  <c r="J41" i="3" s="1"/>
  <c r="AB26" i="4"/>
  <c r="AB39" i="4" s="1"/>
  <c r="AB40" i="3" s="1"/>
  <c r="F26" i="4"/>
  <c r="F39" i="4" s="1"/>
  <c r="F40" i="3" s="1"/>
  <c r="AH24" i="4"/>
  <c r="AH37" i="4" s="1"/>
  <c r="AH38" i="3" s="1"/>
  <c r="P25" i="4"/>
  <c r="P38" i="4" s="1"/>
  <c r="P39" i="3" s="1"/>
  <c r="W25" i="4"/>
  <c r="W38" i="4" s="1"/>
  <c r="W39" i="3" s="1"/>
  <c r="K25" i="4"/>
  <c r="K38" i="4" s="1"/>
  <c r="K39" i="3" s="1"/>
  <c r="D24" i="4"/>
  <c r="D37" i="4" s="1"/>
  <c r="D38" i="3" s="1"/>
  <c r="S24" i="4"/>
  <c r="S37" i="4" s="1"/>
  <c r="S38" i="3" s="1"/>
  <c r="O27" i="4"/>
  <c r="O40" i="4" s="1"/>
  <c r="O41" i="3" s="1"/>
  <c r="AE26" i="4"/>
  <c r="Y26" i="4"/>
  <c r="Y39" i="4" s="1"/>
  <c r="Y40" i="3" s="1"/>
  <c r="AD27" i="4"/>
  <c r="AD40" i="4" s="1"/>
  <c r="AD41" i="3" s="1"/>
  <c r="AF26" i="4"/>
  <c r="AF39" i="4" s="1"/>
  <c r="AF40" i="3" s="1"/>
  <c r="O26" i="4"/>
  <c r="O39" i="4" s="1"/>
  <c r="O40" i="3" s="1"/>
  <c r="AE27" i="4"/>
  <c r="AE40" i="4" s="1"/>
  <c r="AE41" i="3" s="1"/>
  <c r="Y27" i="4"/>
  <c r="Y40" i="4" s="1"/>
  <c r="Y41" i="3" s="1"/>
  <c r="AD26" i="4"/>
  <c r="AD39" i="4" s="1"/>
  <c r="AD40" i="3" s="1"/>
  <c r="AF27" i="4"/>
  <c r="AF40" i="4" s="1"/>
  <c r="AF41" i="3" s="1"/>
  <c r="O25" i="4"/>
  <c r="O38" i="4" s="1"/>
  <c r="O39" i="3" s="1"/>
  <c r="AE25" i="4"/>
  <c r="AE38" i="4" s="1"/>
  <c r="AE39" i="3" s="1"/>
  <c r="Y25" i="4"/>
  <c r="Y38" i="4" s="1"/>
  <c r="Y39" i="3" s="1"/>
  <c r="AD25" i="4"/>
  <c r="AD38" i="4" s="1"/>
  <c r="AD39" i="3" s="1"/>
  <c r="AF25" i="4"/>
  <c r="AF38" i="4" s="1"/>
  <c r="AF39" i="3" s="1"/>
  <c r="O24" i="4"/>
  <c r="O37" i="4" s="1"/>
  <c r="O38" i="3" s="1"/>
  <c r="AE24" i="4"/>
  <c r="AE37" i="4" s="1"/>
  <c r="AE38" i="3" s="1"/>
  <c r="Y24" i="4"/>
  <c r="Y37" i="4" s="1"/>
  <c r="Y38" i="3" s="1"/>
  <c r="AD24" i="4"/>
  <c r="AD37" i="4" s="1"/>
  <c r="AD38" i="3" s="1"/>
  <c r="AF24" i="4"/>
  <c r="AF37" i="4" s="1"/>
  <c r="AF38" i="3" s="1"/>
  <c r="G25" i="4"/>
  <c r="G38" i="4" s="1"/>
  <c r="G39" i="3" s="1"/>
  <c r="AK27" i="4"/>
  <c r="AK40" i="4" s="1"/>
  <c r="AK41" i="3" s="1"/>
  <c r="AK24" i="4"/>
  <c r="AK37" i="4" s="1"/>
  <c r="AK38" i="3" s="1"/>
  <c r="AG27" i="4"/>
  <c r="AG40" i="4" s="1"/>
  <c r="AG41" i="3" s="1"/>
  <c r="AC26" i="4"/>
  <c r="AC39" i="4" s="1"/>
  <c r="AC40" i="3" s="1"/>
  <c r="V27" i="4"/>
  <c r="V40" i="4" s="1"/>
  <c r="V41" i="3" s="1"/>
  <c r="AH27" i="4"/>
  <c r="AH40" i="4" s="1"/>
  <c r="AH41" i="3" s="1"/>
  <c r="V24" i="4"/>
  <c r="V37" i="4" s="1"/>
  <c r="V38" i="3" s="1"/>
  <c r="AG26" i="4"/>
  <c r="AG39" i="4" s="1"/>
  <c r="AG40" i="3" s="1"/>
  <c r="AC27" i="4"/>
  <c r="AC40" i="4" s="1"/>
  <c r="AC41" i="3" s="1"/>
  <c r="V26" i="4"/>
  <c r="V39" i="4" s="1"/>
  <c r="V40" i="3" s="1"/>
  <c r="AH26" i="4"/>
  <c r="AH39" i="4" s="1"/>
  <c r="AH40" i="3" s="1"/>
  <c r="D25" i="4"/>
  <c r="D38" i="4" s="1"/>
  <c r="D39" i="3" s="1"/>
  <c r="C25" i="4"/>
  <c r="C38" i="4" s="1"/>
  <c r="C39" i="3" s="1"/>
  <c r="S25" i="4"/>
  <c r="S38" i="4" s="1"/>
  <c r="S39" i="3" s="1"/>
  <c r="U25" i="4"/>
  <c r="U38" i="4" s="1"/>
  <c r="U39" i="3" s="1"/>
  <c r="AG24" i="4"/>
  <c r="AG37" i="4" s="1"/>
  <c r="AG38" i="3" s="1"/>
  <c r="AB24" i="4"/>
  <c r="AB37" i="4" s="1"/>
  <c r="AB38" i="3" s="1"/>
  <c r="T26" i="4"/>
  <c r="T39" i="4" s="1"/>
  <c r="T40" i="3" s="1"/>
  <c r="AL26" i="4"/>
  <c r="AL39" i="4" s="1"/>
  <c r="AL40" i="3" s="1"/>
  <c r="L27" i="4"/>
  <c r="L40" i="4" s="1"/>
  <c r="L41" i="3" s="1"/>
  <c r="AN27" i="4"/>
  <c r="AN40" i="4" s="1"/>
  <c r="AN41" i="3" s="1"/>
  <c r="AM26" i="4"/>
  <c r="AM39" i="4" s="1"/>
  <c r="AM40" i="3" s="1"/>
  <c r="T27" i="4"/>
  <c r="T40" i="4" s="1"/>
  <c r="T41" i="3" s="1"/>
  <c r="AL27" i="4"/>
  <c r="AL40" i="4" s="1"/>
  <c r="AL41" i="3" s="1"/>
  <c r="L26" i="4"/>
  <c r="L39" i="4" s="1"/>
  <c r="L40" i="3" s="1"/>
  <c r="AN26" i="4"/>
  <c r="AN39" i="4" s="1"/>
  <c r="AN40" i="3" s="1"/>
  <c r="AM27" i="4"/>
  <c r="AM40" i="4" s="1"/>
  <c r="AM41" i="3" s="1"/>
  <c r="T25" i="4"/>
  <c r="T38" i="4" s="1"/>
  <c r="T39" i="3" s="1"/>
  <c r="AL25" i="4"/>
  <c r="AL38" i="4" s="1"/>
  <c r="AL39" i="3" s="1"/>
  <c r="L25" i="4"/>
  <c r="L38" i="4" s="1"/>
  <c r="L39" i="3" s="1"/>
  <c r="N27" i="4"/>
  <c r="N40" i="4" s="1"/>
  <c r="N41" i="3" s="1"/>
  <c r="W27" i="4"/>
  <c r="W40" i="4" s="1"/>
  <c r="W41" i="3" s="1"/>
  <c r="R24" i="4"/>
  <c r="R37" i="4" s="1"/>
  <c r="R38" i="3" s="1"/>
  <c r="J25" i="4"/>
  <c r="J38" i="4" s="1"/>
  <c r="J39" i="3" s="1"/>
  <c r="C24" i="4"/>
  <c r="C37" i="4" s="1"/>
  <c r="C38" i="3" s="1"/>
  <c r="Q26" i="4"/>
  <c r="Q39" i="4" s="1"/>
  <c r="Q40" i="3" s="1"/>
  <c r="AA26" i="4"/>
  <c r="AA39" i="4" s="1"/>
  <c r="AA40" i="3" s="1"/>
  <c r="X27" i="4"/>
  <c r="X40" i="4" s="1"/>
  <c r="X41" i="3" s="1"/>
  <c r="Z26" i="4"/>
  <c r="Z39" i="4" s="1"/>
  <c r="Z40" i="3" s="1"/>
  <c r="E27" i="4"/>
  <c r="E40" i="4" s="1"/>
  <c r="E41" i="3" s="1"/>
  <c r="Z25" i="4"/>
  <c r="Z38" i="4" s="1"/>
  <c r="Z39" i="3" s="1"/>
  <c r="E25" i="4"/>
  <c r="E38" i="4" s="1"/>
  <c r="E39" i="3" s="1"/>
  <c r="Q24" i="4"/>
  <c r="Q37" i="4" s="1"/>
  <c r="Q38" i="3" s="1"/>
  <c r="Z24" i="4"/>
  <c r="Z37" i="4" s="1"/>
  <c r="Z38" i="3" s="1"/>
  <c r="C45" i="5"/>
  <c r="C46" i="5" s="1"/>
  <c r="C84" i="5" s="1"/>
  <c r="C85" i="5" s="1"/>
  <c r="C86" i="5" s="1"/>
  <c r="C49" i="5"/>
  <c r="C35" i="5"/>
  <c r="AO7" i="4"/>
  <c r="B14" i="3"/>
  <c r="I38" i="4"/>
  <c r="I39" i="3" s="1"/>
  <c r="D40" i="4"/>
  <c r="D41" i="3" s="1"/>
  <c r="R26" i="3"/>
  <c r="R27" i="3" s="1"/>
  <c r="R29" i="3" s="1"/>
  <c r="T26" i="3"/>
  <c r="T27" i="3" s="1"/>
  <c r="T29" i="3" s="1"/>
  <c r="AN26" i="3"/>
  <c r="AN27" i="3" s="1"/>
  <c r="AN29" i="3" s="1"/>
  <c r="U26" i="3"/>
  <c r="U27" i="3" s="1"/>
  <c r="U29" i="3" s="1"/>
  <c r="AB26" i="3"/>
  <c r="AB27" i="3" s="1"/>
  <c r="AB29" i="3" s="1"/>
  <c r="K26" i="3"/>
  <c r="K27" i="3" s="1"/>
  <c r="K29" i="3" s="1"/>
  <c r="AO35" i="17"/>
  <c r="W26" i="3"/>
  <c r="W27" i="3" s="1"/>
  <c r="W29" i="3" s="1"/>
  <c r="I26" i="3"/>
  <c r="I27" i="3" s="1"/>
  <c r="I29" i="3" s="1"/>
  <c r="P26" i="3"/>
  <c r="P27" i="3" s="1"/>
  <c r="P29" i="3" s="1"/>
  <c r="AH26" i="3"/>
  <c r="AH27" i="3" s="1"/>
  <c r="AH29" i="3" s="1"/>
  <c r="G26" i="3"/>
  <c r="G27" i="3" s="1"/>
  <c r="G29" i="3" s="1"/>
  <c r="F26" i="3"/>
  <c r="F27" i="3" s="1"/>
  <c r="F29" i="3" s="1"/>
  <c r="Q26" i="3"/>
  <c r="Q27" i="3" s="1"/>
  <c r="Q29" i="3" s="1"/>
  <c r="AL26" i="3"/>
  <c r="AL27" i="3" s="1"/>
  <c r="AL29" i="3" s="1"/>
  <c r="AF26" i="3"/>
  <c r="AF27" i="3" s="1"/>
  <c r="AF29" i="3" s="1"/>
  <c r="AJ26" i="3"/>
  <c r="AJ27" i="3" s="1"/>
  <c r="AJ29" i="3" s="1"/>
  <c r="AC26" i="3"/>
  <c r="AC27" i="3" s="1"/>
  <c r="AC29" i="3" s="1"/>
  <c r="H26" i="3"/>
  <c r="H27" i="3" s="1"/>
  <c r="H29" i="3" s="1"/>
  <c r="M26" i="3"/>
  <c r="M27" i="3" s="1"/>
  <c r="M29" i="3" s="1"/>
  <c r="D26" i="3"/>
  <c r="D27" i="3" s="1"/>
  <c r="D29" i="3" s="1"/>
  <c r="V26" i="3"/>
  <c r="V27" i="3" s="1"/>
  <c r="V29" i="3" s="1"/>
  <c r="Z26" i="3"/>
  <c r="Z27" i="3" s="1"/>
  <c r="Z29" i="3" s="1"/>
  <c r="AK26" i="3"/>
  <c r="AK27" i="3" s="1"/>
  <c r="AK29" i="3" s="1"/>
  <c r="O26" i="3"/>
  <c r="O27" i="3" s="1"/>
  <c r="O29" i="3" s="1"/>
  <c r="X26" i="3"/>
  <c r="X27" i="3" s="1"/>
  <c r="X29" i="3" s="1"/>
  <c r="AA26" i="3"/>
  <c r="AA27" i="3" s="1"/>
  <c r="AA29" i="3" s="1"/>
  <c r="Y26" i="3"/>
  <c r="Y27" i="3" s="1"/>
  <c r="Y29" i="3" s="1"/>
  <c r="AI26" i="3"/>
  <c r="AI27" i="3" s="1"/>
  <c r="AI29" i="3" s="1"/>
  <c r="AM26" i="3"/>
  <c r="AM27" i="3" s="1"/>
  <c r="AM29" i="3" s="1"/>
  <c r="AD26" i="3"/>
  <c r="AD27" i="3" s="1"/>
  <c r="AD29" i="3" s="1"/>
  <c r="AE26" i="3"/>
  <c r="AE27" i="3" s="1"/>
  <c r="AE29" i="3" s="1"/>
  <c r="L23" i="4"/>
  <c r="L36" i="4" s="1"/>
  <c r="AK39" i="4"/>
  <c r="AK40" i="3" s="1"/>
  <c r="AE39" i="4"/>
  <c r="AE40" i="3" s="1"/>
  <c r="DJ142" i="2"/>
  <c r="IF142" i="2"/>
  <c r="AQ142" i="2"/>
  <c r="DN142" i="2"/>
  <c r="GC142" i="2"/>
  <c r="HY142" i="2"/>
  <c r="DZ142" i="2"/>
  <c r="IU142" i="2"/>
  <c r="HS142" i="2"/>
  <c r="DX142" i="2"/>
  <c r="DF142" i="2"/>
  <c r="B34" i="4"/>
  <c r="FQ142" i="2"/>
  <c r="HU142" i="2"/>
  <c r="FO142" i="2"/>
  <c r="CV142" i="2"/>
  <c r="AY142" i="2"/>
  <c r="FV142" i="2"/>
  <c r="DG142" i="2"/>
  <c r="IE142" i="2"/>
  <c r="IK142" i="2"/>
  <c r="GB142" i="2"/>
  <c r="IX142" i="2"/>
  <c r="Q142" i="2"/>
  <c r="FT142" i="2"/>
  <c r="FR142" i="2"/>
  <c r="AW142" i="2"/>
  <c r="II142" i="2"/>
  <c r="U142" i="2"/>
  <c r="CZ142" i="2"/>
  <c r="FM142" i="2"/>
  <c r="P142" i="2"/>
  <c r="BH142" i="2"/>
  <c r="GO142" i="2"/>
  <c r="GH142" i="2"/>
  <c r="DM142" i="2"/>
  <c r="HR142" i="2"/>
  <c r="DO142" i="2"/>
  <c r="T142" i="2"/>
  <c r="HW142" i="2"/>
  <c r="GQ142" i="2"/>
  <c r="FX142" i="2"/>
  <c r="BJ142" i="2"/>
  <c r="DI142" i="2"/>
  <c r="DD142" i="2"/>
  <c r="DV142" i="2"/>
  <c r="GE142" i="2"/>
  <c r="GM142" i="2"/>
  <c r="DW142" i="2"/>
  <c r="GK142" i="2"/>
  <c r="DE142" i="2"/>
  <c r="DA142" i="2"/>
  <c r="BI142" i="2"/>
  <c r="BF142" i="2"/>
  <c r="IH142" i="2"/>
  <c r="DY142" i="2"/>
  <c r="BA142" i="2"/>
  <c r="CY142" i="2"/>
  <c r="GG142" i="2"/>
  <c r="CW142" i="2"/>
  <c r="GF142" i="2"/>
  <c r="HT142" i="2"/>
  <c r="FW142" i="2"/>
  <c r="R142" i="2"/>
  <c r="BC142" i="2"/>
  <c r="AX142" i="2"/>
  <c r="HZ142" i="2"/>
  <c r="GD142" i="2"/>
  <c r="FY142" i="2"/>
  <c r="IV142" i="2"/>
  <c r="DU142" i="2"/>
  <c r="DP142" i="2"/>
  <c r="HQ142" i="2"/>
  <c r="DL142" i="2"/>
  <c r="N142" i="2"/>
  <c r="GJ142" i="2"/>
  <c r="DH142" i="2"/>
  <c r="GR142" i="2"/>
  <c r="S142" i="2"/>
  <c r="IW142" i="2"/>
  <c r="GU142" i="2"/>
  <c r="FS142" i="2"/>
  <c r="GI142" i="2"/>
  <c r="AR142" i="2"/>
  <c r="BB142" i="2"/>
  <c r="AZ142" i="2"/>
  <c r="GA142" i="2"/>
  <c r="GP142" i="2"/>
  <c r="IB142" i="2"/>
  <c r="DC142" i="2"/>
  <c r="CU142" i="2"/>
  <c r="DR142" i="2"/>
  <c r="EB142" i="2"/>
  <c r="HV142" i="2"/>
  <c r="IY142" i="2"/>
  <c r="BK142" i="2"/>
  <c r="IS142" i="2"/>
  <c r="HX142" i="2"/>
  <c r="IG142" i="2"/>
  <c r="AU142" i="2"/>
  <c r="CX142" i="2"/>
  <c r="DQ142" i="2"/>
  <c r="EA142" i="2"/>
  <c r="BG142" i="2"/>
  <c r="DK142" i="2"/>
  <c r="AV142" i="2"/>
  <c r="DS142" i="2"/>
  <c r="O142" i="2"/>
  <c r="DT142" i="2"/>
  <c r="GT142" i="2"/>
  <c r="FU142" i="2"/>
  <c r="FP142" i="2"/>
  <c r="GL142" i="2"/>
  <c r="GN142" i="2"/>
  <c r="FZ142" i="2"/>
  <c r="EC142" i="2"/>
  <c r="AS142" i="2"/>
  <c r="IC142" i="2"/>
  <c r="IT142" i="2"/>
  <c r="ID142" i="2"/>
  <c r="AT142" i="2"/>
  <c r="FN142" i="2"/>
  <c r="BE142" i="2"/>
  <c r="DB142" i="2"/>
  <c r="BD142" i="2"/>
  <c r="IJ142" i="2"/>
  <c r="GS142" i="2"/>
  <c r="D225" i="2"/>
  <c r="D243" i="2" s="1"/>
  <c r="D222" i="2"/>
  <c r="D240" i="2" s="1"/>
  <c r="D221" i="2"/>
  <c r="D239" i="2" s="1"/>
  <c r="K35" i="4"/>
  <c r="K36" i="3" s="1"/>
  <c r="AI19" i="4"/>
  <c r="AM19" i="4"/>
  <c r="Y19" i="4"/>
  <c r="F19" i="4"/>
  <c r="F35" i="4"/>
  <c r="F36" i="3" s="1"/>
  <c r="M35" i="4"/>
  <c r="M36" i="3" s="1"/>
  <c r="AH35" i="4"/>
  <c r="AH36" i="3" s="1"/>
  <c r="C35" i="4"/>
  <c r="C36" i="3" s="1"/>
  <c r="AN34" i="4"/>
  <c r="AN35" i="3" s="1"/>
  <c r="AF34" i="4"/>
  <c r="AF35" i="3" s="1"/>
  <c r="AA34" i="4"/>
  <c r="AA35" i="3" s="1"/>
  <c r="V34" i="4"/>
  <c r="V35" i="3" s="1"/>
  <c r="AD34" i="4"/>
  <c r="AD35" i="3" s="1"/>
  <c r="K34" i="4"/>
  <c r="K35" i="3" s="1"/>
  <c r="AG19" i="4"/>
  <c r="N19" i="4"/>
  <c r="U19" i="4"/>
  <c r="AE35" i="4"/>
  <c r="AE36" i="3" s="1"/>
  <c r="H34" i="4"/>
  <c r="H35" i="3" s="1"/>
  <c r="O34" i="4"/>
  <c r="O35" i="3" s="1"/>
  <c r="W34" i="4"/>
  <c r="W35" i="3" s="1"/>
  <c r="O19" i="4"/>
  <c r="G19" i="4"/>
  <c r="AF19" i="4"/>
  <c r="AG35" i="4"/>
  <c r="AG36" i="3" s="1"/>
  <c r="Q34" i="4"/>
  <c r="Q35" i="3" s="1"/>
  <c r="AE34" i="4"/>
  <c r="AE35" i="3" s="1"/>
  <c r="AL35" i="4"/>
  <c r="AL36" i="3" s="1"/>
  <c r="R19" i="4"/>
  <c r="X19" i="4"/>
  <c r="AN19" i="4"/>
  <c r="R35" i="4"/>
  <c r="R36" i="3" s="1"/>
  <c r="S35" i="4"/>
  <c r="S36" i="3" s="1"/>
  <c r="Y35" i="4"/>
  <c r="Y36" i="3" s="1"/>
  <c r="I35" i="4"/>
  <c r="I36" i="3" s="1"/>
  <c r="AC35" i="4"/>
  <c r="AC36" i="3" s="1"/>
  <c r="P35" i="4"/>
  <c r="P36" i="3" s="1"/>
  <c r="I34" i="4"/>
  <c r="I35" i="3" s="1"/>
  <c r="U34" i="4"/>
  <c r="U35" i="3" s="1"/>
  <c r="R34" i="4"/>
  <c r="R35" i="3" s="1"/>
  <c r="AF35" i="4"/>
  <c r="AF36" i="3" s="1"/>
  <c r="AK34" i="4"/>
  <c r="AK35" i="3" s="1"/>
  <c r="J34" i="4"/>
  <c r="J35" i="3" s="1"/>
  <c r="B19" i="4"/>
  <c r="AH19" i="4"/>
  <c r="V35" i="4"/>
  <c r="V36" i="3" s="1"/>
  <c r="AC19" i="4"/>
  <c r="D35" i="4"/>
  <c r="D36" i="3" s="1"/>
  <c r="H35" i="4"/>
  <c r="H36" i="3" s="1"/>
  <c r="AI34" i="4"/>
  <c r="AI35" i="3" s="1"/>
  <c r="I19" i="4"/>
  <c r="D19" i="4"/>
  <c r="T19" i="4"/>
  <c r="Q35" i="4"/>
  <c r="Q36" i="3" s="1"/>
  <c r="AD35" i="4"/>
  <c r="AD36" i="3" s="1"/>
  <c r="S34" i="4"/>
  <c r="S35" i="3" s="1"/>
  <c r="AJ35" i="4"/>
  <c r="AJ36" i="3" s="1"/>
  <c r="L19" i="4"/>
  <c r="E19" i="4"/>
  <c r="J19" i="4"/>
  <c r="AB19" i="4"/>
  <c r="C19" i="4"/>
  <c r="U35" i="4"/>
  <c r="U36" i="3" s="1"/>
  <c r="T35" i="4"/>
  <c r="T36" i="3" s="1"/>
  <c r="Z35" i="4"/>
  <c r="Z36" i="3" s="1"/>
  <c r="AM34" i="4"/>
  <c r="AM35" i="3" s="1"/>
  <c r="N34" i="4"/>
  <c r="N35" i="3" s="1"/>
  <c r="AB34" i="4"/>
  <c r="AB35" i="3" s="1"/>
  <c r="AJ34" i="4"/>
  <c r="AJ35" i="3" s="1"/>
  <c r="AC34" i="4"/>
  <c r="AC35" i="3" s="1"/>
  <c r="W19" i="4"/>
  <c r="Z19" i="4"/>
  <c r="L35" i="4"/>
  <c r="L36" i="3" s="1"/>
  <c r="AI35" i="4"/>
  <c r="AI36" i="3" s="1"/>
  <c r="D34" i="4"/>
  <c r="D35" i="3" s="1"/>
  <c r="M19" i="4"/>
  <c r="AK35" i="4"/>
  <c r="AK36" i="3" s="1"/>
  <c r="W35" i="4"/>
  <c r="W36" i="3" s="1"/>
  <c r="AA19" i="4"/>
  <c r="AJ19" i="4"/>
  <c r="AE19" i="4"/>
  <c r="AA35" i="4"/>
  <c r="AA36" i="3" s="1"/>
  <c r="AN35" i="4"/>
  <c r="AN36" i="3" s="1"/>
  <c r="AB35" i="4"/>
  <c r="AB36" i="3" s="1"/>
  <c r="J35" i="4"/>
  <c r="J36" i="3" s="1"/>
  <c r="X35" i="4"/>
  <c r="X36" i="3" s="1"/>
  <c r="AH34" i="4"/>
  <c r="AH35" i="3" s="1"/>
  <c r="Z34" i="4"/>
  <c r="Z35" i="3" s="1"/>
  <c r="Y34" i="4"/>
  <c r="Y35" i="3" s="1"/>
  <c r="E34" i="4"/>
  <c r="E35" i="3" s="1"/>
  <c r="T34" i="4"/>
  <c r="T35" i="3" s="1"/>
  <c r="C34" i="4"/>
  <c r="C35" i="3" s="1"/>
  <c r="O35" i="4"/>
  <c r="O36" i="3" s="1"/>
  <c r="AD19" i="4"/>
  <c r="S19" i="4"/>
  <c r="AL19" i="4"/>
  <c r="Q19" i="4"/>
  <c r="AK19" i="4"/>
  <c r="V19" i="4"/>
  <c r="K19" i="4"/>
  <c r="G35" i="4"/>
  <c r="G36" i="3" s="1"/>
  <c r="AM35" i="4"/>
  <c r="AM36" i="3" s="1"/>
  <c r="AG34" i="4"/>
  <c r="AG35" i="3" s="1"/>
  <c r="P34" i="4"/>
  <c r="P35" i="3" s="1"/>
  <c r="G34" i="4"/>
  <c r="G35" i="3" s="1"/>
  <c r="M34" i="4"/>
  <c r="M35" i="3" s="1"/>
  <c r="F34" i="4"/>
  <c r="F35" i="3" s="1"/>
  <c r="P19" i="4"/>
  <c r="N35" i="4"/>
  <c r="N36" i="3" s="1"/>
  <c r="AL34" i="4"/>
  <c r="AL35" i="3" s="1"/>
  <c r="H19" i="4"/>
  <c r="E35" i="4"/>
  <c r="E36" i="3" s="1"/>
  <c r="X34" i="4"/>
  <c r="X35" i="3" s="1"/>
  <c r="L34" i="4"/>
  <c r="L35" i="3" s="1"/>
  <c r="E243" i="2"/>
  <c r="E240" i="2"/>
  <c r="C21" i="29"/>
  <c r="E13" i="2"/>
  <c r="F13" i="2" s="1"/>
  <c r="G222" i="2" s="1"/>
  <c r="D9" i="30"/>
  <c r="C9" i="30" s="1"/>
  <c r="B46" i="12"/>
  <c r="B47" i="12" s="1"/>
  <c r="B48" i="12"/>
  <c r="B59" i="12"/>
  <c r="B62" i="12"/>
  <c r="AO62" i="12" s="1"/>
  <c r="B40" i="17"/>
  <c r="B41" i="17" s="1"/>
  <c r="B22" i="4" s="1"/>
  <c r="X143" i="13"/>
  <c r="AO82" i="20"/>
  <c r="B40" i="20"/>
  <c r="B94" i="20"/>
  <c r="AO94" i="20" s="1"/>
  <c r="B42" i="20"/>
  <c r="B85" i="20"/>
  <c r="B86" i="20" s="1"/>
  <c r="B43" i="20"/>
  <c r="B80" i="20"/>
  <c r="AO80" i="20" s="1"/>
  <c r="B83" i="20"/>
  <c r="AO83" i="20" s="1"/>
  <c r="AP84" i="20" s="1"/>
  <c r="B41" i="20"/>
  <c r="B45" i="20"/>
  <c r="B97" i="20"/>
  <c r="AO97" i="20" s="1"/>
  <c r="C60" i="21"/>
  <c r="C44" i="21"/>
  <c r="C62" i="21" s="1"/>
  <c r="C43" i="21"/>
  <c r="C61" i="21" s="1"/>
  <c r="G26" i="18"/>
  <c r="G27" i="18" s="1"/>
  <c r="G23" i="4" s="1"/>
  <c r="AF26" i="18"/>
  <c r="AF27" i="18" s="1"/>
  <c r="AF23" i="4" s="1"/>
  <c r="AN26" i="18"/>
  <c r="AN27" i="18" s="1"/>
  <c r="AN23" i="4" s="1"/>
  <c r="AL26" i="18"/>
  <c r="AL27" i="18" s="1"/>
  <c r="AL23" i="4" s="1"/>
  <c r="U26" i="18"/>
  <c r="U27" i="18" s="1"/>
  <c r="U23" i="4" s="1"/>
  <c r="AE26" i="18"/>
  <c r="AE27" i="18" s="1"/>
  <c r="AE23" i="4" s="1"/>
  <c r="K26" i="18"/>
  <c r="K27" i="18" s="1"/>
  <c r="K23" i="4" s="1"/>
  <c r="F26" i="18"/>
  <c r="F27" i="18" s="1"/>
  <c r="F23" i="4" s="1"/>
  <c r="AD26" i="18"/>
  <c r="AD27" i="18" s="1"/>
  <c r="AD23" i="4" s="1"/>
  <c r="S26" i="18"/>
  <c r="S27" i="18" s="1"/>
  <c r="S23" i="4" s="1"/>
  <c r="V26" i="18"/>
  <c r="V27" i="18" s="1"/>
  <c r="V23" i="4" s="1"/>
  <c r="X26" i="18"/>
  <c r="X27" i="18" s="1"/>
  <c r="X23" i="4" s="1"/>
  <c r="Q26" i="18"/>
  <c r="Q27" i="18" s="1"/>
  <c r="Q23" i="4" s="1"/>
  <c r="AJ26" i="18"/>
  <c r="AJ27" i="18" s="1"/>
  <c r="AJ23" i="4" s="1"/>
  <c r="Z26" i="18"/>
  <c r="Z27" i="18" s="1"/>
  <c r="Z23" i="4" s="1"/>
  <c r="H26" i="18"/>
  <c r="H27" i="18" s="1"/>
  <c r="H23" i="4" s="1"/>
  <c r="W26" i="18"/>
  <c r="W27" i="18" s="1"/>
  <c r="W23" i="4" s="1"/>
  <c r="E26" i="18"/>
  <c r="E27" i="18" s="1"/>
  <c r="E23" i="4" s="1"/>
  <c r="AB26" i="18"/>
  <c r="AB27" i="18" s="1"/>
  <c r="AB23" i="4" s="1"/>
  <c r="AM26" i="18"/>
  <c r="AM27" i="18" s="1"/>
  <c r="AM23" i="4" s="1"/>
  <c r="M26" i="18"/>
  <c r="M27" i="18" s="1"/>
  <c r="M23" i="4" s="1"/>
  <c r="T26" i="18"/>
  <c r="T27" i="18" s="1"/>
  <c r="T23" i="4" s="1"/>
  <c r="Y26" i="18"/>
  <c r="Y27" i="18" s="1"/>
  <c r="Y23" i="4" s="1"/>
  <c r="AI26" i="18"/>
  <c r="AI27" i="18" s="1"/>
  <c r="AI23" i="4" s="1"/>
  <c r="AH26" i="18"/>
  <c r="AH27" i="18" s="1"/>
  <c r="AH23" i="4" s="1"/>
  <c r="D26" i="18"/>
  <c r="D27" i="18" s="1"/>
  <c r="D23" i="4" s="1"/>
  <c r="N26" i="18"/>
  <c r="N27" i="18" s="1"/>
  <c r="N23" i="4" s="1"/>
  <c r="O26" i="18"/>
  <c r="O27" i="18" s="1"/>
  <c r="O23" i="4" s="1"/>
  <c r="AC26" i="18"/>
  <c r="AC27" i="18" s="1"/>
  <c r="AC23" i="4" s="1"/>
  <c r="C26" i="18"/>
  <c r="C27" i="18" s="1"/>
  <c r="C23" i="4" s="1"/>
  <c r="AK26" i="18"/>
  <c r="AK27" i="18" s="1"/>
  <c r="AK23" i="4" s="1"/>
  <c r="R26" i="18"/>
  <c r="R27" i="18" s="1"/>
  <c r="R23" i="4" s="1"/>
  <c r="AG26" i="18"/>
  <c r="AG27" i="18" s="1"/>
  <c r="AG23" i="4" s="1"/>
  <c r="P26" i="18"/>
  <c r="P27" i="18" s="1"/>
  <c r="P23" i="4" s="1"/>
  <c r="AA26" i="18"/>
  <c r="AA27" i="18" s="1"/>
  <c r="AA23" i="4" s="1"/>
  <c r="J26" i="18"/>
  <c r="J27" i="18" s="1"/>
  <c r="J23" i="4" s="1"/>
  <c r="I26" i="18"/>
  <c r="I27" i="18" s="1"/>
  <c r="I23" i="4" s="1"/>
  <c r="BY143" i="2"/>
  <c r="EG143" i="2"/>
  <c r="EE143" i="2"/>
  <c r="AA143" i="2"/>
  <c r="EJ143" i="2"/>
  <c r="GW143" i="2"/>
  <c r="GV143" i="2"/>
  <c r="HY143" i="2"/>
  <c r="HB143" i="2"/>
  <c r="EF143" i="2"/>
  <c r="BM143" i="2"/>
  <c r="CW143" i="2"/>
  <c r="DE143" i="2"/>
  <c r="HE143" i="2"/>
  <c r="HA143" i="2"/>
  <c r="HH143" i="2"/>
  <c r="BL143" i="2"/>
  <c r="CU143" i="2"/>
  <c r="HF143" i="2"/>
  <c r="CV143" i="2"/>
  <c r="BV143" i="2"/>
  <c r="HU143" i="2"/>
  <c r="DD143" i="2"/>
  <c r="EK143" i="2"/>
  <c r="ED143" i="2"/>
  <c r="GX143" i="2"/>
  <c r="AV143" i="2"/>
  <c r="EI143" i="2"/>
  <c r="FY143" i="2"/>
  <c r="EN143" i="2"/>
  <c r="IM143" i="2"/>
  <c r="IX143" i="2"/>
  <c r="IW143" i="2"/>
  <c r="EQ143" i="2"/>
  <c r="FM143" i="2"/>
  <c r="BZ143" i="2"/>
  <c r="BU143" i="2"/>
  <c r="FP143" i="2"/>
  <c r="Y143" i="2"/>
  <c r="IA143" i="2"/>
  <c r="IS143" i="2"/>
  <c r="EO143" i="2"/>
  <c r="IP143" i="2"/>
  <c r="HD143" i="2"/>
  <c r="BO143" i="2"/>
  <c r="AS143" i="2"/>
  <c r="CZ143" i="2"/>
  <c r="FW143" i="2"/>
  <c r="FZ143" i="2"/>
  <c r="BX143" i="2"/>
  <c r="GD143" i="2"/>
  <c r="HC143" i="2"/>
  <c r="HQ143" i="2"/>
  <c r="BP143" i="2"/>
  <c r="EW143" i="2"/>
  <c r="IO143" i="2"/>
  <c r="BT143" i="2"/>
  <c r="IN143" i="2"/>
  <c r="ID143" i="2"/>
  <c r="DH143" i="2"/>
  <c r="HR143" i="2"/>
  <c r="EU143" i="2"/>
  <c r="DF143" i="2"/>
  <c r="BN143" i="2"/>
  <c r="BW143" i="2"/>
  <c r="GC143" i="2"/>
  <c r="HV143" i="2"/>
  <c r="HT143" i="2"/>
  <c r="W143" i="2"/>
  <c r="GY143" i="2"/>
  <c r="FX143" i="2"/>
  <c r="ES143" i="2"/>
  <c r="EL143" i="2"/>
  <c r="IL143" i="2"/>
  <c r="FV143" i="2"/>
  <c r="DI143" i="2"/>
  <c r="HI143" i="2"/>
  <c r="FU143" i="2"/>
  <c r="BS143" i="2"/>
  <c r="IU143" i="2"/>
  <c r="GE143" i="2"/>
  <c r="BQ143" i="2"/>
  <c r="DA143" i="2"/>
  <c r="EH143" i="2"/>
  <c r="ER143" i="2"/>
  <c r="DB143" i="2"/>
  <c r="CY143" i="2"/>
  <c r="FS143" i="2"/>
  <c r="GZ143" i="2"/>
  <c r="AT143" i="2"/>
  <c r="DC143" i="2"/>
  <c r="HX143" i="2"/>
  <c r="FN143" i="2"/>
  <c r="Z143" i="2"/>
  <c r="IT143" i="2"/>
  <c r="X143" i="2"/>
  <c r="EP143" i="2"/>
  <c r="HW143" i="2"/>
  <c r="IE143" i="2"/>
  <c r="HJ143" i="2"/>
  <c r="HZ143" i="2"/>
  <c r="GB143" i="2"/>
  <c r="CX143" i="2"/>
  <c r="HS143" i="2"/>
  <c r="AQ143" i="2"/>
  <c r="FO143" i="2"/>
  <c r="FT143" i="2"/>
  <c r="FQ143" i="2"/>
  <c r="V143" i="2"/>
  <c r="GF143" i="2"/>
  <c r="BR143" i="2"/>
  <c r="IC143" i="2"/>
  <c r="AR143" i="2"/>
  <c r="IV143" i="2"/>
  <c r="ET143" i="2"/>
  <c r="IQ143" i="2"/>
  <c r="IB143" i="2"/>
  <c r="HG143" i="2"/>
  <c r="EM143" i="2"/>
  <c r="EV143" i="2"/>
  <c r="GA143" i="2"/>
  <c r="FR143" i="2"/>
  <c r="AU143" i="2"/>
  <c r="DG143" i="2"/>
  <c r="O143" i="2"/>
  <c r="U160" i="2"/>
  <c r="GI160" i="2"/>
  <c r="GV160" i="2"/>
  <c r="EH160" i="2"/>
  <c r="BU160" i="2"/>
  <c r="O160" i="2"/>
  <c r="BM160" i="2"/>
  <c r="AR160" i="2"/>
  <c r="EL160" i="2"/>
  <c r="AY160" i="2"/>
  <c r="BF160" i="2"/>
  <c r="HU160" i="2"/>
  <c r="IM160" i="2"/>
  <c r="FW160" i="2"/>
  <c r="EE160" i="2"/>
  <c r="BR160" i="2"/>
  <c r="GG160" i="2"/>
  <c r="DJ160" i="2"/>
  <c r="DR160" i="2"/>
  <c r="BJ160" i="2"/>
  <c r="P160" i="2"/>
  <c r="BE160" i="2"/>
  <c r="IG160" i="2"/>
  <c r="CV160" i="2"/>
  <c r="BP160" i="2"/>
  <c r="EN160" i="2"/>
  <c r="DK160" i="2"/>
  <c r="CW160" i="2"/>
  <c r="IB160" i="2"/>
  <c r="HC160" i="2"/>
  <c r="BQ160" i="2"/>
  <c r="CY160" i="2"/>
  <c r="AT160" i="2"/>
  <c r="CU160" i="2"/>
  <c r="IT160" i="2"/>
  <c r="FM160" i="2"/>
  <c r="FS160" i="2"/>
  <c r="EA160" i="2"/>
  <c r="BC160" i="2"/>
  <c r="X160" i="2"/>
  <c r="CZ160" i="2"/>
  <c r="EU160" i="2"/>
  <c r="HQ160" i="2"/>
  <c r="FN160" i="2"/>
  <c r="BY160" i="2"/>
  <c r="FY160" i="2"/>
  <c r="DC160" i="2"/>
  <c r="GA160" i="2"/>
  <c r="GK160" i="2"/>
  <c r="HS160" i="2"/>
  <c r="GR160" i="2"/>
  <c r="DX160" i="2"/>
  <c r="S160" i="2"/>
  <c r="BT160" i="2"/>
  <c r="R160" i="2"/>
  <c r="AX160" i="2"/>
  <c r="EP160" i="2"/>
  <c r="DH160" i="2"/>
  <c r="FP160" i="2"/>
  <c r="AV160" i="2"/>
  <c r="DA160" i="2"/>
  <c r="EJ160" i="2"/>
  <c r="AA160" i="2"/>
  <c r="DV160" i="2"/>
  <c r="GZ160" i="2"/>
  <c r="AS160" i="2"/>
  <c r="BB160" i="2"/>
  <c r="ER160" i="2"/>
  <c r="BL160" i="2"/>
  <c r="DF160" i="2"/>
  <c r="DM160" i="2"/>
  <c r="AQ160" i="2"/>
  <c r="DN160" i="2"/>
  <c r="GN160" i="2"/>
  <c r="Y160" i="2"/>
  <c r="FU160" i="2"/>
  <c r="DT160" i="2"/>
  <c r="Q160" i="2"/>
  <c r="GD160" i="2"/>
  <c r="DP160" i="2"/>
  <c r="AW160" i="2"/>
  <c r="BW160" i="2"/>
  <c r="HX160" i="2"/>
  <c r="GX160" i="2"/>
  <c r="DD160" i="2"/>
  <c r="EG160" i="2"/>
  <c r="HG160" i="2"/>
  <c r="ED160" i="2"/>
  <c r="W160" i="2"/>
  <c r="V160" i="2"/>
  <c r="BH160" i="2"/>
  <c r="FQ160" i="2"/>
  <c r="BN160" i="2"/>
  <c r="BA160" i="2"/>
  <c r="C37" i="5" l="1"/>
  <c r="C38" i="5" s="1"/>
  <c r="C53" i="5"/>
  <c r="C54" i="5" s="1"/>
  <c r="C87" i="5" s="1"/>
  <c r="C88" i="5" s="1"/>
  <c r="C91" i="5" s="1"/>
  <c r="C97" i="5" s="1"/>
  <c r="D10" i="26"/>
  <c r="D25" i="26"/>
  <c r="D15" i="26"/>
  <c r="D12" i="26"/>
  <c r="D9" i="26"/>
  <c r="D17" i="26"/>
  <c r="D21" i="26"/>
  <c r="G225" i="2"/>
  <c r="G221" i="2"/>
  <c r="AO34" i="4"/>
  <c r="AO21" i="4"/>
  <c r="AM31" i="4"/>
  <c r="C32" i="4"/>
  <c r="C33" i="3" s="1"/>
  <c r="D32" i="4"/>
  <c r="D33" i="3" s="1"/>
  <c r="AO19" i="4"/>
  <c r="B32" i="4"/>
  <c r="Z31" i="4"/>
  <c r="M32" i="4"/>
  <c r="M33" i="3" s="1"/>
  <c r="T31" i="4"/>
  <c r="AH31" i="4"/>
  <c r="F31" i="4"/>
  <c r="AM32" i="4"/>
  <c r="AM33" i="3" s="1"/>
  <c r="H32" i="4"/>
  <c r="H33" i="3" s="1"/>
  <c r="I31" i="4"/>
  <c r="AK32" i="4"/>
  <c r="AK33" i="3" s="1"/>
  <c r="Y31" i="4"/>
  <c r="Z32" i="4"/>
  <c r="Z33" i="3" s="1"/>
  <c r="E31" i="4"/>
  <c r="X31" i="4"/>
  <c r="D31" i="4"/>
  <c r="AI32" i="4"/>
  <c r="AI33" i="3" s="1"/>
  <c r="K31" i="4"/>
  <c r="E32" i="4"/>
  <c r="E33" i="3" s="1"/>
  <c r="AN31" i="4"/>
  <c r="V32" i="4"/>
  <c r="V33" i="3" s="1"/>
  <c r="AE32" i="4"/>
  <c r="AE33" i="3" s="1"/>
  <c r="H31" i="4"/>
  <c r="AA31" i="4"/>
  <c r="O31" i="4"/>
  <c r="G31" i="4"/>
  <c r="Q32" i="4"/>
  <c r="Q33" i="3" s="1"/>
  <c r="P31" i="4"/>
  <c r="AJ32" i="4"/>
  <c r="AJ33" i="3" s="1"/>
  <c r="AG31" i="4"/>
  <c r="W32" i="4"/>
  <c r="W33" i="3" s="1"/>
  <c r="AJ31" i="4"/>
  <c r="J31" i="4"/>
  <c r="AF32" i="4"/>
  <c r="AF33" i="3" s="1"/>
  <c r="AD32" i="4"/>
  <c r="AD33" i="3" s="1"/>
  <c r="AF31" i="4"/>
  <c r="K32" i="4"/>
  <c r="K33" i="3" s="1"/>
  <c r="L32" i="4"/>
  <c r="L33" i="3" s="1"/>
  <c r="I32" i="4"/>
  <c r="I33" i="3" s="1"/>
  <c r="W31" i="4"/>
  <c r="L31" i="4"/>
  <c r="R32" i="4"/>
  <c r="R33" i="3" s="1"/>
  <c r="S31" i="4"/>
  <c r="AB31" i="4"/>
  <c r="AE31" i="4"/>
  <c r="Y32" i="4"/>
  <c r="Y33" i="3" s="1"/>
  <c r="AK31" i="4"/>
  <c r="AL32" i="4"/>
  <c r="AL33" i="3" s="1"/>
  <c r="AN32" i="4"/>
  <c r="AN33" i="3" s="1"/>
  <c r="C31" i="4"/>
  <c r="M31" i="4"/>
  <c r="AA32" i="4"/>
  <c r="AA33" i="3" s="1"/>
  <c r="AI31" i="4"/>
  <c r="J32" i="4"/>
  <c r="J33" i="3" s="1"/>
  <c r="X32" i="4"/>
  <c r="X33" i="3" s="1"/>
  <c r="O32" i="4"/>
  <c r="O33" i="3" s="1"/>
  <c r="N32" i="4"/>
  <c r="N33" i="3" s="1"/>
  <c r="F32" i="4"/>
  <c r="F33" i="3" s="1"/>
  <c r="L28" i="4"/>
  <c r="L30" i="3" s="1"/>
  <c r="AB32" i="4"/>
  <c r="AB33" i="3" s="1"/>
  <c r="AC32" i="4"/>
  <c r="AC33" i="3" s="1"/>
  <c r="U31" i="4"/>
  <c r="P32" i="4"/>
  <c r="P33" i="3" s="1"/>
  <c r="AC31" i="4"/>
  <c r="AL31" i="4"/>
  <c r="N31" i="4"/>
  <c r="AH32" i="4"/>
  <c r="AH33" i="3" s="1"/>
  <c r="R31" i="4"/>
  <c r="G32" i="4"/>
  <c r="G33" i="3" s="1"/>
  <c r="U32" i="4"/>
  <c r="U33" i="3" s="1"/>
  <c r="S32" i="4"/>
  <c r="S33" i="3" s="1"/>
  <c r="V31" i="4"/>
  <c r="T32" i="4"/>
  <c r="T33" i="3" s="1"/>
  <c r="AD31" i="4"/>
  <c r="AG32" i="4"/>
  <c r="AG33" i="3" s="1"/>
  <c r="Q31" i="4"/>
  <c r="L37" i="3"/>
  <c r="E28" i="4"/>
  <c r="E30" i="3" s="1"/>
  <c r="AH36" i="4"/>
  <c r="AN28" i="4"/>
  <c r="AN30" i="3" s="1"/>
  <c r="H36" i="4"/>
  <c r="AK36" i="4"/>
  <c r="C28" i="4"/>
  <c r="C30" i="3" s="1"/>
  <c r="T28" i="4"/>
  <c r="T30" i="3" s="1"/>
  <c r="AE28" i="4"/>
  <c r="AE30" i="3" s="1"/>
  <c r="AC28" i="4"/>
  <c r="AC30" i="3" s="1"/>
  <c r="M28" i="4"/>
  <c r="M30" i="3" s="1"/>
  <c r="Q28" i="4"/>
  <c r="Q30" i="3" s="1"/>
  <c r="R36" i="4"/>
  <c r="F36" i="4"/>
  <c r="AF28" i="4"/>
  <c r="AF30" i="3" s="1"/>
  <c r="Z36" i="4"/>
  <c r="J36" i="4"/>
  <c r="O28" i="4"/>
  <c r="O30" i="3" s="1"/>
  <c r="AM36" i="4"/>
  <c r="X28" i="4"/>
  <c r="X30" i="3" s="1"/>
  <c r="U28" i="4"/>
  <c r="U30" i="3" s="1"/>
  <c r="P28" i="4"/>
  <c r="P30" i="3" s="1"/>
  <c r="D28" i="4"/>
  <c r="D30" i="3" s="1"/>
  <c r="S28" i="4"/>
  <c r="S30" i="3" s="1"/>
  <c r="AG36" i="4"/>
  <c r="W28" i="4"/>
  <c r="W30" i="3" s="1"/>
  <c r="AD28" i="4"/>
  <c r="AD30" i="3" s="1"/>
  <c r="AI36" i="4"/>
  <c r="Y28" i="4"/>
  <c r="Y30" i="3" s="1"/>
  <c r="K36" i="4"/>
  <c r="G28" i="4"/>
  <c r="G30" i="3" s="1"/>
  <c r="AJ28" i="4"/>
  <c r="AJ30" i="3" s="1"/>
  <c r="AA28" i="4"/>
  <c r="AA30" i="3" s="1"/>
  <c r="N36" i="4"/>
  <c r="AB28" i="4"/>
  <c r="AB30" i="3" s="1"/>
  <c r="V28" i="4"/>
  <c r="V30" i="3" s="1"/>
  <c r="AL36" i="4"/>
  <c r="B35" i="4"/>
  <c r="B36" i="3" s="1"/>
  <c r="K243" i="2"/>
  <c r="H244" i="2"/>
  <c r="AO58" i="12"/>
  <c r="I243" i="2"/>
  <c r="B60" i="12"/>
  <c r="B61" i="12"/>
  <c r="B63" i="12" s="1"/>
  <c r="B49" i="12"/>
  <c r="B50" i="12"/>
  <c r="B51" i="12"/>
  <c r="G9" i="30"/>
  <c r="K9" i="30"/>
  <c r="K17" i="30" s="1"/>
  <c r="G160" i="2"/>
  <c r="K158" i="2"/>
  <c r="AO22" i="4"/>
  <c r="C75" i="5"/>
  <c r="B87" i="20"/>
  <c r="AO87" i="20" s="1"/>
  <c r="B98" i="20"/>
  <c r="B99" i="20" s="1"/>
  <c r="C69" i="21"/>
  <c r="C70" i="21" s="1"/>
  <c r="C45" i="21"/>
  <c r="D100" i="26"/>
  <c r="D77" i="26"/>
  <c r="D107" i="26"/>
  <c r="D212" i="26"/>
  <c r="D179" i="26"/>
  <c r="D258" i="26"/>
  <c r="D208" i="26"/>
  <c r="D109" i="26"/>
  <c r="D68" i="26"/>
  <c r="D31" i="26"/>
  <c r="D251" i="26"/>
  <c r="D48" i="26"/>
  <c r="D224" i="2"/>
  <c r="D242" i="2" s="1"/>
  <c r="U36" i="4"/>
  <c r="AC36" i="4"/>
  <c r="AM28" i="4"/>
  <c r="AM30" i="3" s="1"/>
  <c r="O36" i="4"/>
  <c r="B35" i="3"/>
  <c r="AO35" i="3" s="1"/>
  <c r="I28" i="4"/>
  <c r="I30" i="3" s="1"/>
  <c r="I36" i="4"/>
  <c r="D81" i="26"/>
  <c r="D165" i="26"/>
  <c r="D37" i="26"/>
  <c r="D148" i="26"/>
  <c r="D11" i="26"/>
  <c r="D105" i="26"/>
  <c r="D40" i="26"/>
  <c r="D114" i="26"/>
  <c r="D132" i="26"/>
  <c r="D49" i="26"/>
  <c r="D181" i="26"/>
  <c r="D13" i="26"/>
  <c r="D26" i="26"/>
  <c r="D57" i="26"/>
  <c r="D73" i="26"/>
  <c r="C94" i="5"/>
  <c r="C93" i="5"/>
  <c r="C117" i="5" s="1"/>
  <c r="C92" i="5" l="1"/>
  <c r="C101" i="5" s="1"/>
  <c r="C98" i="5"/>
  <c r="C118" i="5" s="1"/>
  <c r="C140" i="5" s="1"/>
  <c r="C90" i="5"/>
  <c r="C89" i="5"/>
  <c r="B33" i="3"/>
  <c r="AM41" i="4"/>
  <c r="L41" i="4"/>
  <c r="U41" i="4"/>
  <c r="AG41" i="4"/>
  <c r="J41" i="4"/>
  <c r="R41" i="4"/>
  <c r="H41" i="4"/>
  <c r="O41" i="4"/>
  <c r="AH41" i="4"/>
  <c r="AC41" i="4"/>
  <c r="N41" i="4"/>
  <c r="Z41" i="4"/>
  <c r="L42" i="3"/>
  <c r="I41" i="4"/>
  <c r="K41" i="4"/>
  <c r="F41" i="4"/>
  <c r="AK41" i="4"/>
  <c r="AO32" i="4"/>
  <c r="AL37" i="3"/>
  <c r="AL41" i="4"/>
  <c r="AI37" i="3"/>
  <c r="AI41" i="4"/>
  <c r="N28" i="4"/>
  <c r="N30" i="3" s="1"/>
  <c r="AK28" i="4"/>
  <c r="AK30" i="3" s="1"/>
  <c r="AH28" i="4"/>
  <c r="AH30" i="3" s="1"/>
  <c r="E36" i="4"/>
  <c r="P36" i="4"/>
  <c r="V36" i="4"/>
  <c r="AD36" i="4"/>
  <c r="S36" i="4"/>
  <c r="M36" i="4"/>
  <c r="D36" i="4"/>
  <c r="D41" i="4" s="1"/>
  <c r="AF36" i="4"/>
  <c r="H28" i="4"/>
  <c r="H30" i="3" s="1"/>
  <c r="G36" i="4"/>
  <c r="G41" i="4" s="1"/>
  <c r="AH37" i="3"/>
  <c r="AM37" i="3"/>
  <c r="W36" i="4"/>
  <c r="W41" i="4" s="1"/>
  <c r="AB36" i="4"/>
  <c r="AB41" i="4" s="1"/>
  <c r="AJ36" i="4"/>
  <c r="AJ41" i="4" s="1"/>
  <c r="K28" i="4"/>
  <c r="K30" i="3" s="1"/>
  <c r="C36" i="4"/>
  <c r="C41" i="4" s="1"/>
  <c r="X36" i="4"/>
  <c r="X41" i="4" s="1"/>
  <c r="F28" i="4"/>
  <c r="F30" i="3" s="1"/>
  <c r="R37" i="3"/>
  <c r="R42" i="3" s="1"/>
  <c r="AK37" i="3"/>
  <c r="K37" i="3"/>
  <c r="Z37" i="3"/>
  <c r="Z42" i="3" s="1"/>
  <c r="F37" i="3"/>
  <c r="H37" i="3"/>
  <c r="N37" i="3"/>
  <c r="AL28" i="4"/>
  <c r="AL30" i="3" s="1"/>
  <c r="AG28" i="4"/>
  <c r="AG30" i="3" s="1"/>
  <c r="J28" i="4"/>
  <c r="J30" i="3" s="1"/>
  <c r="Z28" i="4"/>
  <c r="Z30" i="3" s="1"/>
  <c r="AN36" i="4"/>
  <c r="AN41" i="4" s="1"/>
  <c r="AI28" i="4"/>
  <c r="AI30" i="3" s="1"/>
  <c r="Q36" i="4"/>
  <c r="Q41" i="4" s="1"/>
  <c r="T36" i="4"/>
  <c r="T41" i="4" s="1"/>
  <c r="R28" i="4"/>
  <c r="R30" i="3" s="1"/>
  <c r="AE36" i="4"/>
  <c r="AE41" i="4" s="1"/>
  <c r="AA36" i="4"/>
  <c r="AA41" i="4" s="1"/>
  <c r="Y36" i="4"/>
  <c r="Y41" i="4" s="1"/>
  <c r="AO35" i="4"/>
  <c r="AO36" i="3"/>
  <c r="B52" i="12"/>
  <c r="B53" i="12" s="1"/>
  <c r="IC148" i="2"/>
  <c r="BK148" i="2"/>
  <c r="FA148" i="2"/>
  <c r="IH148" i="2"/>
  <c r="HB148" i="2"/>
  <c r="BV148" i="2"/>
  <c r="GB148" i="2"/>
  <c r="BG148" i="2"/>
  <c r="GO148" i="2"/>
  <c r="IS148" i="2"/>
  <c r="HI148" i="2"/>
  <c r="GW148" i="2"/>
  <c r="FG148" i="2"/>
  <c r="DW148" i="2"/>
  <c r="HO148" i="2"/>
  <c r="CL148" i="2"/>
  <c r="AP148" i="2"/>
  <c r="II148" i="2"/>
  <c r="EO148" i="2"/>
  <c r="DG148" i="2"/>
  <c r="HT148" i="2"/>
  <c r="FD148" i="2"/>
  <c r="EY148" i="2"/>
  <c r="BS148" i="2"/>
  <c r="EQ148" i="2"/>
  <c r="CX148" i="2"/>
  <c r="GQ148" i="2"/>
  <c r="FT148" i="2"/>
  <c r="AN148" i="2"/>
  <c r="AE148" i="2"/>
  <c r="Z148" i="2"/>
  <c r="DE148" i="2"/>
  <c r="IR148" i="2"/>
  <c r="FR148" i="2"/>
  <c r="GE148" i="2"/>
  <c r="CP148" i="2"/>
  <c r="EW148" i="2"/>
  <c r="AU148" i="2"/>
  <c r="HW148" i="2"/>
  <c r="EB148" i="2"/>
  <c r="AL148" i="2"/>
  <c r="IY148" i="2"/>
  <c r="FX148" i="2"/>
  <c r="GF148" i="2"/>
  <c r="EI148" i="2"/>
  <c r="IU148" i="2"/>
  <c r="DZ148" i="2"/>
  <c r="IN148" i="2"/>
  <c r="HR148" i="2"/>
  <c r="HP148" i="2"/>
  <c r="AI148" i="2"/>
  <c r="FF148" i="2"/>
  <c r="CJ148" i="2"/>
  <c r="FJ148" i="2"/>
  <c r="CT148" i="2"/>
  <c r="HZ148" i="2"/>
  <c r="GT148" i="2"/>
  <c r="FC148" i="2"/>
  <c r="FZ148" i="2"/>
  <c r="CQ148" i="2"/>
  <c r="DY148" i="2"/>
  <c r="IV148" i="2"/>
  <c r="HV148" i="2"/>
  <c r="IW148" i="2"/>
  <c r="EM148" i="2"/>
  <c r="HE148" i="2"/>
  <c r="FL148" i="2"/>
  <c r="GY148" i="2"/>
  <c r="IO148" i="2"/>
  <c r="CF148" i="2"/>
  <c r="HD148" i="2"/>
  <c r="FH148" i="2"/>
  <c r="HH148" i="2"/>
  <c r="FO148" i="2"/>
  <c r="IK148" i="2"/>
  <c r="IQ148" i="2"/>
  <c r="EF148" i="2"/>
  <c r="ES148" i="2"/>
  <c r="HM148" i="2"/>
  <c r="FK148" i="2"/>
  <c r="IA148" i="2"/>
  <c r="GM148" i="2"/>
  <c r="EC148" i="2"/>
  <c r="GC148" i="2"/>
  <c r="GS148" i="2"/>
  <c r="BX148" i="2"/>
  <c r="GU148" i="2"/>
  <c r="EK148" i="2"/>
  <c r="IP148" i="2"/>
  <c r="DQ148" i="2"/>
  <c r="IJ148" i="2"/>
  <c r="HK148" i="2"/>
  <c r="DS148" i="2"/>
  <c r="DO148" i="2"/>
  <c r="DU148" i="2"/>
  <c r="GL148" i="2"/>
  <c r="FV148" i="2"/>
  <c r="CC148" i="2"/>
  <c r="EV148" i="2"/>
  <c r="IL148" i="2"/>
  <c r="N148" i="2"/>
  <c r="IF148" i="2"/>
  <c r="IX148" i="2"/>
  <c r="DB148" i="2"/>
  <c r="HA148" i="2"/>
  <c r="BD148" i="2"/>
  <c r="BZ148" i="2"/>
  <c r="T148" i="2"/>
  <c r="IE148" i="2"/>
  <c r="GH148" i="2"/>
  <c r="AZ148" i="2"/>
  <c r="DL148" i="2"/>
  <c r="HN148" i="2"/>
  <c r="ET148" i="2"/>
  <c r="BI148" i="2"/>
  <c r="DI148" i="2"/>
  <c r="CH148" i="2"/>
  <c r="CS148" i="2"/>
  <c r="BO148" i="2"/>
  <c r="HY148" i="2"/>
  <c r="GP148" i="2"/>
  <c r="HF148" i="2"/>
  <c r="CN148" i="2"/>
  <c r="GJ148" i="2"/>
  <c r="ID148" i="2"/>
  <c r="HJ148" i="2"/>
  <c r="B66" i="12"/>
  <c r="B64" i="12"/>
  <c r="B65" i="12" s="1"/>
  <c r="D171" i="2" a="1"/>
  <c r="B10" i="4"/>
  <c r="C77" i="5"/>
  <c r="C100" i="5" s="1"/>
  <c r="C115" i="5"/>
  <c r="C139" i="5"/>
  <c r="AO98" i="20"/>
  <c r="B103" i="20"/>
  <c r="B104" i="20" s="1"/>
  <c r="B108" i="20" s="1"/>
  <c r="C46" i="21"/>
  <c r="C47" i="21"/>
  <c r="U37" i="3"/>
  <c r="AG37" i="3"/>
  <c r="AC37" i="3"/>
  <c r="O37" i="3"/>
  <c r="O42" i="3" s="1"/>
  <c r="J37" i="3"/>
  <c r="J42" i="3" s="1"/>
  <c r="I37" i="3"/>
  <c r="I42" i="3" s="1"/>
  <c r="B100" i="20"/>
  <c r="B102" i="20" s="1"/>
  <c r="B101" i="20"/>
  <c r="AO101" i="20" s="1"/>
  <c r="IY160" i="2"/>
  <c r="FO160" i="2"/>
  <c r="IH160" i="2"/>
  <c r="EI160" i="2"/>
  <c r="Z160" i="2"/>
  <c r="N160" i="2"/>
  <c r="BZ160" i="2"/>
  <c r="GO160" i="2"/>
  <c r="GU160" i="2"/>
  <c r="EQ160" i="2"/>
  <c r="IN160" i="2"/>
  <c r="FK160" i="2"/>
  <c r="EO160" i="2"/>
  <c r="IU160" i="2"/>
  <c r="EB160" i="2"/>
  <c r="CX160" i="2"/>
  <c r="GM160" i="2"/>
  <c r="IW160" i="2"/>
  <c r="IR160" i="2"/>
  <c r="AE160" i="2"/>
  <c r="AZ160" i="2"/>
  <c r="DW160" i="2"/>
  <c r="DS160" i="2"/>
  <c r="AU160" i="2"/>
  <c r="FZ160" i="2"/>
  <c r="FG160" i="2"/>
  <c r="GS160" i="2"/>
  <c r="IF160" i="2"/>
  <c r="FF160" i="2"/>
  <c r="GB160" i="2"/>
  <c r="FX160" i="2"/>
  <c r="IP160" i="2"/>
  <c r="AI160" i="2"/>
  <c r="DY160" i="2"/>
  <c r="DB160" i="2"/>
  <c r="HB160" i="2"/>
  <c r="BS160" i="2"/>
  <c r="EW160" i="2"/>
  <c r="AN160" i="2"/>
  <c r="BI160" i="2"/>
  <c r="ET160" i="2"/>
  <c r="CC160" i="2"/>
  <c r="CQ160" i="2"/>
  <c r="DE160" i="2"/>
  <c r="CP160" i="2"/>
  <c r="HK160" i="2"/>
  <c r="GW160" i="2"/>
  <c r="CF160" i="2"/>
  <c r="ID160" i="2"/>
  <c r="HP160" i="2"/>
  <c r="IJ160" i="2"/>
  <c r="BG160" i="2"/>
  <c r="HJ160" i="2"/>
  <c r="FH160" i="2"/>
  <c r="IC160" i="2"/>
  <c r="FR160" i="2"/>
  <c r="HY160" i="2"/>
  <c r="CS160" i="2"/>
  <c r="DG160" i="2"/>
  <c r="II160" i="2"/>
  <c r="HN160" i="2"/>
  <c r="IA160" i="2"/>
  <c r="EM160" i="2"/>
  <c r="DQ160" i="2"/>
  <c r="DZ160" i="2"/>
  <c r="HI160" i="2"/>
  <c r="HO160" i="2"/>
  <c r="HF160" i="2"/>
  <c r="BO160" i="2"/>
  <c r="HW160" i="2"/>
  <c r="CT160" i="2"/>
  <c r="IK160" i="2"/>
  <c r="AP160" i="2"/>
  <c r="DO160" i="2"/>
  <c r="HT160" i="2"/>
  <c r="AL160" i="2"/>
  <c r="HZ160" i="2"/>
  <c r="GL160" i="2"/>
  <c r="IV160" i="2"/>
  <c r="EF160" i="2"/>
  <c r="IQ160" i="2"/>
  <c r="FD160" i="2"/>
  <c r="EV160" i="2"/>
  <c r="BX160" i="2"/>
  <c r="CN160" i="2"/>
  <c r="HH160" i="2"/>
  <c r="DL160" i="2"/>
  <c r="IS160" i="2"/>
  <c r="EK160" i="2"/>
  <c r="CL160" i="2"/>
  <c r="GY160" i="2"/>
  <c r="IX160" i="2"/>
  <c r="GT160" i="2"/>
  <c r="HR160" i="2"/>
  <c r="CJ160" i="2"/>
  <c r="GJ160" i="2"/>
  <c r="GQ160" i="2"/>
  <c r="FC160" i="2"/>
  <c r="FV160" i="2"/>
  <c r="DI160" i="2"/>
  <c r="GE160" i="2"/>
  <c r="GC160" i="2"/>
  <c r="GH160" i="2"/>
  <c r="IE160" i="2"/>
  <c r="HV160" i="2"/>
  <c r="HA160" i="2"/>
  <c r="FT160" i="2"/>
  <c r="BK160" i="2"/>
  <c r="T160" i="2"/>
  <c r="FJ160" i="2"/>
  <c r="IO160" i="2"/>
  <c r="FA160" i="2"/>
  <c r="HD160" i="2"/>
  <c r="EC160" i="2"/>
  <c r="BD160" i="2"/>
  <c r="BV160" i="2"/>
  <c r="GF160" i="2"/>
  <c r="GP160" i="2"/>
  <c r="IL160" i="2"/>
  <c r="HM160" i="2"/>
  <c r="DU160" i="2"/>
  <c r="HE160" i="2"/>
  <c r="ES160" i="2"/>
  <c r="CH160" i="2"/>
  <c r="EY160" i="2"/>
  <c r="FL160" i="2"/>
  <c r="C110" i="5" l="1"/>
  <c r="C74" i="5"/>
  <c r="AP74" i="5" s="1"/>
  <c r="AO10" i="4"/>
  <c r="B17" i="3"/>
  <c r="L47" i="3"/>
  <c r="L48" i="3" s="1"/>
  <c r="D58" i="26"/>
  <c r="D229" i="26"/>
  <c r="D62" i="26"/>
  <c r="D144" i="26"/>
  <c r="D33" i="26"/>
  <c r="D111" i="26"/>
  <c r="D139" i="26"/>
  <c r="D61" i="26"/>
  <c r="D79" i="26"/>
  <c r="D86" i="26"/>
  <c r="D174" i="26"/>
  <c r="D128" i="26"/>
  <c r="D150" i="26"/>
  <c r="D236" i="26"/>
  <c r="D210" i="26"/>
  <c r="D34" i="26"/>
  <c r="D126" i="26"/>
  <c r="D240" i="26"/>
  <c r="D69" i="26"/>
  <c r="D72" i="26"/>
  <c r="D54" i="26"/>
  <c r="D118" i="26"/>
  <c r="D112" i="26"/>
  <c r="D36" i="26"/>
  <c r="D19" i="26"/>
  <c r="D122" i="26"/>
  <c r="D162" i="26"/>
  <c r="D50" i="26"/>
  <c r="D76" i="26"/>
  <c r="D108" i="26"/>
  <c r="D197" i="26"/>
  <c r="D169" i="26"/>
  <c r="D41" i="26"/>
  <c r="D127" i="26"/>
  <c r="D156" i="26"/>
  <c r="D239" i="26"/>
  <c r="D242" i="26"/>
  <c r="D222" i="26"/>
  <c r="D171" i="26"/>
  <c r="D206" i="26"/>
  <c r="D30" i="26"/>
  <c r="D35" i="26"/>
  <c r="D90" i="26"/>
  <c r="D178" i="26"/>
  <c r="D246" i="26"/>
  <c r="D257" i="26"/>
  <c r="D244" i="26"/>
  <c r="D129" i="26"/>
  <c r="D255" i="26"/>
  <c r="D254" i="26"/>
  <c r="D205" i="26"/>
  <c r="D137" i="26"/>
  <c r="D188" i="26"/>
  <c r="D256" i="26"/>
  <c r="D159" i="26"/>
  <c r="D253" i="26"/>
  <c r="D153" i="26"/>
  <c r="D134" i="26"/>
  <c r="D175" i="26"/>
  <c r="D263" i="26"/>
  <c r="D133" i="26"/>
  <c r="D167" i="26"/>
  <c r="D261" i="26"/>
  <c r="D198" i="26"/>
  <c r="D247" i="26"/>
  <c r="D262" i="26"/>
  <c r="D201" i="26"/>
  <c r="D189" i="26"/>
  <c r="D218" i="26"/>
  <c r="D184" i="26"/>
  <c r="D101" i="26"/>
  <c r="D161" i="26"/>
  <c r="D186" i="26"/>
  <c r="D249" i="26"/>
  <c r="D154" i="26"/>
  <c r="D226" i="26"/>
  <c r="D92" i="26"/>
  <c r="D42" i="26"/>
  <c r="D18" i="26"/>
  <c r="D191" i="26"/>
  <c r="D194" i="26"/>
  <c r="D65" i="26"/>
  <c r="D232" i="26"/>
  <c r="D252" i="26"/>
  <c r="D80" i="26"/>
  <c r="D85" i="26"/>
  <c r="D149" i="26"/>
  <c r="D113" i="26"/>
  <c r="D44" i="26"/>
  <c r="D96" i="26"/>
  <c r="D235" i="26"/>
  <c r="D260" i="26"/>
  <c r="D203" i="26"/>
  <c r="D259" i="26"/>
  <c r="D98" i="26"/>
  <c r="L43" i="3"/>
  <c r="L44" i="3"/>
  <c r="AK42" i="3"/>
  <c r="F42" i="3"/>
  <c r="K42" i="3"/>
  <c r="AC42" i="3"/>
  <c r="AM42" i="3"/>
  <c r="AI42" i="3"/>
  <c r="H42" i="3"/>
  <c r="AG42" i="3"/>
  <c r="AH42" i="3"/>
  <c r="U42" i="3"/>
  <c r="N42" i="3"/>
  <c r="AL42" i="3"/>
  <c r="M37" i="3"/>
  <c r="M41" i="4"/>
  <c r="S37" i="3"/>
  <c r="S41" i="4"/>
  <c r="AD37" i="3"/>
  <c r="AD41" i="4"/>
  <c r="V37" i="3"/>
  <c r="V41" i="4"/>
  <c r="E37" i="3"/>
  <c r="E41" i="4"/>
  <c r="AF37" i="3"/>
  <c r="AF41" i="4"/>
  <c r="P37" i="3"/>
  <c r="P41" i="4"/>
  <c r="C111" i="5"/>
  <c r="C112" i="5" s="1"/>
  <c r="C113" i="5" s="1"/>
  <c r="AA37" i="3"/>
  <c r="D37" i="3"/>
  <c r="W37" i="3"/>
  <c r="AN37" i="3"/>
  <c r="C37" i="3"/>
  <c r="G37" i="3"/>
  <c r="X37" i="3"/>
  <c r="AJ37" i="3"/>
  <c r="AB37" i="3"/>
  <c r="AE37" i="3"/>
  <c r="T37" i="3"/>
  <c r="T42" i="3" s="1"/>
  <c r="Q37" i="3"/>
  <c r="Q42" i="3" s="1"/>
  <c r="Y37" i="3"/>
  <c r="Y42" i="3" s="1"/>
  <c r="Z43" i="3"/>
  <c r="Z44" i="3"/>
  <c r="Z47" i="3"/>
  <c r="R47" i="3"/>
  <c r="R43" i="3"/>
  <c r="R44" i="3"/>
  <c r="G243" i="2"/>
  <c r="H243" i="2"/>
  <c r="D131" i="26"/>
  <c r="D168" i="26"/>
  <c r="D124" i="26"/>
  <c r="D117" i="26"/>
  <c r="D196" i="26"/>
  <c r="D75" i="26"/>
  <c r="D89" i="26"/>
  <c r="D43" i="26"/>
  <c r="D228" i="26"/>
  <c r="D82" i="26"/>
  <c r="D23" i="26"/>
  <c r="D20" i="26"/>
  <c r="D158" i="26"/>
  <c r="D195" i="26"/>
  <c r="D39" i="26"/>
  <c r="D120" i="26"/>
  <c r="D243" i="26"/>
  <c r="D211" i="26"/>
  <c r="D70" i="26"/>
  <c r="D250" i="26"/>
  <c r="D32" i="26"/>
  <c r="D110" i="26"/>
  <c r="D170" i="26"/>
  <c r="D130" i="26"/>
  <c r="D28" i="26"/>
  <c r="D152" i="26"/>
  <c r="D237" i="26"/>
  <c r="D87" i="26"/>
  <c r="D214" i="26"/>
  <c r="D102" i="26"/>
  <c r="D84" i="26"/>
  <c r="D166" i="26"/>
  <c r="D190" i="26"/>
  <c r="D177" i="26"/>
  <c r="D225" i="26"/>
  <c r="D123" i="26"/>
  <c r="D125" i="26"/>
  <c r="D138" i="26"/>
  <c r="D52" i="26"/>
  <c r="D104" i="26"/>
  <c r="D215" i="26"/>
  <c r="D157" i="26"/>
  <c r="D135" i="26"/>
  <c r="C160" i="2"/>
  <c r="D147" i="26"/>
  <c r="D172" i="26"/>
  <c r="D213" i="26"/>
  <c r="D71" i="26"/>
  <c r="D234" i="26"/>
  <c r="D180" i="26"/>
  <c r="D66" i="26"/>
  <c r="D187" i="26"/>
  <c r="D207" i="26"/>
  <c r="D199" i="26"/>
  <c r="D22" i="26"/>
  <c r="D200" i="26"/>
  <c r="D46" i="26"/>
  <c r="D145" i="26"/>
  <c r="D63" i="26"/>
  <c r="D155" i="26"/>
  <c r="D192" i="26"/>
  <c r="D245" i="26"/>
  <c r="D151" i="26"/>
  <c r="D95" i="26"/>
  <c r="D51" i="26"/>
  <c r="D64" i="26"/>
  <c r="D143" i="26"/>
  <c r="D14" i="26"/>
  <c r="D93" i="26"/>
  <c r="D230" i="26"/>
  <c r="D224" i="26"/>
  <c r="D163" i="26"/>
  <c r="D136" i="26"/>
  <c r="D103" i="26"/>
  <c r="D53" i="26"/>
  <c r="D115" i="26"/>
  <c r="D173" i="26"/>
  <c r="D238" i="26"/>
  <c r="D16" i="26"/>
  <c r="D204" i="26"/>
  <c r="D209" i="26"/>
  <c r="D97" i="26"/>
  <c r="D38" i="26"/>
  <c r="D221" i="26"/>
  <c r="D140" i="26"/>
  <c r="D47" i="26"/>
  <c r="D193" i="26"/>
  <c r="D141" i="26"/>
  <c r="D185" i="26"/>
  <c r="D116" i="26"/>
  <c r="D45" i="26"/>
  <c r="D106" i="26"/>
  <c r="D223" i="26"/>
  <c r="D231" i="26"/>
  <c r="D183" i="26"/>
  <c r="D121" i="26"/>
  <c r="D67" i="26"/>
  <c r="D99" i="26"/>
  <c r="D24" i="26"/>
  <c r="D217" i="26"/>
  <c r="D59" i="26"/>
  <c r="D220" i="26"/>
  <c r="D219" i="26"/>
  <c r="D164" i="26"/>
  <c r="D227" i="26"/>
  <c r="D176" i="26"/>
  <c r="D216" i="26"/>
  <c r="D83" i="26"/>
  <c r="D142" i="26"/>
  <c r="D94" i="26"/>
  <c r="D202" i="26"/>
  <c r="D78" i="26"/>
  <c r="D91" i="26"/>
  <c r="D29" i="26"/>
  <c r="D56" i="26"/>
  <c r="D27" i="26"/>
  <c r="D160" i="26"/>
  <c r="D241" i="26"/>
  <c r="D248" i="26"/>
  <c r="D119" i="26"/>
  <c r="D74" i="26"/>
  <c r="D182" i="26"/>
  <c r="D55" i="26"/>
  <c r="D88" i="26"/>
  <c r="D146" i="26"/>
  <c r="D233" i="26"/>
  <c r="D60" i="26"/>
  <c r="B67" i="12"/>
  <c r="B69" i="12"/>
  <c r="B68" i="12"/>
  <c r="M171" i="2"/>
  <c r="L171" i="2"/>
  <c r="F171" i="2"/>
  <c r="E171" i="2"/>
  <c r="G171" i="2"/>
  <c r="K171" i="2"/>
  <c r="D171" i="2"/>
  <c r="I171" i="2"/>
  <c r="H171" i="2"/>
  <c r="J171" i="2"/>
  <c r="B6" i="4"/>
  <c r="AO53" i="12"/>
  <c r="C102" i="5"/>
  <c r="AP102" i="5" s="1"/>
  <c r="C132" i="5"/>
  <c r="C135" i="5"/>
  <c r="C124" i="5"/>
  <c r="C119" i="5"/>
  <c r="C127" i="5"/>
  <c r="C138" i="5"/>
  <c r="B105" i="20"/>
  <c r="B106" i="20"/>
  <c r="B107" i="20" s="1"/>
  <c r="O43" i="3"/>
  <c r="O47" i="3"/>
  <c r="O48" i="3" s="1"/>
  <c r="O44" i="3"/>
  <c r="I44" i="3"/>
  <c r="I43" i="3"/>
  <c r="I47" i="3"/>
  <c r="I48" i="3" s="1"/>
  <c r="J43" i="3"/>
  <c r="J44" i="3"/>
  <c r="J47" i="3"/>
  <c r="J48" i="3" s="1"/>
  <c r="AO102" i="20"/>
  <c r="B20" i="18"/>
  <c r="AO108" i="20"/>
  <c r="AP108" i="20" s="1"/>
  <c r="C171" i="2" l="1"/>
  <c r="AO6" i="4"/>
  <c r="B13" i="3"/>
  <c r="B21" i="3" s="1"/>
  <c r="B22" i="3" s="1"/>
  <c r="B23" i="3" s="1"/>
  <c r="L49" i="3"/>
  <c r="AC47" i="3"/>
  <c r="AC48" i="3" s="1"/>
  <c r="K44" i="3"/>
  <c r="H44" i="3"/>
  <c r="AI47" i="3"/>
  <c r="AI48" i="3" s="1"/>
  <c r="AM43" i="3"/>
  <c r="N43" i="3"/>
  <c r="U47" i="3"/>
  <c r="U49" i="3" s="1"/>
  <c r="F43" i="3"/>
  <c r="AH44" i="3"/>
  <c r="AK44" i="3"/>
  <c r="AG44" i="3"/>
  <c r="L50" i="3"/>
  <c r="B4" i="26"/>
  <c r="U43" i="3"/>
  <c r="U44" i="3"/>
  <c r="F44" i="3"/>
  <c r="AC44" i="3"/>
  <c r="AG47" i="3"/>
  <c r="AG48" i="3" s="1"/>
  <c r="H43" i="3"/>
  <c r="K43" i="3"/>
  <c r="F47" i="3"/>
  <c r="F50" i="3" s="1"/>
  <c r="AH43" i="3"/>
  <c r="AM44" i="3"/>
  <c r="K47" i="3"/>
  <c r="K48" i="3" s="1"/>
  <c r="H47" i="3"/>
  <c r="H48" i="3" s="1"/>
  <c r="AH47" i="3"/>
  <c r="AH49" i="3" s="1"/>
  <c r="N44" i="3"/>
  <c r="N47" i="3"/>
  <c r="N48" i="3" s="1"/>
  <c r="AM47" i="3"/>
  <c r="AM50" i="3" s="1"/>
  <c r="AB42" i="3"/>
  <c r="V42" i="3"/>
  <c r="AC43" i="3"/>
  <c r="C42" i="3"/>
  <c r="AK43" i="3"/>
  <c r="AN42" i="3"/>
  <c r="AA42" i="3"/>
  <c r="P42" i="3"/>
  <c r="AD42" i="3"/>
  <c r="G42" i="3"/>
  <c r="AL44" i="3"/>
  <c r="AL43" i="3"/>
  <c r="AL47" i="3"/>
  <c r="AG43" i="3"/>
  <c r="AK47" i="3"/>
  <c r="AK48" i="3" s="1"/>
  <c r="W42" i="3"/>
  <c r="AI43" i="3"/>
  <c r="AI44" i="3"/>
  <c r="AF42" i="3"/>
  <c r="S42" i="3"/>
  <c r="AJ42" i="3"/>
  <c r="AE42" i="3"/>
  <c r="X42" i="3"/>
  <c r="D42" i="3"/>
  <c r="E42" i="3"/>
  <c r="M42" i="3"/>
  <c r="Y44" i="3"/>
  <c r="Y43" i="3"/>
  <c r="Y47" i="3"/>
  <c r="Q43" i="3"/>
  <c r="Q44" i="3"/>
  <c r="Q47" i="3"/>
  <c r="T44" i="3"/>
  <c r="T47" i="3"/>
  <c r="T43" i="3"/>
  <c r="R48" i="3"/>
  <c r="R49" i="3"/>
  <c r="R50" i="3"/>
  <c r="Z48" i="3"/>
  <c r="Z50" i="3"/>
  <c r="Z49" i="3"/>
  <c r="B70" i="12"/>
  <c r="B71" i="12" s="1"/>
  <c r="B20" i="4" s="1"/>
  <c r="B14" i="4"/>
  <c r="AO14" i="4" s="1"/>
  <c r="C141" i="5"/>
  <c r="C142" i="5" s="1"/>
  <c r="AP142" i="5" s="1"/>
  <c r="C26" i="2" s="1"/>
  <c r="C128" i="5"/>
  <c r="C129" i="5" s="1"/>
  <c r="C144" i="5" s="1"/>
  <c r="O50" i="3"/>
  <c r="O49" i="3"/>
  <c r="I49" i="3"/>
  <c r="I50" i="3"/>
  <c r="J49" i="3"/>
  <c r="J50" i="3"/>
  <c r="B23" i="18"/>
  <c r="B25" i="18"/>
  <c r="B21" i="18"/>
  <c r="B22" i="18" s="1"/>
  <c r="B24" i="18"/>
  <c r="L51" i="3" l="1"/>
  <c r="L53" i="3" s="1"/>
  <c r="AC49" i="3"/>
  <c r="AI50" i="3"/>
  <c r="AC50" i="3"/>
  <c r="AI49" i="3"/>
  <c r="O51" i="3"/>
  <c r="O53" i="3" s="1"/>
  <c r="U48" i="3"/>
  <c r="I51" i="3"/>
  <c r="I53" i="3" s="1"/>
  <c r="M44" i="3"/>
  <c r="AJ44" i="3"/>
  <c r="AA43" i="3"/>
  <c r="J51" i="3"/>
  <c r="J53" i="3" s="1"/>
  <c r="R51" i="3"/>
  <c r="R53" i="3" s="1"/>
  <c r="S44" i="3"/>
  <c r="AN43" i="3"/>
  <c r="AF44" i="3"/>
  <c r="U50" i="3"/>
  <c r="C43" i="3"/>
  <c r="E44" i="3"/>
  <c r="D47" i="3"/>
  <c r="D49" i="3" s="1"/>
  <c r="W44" i="3"/>
  <c r="G43" i="3"/>
  <c r="V44" i="3"/>
  <c r="Z51" i="3"/>
  <c r="Z53" i="3" s="1"/>
  <c r="X44" i="3"/>
  <c r="AD43" i="3"/>
  <c r="AB43" i="3"/>
  <c r="AE44" i="3"/>
  <c r="P44" i="3"/>
  <c r="F48" i="3"/>
  <c r="AG49" i="3"/>
  <c r="AE47" i="3"/>
  <c r="AE49" i="3" s="1"/>
  <c r="AG50" i="3"/>
  <c r="V47" i="3"/>
  <c r="V48" i="3" s="1"/>
  <c r="V43" i="3"/>
  <c r="AF47" i="3"/>
  <c r="AF48" i="3" s="1"/>
  <c r="X47" i="3"/>
  <c r="X48" i="3" s="1"/>
  <c r="K50" i="3"/>
  <c r="F49" i="3"/>
  <c r="H49" i="3"/>
  <c r="N49" i="3"/>
  <c r="AJ47" i="3"/>
  <c r="AJ48" i="3" s="1"/>
  <c r="AH48" i="3"/>
  <c r="AJ43" i="3"/>
  <c r="H50" i="3"/>
  <c r="AM49" i="3"/>
  <c r="AH50" i="3"/>
  <c r="K49" i="3"/>
  <c r="P43" i="3"/>
  <c r="AM48" i="3"/>
  <c r="AN44" i="3"/>
  <c r="W47" i="3"/>
  <c r="W50" i="3" s="1"/>
  <c r="N50" i="3"/>
  <c r="AA44" i="3"/>
  <c r="P47" i="3"/>
  <c r="P48" i="3" s="1"/>
  <c r="W43" i="3"/>
  <c r="AA47" i="3"/>
  <c r="AA48" i="3" s="1"/>
  <c r="S43" i="3"/>
  <c r="G47" i="3"/>
  <c r="AB44" i="3"/>
  <c r="AB47" i="3"/>
  <c r="AF43" i="3"/>
  <c r="AK50" i="3"/>
  <c r="X43" i="3"/>
  <c r="G44" i="3"/>
  <c r="C47" i="3"/>
  <c r="C48" i="3" s="1"/>
  <c r="C44" i="3"/>
  <c r="AE43" i="3"/>
  <c r="D44" i="3"/>
  <c r="E43" i="3"/>
  <c r="E47" i="3"/>
  <c r="D43" i="3"/>
  <c r="S47" i="3"/>
  <c r="AN47" i="3"/>
  <c r="AD47" i="3"/>
  <c r="M43" i="3"/>
  <c r="M47" i="3"/>
  <c r="AK49" i="3"/>
  <c r="AL48" i="3"/>
  <c r="AL50" i="3"/>
  <c r="AL49" i="3"/>
  <c r="AD44" i="3"/>
  <c r="Q48" i="3"/>
  <c r="Q49" i="3"/>
  <c r="Q50" i="3"/>
  <c r="Y48" i="3"/>
  <c r="Y50" i="3"/>
  <c r="Y49" i="3"/>
  <c r="T49" i="3"/>
  <c r="T50" i="3"/>
  <c r="T48" i="3"/>
  <c r="C146" i="5"/>
  <c r="AO21" i="3"/>
  <c r="AO71" i="12"/>
  <c r="AP71" i="12" s="1"/>
  <c r="B33" i="4"/>
  <c r="AO20" i="4"/>
  <c r="B26" i="18"/>
  <c r="B27" i="18" s="1"/>
  <c r="AC51" i="3" l="1"/>
  <c r="AC53" i="3" s="1"/>
  <c r="AI51" i="3"/>
  <c r="AI53" i="3" s="1"/>
  <c r="AM51" i="3"/>
  <c r="AM53" i="3" s="1"/>
  <c r="N51" i="3"/>
  <c r="N53" i="3" s="1"/>
  <c r="U51" i="3"/>
  <c r="U53" i="3" s="1"/>
  <c r="K51" i="3"/>
  <c r="K53" i="3" s="1"/>
  <c r="H51" i="3"/>
  <c r="H53" i="3" s="1"/>
  <c r="T51" i="3"/>
  <c r="T53" i="3" s="1"/>
  <c r="AK51" i="3"/>
  <c r="AK53" i="3" s="1"/>
  <c r="AH51" i="3"/>
  <c r="AH53" i="3" s="1"/>
  <c r="Y51" i="3"/>
  <c r="Y53" i="3" s="1"/>
  <c r="AG51" i="3"/>
  <c r="AG53" i="3" s="1"/>
  <c r="Q51" i="3"/>
  <c r="Q53" i="3" s="1"/>
  <c r="AL51" i="3"/>
  <c r="AL53" i="3" s="1"/>
  <c r="D48" i="3"/>
  <c r="F51" i="3"/>
  <c r="F53" i="3" s="1"/>
  <c r="D50" i="3"/>
  <c r="C147" i="5"/>
  <c r="B27" i="4" s="1"/>
  <c r="C150" i="5"/>
  <c r="C151" i="5" s="1"/>
  <c r="AE48" i="3"/>
  <c r="AE50" i="3"/>
  <c r="V49" i="3"/>
  <c r="V50" i="3"/>
  <c r="AF50" i="3"/>
  <c r="AJ50" i="3"/>
  <c r="AF49" i="3"/>
  <c r="P49" i="3"/>
  <c r="X49" i="3"/>
  <c r="X50" i="3"/>
  <c r="W48" i="3"/>
  <c r="AJ49" i="3"/>
  <c r="AA50" i="3"/>
  <c r="W49" i="3"/>
  <c r="AA49" i="3"/>
  <c r="P50" i="3"/>
  <c r="AN48" i="3"/>
  <c r="AN50" i="3"/>
  <c r="AN49" i="3"/>
  <c r="S48" i="3"/>
  <c r="S49" i="3"/>
  <c r="S50" i="3"/>
  <c r="G48" i="3"/>
  <c r="G50" i="3"/>
  <c r="G49" i="3"/>
  <c r="C49" i="3"/>
  <c r="M49" i="3"/>
  <c r="M50" i="3"/>
  <c r="M48" i="3"/>
  <c r="C50" i="3"/>
  <c r="E48" i="3"/>
  <c r="E50" i="3"/>
  <c r="E49" i="3"/>
  <c r="AD48" i="3"/>
  <c r="AD49" i="3"/>
  <c r="AD50" i="3"/>
  <c r="AB50" i="3"/>
  <c r="AB49" i="3"/>
  <c r="AB48" i="3"/>
  <c r="AO33" i="4"/>
  <c r="B34" i="3"/>
  <c r="AO34" i="3" s="1"/>
  <c r="B83" i="2"/>
  <c r="E66" i="2"/>
  <c r="K20" i="30" s="1"/>
  <c r="P55" i="30" s="1"/>
  <c r="J219" i="2"/>
  <c r="H219" i="2"/>
  <c r="E219" i="2"/>
  <c r="G219" i="2"/>
  <c r="M219" i="2"/>
  <c r="M237" i="2" s="1"/>
  <c r="F219" i="2"/>
  <c r="D219" i="2"/>
  <c r="K219" i="2"/>
  <c r="I219" i="2"/>
  <c r="L219" i="2"/>
  <c r="AO27" i="18"/>
  <c r="AP27" i="18" s="1"/>
  <c r="B26" i="3"/>
  <c r="B27" i="3" s="1"/>
  <c r="B29" i="3" s="1"/>
  <c r="AO29" i="3" s="1"/>
  <c r="B25" i="4" l="1"/>
  <c r="AO25" i="4" s="1"/>
  <c r="B26" i="4"/>
  <c r="AO27" i="4"/>
  <c r="B24" i="4"/>
  <c r="V51" i="3"/>
  <c r="V53" i="3" s="1"/>
  <c r="AJ51" i="3"/>
  <c r="AJ53" i="3" s="1"/>
  <c r="AF51" i="3"/>
  <c r="AF53" i="3" s="1"/>
  <c r="C51" i="3"/>
  <c r="C53" i="3" s="1"/>
  <c r="W51" i="3"/>
  <c r="W53" i="3" s="1"/>
  <c r="AB51" i="3"/>
  <c r="AB53" i="3" s="1"/>
  <c r="X51" i="3"/>
  <c r="X53" i="3" s="1"/>
  <c r="S51" i="3"/>
  <c r="S53" i="3" s="1"/>
  <c r="AA51" i="3"/>
  <c r="AA53" i="3" s="1"/>
  <c r="P51" i="3"/>
  <c r="P53" i="3" s="1"/>
  <c r="D51" i="3"/>
  <c r="D53" i="3" s="1"/>
  <c r="AD51" i="3"/>
  <c r="AD53" i="3" s="1"/>
  <c r="AE51" i="3"/>
  <c r="AE53" i="3" s="1"/>
  <c r="AN51" i="3"/>
  <c r="AN53" i="3" s="1"/>
  <c r="E51" i="3"/>
  <c r="E53" i="3" s="1"/>
  <c r="G51" i="3"/>
  <c r="G53" i="3" s="1"/>
  <c r="M51" i="3"/>
  <c r="M53" i="3" s="1"/>
  <c r="C148" i="5"/>
  <c r="B18" i="4" s="1"/>
  <c r="B32" i="3" s="1"/>
  <c r="B23" i="4"/>
  <c r="AO23" i="4" s="1"/>
  <c r="C152" i="5"/>
  <c r="K237" i="2"/>
  <c r="I237" i="2"/>
  <c r="G237" i="2"/>
  <c r="J237" i="2"/>
  <c r="D237" i="2"/>
  <c r="L237" i="2"/>
  <c r="F237" i="2"/>
  <c r="H237" i="2"/>
  <c r="E237" i="2"/>
  <c r="AO32" i="3" l="1"/>
  <c r="B38" i="4"/>
  <c r="B40" i="4"/>
  <c r="AO26" i="4"/>
  <c r="B39" i="4"/>
  <c r="B37" i="4"/>
  <c r="AO24" i="4"/>
  <c r="B36" i="4"/>
  <c r="B31" i="4"/>
  <c r="AO18" i="4"/>
  <c r="AO40" i="4" l="1"/>
  <c r="B39" i="3"/>
  <c r="AO39" i="3" s="1"/>
  <c r="AO36" i="4"/>
  <c r="B41" i="3"/>
  <c r="AO41" i="3" s="1"/>
  <c r="AO38" i="4"/>
  <c r="B40" i="3"/>
  <c r="AO40" i="3" s="1"/>
  <c r="AO39" i="4"/>
  <c r="B37" i="3"/>
  <c r="B38" i="3"/>
  <c r="AO38" i="3" s="1"/>
  <c r="AO37" i="4"/>
  <c r="AO31" i="4"/>
  <c r="B28" i="4"/>
  <c r="B30" i="3" s="1"/>
  <c r="AO37" i="3" l="1"/>
  <c r="B41" i="4"/>
  <c r="AO41" i="4" s="1"/>
  <c r="AO33" i="3"/>
  <c r="B42" i="3"/>
  <c r="AO42" i="3" s="1"/>
  <c r="AO28" i="4"/>
  <c r="B43" i="3" l="1"/>
  <c r="B44" i="3"/>
  <c r="AO44" i="3" s="1"/>
  <c r="B47" i="3"/>
  <c r="B48" i="3" s="1"/>
  <c r="B49" i="3" l="1"/>
  <c r="AO49" i="3" s="1"/>
  <c r="B50" i="3"/>
  <c r="AO50" i="3" s="1"/>
  <c r="AO48" i="3"/>
  <c r="C173" i="2" l="1"/>
  <c r="C16" i="29" s="1"/>
  <c r="B51" i="3"/>
  <c r="AO51" i="3" s="1"/>
  <c r="AO53" i="3" s="1"/>
  <c r="B53" i="3" l="1"/>
  <c r="AO72" i="12"/>
  <c r="G226" i="2" s="1"/>
  <c r="AO12" i="12"/>
  <c r="G227" i="2" l="1"/>
  <c r="G245" i="2" s="1"/>
  <c r="G244" i="2"/>
  <c r="B74" i="12"/>
  <c r="B121" i="12"/>
  <c r="B76" i="12" l="1"/>
  <c r="B75" i="12"/>
  <c r="B77" i="12" l="1"/>
  <c r="B78" i="12" s="1"/>
  <c r="B81" i="12" l="1"/>
  <c r="B82" i="12"/>
  <c r="B83" i="12"/>
  <c r="B80" i="12"/>
  <c r="B96" i="12" l="1"/>
  <c r="B102" i="12" s="1"/>
  <c r="B97" i="12"/>
  <c r="B103" i="12" s="1"/>
  <c r="B95" i="12"/>
  <c r="B101" i="12" s="1"/>
  <c r="X145" i="13"/>
  <c r="B94" i="12"/>
  <c r="B100" i="12" s="1"/>
  <c r="B118" i="12"/>
  <c r="B92" i="12"/>
  <c r="B98" i="12" l="1"/>
  <c r="AO98" i="12" s="1"/>
  <c r="B115" i="12"/>
  <c r="B114" i="12"/>
  <c r="B119" i="12"/>
  <c r="B120" i="12" s="1"/>
  <c r="B122" i="12" s="1"/>
  <c r="AO122" i="12" s="1"/>
  <c r="B112" i="12"/>
  <c r="C175" i="2" l="1"/>
  <c r="C174" i="2" s="1"/>
  <c r="C15" i="29" s="1"/>
  <c r="P54" i="30" s="1"/>
  <c r="K240" i="2"/>
  <c r="I239" i="2"/>
  <c r="E242" i="2"/>
  <c r="L239" i="2"/>
  <c r="M240" i="2"/>
  <c r="L224" i="2"/>
  <c r="L242" i="2" s="1"/>
  <c r="H239" i="2"/>
  <c r="M224" i="2"/>
  <c r="M242" i="2" s="1"/>
  <c r="H224" i="2"/>
  <c r="H242" i="2" s="1"/>
  <c r="G239" i="2"/>
  <c r="F224" i="2"/>
  <c r="F242" i="2" s="1"/>
  <c r="I224" i="2"/>
  <c r="I242" i="2" s="1"/>
  <c r="G224" i="2"/>
  <c r="G242" i="2" s="1"/>
  <c r="G240" i="2"/>
  <c r="J224" i="2"/>
  <c r="J242" i="2" s="1"/>
  <c r="J240" i="2"/>
  <c r="H240" i="2"/>
  <c r="K224" i="2"/>
  <c r="K242" i="2" s="1"/>
  <c r="F240" i="2"/>
  <c r="J239" i="2"/>
  <c r="M239" i="2"/>
  <c r="K239" i="2"/>
  <c r="F239" i="2"/>
  <c r="L240" i="2"/>
  <c r="I240" i="2"/>
  <c r="F243" i="2"/>
  <c r="G10" i="2" l="1" a="1"/>
  <c r="J10" i="2" s="1"/>
  <c r="C25" i="2" l="1"/>
  <c r="Q11" i="2"/>
  <c r="K13" i="2"/>
  <c r="E9" i="30" s="1"/>
  <c r="I11" i="2"/>
  <c r="K11" i="2"/>
  <c r="E7" i="30" s="1"/>
  <c r="G11" i="2"/>
  <c r="N10" i="2"/>
  <c r="G12" i="2"/>
  <c r="G10" i="2"/>
  <c r="L11" i="2"/>
  <c r="M10" i="2"/>
  <c r="J11" i="2"/>
  <c r="O10" i="2"/>
  <c r="G15" i="2"/>
  <c r="H17" i="2"/>
  <c r="L18" i="2"/>
  <c r="G19" i="2"/>
  <c r="P18" i="2"/>
  <c r="K19" i="2"/>
  <c r="E15" i="30" s="1"/>
  <c r="P13" i="2"/>
  <c r="M16" i="2"/>
  <c r="G13" i="2"/>
  <c r="I12" i="2"/>
  <c r="J14" i="2"/>
  <c r="L15" i="2"/>
  <c r="G18" i="2"/>
  <c r="J19" i="2"/>
  <c r="P19" i="2"/>
  <c r="O15" i="2"/>
  <c r="H14" i="2"/>
  <c r="H18" i="2"/>
  <c r="I10" i="2"/>
  <c r="J16" i="2"/>
  <c r="Q10" i="2"/>
  <c r="P12" i="2"/>
  <c r="O12" i="2"/>
  <c r="O18" i="2"/>
  <c r="I17" i="2"/>
  <c r="O16" i="2"/>
  <c r="G14" i="2"/>
  <c r="I13" i="2"/>
  <c r="I18" i="2"/>
  <c r="P10" i="2"/>
  <c r="H15" i="2"/>
  <c r="Q12" i="2"/>
  <c r="J18" i="2"/>
  <c r="H12" i="2"/>
  <c r="O11" i="2"/>
  <c r="N15" i="2"/>
  <c r="J17" i="2"/>
  <c r="I14" i="2"/>
  <c r="N19" i="2"/>
  <c r="M13" i="2"/>
  <c r="H19" i="2"/>
  <c r="Q17" i="2"/>
  <c r="L19" i="2"/>
  <c r="K12" i="2"/>
  <c r="E8" i="30" s="1"/>
  <c r="P14" i="2"/>
  <c r="H11" i="2"/>
  <c r="K14" i="2"/>
  <c r="E10" i="30" s="1"/>
  <c r="L12" i="2"/>
  <c r="P15" i="2"/>
  <c r="L10" i="2"/>
  <c r="K18" i="2"/>
  <c r="E14" i="30" s="1"/>
  <c r="N17" i="2"/>
  <c r="J15" i="2"/>
  <c r="N12" i="2"/>
  <c r="N18" i="2"/>
  <c r="J12" i="2"/>
  <c r="Q19" i="2"/>
  <c r="M19" i="2"/>
  <c r="Q15" i="2"/>
  <c r="H10" i="2"/>
  <c r="N11" i="2"/>
  <c r="N16" i="2"/>
  <c r="Q14" i="2"/>
  <c r="M12" i="2"/>
  <c r="P17" i="2"/>
  <c r="M15" i="2"/>
  <c r="G16" i="2"/>
  <c r="O19" i="2"/>
  <c r="M17" i="2"/>
  <c r="Q16" i="2"/>
  <c r="I19" i="2"/>
  <c r="O14" i="2"/>
  <c r="M11" i="2"/>
  <c r="L14" i="2"/>
  <c r="M14" i="2"/>
  <c r="Q13" i="2"/>
  <c r="L17" i="2"/>
  <c r="P11" i="2"/>
  <c r="K10" i="2"/>
  <c r="E6" i="30" s="1"/>
  <c r="M18" i="2"/>
  <c r="K15" i="2"/>
  <c r="E11" i="30" s="1"/>
  <c r="H16" i="2"/>
  <c r="L16" i="2"/>
  <c r="N13" i="2"/>
  <c r="O13" i="2"/>
  <c r="G17" i="2"/>
  <c r="H13" i="2"/>
  <c r="I16" i="2"/>
  <c r="N14" i="2"/>
  <c r="L13" i="2"/>
  <c r="P16" i="2"/>
  <c r="O17" i="2"/>
  <c r="I15" i="2"/>
  <c r="J13" i="2"/>
  <c r="K16" i="2"/>
  <c r="E12" i="30" s="1"/>
  <c r="Q18" i="2"/>
  <c r="K17" i="2"/>
  <c r="E13" i="30" s="1"/>
  <c r="C13" i="29" l="1"/>
  <c r="P52" i="30" s="1"/>
  <c r="P51" i="30" s="1"/>
  <c r="C27" i="2"/>
  <c r="I20" i="2"/>
  <c r="C23" i="2" s="1"/>
  <c r="C17" i="29" s="1"/>
  <c r="C24" i="2" l="1"/>
  <c r="C12" i="29" s="1"/>
  <c r="E68" i="2"/>
  <c r="C14" i="29" s="1"/>
  <c r="P53" i="30" s="1"/>
  <c r="C11" i="29"/>
</calcChain>
</file>

<file path=xl/comments1.xml><?xml version="1.0" encoding="utf-8"?>
<comments xmlns="http://schemas.openxmlformats.org/spreadsheetml/2006/main">
  <authors>
    <author>William F Lazarus</author>
    <author>Bill</author>
    <author>WFL</author>
  </authors>
  <commentList>
    <comment ref="A10" authorId="0" shapeId="0">
      <text>
        <r>
          <rPr>
            <b/>
            <sz val="9"/>
            <color indexed="81"/>
            <rFont val="Tahoma"/>
            <family val="2"/>
          </rPr>
          <t>William F Lazarus:</t>
        </r>
        <r>
          <rPr>
            <sz val="9"/>
            <color indexed="81"/>
            <rFont val="Tahoma"/>
            <family val="2"/>
          </rPr>
          <t xml:space="preserve">
Assumes all crops</t>
        </r>
      </text>
    </comment>
    <comment ref="B10" authorId="1" shapeId="0">
      <text>
        <r>
          <rPr>
            <b/>
            <sz val="9"/>
            <color indexed="81"/>
            <rFont val="Tahoma"/>
            <family val="2"/>
          </rPr>
          <t>Bill:</t>
        </r>
        <r>
          <rPr>
            <sz val="9"/>
            <color indexed="81"/>
            <rFont val="Tahoma"/>
            <family val="2"/>
          </rPr>
          <t xml:space="preserve">
We don't know much of the six major crops currently receive the U of M recommended rate or the crop removal rate.  We only have the average rate/acre by agroecoregion.</t>
        </r>
      </text>
    </comment>
    <comment ref="C10" authorId="1" shapeId="0">
      <text>
        <r>
          <rPr>
            <b/>
            <sz val="9"/>
            <color indexed="81"/>
            <rFont val="Tahoma"/>
            <family val="2"/>
          </rPr>
          <t>Bill:</t>
        </r>
        <r>
          <rPr>
            <sz val="9"/>
            <color indexed="81"/>
            <rFont val="Tahoma"/>
            <family val="2"/>
          </rPr>
          <t xml:space="preserve">
This is the land that is suitable for additional BMP adoption.  Calculated as % of total acres of six major crops - corn, soybeans, wheat, potato, sugarbeet, and dry beans.
Percent already applying at the U of M recommended rates or crop removal rates is not netted out because we don't have that data, only the average rates by agroecoregion.</t>
        </r>
      </text>
    </comment>
    <comment ref="B11" authorId="0" shapeId="0">
      <text>
        <r>
          <rPr>
            <b/>
            <sz val="9"/>
            <color indexed="81"/>
            <rFont val="Tahoma"/>
            <family val="2"/>
          </rPr>
          <t>William F Lazarus:</t>
        </r>
        <r>
          <rPr>
            <sz val="9"/>
            <color indexed="81"/>
            <rFont val="Tahoma"/>
            <family val="2"/>
          </rPr>
          <t xml:space="preserve"> Percent existing here represents percent of watershed cropland that is in corn or wheat that is fertilized with P in the spring preplant or as starter in a given year.</t>
        </r>
      </text>
    </comment>
    <comment ref="C11" authorId="0" shapeId="0">
      <text>
        <r>
          <rPr>
            <b/>
            <sz val="9"/>
            <color indexed="81"/>
            <rFont val="Tahoma"/>
            <family val="2"/>
          </rPr>
          <t>William F Lazarus:</t>
        </r>
        <r>
          <rPr>
            <sz val="9"/>
            <color indexed="81"/>
            <rFont val="Tahoma"/>
            <family val="2"/>
          </rPr>
          <t xml:space="preserve">
Percent of watershed cropland in corn or wheat fertilized with P in the fall, in a given year</t>
        </r>
      </text>
    </comment>
    <comment ref="A12" authorId="0" shapeId="0">
      <text>
        <r>
          <rPr>
            <b/>
            <sz val="9"/>
            <color indexed="81"/>
            <rFont val="Tahoma"/>
            <family val="2"/>
          </rPr>
          <t>William F Lazarus:</t>
        </r>
        <r>
          <rPr>
            <sz val="9"/>
            <color indexed="81"/>
            <rFont val="Tahoma"/>
            <family val="2"/>
          </rPr>
          <t xml:space="preserve">
More than 30% residue cover</t>
        </r>
      </text>
    </comment>
    <comment ref="B12" authorId="0" shapeId="0">
      <text>
        <r>
          <rPr>
            <b/>
            <sz val="9"/>
            <color indexed="81"/>
            <rFont val="Tahoma"/>
            <family val="2"/>
          </rPr>
          <t>William F Lazarus:</t>
        </r>
        <r>
          <rPr>
            <sz val="9"/>
            <color indexed="81"/>
            <rFont val="Tahoma"/>
            <family val="2"/>
          </rPr>
          <t xml:space="preserve">
All cropland &gt;2% slope that is already in reduced tillage</t>
        </r>
      </text>
    </comment>
    <comment ref="C12" authorId="0" shapeId="0">
      <text>
        <r>
          <rPr>
            <b/>
            <sz val="9"/>
            <color indexed="81"/>
            <rFont val="Tahoma"/>
            <family val="2"/>
          </rPr>
          <t>William F Lazarus:</t>
        </r>
        <r>
          <rPr>
            <sz val="9"/>
            <color indexed="81"/>
            <rFont val="Tahoma"/>
            <family val="2"/>
          </rPr>
          <t xml:space="preserve">
Cropland &gt;2% slope that is not now in reduced tillage</t>
        </r>
      </text>
    </comment>
    <comment ref="H12" authorId="0" shapeId="0">
      <text>
        <r>
          <rPr>
            <b/>
            <sz val="9"/>
            <color indexed="81"/>
            <rFont val="Tahoma"/>
            <family val="2"/>
          </rPr>
          <t>William F Lazarus:</t>
        </r>
        <r>
          <rPr>
            <sz val="9"/>
            <color indexed="81"/>
            <rFont val="Tahoma"/>
            <family val="2"/>
          </rPr>
          <t xml:space="preserve">
No P index lookup table is available for perennial crops, so the P load reduction due to perennial crops is combined with the tillage calculation but netted out here.</t>
        </r>
      </text>
    </comment>
    <comment ref="B13" authorId="0" shapeId="0">
      <text>
        <r>
          <rPr>
            <b/>
            <sz val="9"/>
            <color indexed="81"/>
            <rFont val="Tahoma"/>
            <family val="2"/>
          </rPr>
          <t>William F Lazarus:</t>
        </r>
        <r>
          <rPr>
            <sz val="9"/>
            <color indexed="81"/>
            <rFont val="Tahoma"/>
            <family val="2"/>
          </rPr>
          <t xml:space="preserve">
Acres filtered, NOT acres lost to crop production.  Based on ag land within the specified distance from streams, divided by all acres in the watershed or statewide</t>
        </r>
      </text>
    </comment>
    <comment ref="C13" authorId="0" shapeId="0">
      <text>
        <r>
          <rPr>
            <b/>
            <sz val="9"/>
            <color indexed="81"/>
            <rFont val="Tahoma"/>
            <family val="2"/>
          </rPr>
          <t>William F Lazarus:</t>
        </r>
        <r>
          <rPr>
            <sz val="9"/>
            <color indexed="81"/>
            <rFont val="Tahoma"/>
            <family val="2"/>
          </rPr>
          <t xml:space="preserve">
Acres filtered, NOT acres lost to crop production.  Based on ag land within the specified distance from streams, divided by all acres in the watershed or statewide</t>
        </r>
      </text>
    </comment>
    <comment ref="F13" authorId="2" shapeId="0">
      <text>
        <r>
          <rPr>
            <b/>
            <sz val="9"/>
            <color indexed="81"/>
            <rFont val="Tahoma"/>
            <family val="2"/>
          </rPr>
          <t>WFL:</t>
        </r>
        <r>
          <rPr>
            <sz val="9"/>
            <color indexed="81"/>
            <rFont val="Tahoma"/>
            <family val="2"/>
          </rPr>
          <t xml:space="preserve">
This is the land filtered, not land withdrawn from crop production.</t>
        </r>
      </text>
    </comment>
    <comment ref="A14" authorId="0" shapeId="0">
      <text>
        <r>
          <rPr>
            <b/>
            <sz val="9"/>
            <color indexed="81"/>
            <rFont val="Tahoma"/>
            <family val="2"/>
          </rPr>
          <t>William F Lazarus:</t>
        </r>
        <r>
          <rPr>
            <sz val="9"/>
            <color indexed="81"/>
            <rFont val="Tahoma"/>
            <family val="2"/>
          </rPr>
          <t xml:space="preserve">
2007 CRP acres, from Jake, 11/12/14</t>
        </r>
      </text>
    </comment>
    <comment ref="B14" authorId="0" shapeId="0">
      <text>
        <r>
          <rPr>
            <b/>
            <sz val="9"/>
            <color indexed="81"/>
            <rFont val="Tahoma"/>
            <family val="2"/>
          </rPr>
          <t>William F Lazarus:</t>
        </r>
        <r>
          <rPr>
            <sz val="9"/>
            <color indexed="81"/>
            <rFont val="Tahoma"/>
            <family val="2"/>
          </rPr>
          <t xml:space="preserve">
2007 CRP acres, from Jake, 11/12/14</t>
        </r>
      </text>
    </comment>
    <comment ref="C14" authorId="0" shapeId="0">
      <text>
        <r>
          <rPr>
            <b/>
            <sz val="9"/>
            <color indexed="81"/>
            <rFont val="Tahoma"/>
            <family val="2"/>
          </rPr>
          <t>William F Lazarus:</t>
        </r>
        <r>
          <rPr>
            <sz val="9"/>
            <color indexed="81"/>
            <rFont val="Tahoma"/>
            <family val="2"/>
          </rPr>
          <t xml:space="preserve">
Corn grain and soybean acres on marginal land (&lt;60 CPI) or on all land.  Corn silage is not included here, so the percentage is slightly less than in the NBMP model.</t>
        </r>
      </text>
    </comment>
    <comment ref="A15" authorId="0" shapeId="0">
      <text>
        <r>
          <rPr>
            <b/>
            <sz val="9"/>
            <color indexed="81"/>
            <rFont val="Tahoma"/>
            <family val="2"/>
          </rPr>
          <t>William F Lazarus:</t>
        </r>
        <r>
          <rPr>
            <sz val="9"/>
            <color indexed="81"/>
            <rFont val="Tahoma"/>
            <family val="2"/>
          </rPr>
          <t xml:space="preserve">
Either the corn acres or the soybean acres can be included or excluded here, based on what you enter in the Covercrop sheet, B5:C5.</t>
        </r>
      </text>
    </comment>
    <comment ref="C15" authorId="0" shapeId="0">
      <text>
        <r>
          <rPr>
            <b/>
            <sz val="9"/>
            <color indexed="81"/>
            <rFont val="Tahoma"/>
            <family val="2"/>
          </rPr>
          <t>William F Lazarus:</t>
        </r>
        <r>
          <rPr>
            <sz val="9"/>
            <color indexed="81"/>
            <rFont val="Tahoma"/>
            <family val="2"/>
          </rPr>
          <t xml:space="preserve">
All corn and soybean acres</t>
        </r>
      </text>
    </comment>
    <comment ref="A16" authorId="0" shapeId="0">
      <text>
        <r>
          <rPr>
            <b/>
            <sz val="9"/>
            <color indexed="81"/>
            <rFont val="Tahoma"/>
            <family val="2"/>
          </rPr>
          <t>William F Lazarus:</t>
        </r>
        <r>
          <rPr>
            <sz val="9"/>
            <color indexed="81"/>
            <rFont val="Tahoma"/>
            <family val="2"/>
          </rPr>
          <t xml:space="preserve">
This category can include corn silage, small grains, peas, sweet corn, potatoes, dry edible beans, and sugar beets, depending on what you enter in the Covercrop sheet, E5:F8.</t>
        </r>
      </text>
    </comment>
    <comment ref="C16" authorId="0" shapeId="0">
      <text>
        <r>
          <rPr>
            <b/>
            <sz val="9"/>
            <color indexed="81"/>
            <rFont val="Tahoma"/>
            <family val="2"/>
          </rPr>
          <t>William F Lazarus:</t>
        </r>
        <r>
          <rPr>
            <sz val="9"/>
            <color indexed="81"/>
            <rFont val="Tahoma"/>
            <family val="2"/>
          </rPr>
          <t xml:space="preserve">
Potentially all of corn silage, sugarbeets, small grains, sweet corn, peas, dry edible beans, adjusted by user-defined choices in the covercrop sheet.  </t>
        </r>
      </text>
    </comment>
    <comment ref="B18" authorId="0" shapeId="0">
      <text>
        <r>
          <rPr>
            <b/>
            <sz val="9"/>
            <color indexed="81"/>
            <rFont val="Tahoma"/>
            <family val="2"/>
          </rPr>
          <t>William F Lazarus:</t>
        </r>
        <r>
          <rPr>
            <sz val="9"/>
            <color indexed="81"/>
            <rFont val="Tahoma"/>
            <family val="2"/>
          </rPr>
          <t xml:space="preserve">
Based on user-entered percentages in the Inlets sheet, 25% default percent of suitable acres.  The percentage here is a percent of total cropland acres.  Only a small percentage of total cropland is suitable for alternative tile inlets, so the percentage here is much smaller than 25%.</t>
        </r>
      </text>
    </comment>
    <comment ref="C18" authorId="2" shapeId="0">
      <text>
        <r>
          <rPr>
            <b/>
            <sz val="9"/>
            <color indexed="81"/>
            <rFont val="Tahoma"/>
            <family val="2"/>
          </rPr>
          <t>WFL:</t>
        </r>
        <r>
          <rPr>
            <sz val="9"/>
            <color indexed="81"/>
            <rFont val="Tahoma"/>
            <family val="2"/>
          </rPr>
          <t xml:space="preserve">
Criterion is that the average slope of the land nearby is greater than 2% and less than 10%, cultivated, not in the Red River Valley, and not well drained.  The number of inlets in the Anoka Sands and the Central Till regions were adjusted based on anecdotal information.</t>
        </r>
      </text>
    </comment>
    <comment ref="B19" authorId="0" shapeId="0">
      <text>
        <r>
          <rPr>
            <b/>
            <sz val="9"/>
            <color indexed="81"/>
            <rFont val="Tahoma"/>
            <family val="2"/>
          </rPr>
          <t>William F Lazarus:</t>
        </r>
        <r>
          <rPr>
            <sz val="9"/>
            <color indexed="81"/>
            <rFont val="Tahoma"/>
            <family val="2"/>
          </rPr>
          <t xml:space="preserve">
Liquid manure that is injected, or solid manure that is incorporated immediately in a given year</t>
        </r>
      </text>
    </comment>
    <comment ref="C19" authorId="0" shapeId="0">
      <text>
        <r>
          <rPr>
            <b/>
            <sz val="9"/>
            <color indexed="81"/>
            <rFont val="Tahoma"/>
            <family val="2"/>
          </rPr>
          <t>William F Lazarus:</t>
        </r>
        <r>
          <rPr>
            <sz val="9"/>
            <color indexed="81"/>
            <rFont val="Tahoma"/>
            <family val="2"/>
          </rPr>
          <t xml:space="preserve">
Liquid manure that is not injected, or solid manure NOT incorporated immediately, in a given year</t>
        </r>
      </text>
    </comment>
    <comment ref="C51" authorId="2" shapeId="0">
      <text>
        <r>
          <rPr>
            <b/>
            <sz val="9"/>
            <color indexed="81"/>
            <rFont val="Tahoma"/>
            <family val="2"/>
          </rPr>
          <t>WFL:</t>
        </r>
        <r>
          <rPr>
            <sz val="9"/>
            <color indexed="81"/>
            <rFont val="Tahoma"/>
            <family val="2"/>
          </rPr>
          <t xml:space="preserve">
Reduced tillage is not expected to reduce runoff P because the increase in soluble P % would offset the reduced water volume.</t>
        </r>
      </text>
    </comment>
    <comment ref="D51" authorId="2" shapeId="0">
      <text>
        <r>
          <rPr>
            <b/>
            <sz val="9"/>
            <color indexed="81"/>
            <rFont val="Tahoma"/>
            <family val="2"/>
          </rPr>
          <t>WFL:</t>
        </r>
        <r>
          <rPr>
            <sz val="9"/>
            <color indexed="81"/>
            <rFont val="Tahoma"/>
            <family val="2"/>
          </rPr>
          <t xml:space="preserve">
For example, enter 100% if this index component would be reduced to zero on acres converted from cropland to perennials.  Enter zero if you believe that conversion to perennials will not affect this component of the P index score.</t>
        </r>
      </text>
    </comment>
    <comment ref="C52" authorId="2" shapeId="0">
      <text>
        <r>
          <rPr>
            <b/>
            <sz val="9"/>
            <color indexed="81"/>
            <rFont val="Tahoma"/>
            <family val="2"/>
          </rPr>
          <t>WFL:</t>
        </r>
        <r>
          <rPr>
            <sz val="9"/>
            <color indexed="81"/>
            <rFont val="Tahoma"/>
            <family val="2"/>
          </rPr>
          <t xml:space="preserve">
For example, enter 100% if this index component would be reduced by the same percentage as erosion is reduced on acres converted from conventional to reduced tillage.  Enter zero if you believe that change will not affect this component of the P index score.</t>
        </r>
      </text>
    </comment>
    <comment ref="D52" authorId="2" shapeId="0">
      <text>
        <r>
          <rPr>
            <b/>
            <sz val="9"/>
            <color indexed="81"/>
            <rFont val="Tahoma"/>
            <family val="2"/>
          </rPr>
          <t>WFL:</t>
        </r>
        <r>
          <rPr>
            <sz val="9"/>
            <color indexed="81"/>
            <rFont val="Tahoma"/>
            <family val="2"/>
          </rPr>
          <t xml:space="preserve">
For example, enter 100% if this index component would be reduced to zero on acres converted from cropland to perennials.  Enter zero if you believe that conversion to perennials will not affect this component of the P index score.</t>
        </r>
      </text>
    </comment>
    <comment ref="C53" authorId="2" shapeId="0">
      <text>
        <r>
          <rPr>
            <b/>
            <sz val="9"/>
            <color indexed="81"/>
            <rFont val="Tahoma"/>
            <family val="2"/>
          </rPr>
          <t>WFL:</t>
        </r>
        <r>
          <rPr>
            <sz val="9"/>
            <color indexed="81"/>
            <rFont val="Tahoma"/>
            <family val="2"/>
          </rPr>
          <t xml:space="preserve">
For example, enter 100% if this index component would be reduced by the same percentage as erosion is reduced on acres converted from conventional to reduced tillage.  Enter zero if you believe that change will not affect this component of the P index score.</t>
        </r>
      </text>
    </comment>
    <comment ref="D53" authorId="2" shapeId="0">
      <text>
        <r>
          <rPr>
            <b/>
            <sz val="9"/>
            <color indexed="81"/>
            <rFont val="Tahoma"/>
            <family val="2"/>
          </rPr>
          <t>WFL:</t>
        </r>
        <r>
          <rPr>
            <sz val="9"/>
            <color indexed="81"/>
            <rFont val="Tahoma"/>
            <family val="2"/>
          </rPr>
          <t xml:space="preserve">
For example, enter 100% if this index component would be reduced to zero on acres converted from cropland to perennials.  Enter zero if you believe that conversion to perennials will not affect this component of the P index score.</t>
        </r>
      </text>
    </comment>
    <comment ref="C54" authorId="2" shapeId="0">
      <text>
        <r>
          <rPr>
            <b/>
            <sz val="9"/>
            <color indexed="81"/>
            <rFont val="Tahoma"/>
            <family val="2"/>
          </rPr>
          <t>WFL:</t>
        </r>
        <r>
          <rPr>
            <sz val="9"/>
            <color indexed="81"/>
            <rFont val="Tahoma"/>
            <family val="2"/>
          </rPr>
          <t xml:space="preserve">
For example, enter 100% if this index component would be reduced by the same percentage as erosion is reduced on acres converted from conventional to reduced tillage.  Enter zero if you believe that change will not affect this component of the P index score.</t>
        </r>
      </text>
    </comment>
    <comment ref="D54" authorId="2" shapeId="0">
      <text>
        <r>
          <rPr>
            <b/>
            <sz val="9"/>
            <color indexed="81"/>
            <rFont val="Tahoma"/>
            <family val="2"/>
          </rPr>
          <t>WFL:</t>
        </r>
        <r>
          <rPr>
            <sz val="9"/>
            <color indexed="81"/>
            <rFont val="Tahoma"/>
            <family val="2"/>
          </rPr>
          <t xml:space="preserve">
For example, enter 100% if this index component would be reduced to zero on acres converted from cropland to perennials.  Enter zero if you believe that conversion to perennials will not affect this component of the P index score.</t>
        </r>
      </text>
    </comment>
    <comment ref="C55" authorId="2" shapeId="0">
      <text>
        <r>
          <rPr>
            <b/>
            <sz val="9"/>
            <color indexed="81"/>
            <rFont val="Tahoma"/>
            <family val="2"/>
          </rPr>
          <t>WFL:</t>
        </r>
        <r>
          <rPr>
            <sz val="9"/>
            <color indexed="81"/>
            <rFont val="Tahoma"/>
            <family val="2"/>
          </rPr>
          <t xml:space="preserve">
For example, enter 100% if this index component would be reduced by the same percentage as erosion is reduced on acres converted from conventional to reduced tillage.  Enter zero if you believe that change will not affect this component of the P index score.</t>
        </r>
      </text>
    </comment>
    <comment ref="D55" authorId="2" shapeId="0">
      <text>
        <r>
          <rPr>
            <b/>
            <sz val="9"/>
            <color indexed="81"/>
            <rFont val="Tahoma"/>
            <family val="2"/>
          </rPr>
          <t>WFL:</t>
        </r>
        <r>
          <rPr>
            <sz val="9"/>
            <color indexed="81"/>
            <rFont val="Tahoma"/>
            <family val="2"/>
          </rPr>
          <t xml:space="preserve">
For example, enter 100% if this index component would be reduced to zero on acres converted from cropland to perennials.  Enter zero if you believe that conversion to perennials will not affect this component of the P index score.</t>
        </r>
      </text>
    </comment>
    <comment ref="C56" authorId="2" shapeId="0">
      <text>
        <r>
          <rPr>
            <b/>
            <sz val="9"/>
            <color indexed="81"/>
            <rFont val="Tahoma"/>
            <family val="2"/>
          </rPr>
          <t>WFL:</t>
        </r>
        <r>
          <rPr>
            <sz val="9"/>
            <color indexed="81"/>
            <rFont val="Tahoma"/>
            <family val="2"/>
          </rPr>
          <t xml:space="preserve">
For example, enter 100% if this index component would be reduced by the same percentage as erosion is reduced on acres converted from conventional to reduced tillage.  Enter zero if you believe that change will not affect this component of the P index score.</t>
        </r>
      </text>
    </comment>
    <comment ref="D56" authorId="2" shapeId="0">
      <text>
        <r>
          <rPr>
            <b/>
            <sz val="9"/>
            <color indexed="81"/>
            <rFont val="Tahoma"/>
            <family val="2"/>
          </rPr>
          <t>WFL:</t>
        </r>
        <r>
          <rPr>
            <sz val="9"/>
            <color indexed="81"/>
            <rFont val="Tahoma"/>
            <family val="2"/>
          </rPr>
          <t xml:space="preserve">
For example, enter 100% if this index component would be reduced to zero on acres converted from cropland to perennials.  Enter zero if you believe that conversion to perennials will not affect this component of the P index score.</t>
        </r>
      </text>
    </comment>
    <comment ref="B84" authorId="2" shapeId="0">
      <text>
        <r>
          <rPr>
            <b/>
            <sz val="8"/>
            <color indexed="81"/>
            <rFont val="Tahoma"/>
            <family val="2"/>
          </rPr>
          <t>WFL:</t>
        </r>
        <r>
          <rPr>
            <sz val="8"/>
            <color indexed="81"/>
            <rFont val="Tahoma"/>
            <family val="2"/>
          </rPr>
          <t xml:space="preserve">
Enter this as a percentage of the maximum percentage load reduction in the above cell.  For example, if the maximum reduction is 12%, and you enter 2% here, it will omit any practice combinations that would reduce emissions by 0.12 * 0.02 or 0.24% more than the previous combination.</t>
        </r>
      </text>
    </comment>
    <comment ref="D217" authorId="0" shapeId="0">
      <text>
        <r>
          <rPr>
            <b/>
            <sz val="9"/>
            <color indexed="81"/>
            <rFont val="Tahoma"/>
            <family val="2"/>
          </rPr>
          <t>William F Lazarus:</t>
        </r>
        <r>
          <rPr>
            <sz val="9"/>
            <color indexed="81"/>
            <rFont val="Tahoma"/>
            <family val="2"/>
          </rPr>
          <t xml:space="preserve">
Assumes all crops</t>
        </r>
      </text>
    </comment>
    <comment ref="F217" authorId="0" shapeId="0">
      <text>
        <r>
          <rPr>
            <b/>
            <sz val="9"/>
            <color indexed="81"/>
            <rFont val="Tahoma"/>
            <family val="2"/>
          </rPr>
          <t>William F Lazarus:</t>
        </r>
        <r>
          <rPr>
            <sz val="9"/>
            <color indexed="81"/>
            <rFont val="Tahoma"/>
            <family val="2"/>
          </rPr>
          <t xml:space="preserve">
More than 30% residue cover</t>
        </r>
      </text>
    </comment>
    <comment ref="H217" authorId="1" shapeId="0">
      <text>
        <r>
          <rPr>
            <b/>
            <sz val="9"/>
            <color indexed="81"/>
            <rFont val="Tahoma"/>
            <family val="2"/>
          </rPr>
          <t>Bill:</t>
        </r>
        <r>
          <rPr>
            <sz val="9"/>
            <color indexed="81"/>
            <rFont val="Tahoma"/>
            <family val="2"/>
          </rPr>
          <t xml:space="preserve">
For combinations of wetlands, perennial crops, and riparian buffers, these percentages are percent of corn plus soybean acres.
"Marginal" land is defined as cultivated land with Crop Productivity Index values of less than 60, from the 2006 NLCD data layer. </t>
        </r>
      </text>
    </comment>
  </commentList>
</comments>
</file>

<file path=xl/comments2.xml><?xml version="1.0" encoding="utf-8"?>
<comments xmlns="http://schemas.openxmlformats.org/spreadsheetml/2006/main">
  <authors>
    <author>William F Lazarus</author>
    <author>WFL</author>
  </authors>
  <commentList>
    <comment ref="A4" authorId="0" shapeId="0">
      <text>
        <r>
          <rPr>
            <b/>
            <sz val="9"/>
            <color indexed="81"/>
            <rFont val="Tahoma"/>
            <family val="2"/>
          </rPr>
          <t>William F Lazarus:</t>
        </r>
        <r>
          <rPr>
            <sz val="9"/>
            <color indexed="81"/>
            <rFont val="Tahoma"/>
            <family val="2"/>
          </rPr>
          <t xml:space="preserve">
Not sweet corn, peas &amp; dry edible bean
</t>
        </r>
      </text>
    </comment>
    <comment ref="A11" authorId="0" shapeId="0">
      <text>
        <r>
          <rPr>
            <b/>
            <sz val="9"/>
            <color indexed="81"/>
            <rFont val="Tahoma"/>
            <family val="2"/>
          </rPr>
          <t>William F Lazarus:</t>
        </r>
        <r>
          <rPr>
            <sz val="9"/>
            <color indexed="81"/>
            <rFont val="Tahoma"/>
            <family val="2"/>
          </rPr>
          <t xml:space="preserve">
Calculated for corn and soybean acres</t>
        </r>
      </text>
    </comment>
    <comment ref="A13" authorId="0" shapeId="0">
      <text>
        <r>
          <rPr>
            <b/>
            <sz val="9"/>
            <color indexed="81"/>
            <rFont val="Tahoma"/>
            <family val="2"/>
          </rPr>
          <t>William F Lazarus:</t>
        </r>
        <r>
          <rPr>
            <sz val="9"/>
            <color indexed="81"/>
            <rFont val="Tahoma"/>
            <family val="2"/>
          </rPr>
          <t xml:space="preserve">
based on all cropland</t>
        </r>
      </text>
    </comment>
    <comment ref="A14" authorId="0" shapeId="0">
      <text>
        <r>
          <rPr>
            <b/>
            <sz val="9"/>
            <color indexed="81"/>
            <rFont val="Tahoma"/>
            <family val="2"/>
          </rPr>
          <t>William F Lazarus:</t>
        </r>
        <r>
          <rPr>
            <sz val="9"/>
            <color indexed="81"/>
            <rFont val="Tahoma"/>
            <family val="2"/>
          </rPr>
          <t xml:space="preserve">
based on corn and soybean acres</t>
        </r>
      </text>
    </comment>
    <comment ref="A15" authorId="0" shapeId="0">
      <text>
        <r>
          <rPr>
            <b/>
            <sz val="9"/>
            <color indexed="81"/>
            <rFont val="Tahoma"/>
            <family val="2"/>
          </rPr>
          <t>William F Lazarus:</t>
        </r>
        <r>
          <rPr>
            <sz val="9"/>
            <color indexed="81"/>
            <rFont val="Tahoma"/>
            <family val="2"/>
          </rPr>
          <t xml:space="preserve">
based on percent of all cropland suitable for inlets</t>
        </r>
      </text>
    </comment>
    <comment ref="A16" authorId="0" shapeId="0">
      <text>
        <r>
          <rPr>
            <b/>
            <sz val="9"/>
            <color indexed="81"/>
            <rFont val="Tahoma"/>
            <family val="2"/>
          </rPr>
          <t>William F Lazarus:</t>
        </r>
        <r>
          <rPr>
            <sz val="9"/>
            <color indexed="81"/>
            <rFont val="Tahoma"/>
            <family val="2"/>
          </rPr>
          <t xml:space="preserve">
based on acres of corn, wheat, soybeans, potatoes, sugarbeets and dry beans</t>
        </r>
      </text>
    </comment>
    <comment ref="A17" authorId="0" shapeId="0">
      <text>
        <r>
          <rPr>
            <b/>
            <sz val="9"/>
            <color indexed="81"/>
            <rFont val="Tahoma"/>
            <family val="2"/>
          </rPr>
          <t>William F Lazarus:</t>
        </r>
        <r>
          <rPr>
            <sz val="9"/>
            <color indexed="81"/>
            <rFont val="Tahoma"/>
            <family val="2"/>
          </rPr>
          <t xml:space="preserve">
based on acres of corn, wheat, soybeans, potatoes, sugarbeets and dry beans</t>
        </r>
      </text>
    </comment>
    <comment ref="A18" authorId="0" shapeId="0">
      <text>
        <r>
          <rPr>
            <b/>
            <sz val="9"/>
            <color indexed="81"/>
            <rFont val="Tahoma"/>
            <family val="2"/>
          </rPr>
          <t>William F Lazarus:</t>
        </r>
        <r>
          <rPr>
            <sz val="9"/>
            <color indexed="81"/>
            <rFont val="Tahoma"/>
            <family val="2"/>
          </rPr>
          <t xml:space="preserve">
based on acres of corn and wheat</t>
        </r>
      </text>
    </comment>
    <comment ref="A20" authorId="0" shapeId="0">
      <text>
        <r>
          <rPr>
            <b/>
            <sz val="9"/>
            <color indexed="81"/>
            <rFont val="Tahoma"/>
            <family val="2"/>
          </rPr>
          <t>William F Lazarus:</t>
        </r>
        <r>
          <rPr>
            <sz val="9"/>
            <color indexed="81"/>
            <rFont val="Tahoma"/>
            <family val="2"/>
          </rPr>
          <t xml:space="preserve">
based on corn and wheat acres</t>
        </r>
      </text>
    </comment>
    <comment ref="A22" authorId="1" shapeId="0">
      <text>
        <r>
          <rPr>
            <b/>
            <sz val="9"/>
            <color indexed="81"/>
            <rFont val="Tahoma"/>
            <family val="2"/>
          </rPr>
          <t>WFL:</t>
        </r>
        <r>
          <rPr>
            <sz val="9"/>
            <color indexed="81"/>
            <rFont val="Tahoma"/>
            <family val="2"/>
          </rPr>
          <t xml:space="preserve">
Note that not all components related to all cropland acres.</t>
        </r>
      </text>
    </comment>
    <comment ref="A32" authorId="0" shapeId="0">
      <text>
        <r>
          <rPr>
            <b/>
            <sz val="9"/>
            <color indexed="81"/>
            <rFont val="Tahoma"/>
            <family val="2"/>
          </rPr>
          <t>William F Lazarus:</t>
        </r>
        <r>
          <rPr>
            <sz val="9"/>
            <color indexed="81"/>
            <rFont val="Tahoma"/>
            <family val="2"/>
          </rPr>
          <t xml:space="preserve">
Calculated for corn and soybean acres</t>
        </r>
      </text>
    </comment>
    <comment ref="B32" authorId="0" shapeId="0">
      <text>
        <r>
          <rPr>
            <b/>
            <sz val="9"/>
            <color indexed="81"/>
            <rFont val="Tahoma"/>
            <family val="2"/>
          </rPr>
          <t>William F Lazarus:</t>
        </r>
        <r>
          <rPr>
            <sz val="9"/>
            <color indexed="81"/>
            <rFont val="Tahoma"/>
            <family val="2"/>
          </rPr>
          <t xml:space="preserve">
based on corn and soybean acres</t>
        </r>
      </text>
    </comment>
    <comment ref="C32" authorId="0" shapeId="0">
      <text>
        <r>
          <rPr>
            <b/>
            <sz val="9"/>
            <color indexed="81"/>
            <rFont val="Tahoma"/>
            <family val="2"/>
          </rPr>
          <t>William F Lazarus:</t>
        </r>
        <r>
          <rPr>
            <sz val="9"/>
            <color indexed="81"/>
            <rFont val="Tahoma"/>
            <family val="2"/>
          </rPr>
          <t xml:space="preserve">
based on corn and soybean acres</t>
        </r>
      </text>
    </comment>
    <comment ref="D32" authorId="0" shapeId="0">
      <text>
        <r>
          <rPr>
            <b/>
            <sz val="9"/>
            <color indexed="81"/>
            <rFont val="Tahoma"/>
            <family val="2"/>
          </rPr>
          <t>William F Lazarus:</t>
        </r>
        <r>
          <rPr>
            <sz val="9"/>
            <color indexed="81"/>
            <rFont val="Tahoma"/>
            <family val="2"/>
          </rPr>
          <t xml:space="preserve">
based on corn and soybean acres</t>
        </r>
      </text>
    </comment>
    <comment ref="E32" authorId="0" shapeId="0">
      <text>
        <r>
          <rPr>
            <b/>
            <sz val="9"/>
            <color indexed="81"/>
            <rFont val="Tahoma"/>
            <family val="2"/>
          </rPr>
          <t>William F Lazarus:</t>
        </r>
        <r>
          <rPr>
            <sz val="9"/>
            <color indexed="81"/>
            <rFont val="Tahoma"/>
            <family val="2"/>
          </rPr>
          <t xml:space="preserve">
based on corn and soybean acres</t>
        </r>
      </text>
    </comment>
    <comment ref="F32" authorId="0" shapeId="0">
      <text>
        <r>
          <rPr>
            <b/>
            <sz val="9"/>
            <color indexed="81"/>
            <rFont val="Tahoma"/>
            <family val="2"/>
          </rPr>
          <t>William F Lazarus:</t>
        </r>
        <r>
          <rPr>
            <sz val="9"/>
            <color indexed="81"/>
            <rFont val="Tahoma"/>
            <family val="2"/>
          </rPr>
          <t xml:space="preserve">
based on corn and soybean acres</t>
        </r>
      </text>
    </comment>
    <comment ref="G32" authorId="0" shapeId="0">
      <text>
        <r>
          <rPr>
            <b/>
            <sz val="9"/>
            <color indexed="81"/>
            <rFont val="Tahoma"/>
            <family val="2"/>
          </rPr>
          <t>William F Lazarus:</t>
        </r>
        <r>
          <rPr>
            <sz val="9"/>
            <color indexed="81"/>
            <rFont val="Tahoma"/>
            <family val="2"/>
          </rPr>
          <t xml:space="preserve">
based on corn and soybean acres</t>
        </r>
      </text>
    </comment>
    <comment ref="H32" authorId="0" shapeId="0">
      <text>
        <r>
          <rPr>
            <b/>
            <sz val="9"/>
            <color indexed="81"/>
            <rFont val="Tahoma"/>
            <family val="2"/>
          </rPr>
          <t>William F Lazarus:</t>
        </r>
        <r>
          <rPr>
            <sz val="9"/>
            <color indexed="81"/>
            <rFont val="Tahoma"/>
            <family val="2"/>
          </rPr>
          <t xml:space="preserve">
based on corn and soybean acres</t>
        </r>
      </text>
    </comment>
    <comment ref="I32" authorId="0" shapeId="0">
      <text>
        <r>
          <rPr>
            <b/>
            <sz val="9"/>
            <color indexed="81"/>
            <rFont val="Tahoma"/>
            <family val="2"/>
          </rPr>
          <t>William F Lazarus:</t>
        </r>
        <r>
          <rPr>
            <sz val="9"/>
            <color indexed="81"/>
            <rFont val="Tahoma"/>
            <family val="2"/>
          </rPr>
          <t xml:space="preserve">
based on corn and soybean acres</t>
        </r>
      </text>
    </comment>
    <comment ref="J32" authorId="0" shapeId="0">
      <text>
        <r>
          <rPr>
            <b/>
            <sz val="9"/>
            <color indexed="81"/>
            <rFont val="Tahoma"/>
            <family val="2"/>
          </rPr>
          <t>William F Lazarus:</t>
        </r>
        <r>
          <rPr>
            <sz val="9"/>
            <color indexed="81"/>
            <rFont val="Tahoma"/>
            <family val="2"/>
          </rPr>
          <t xml:space="preserve">
based on corn and soybean acres</t>
        </r>
      </text>
    </comment>
    <comment ref="K32" authorId="0" shapeId="0">
      <text>
        <r>
          <rPr>
            <b/>
            <sz val="9"/>
            <color indexed="81"/>
            <rFont val="Tahoma"/>
            <family val="2"/>
          </rPr>
          <t>William F Lazarus:</t>
        </r>
        <r>
          <rPr>
            <sz val="9"/>
            <color indexed="81"/>
            <rFont val="Tahoma"/>
            <family val="2"/>
          </rPr>
          <t xml:space="preserve">
based on corn and soybean acres</t>
        </r>
      </text>
    </comment>
    <comment ref="L32" authorId="0" shapeId="0">
      <text>
        <r>
          <rPr>
            <b/>
            <sz val="9"/>
            <color indexed="81"/>
            <rFont val="Tahoma"/>
            <family val="2"/>
          </rPr>
          <t>William F Lazarus:</t>
        </r>
        <r>
          <rPr>
            <sz val="9"/>
            <color indexed="81"/>
            <rFont val="Tahoma"/>
            <family val="2"/>
          </rPr>
          <t xml:space="preserve">
based on corn and soybean acres</t>
        </r>
      </text>
    </comment>
    <comment ref="M32" authorId="0" shapeId="0">
      <text>
        <r>
          <rPr>
            <b/>
            <sz val="9"/>
            <color indexed="81"/>
            <rFont val="Tahoma"/>
            <family val="2"/>
          </rPr>
          <t>William F Lazarus:</t>
        </r>
        <r>
          <rPr>
            <sz val="9"/>
            <color indexed="81"/>
            <rFont val="Tahoma"/>
            <family val="2"/>
          </rPr>
          <t xml:space="preserve">
based on corn and soybean acres</t>
        </r>
      </text>
    </comment>
    <comment ref="N32" authorId="0" shapeId="0">
      <text>
        <r>
          <rPr>
            <b/>
            <sz val="9"/>
            <color indexed="81"/>
            <rFont val="Tahoma"/>
            <family val="2"/>
          </rPr>
          <t>William F Lazarus:</t>
        </r>
        <r>
          <rPr>
            <sz val="9"/>
            <color indexed="81"/>
            <rFont val="Tahoma"/>
            <family val="2"/>
          </rPr>
          <t xml:space="preserve">
based on corn and soybean acres</t>
        </r>
      </text>
    </comment>
    <comment ref="O32" authorId="0" shapeId="0">
      <text>
        <r>
          <rPr>
            <b/>
            <sz val="9"/>
            <color indexed="81"/>
            <rFont val="Tahoma"/>
            <family val="2"/>
          </rPr>
          <t>William F Lazarus:</t>
        </r>
        <r>
          <rPr>
            <sz val="9"/>
            <color indexed="81"/>
            <rFont val="Tahoma"/>
            <family val="2"/>
          </rPr>
          <t xml:space="preserve">
based on corn and soybean acres</t>
        </r>
      </text>
    </comment>
    <comment ref="P32" authorId="0" shapeId="0">
      <text>
        <r>
          <rPr>
            <b/>
            <sz val="9"/>
            <color indexed="81"/>
            <rFont val="Tahoma"/>
            <family val="2"/>
          </rPr>
          <t>William F Lazarus:</t>
        </r>
        <r>
          <rPr>
            <sz val="9"/>
            <color indexed="81"/>
            <rFont val="Tahoma"/>
            <family val="2"/>
          </rPr>
          <t xml:space="preserve">
based on corn and soybean acres</t>
        </r>
      </text>
    </comment>
    <comment ref="Q32" authorId="0" shapeId="0">
      <text>
        <r>
          <rPr>
            <b/>
            <sz val="9"/>
            <color indexed="81"/>
            <rFont val="Tahoma"/>
            <family val="2"/>
          </rPr>
          <t>William F Lazarus:</t>
        </r>
        <r>
          <rPr>
            <sz val="9"/>
            <color indexed="81"/>
            <rFont val="Tahoma"/>
            <family val="2"/>
          </rPr>
          <t xml:space="preserve">
based on corn and soybean acres</t>
        </r>
      </text>
    </comment>
    <comment ref="R32" authorId="0" shapeId="0">
      <text>
        <r>
          <rPr>
            <b/>
            <sz val="9"/>
            <color indexed="81"/>
            <rFont val="Tahoma"/>
            <family val="2"/>
          </rPr>
          <t>William F Lazarus:</t>
        </r>
        <r>
          <rPr>
            <sz val="9"/>
            <color indexed="81"/>
            <rFont val="Tahoma"/>
            <family val="2"/>
          </rPr>
          <t xml:space="preserve">
based on corn and soybean acres</t>
        </r>
      </text>
    </comment>
    <comment ref="S32" authorId="0" shapeId="0">
      <text>
        <r>
          <rPr>
            <b/>
            <sz val="9"/>
            <color indexed="81"/>
            <rFont val="Tahoma"/>
            <family val="2"/>
          </rPr>
          <t>William F Lazarus:</t>
        </r>
        <r>
          <rPr>
            <sz val="9"/>
            <color indexed="81"/>
            <rFont val="Tahoma"/>
            <family val="2"/>
          </rPr>
          <t xml:space="preserve">
based on corn and soybean acres</t>
        </r>
      </text>
    </comment>
    <comment ref="T32" authorId="0" shapeId="0">
      <text>
        <r>
          <rPr>
            <b/>
            <sz val="9"/>
            <color indexed="81"/>
            <rFont val="Tahoma"/>
            <family val="2"/>
          </rPr>
          <t>William F Lazarus:</t>
        </r>
        <r>
          <rPr>
            <sz val="9"/>
            <color indexed="81"/>
            <rFont val="Tahoma"/>
            <family val="2"/>
          </rPr>
          <t xml:space="preserve">
based on corn and soybean acres</t>
        </r>
      </text>
    </comment>
    <comment ref="U32" authorId="0" shapeId="0">
      <text>
        <r>
          <rPr>
            <b/>
            <sz val="9"/>
            <color indexed="81"/>
            <rFont val="Tahoma"/>
            <family val="2"/>
          </rPr>
          <t>William F Lazarus:</t>
        </r>
        <r>
          <rPr>
            <sz val="9"/>
            <color indexed="81"/>
            <rFont val="Tahoma"/>
            <family val="2"/>
          </rPr>
          <t xml:space="preserve">
based on corn and soybean acres</t>
        </r>
      </text>
    </comment>
    <comment ref="V32" authorId="0" shapeId="0">
      <text>
        <r>
          <rPr>
            <b/>
            <sz val="9"/>
            <color indexed="81"/>
            <rFont val="Tahoma"/>
            <family val="2"/>
          </rPr>
          <t>William F Lazarus:</t>
        </r>
        <r>
          <rPr>
            <sz val="9"/>
            <color indexed="81"/>
            <rFont val="Tahoma"/>
            <family val="2"/>
          </rPr>
          <t xml:space="preserve">
based on corn and soybean acres</t>
        </r>
      </text>
    </comment>
    <comment ref="W32" authorId="0" shapeId="0">
      <text>
        <r>
          <rPr>
            <b/>
            <sz val="9"/>
            <color indexed="81"/>
            <rFont val="Tahoma"/>
            <family val="2"/>
          </rPr>
          <t>William F Lazarus:</t>
        </r>
        <r>
          <rPr>
            <sz val="9"/>
            <color indexed="81"/>
            <rFont val="Tahoma"/>
            <family val="2"/>
          </rPr>
          <t xml:space="preserve">
based on corn and soybean acres</t>
        </r>
      </text>
    </comment>
    <comment ref="X32" authorId="0" shapeId="0">
      <text>
        <r>
          <rPr>
            <b/>
            <sz val="9"/>
            <color indexed="81"/>
            <rFont val="Tahoma"/>
            <family val="2"/>
          </rPr>
          <t>William F Lazarus:</t>
        </r>
        <r>
          <rPr>
            <sz val="9"/>
            <color indexed="81"/>
            <rFont val="Tahoma"/>
            <family val="2"/>
          </rPr>
          <t xml:space="preserve">
based on corn and soybean acres</t>
        </r>
      </text>
    </comment>
    <comment ref="Y32" authorId="0" shapeId="0">
      <text>
        <r>
          <rPr>
            <b/>
            <sz val="9"/>
            <color indexed="81"/>
            <rFont val="Tahoma"/>
            <family val="2"/>
          </rPr>
          <t>William F Lazarus:</t>
        </r>
        <r>
          <rPr>
            <sz val="9"/>
            <color indexed="81"/>
            <rFont val="Tahoma"/>
            <family val="2"/>
          </rPr>
          <t xml:space="preserve">
based on corn and soybean acres</t>
        </r>
      </text>
    </comment>
    <comment ref="Z32" authorId="0" shapeId="0">
      <text>
        <r>
          <rPr>
            <b/>
            <sz val="9"/>
            <color indexed="81"/>
            <rFont val="Tahoma"/>
            <family val="2"/>
          </rPr>
          <t>William F Lazarus:</t>
        </r>
        <r>
          <rPr>
            <sz val="9"/>
            <color indexed="81"/>
            <rFont val="Tahoma"/>
            <family val="2"/>
          </rPr>
          <t xml:space="preserve">
based on corn and soybean acres</t>
        </r>
      </text>
    </comment>
    <comment ref="AA32" authorId="0" shapeId="0">
      <text>
        <r>
          <rPr>
            <b/>
            <sz val="9"/>
            <color indexed="81"/>
            <rFont val="Tahoma"/>
            <family val="2"/>
          </rPr>
          <t>William F Lazarus:</t>
        </r>
        <r>
          <rPr>
            <sz val="9"/>
            <color indexed="81"/>
            <rFont val="Tahoma"/>
            <family val="2"/>
          </rPr>
          <t xml:space="preserve">
based on corn and soybean acres</t>
        </r>
      </text>
    </comment>
    <comment ref="AB32" authorId="0" shapeId="0">
      <text>
        <r>
          <rPr>
            <b/>
            <sz val="9"/>
            <color indexed="81"/>
            <rFont val="Tahoma"/>
            <family val="2"/>
          </rPr>
          <t>William F Lazarus:</t>
        </r>
        <r>
          <rPr>
            <sz val="9"/>
            <color indexed="81"/>
            <rFont val="Tahoma"/>
            <family val="2"/>
          </rPr>
          <t xml:space="preserve">
based on corn and soybean acres</t>
        </r>
      </text>
    </comment>
    <comment ref="AC32" authorId="0" shapeId="0">
      <text>
        <r>
          <rPr>
            <b/>
            <sz val="9"/>
            <color indexed="81"/>
            <rFont val="Tahoma"/>
            <family val="2"/>
          </rPr>
          <t>William F Lazarus:</t>
        </r>
        <r>
          <rPr>
            <sz val="9"/>
            <color indexed="81"/>
            <rFont val="Tahoma"/>
            <family val="2"/>
          </rPr>
          <t xml:space="preserve">
based on corn and soybean acres</t>
        </r>
      </text>
    </comment>
    <comment ref="AD32" authorId="0" shapeId="0">
      <text>
        <r>
          <rPr>
            <b/>
            <sz val="9"/>
            <color indexed="81"/>
            <rFont val="Tahoma"/>
            <family val="2"/>
          </rPr>
          <t>William F Lazarus:</t>
        </r>
        <r>
          <rPr>
            <sz val="9"/>
            <color indexed="81"/>
            <rFont val="Tahoma"/>
            <family val="2"/>
          </rPr>
          <t xml:space="preserve">
based on corn and soybean acres</t>
        </r>
      </text>
    </comment>
    <comment ref="AE32" authorId="0" shapeId="0">
      <text>
        <r>
          <rPr>
            <b/>
            <sz val="9"/>
            <color indexed="81"/>
            <rFont val="Tahoma"/>
            <family val="2"/>
          </rPr>
          <t>William F Lazarus:</t>
        </r>
        <r>
          <rPr>
            <sz val="9"/>
            <color indexed="81"/>
            <rFont val="Tahoma"/>
            <family val="2"/>
          </rPr>
          <t xml:space="preserve">
based on corn and soybean acres</t>
        </r>
      </text>
    </comment>
    <comment ref="AF32" authorId="0" shapeId="0">
      <text>
        <r>
          <rPr>
            <b/>
            <sz val="9"/>
            <color indexed="81"/>
            <rFont val="Tahoma"/>
            <family val="2"/>
          </rPr>
          <t>William F Lazarus:</t>
        </r>
        <r>
          <rPr>
            <sz val="9"/>
            <color indexed="81"/>
            <rFont val="Tahoma"/>
            <family val="2"/>
          </rPr>
          <t xml:space="preserve">
based on corn and soybean acres</t>
        </r>
      </text>
    </comment>
    <comment ref="AG32" authorId="0" shapeId="0">
      <text>
        <r>
          <rPr>
            <b/>
            <sz val="9"/>
            <color indexed="81"/>
            <rFont val="Tahoma"/>
            <family val="2"/>
          </rPr>
          <t>William F Lazarus:</t>
        </r>
        <r>
          <rPr>
            <sz val="9"/>
            <color indexed="81"/>
            <rFont val="Tahoma"/>
            <family val="2"/>
          </rPr>
          <t xml:space="preserve">
based on corn and soybean acres</t>
        </r>
      </text>
    </comment>
    <comment ref="AH32" authorId="0" shapeId="0">
      <text>
        <r>
          <rPr>
            <b/>
            <sz val="9"/>
            <color indexed="81"/>
            <rFont val="Tahoma"/>
            <family val="2"/>
          </rPr>
          <t>William F Lazarus:</t>
        </r>
        <r>
          <rPr>
            <sz val="9"/>
            <color indexed="81"/>
            <rFont val="Tahoma"/>
            <family val="2"/>
          </rPr>
          <t xml:space="preserve">
based on corn and soybean acres</t>
        </r>
      </text>
    </comment>
    <comment ref="AI32" authorId="0" shapeId="0">
      <text>
        <r>
          <rPr>
            <b/>
            <sz val="9"/>
            <color indexed="81"/>
            <rFont val="Tahoma"/>
            <family val="2"/>
          </rPr>
          <t>William F Lazarus:</t>
        </r>
        <r>
          <rPr>
            <sz val="9"/>
            <color indexed="81"/>
            <rFont val="Tahoma"/>
            <family val="2"/>
          </rPr>
          <t xml:space="preserve">
based on corn and soybean acres</t>
        </r>
      </text>
    </comment>
    <comment ref="AJ32" authorId="0" shapeId="0">
      <text>
        <r>
          <rPr>
            <b/>
            <sz val="9"/>
            <color indexed="81"/>
            <rFont val="Tahoma"/>
            <family val="2"/>
          </rPr>
          <t>William F Lazarus:</t>
        </r>
        <r>
          <rPr>
            <sz val="9"/>
            <color indexed="81"/>
            <rFont val="Tahoma"/>
            <family val="2"/>
          </rPr>
          <t xml:space="preserve">
based on corn and soybean acres</t>
        </r>
      </text>
    </comment>
    <comment ref="AK32" authorId="0" shapeId="0">
      <text>
        <r>
          <rPr>
            <b/>
            <sz val="9"/>
            <color indexed="81"/>
            <rFont val="Tahoma"/>
            <family val="2"/>
          </rPr>
          <t>William F Lazarus:</t>
        </r>
        <r>
          <rPr>
            <sz val="9"/>
            <color indexed="81"/>
            <rFont val="Tahoma"/>
            <family val="2"/>
          </rPr>
          <t xml:space="preserve">
based on corn and soybean acres</t>
        </r>
      </text>
    </comment>
    <comment ref="AL32" authorId="0" shapeId="0">
      <text>
        <r>
          <rPr>
            <b/>
            <sz val="9"/>
            <color indexed="81"/>
            <rFont val="Tahoma"/>
            <family val="2"/>
          </rPr>
          <t>William F Lazarus:</t>
        </r>
        <r>
          <rPr>
            <sz val="9"/>
            <color indexed="81"/>
            <rFont val="Tahoma"/>
            <family val="2"/>
          </rPr>
          <t xml:space="preserve">
based on corn and soybean acres</t>
        </r>
      </text>
    </comment>
    <comment ref="AM32" authorId="0" shapeId="0">
      <text>
        <r>
          <rPr>
            <b/>
            <sz val="9"/>
            <color indexed="81"/>
            <rFont val="Tahoma"/>
            <family val="2"/>
          </rPr>
          <t>William F Lazarus:</t>
        </r>
        <r>
          <rPr>
            <sz val="9"/>
            <color indexed="81"/>
            <rFont val="Tahoma"/>
            <family val="2"/>
          </rPr>
          <t xml:space="preserve">
based on corn and soybean acres</t>
        </r>
      </text>
    </comment>
    <comment ref="AN32" authorId="0" shapeId="0">
      <text>
        <r>
          <rPr>
            <b/>
            <sz val="9"/>
            <color indexed="81"/>
            <rFont val="Tahoma"/>
            <family val="2"/>
          </rPr>
          <t>William F Lazarus:</t>
        </r>
        <r>
          <rPr>
            <sz val="9"/>
            <color indexed="81"/>
            <rFont val="Tahoma"/>
            <family val="2"/>
          </rPr>
          <t xml:space="preserve">
based on corn and soybean acres</t>
        </r>
      </text>
    </comment>
    <comment ref="A34" authorId="0" shapeId="0">
      <text>
        <r>
          <rPr>
            <b/>
            <sz val="9"/>
            <color indexed="81"/>
            <rFont val="Tahoma"/>
            <family val="2"/>
          </rPr>
          <t>William F Lazarus:</t>
        </r>
        <r>
          <rPr>
            <sz val="9"/>
            <color indexed="81"/>
            <rFont val="Tahoma"/>
            <family val="2"/>
          </rPr>
          <t xml:space="preserve">
based on all cropland</t>
        </r>
      </text>
    </comment>
    <comment ref="A35" authorId="0" shapeId="0">
      <text>
        <r>
          <rPr>
            <b/>
            <sz val="9"/>
            <color indexed="81"/>
            <rFont val="Tahoma"/>
            <family val="2"/>
          </rPr>
          <t>William F Lazarus:</t>
        </r>
        <r>
          <rPr>
            <sz val="9"/>
            <color indexed="81"/>
            <rFont val="Tahoma"/>
            <family val="2"/>
          </rPr>
          <t xml:space="preserve">
based on corn and soybean acres</t>
        </r>
      </text>
    </comment>
    <comment ref="A36" authorId="0" shapeId="0">
      <text>
        <r>
          <rPr>
            <b/>
            <sz val="9"/>
            <color indexed="81"/>
            <rFont val="Tahoma"/>
            <family val="2"/>
          </rPr>
          <t>William F Lazarus:</t>
        </r>
        <r>
          <rPr>
            <sz val="9"/>
            <color indexed="81"/>
            <rFont val="Tahoma"/>
            <family val="2"/>
          </rPr>
          <t xml:space="preserve">
based on percent of all cropland suitable for inlets</t>
        </r>
      </text>
    </comment>
    <comment ref="A37" authorId="0" shapeId="0">
      <text>
        <r>
          <rPr>
            <b/>
            <sz val="9"/>
            <color indexed="81"/>
            <rFont val="Tahoma"/>
            <family val="2"/>
          </rPr>
          <t>William F Lazarus:</t>
        </r>
        <r>
          <rPr>
            <sz val="9"/>
            <color indexed="81"/>
            <rFont val="Tahoma"/>
            <family val="2"/>
          </rPr>
          <t xml:space="preserve">
based on acres of corn, wheat, soybeans, potatoes, sugarbeets and dry beans</t>
        </r>
      </text>
    </comment>
    <comment ref="A38" authorId="0" shapeId="0">
      <text>
        <r>
          <rPr>
            <b/>
            <sz val="9"/>
            <color indexed="81"/>
            <rFont val="Tahoma"/>
            <family val="2"/>
          </rPr>
          <t>William F Lazarus:</t>
        </r>
        <r>
          <rPr>
            <sz val="9"/>
            <color indexed="81"/>
            <rFont val="Tahoma"/>
            <family val="2"/>
          </rPr>
          <t xml:space="preserve">
based on acres of corn, wheat, soybeans, potatoes, sugarbeets and dry beans</t>
        </r>
      </text>
    </comment>
    <comment ref="A39" authorId="0" shapeId="0">
      <text>
        <r>
          <rPr>
            <b/>
            <sz val="9"/>
            <color indexed="81"/>
            <rFont val="Tahoma"/>
            <family val="2"/>
          </rPr>
          <t>William F Lazarus:</t>
        </r>
        <r>
          <rPr>
            <sz val="9"/>
            <color indexed="81"/>
            <rFont val="Tahoma"/>
            <family val="2"/>
          </rPr>
          <t xml:space="preserve">
based on acres of corn and wheat</t>
        </r>
      </text>
    </comment>
    <comment ref="A41" authorId="0" shapeId="0">
      <text>
        <r>
          <rPr>
            <b/>
            <sz val="9"/>
            <color indexed="81"/>
            <rFont val="Tahoma"/>
            <family val="2"/>
          </rPr>
          <t>William F Lazarus:</t>
        </r>
        <r>
          <rPr>
            <sz val="9"/>
            <color indexed="81"/>
            <rFont val="Tahoma"/>
            <family val="2"/>
          </rPr>
          <t xml:space="preserve">
based on corn and wheat acres</t>
        </r>
      </text>
    </comment>
    <comment ref="A43" authorId="1" shapeId="0">
      <text>
        <r>
          <rPr>
            <b/>
            <sz val="9"/>
            <color indexed="81"/>
            <rFont val="Tahoma"/>
            <family val="2"/>
          </rPr>
          <t>WFL:</t>
        </r>
        <r>
          <rPr>
            <sz val="9"/>
            <color indexed="81"/>
            <rFont val="Tahoma"/>
            <family val="2"/>
          </rPr>
          <t xml:space="preserve">
due to the above ten index components, before the cover crop reductions</t>
        </r>
      </text>
    </comment>
    <comment ref="A48" authorId="0" shapeId="0">
      <text>
        <r>
          <rPr>
            <b/>
            <sz val="9"/>
            <color indexed="81"/>
            <rFont val="Tahoma"/>
            <family val="2"/>
          </rPr>
          <t>William F Lazarus:</t>
        </r>
        <r>
          <rPr>
            <sz val="9"/>
            <color indexed="81"/>
            <rFont val="Tahoma"/>
            <family val="2"/>
          </rPr>
          <t xml:space="preserve">
Based on C/S load in row 30</t>
        </r>
      </text>
    </comment>
    <comment ref="A49" authorId="0" shapeId="0">
      <text>
        <r>
          <rPr>
            <b/>
            <sz val="9"/>
            <color indexed="81"/>
            <rFont val="Tahoma"/>
            <family val="2"/>
          </rPr>
          <t>William F Lazarus:</t>
        </r>
        <r>
          <rPr>
            <sz val="9"/>
            <color indexed="81"/>
            <rFont val="Tahoma"/>
            <family val="2"/>
          </rPr>
          <t xml:space="preserve">
Use corn/soy load/acre
</t>
        </r>
      </text>
    </comment>
  </commentList>
</comments>
</file>

<file path=xl/comments3.xml><?xml version="1.0" encoding="utf-8"?>
<comments xmlns="http://schemas.openxmlformats.org/spreadsheetml/2006/main">
  <authors>
    <author>Jacob C Galzki</author>
  </authors>
  <commentList>
    <comment ref="A11" authorId="0" shapeId="0">
      <text>
        <r>
          <rPr>
            <b/>
            <sz val="9"/>
            <color indexed="81"/>
            <rFont val="Tahoma"/>
            <family val="2"/>
          </rPr>
          <t>Jacob C Galzki:</t>
        </r>
        <r>
          <rPr>
            <sz val="9"/>
            <color indexed="81"/>
            <rFont val="Tahoma"/>
            <family val="2"/>
          </rPr>
          <t xml:space="preserve">
Original method is already interpolated</t>
        </r>
      </text>
    </comment>
    <comment ref="A13" authorId="0" shapeId="0">
      <text>
        <r>
          <rPr>
            <b/>
            <sz val="9"/>
            <color indexed="81"/>
            <rFont val="Tahoma"/>
            <family val="2"/>
          </rPr>
          <t>Jacob C Galzki:</t>
        </r>
        <r>
          <rPr>
            <sz val="9"/>
            <color indexed="81"/>
            <rFont val="Tahoma"/>
            <family val="2"/>
          </rPr>
          <t xml:space="preserve">
Original method is already interpolated</t>
        </r>
      </text>
    </comment>
    <comment ref="A25" authorId="0" shapeId="0">
      <text>
        <r>
          <rPr>
            <b/>
            <sz val="9"/>
            <color indexed="81"/>
            <rFont val="Tahoma"/>
            <family val="2"/>
          </rPr>
          <t>Jacob C Galzki:</t>
        </r>
        <r>
          <rPr>
            <sz val="9"/>
            <color indexed="81"/>
            <rFont val="Tahoma"/>
            <family val="2"/>
          </rPr>
          <t xml:space="preserve">
Original method is already interpolated</t>
        </r>
      </text>
    </comment>
    <comment ref="A27" authorId="0" shapeId="0">
      <text>
        <r>
          <rPr>
            <b/>
            <sz val="9"/>
            <color indexed="81"/>
            <rFont val="Tahoma"/>
            <family val="2"/>
          </rPr>
          <t>Jacob C Galzki:</t>
        </r>
        <r>
          <rPr>
            <sz val="9"/>
            <color indexed="81"/>
            <rFont val="Tahoma"/>
            <family val="2"/>
          </rPr>
          <t xml:space="preserve">
Original method is already interpolated</t>
        </r>
      </text>
    </comment>
    <comment ref="A38" authorId="0" shapeId="0">
      <text>
        <r>
          <rPr>
            <b/>
            <sz val="9"/>
            <color indexed="81"/>
            <rFont val="Tahoma"/>
            <family val="2"/>
          </rPr>
          <t>Jacob C Galzki:</t>
        </r>
        <r>
          <rPr>
            <sz val="9"/>
            <color indexed="81"/>
            <rFont val="Tahoma"/>
            <family val="2"/>
          </rPr>
          <t xml:space="preserve">
Original method is already interpolated</t>
        </r>
      </text>
    </comment>
    <comment ref="A40" authorId="0" shapeId="0">
      <text>
        <r>
          <rPr>
            <b/>
            <sz val="9"/>
            <color indexed="81"/>
            <rFont val="Tahoma"/>
            <family val="2"/>
          </rPr>
          <t>Jacob C Galzki:</t>
        </r>
        <r>
          <rPr>
            <sz val="9"/>
            <color indexed="81"/>
            <rFont val="Tahoma"/>
            <family val="2"/>
          </rPr>
          <t xml:space="preserve">
Original method is already interpolated</t>
        </r>
      </text>
    </comment>
  </commentList>
</comments>
</file>

<file path=xl/comments4.xml><?xml version="1.0" encoding="utf-8"?>
<comments xmlns="http://schemas.openxmlformats.org/spreadsheetml/2006/main">
  <authors>
    <author>William F Lazarus</author>
  </authors>
  <commentList>
    <comment ref="A70" authorId="0" shapeId="0">
      <text>
        <r>
          <rPr>
            <b/>
            <sz val="9"/>
            <color indexed="81"/>
            <rFont val="Tahoma"/>
            <family val="2"/>
          </rPr>
          <t>William F Lazarus:</t>
        </r>
        <r>
          <rPr>
            <sz val="9"/>
            <color indexed="81"/>
            <rFont val="Tahoma"/>
            <family val="2"/>
          </rPr>
          <t xml:space="preserve">
I changed this to zeros on 4/21/15 because according to Jake, the total cropland acres in the model do not include CRP acres.  Before this change, this was 2007 CRP acres, from Jake, 11/12/14</t>
        </r>
      </text>
    </comment>
    <comment ref="A71" authorId="0" shapeId="0">
      <text>
        <r>
          <rPr>
            <b/>
            <sz val="9"/>
            <color indexed="81"/>
            <rFont val="Tahoma"/>
            <family val="2"/>
          </rPr>
          <t>William F Lazarus:</t>
        </r>
        <r>
          <rPr>
            <sz val="9"/>
            <color indexed="81"/>
            <rFont val="Tahoma"/>
            <family val="2"/>
          </rPr>
          <t xml:space="preserve">
2007 CRP acres, from Jake, 11/12/14</t>
        </r>
      </text>
    </comment>
  </commentList>
</comments>
</file>

<file path=xl/comments5.xml><?xml version="1.0" encoding="utf-8"?>
<comments xmlns="http://schemas.openxmlformats.org/spreadsheetml/2006/main">
  <authors>
    <author>WFL</author>
  </authors>
  <commentList>
    <comment ref="A6" authorId="0" shapeId="0">
      <text>
        <r>
          <rPr>
            <b/>
            <sz val="9"/>
            <color indexed="81"/>
            <rFont val="Tahoma"/>
            <family val="2"/>
          </rPr>
          <t>WFL:</t>
        </r>
        <r>
          <rPr>
            <sz val="9"/>
            <color indexed="81"/>
            <rFont val="Tahoma"/>
            <family val="2"/>
          </rPr>
          <t xml:space="preserve">
The original input data was calculated for a 90m width, but we then made the width variable with a default of 50 feet.</t>
        </r>
      </text>
    </comment>
    <comment ref="A8" authorId="0" shapeId="0">
      <text>
        <r>
          <rPr>
            <b/>
            <sz val="9"/>
            <color indexed="81"/>
            <rFont val="Tahoma"/>
            <family val="2"/>
          </rPr>
          <t>WFL:</t>
        </r>
        <r>
          <rPr>
            <sz val="9"/>
            <color indexed="81"/>
            <rFont val="Tahoma"/>
            <family val="2"/>
          </rPr>
          <t xml:space="preserve">
The original input data was calculated for a 90m width, but we then made the width variable with a default of 50 feet.</t>
        </r>
      </text>
    </comment>
    <comment ref="A13" authorId="0" shapeId="0">
      <text>
        <r>
          <rPr>
            <b/>
            <sz val="9"/>
            <color indexed="81"/>
            <rFont val="Tahoma"/>
            <family val="2"/>
          </rPr>
          <t>WFL:</t>
        </r>
        <r>
          <rPr>
            <sz val="9"/>
            <color indexed="81"/>
            <rFont val="Tahoma"/>
            <family val="2"/>
          </rPr>
          <t xml:space="preserve">
This is the width of the buffers themselves, lost from crop production, but the buffers are assumed to filter P from the wider area shown below.</t>
        </r>
      </text>
    </comment>
    <comment ref="A16" authorId="0" shapeId="0">
      <text>
        <r>
          <rPr>
            <b/>
            <sz val="9"/>
            <color indexed="81"/>
            <rFont val="Tahoma"/>
            <family val="2"/>
          </rPr>
          <t>WFL:</t>
        </r>
        <r>
          <rPr>
            <sz val="9"/>
            <color indexed="81"/>
            <rFont val="Tahoma"/>
            <family val="2"/>
          </rPr>
          <t xml:space="preserve">
This is the width assumed to be affected by filtering by the narrower buffers themselves shown above.</t>
        </r>
      </text>
    </comment>
    <comment ref="A20" authorId="0" shapeId="0">
      <text>
        <r>
          <rPr>
            <b/>
            <sz val="9"/>
            <color indexed="81"/>
            <rFont val="Tahoma"/>
            <family val="2"/>
          </rPr>
          <t>WFL:</t>
        </r>
        <r>
          <rPr>
            <sz val="9"/>
            <color indexed="81"/>
            <rFont val="Tahoma"/>
            <family val="2"/>
          </rPr>
          <t xml:space="preserve">
Tetratech data provided originally for NBMP</t>
        </r>
      </text>
    </comment>
    <comment ref="A22" authorId="0" shapeId="0">
      <text>
        <r>
          <rPr>
            <b/>
            <sz val="9"/>
            <color indexed="81"/>
            <rFont val="Tahoma"/>
            <family val="2"/>
          </rPr>
          <t>WFL:</t>
        </r>
        <r>
          <rPr>
            <sz val="9"/>
            <color indexed="81"/>
            <rFont val="Tahoma"/>
            <family val="2"/>
          </rPr>
          <t xml:space="preserve">
Tetratech data provided originally for NBMP</t>
        </r>
      </text>
    </comment>
    <comment ref="A23" authorId="0" shapeId="0">
      <text>
        <r>
          <rPr>
            <b/>
            <sz val="9"/>
            <color indexed="81"/>
            <rFont val="Tahoma"/>
            <family val="2"/>
          </rPr>
          <t>WFL:</t>
        </r>
        <r>
          <rPr>
            <sz val="9"/>
            <color indexed="81"/>
            <rFont val="Tahoma"/>
            <family val="2"/>
          </rPr>
          <t xml:space="preserve">
Based on a width of 100 ft</t>
        </r>
      </text>
    </comment>
    <comment ref="A25" authorId="0" shapeId="0">
      <text>
        <r>
          <rPr>
            <b/>
            <sz val="9"/>
            <color indexed="81"/>
            <rFont val="Tahoma"/>
            <family val="2"/>
          </rPr>
          <t>WFL:</t>
        </r>
        <r>
          <rPr>
            <sz val="9"/>
            <color indexed="81"/>
            <rFont val="Tahoma"/>
            <family val="2"/>
          </rPr>
          <t xml:space="preserve">
Based on a width of 100 ft</t>
        </r>
      </text>
    </comment>
    <comment ref="A26" authorId="0" shapeId="0">
      <text>
        <r>
          <rPr>
            <b/>
            <sz val="9"/>
            <color indexed="81"/>
            <rFont val="Tahoma"/>
            <family val="2"/>
          </rPr>
          <t>WFL:</t>
        </r>
        <r>
          <rPr>
            <sz val="9"/>
            <color indexed="81"/>
            <rFont val="Tahoma"/>
            <family val="2"/>
          </rPr>
          <t xml:space="preserve">
The original input data was calculated for a 90m width, but we then made the width variable with a default of 50 feet.</t>
        </r>
      </text>
    </comment>
    <comment ref="A29" authorId="0" shapeId="0">
      <text>
        <r>
          <rPr>
            <b/>
            <sz val="9"/>
            <color indexed="81"/>
            <rFont val="Tahoma"/>
            <family val="2"/>
          </rPr>
          <t>WFL:</t>
        </r>
        <r>
          <rPr>
            <sz val="9"/>
            <color indexed="81"/>
            <rFont val="Tahoma"/>
            <family val="2"/>
          </rPr>
          <t xml:space="preserve">
The original input data was calculated for a 90m width, but we then made the width variable with a default of 50 feet.</t>
        </r>
      </text>
    </comment>
    <comment ref="A31" authorId="0" shapeId="0">
      <text>
        <r>
          <rPr>
            <b/>
            <sz val="9"/>
            <color indexed="81"/>
            <rFont val="Tahoma"/>
            <family val="2"/>
          </rPr>
          <t>WFL:</t>
        </r>
        <r>
          <rPr>
            <sz val="9"/>
            <color indexed="81"/>
            <rFont val="Tahoma"/>
            <family val="2"/>
          </rPr>
          <t xml:space="preserve">
Based on a width of 100 ft</t>
        </r>
      </text>
    </comment>
    <comment ref="A32" authorId="0" shapeId="0">
      <text>
        <r>
          <rPr>
            <b/>
            <sz val="9"/>
            <color indexed="81"/>
            <rFont val="Tahoma"/>
            <family val="2"/>
          </rPr>
          <t>WFL:</t>
        </r>
        <r>
          <rPr>
            <sz val="9"/>
            <color indexed="81"/>
            <rFont val="Tahoma"/>
            <family val="2"/>
          </rPr>
          <t xml:space="preserve">
This is the width of the buffers themselves, lost from crop production, but the buffers are assumed to filter P from the wider area shown below.</t>
        </r>
      </text>
    </comment>
    <comment ref="A33" authorId="0" shapeId="0">
      <text>
        <r>
          <rPr>
            <b/>
            <sz val="9"/>
            <color indexed="81"/>
            <rFont val="Tahoma"/>
            <family val="2"/>
          </rPr>
          <t>WFL:</t>
        </r>
        <r>
          <rPr>
            <sz val="9"/>
            <color indexed="81"/>
            <rFont val="Tahoma"/>
            <family val="2"/>
          </rPr>
          <t xml:space="preserve">
This is the width of the buffers themselves, lost from crop production, but the buffers are assumed to filter P from the wider area shown below.</t>
        </r>
      </text>
    </comment>
    <comment ref="A37" authorId="0" shapeId="0">
      <text>
        <r>
          <rPr>
            <b/>
            <sz val="9"/>
            <color indexed="81"/>
            <rFont val="Tahoma"/>
            <family val="2"/>
          </rPr>
          <t>WFL:</t>
        </r>
        <r>
          <rPr>
            <sz val="9"/>
            <color indexed="81"/>
            <rFont val="Tahoma"/>
            <family val="2"/>
          </rPr>
          <t xml:space="preserve">
This is the width of the buffers themselves, lost from crop production, but the buffers are assumed to filter P from the wider area shown below.</t>
        </r>
      </text>
    </comment>
    <comment ref="A38" authorId="0" shapeId="0">
      <text>
        <r>
          <rPr>
            <b/>
            <sz val="9"/>
            <color indexed="81"/>
            <rFont val="Tahoma"/>
            <family val="2"/>
          </rPr>
          <t>WFL:</t>
        </r>
        <r>
          <rPr>
            <sz val="9"/>
            <color indexed="81"/>
            <rFont val="Tahoma"/>
            <family val="2"/>
          </rPr>
          <t xml:space="preserve">
This is the width assumed to be affected by filtering by the narrower buffers themselves shown above.</t>
        </r>
      </text>
    </comment>
    <comment ref="A39" authorId="0" shapeId="0">
      <text>
        <r>
          <rPr>
            <b/>
            <sz val="9"/>
            <color indexed="81"/>
            <rFont val="Tahoma"/>
            <family val="2"/>
          </rPr>
          <t>WFL:</t>
        </r>
        <r>
          <rPr>
            <sz val="9"/>
            <color indexed="81"/>
            <rFont val="Tahoma"/>
            <family val="2"/>
          </rPr>
          <t xml:space="preserve">
This is the width assumed to be affected by filtering by the narrower buffers themselves shown above.</t>
        </r>
      </text>
    </comment>
  </commentList>
</comments>
</file>

<file path=xl/comments6.xml><?xml version="1.0" encoding="utf-8"?>
<comments xmlns="http://schemas.openxmlformats.org/spreadsheetml/2006/main">
  <authors>
    <author>William F Lazarus</author>
    <author>Applied Economics</author>
    <author>WFL</author>
  </authors>
  <commentList>
    <comment ref="E4" authorId="0" shapeId="0">
      <text>
        <r>
          <rPr>
            <b/>
            <sz val="9"/>
            <color indexed="81"/>
            <rFont val="Tahoma"/>
            <family val="2"/>
          </rPr>
          <t>William F Lazarus:</t>
        </r>
        <r>
          <rPr>
            <sz val="9"/>
            <color indexed="81"/>
            <rFont val="Tahoma"/>
            <family val="2"/>
          </rPr>
          <t xml:space="preserve">
The switchgrass seeding rate is 7 lb/acre in the seeding year / 10 year stand</t>
        </r>
      </text>
    </comment>
    <comment ref="A7" authorId="0" shapeId="0">
      <text>
        <r>
          <rPr>
            <b/>
            <sz val="9"/>
            <color indexed="81"/>
            <rFont val="Tahoma"/>
            <family val="2"/>
          </rPr>
          <t>William F Lazarus:</t>
        </r>
        <r>
          <rPr>
            <sz val="9"/>
            <color indexed="81"/>
            <rFont val="Tahoma"/>
            <family val="2"/>
          </rPr>
          <t xml:space="preserve">
P and K rates vary by region STP and crop yield</t>
        </r>
      </text>
    </comment>
    <comment ref="B7" authorId="0" shapeId="0">
      <text>
        <r>
          <rPr>
            <b/>
            <sz val="9"/>
            <color indexed="81"/>
            <rFont val="Tahoma"/>
            <family val="2"/>
          </rPr>
          <t>William F Lazarus:</t>
        </r>
        <r>
          <rPr>
            <sz val="9"/>
            <color indexed="81"/>
            <rFont val="Tahoma"/>
            <family val="2"/>
          </rPr>
          <t xml:space="preserve">
Current rate from nbmp.xlsm spreadsheet</t>
        </r>
      </text>
    </comment>
    <comment ref="A10" authorId="0" shapeId="0">
      <text>
        <r>
          <rPr>
            <b/>
            <sz val="9"/>
            <color indexed="81"/>
            <rFont val="Tahoma"/>
            <family val="2"/>
          </rPr>
          <t>William F Lazarus:</t>
        </r>
        <r>
          <rPr>
            <sz val="9"/>
            <color indexed="81"/>
            <rFont val="Tahoma"/>
            <family val="2"/>
          </rPr>
          <t xml:space="preserve">
Fertilizer ingredient costs are calculated by region below</t>
        </r>
      </text>
    </comment>
    <comment ref="F57" authorId="0" shapeId="0">
      <text>
        <r>
          <rPr>
            <b/>
            <sz val="9"/>
            <color indexed="81"/>
            <rFont val="Tahoma"/>
            <family val="2"/>
          </rPr>
          <t>William F Lazarus:</t>
        </r>
        <r>
          <rPr>
            <sz val="9"/>
            <color indexed="81"/>
            <rFont val="Tahoma"/>
            <family val="2"/>
          </rPr>
          <t xml:space="preserve">
Keri Jacobs in her 2014 Cenusa budget, had a higher cost for Iowa, which I assume is from their custom rate survey.  I used my 2014 mach cost, but tripled the baling cost assuming one large cutting rather than 3 alfalfa cuttings.</t>
        </r>
      </text>
    </comment>
    <comment ref="E60" authorId="0" shapeId="0">
      <text>
        <r>
          <rPr>
            <b/>
            <sz val="9"/>
            <color indexed="81"/>
            <rFont val="Tahoma"/>
            <family val="2"/>
          </rPr>
          <t>William F Lazarus:</t>
        </r>
        <r>
          <rPr>
            <sz val="9"/>
            <color indexed="81"/>
            <rFont val="Tahoma"/>
            <family val="2"/>
          </rPr>
          <t xml:space="preserve">
Based on Keri Jacobs' 2014 Cenusa budget, for bale mover to edge of field</t>
        </r>
      </text>
    </comment>
    <comment ref="A73" authorId="0" shapeId="0">
      <text>
        <r>
          <rPr>
            <b/>
            <sz val="9"/>
            <color indexed="81"/>
            <rFont val="Tahoma"/>
            <family val="2"/>
          </rPr>
          <t>William F Lazarus:</t>
        </r>
        <r>
          <rPr>
            <sz val="9"/>
            <color indexed="81"/>
            <rFont val="Tahoma"/>
            <family val="2"/>
          </rPr>
          <t xml:space="preserve">
The N fertilizer price used in the budgets can be set equal to the average cost in the N rate sheet, or could be set at some different level.</t>
        </r>
      </text>
    </comment>
    <comment ref="C73" authorId="0" shapeId="0">
      <text>
        <r>
          <rPr>
            <b/>
            <sz val="9"/>
            <color indexed="81"/>
            <rFont val="Tahoma"/>
            <family val="2"/>
          </rPr>
          <t>William F Lazarus:</t>
        </r>
        <r>
          <rPr>
            <sz val="9"/>
            <color indexed="81"/>
            <rFont val="Tahoma"/>
            <family val="2"/>
          </rPr>
          <t xml:space="preserve">
8/4/14 - assume coated urea, based on Keri Jacobs' Cenusa presentation and Bruce Johnson's maeap tour comment on the extra cost for coating.</t>
        </r>
      </text>
    </comment>
    <comment ref="C77" authorId="0" shapeId="0">
      <text>
        <r>
          <rPr>
            <b/>
            <sz val="9"/>
            <color indexed="81"/>
            <rFont val="Tahoma"/>
            <family val="2"/>
          </rPr>
          <t>William F Lazarus:</t>
        </r>
        <r>
          <rPr>
            <sz val="9"/>
            <color indexed="81"/>
            <rFont val="Tahoma"/>
            <family val="2"/>
          </rPr>
          <t xml:space="preserve">
increased from 3.2 to 3.4 based on Keri Jacobs' budget</t>
        </r>
      </text>
    </comment>
    <comment ref="A80" authorId="1" shapeId="0">
      <text>
        <r>
          <rPr>
            <b/>
            <sz val="9"/>
            <color indexed="81"/>
            <rFont val="Tahoma"/>
            <family val="2"/>
          </rPr>
          <t>Applied Economics:</t>
        </r>
        <r>
          <rPr>
            <sz val="9"/>
            <color indexed="81"/>
            <rFont val="Tahoma"/>
            <family val="2"/>
          </rPr>
          <t xml:space="preserve">
From McIsaac, et al., IL data, 2010
</t>
        </r>
      </text>
    </comment>
    <comment ref="C85" authorId="0" shapeId="0">
      <text>
        <r>
          <rPr>
            <b/>
            <sz val="9"/>
            <color indexed="81"/>
            <rFont val="Tahoma"/>
            <family val="2"/>
          </rPr>
          <t>William F Lazarus:</t>
        </r>
        <r>
          <rPr>
            <sz val="9"/>
            <color indexed="81"/>
            <rFont val="Tahoma"/>
            <family val="2"/>
          </rPr>
          <t xml:space="preserve">
This includes both sides of the ditch or stream, so entering 50 feet means 25 feet on each side.</t>
        </r>
      </text>
    </comment>
    <comment ref="C86" authorId="0" shapeId="0">
      <text>
        <r>
          <rPr>
            <b/>
            <sz val="9"/>
            <color indexed="81"/>
            <rFont val="Tahoma"/>
            <family val="2"/>
          </rPr>
          <t>William F Lazarus:</t>
        </r>
        <r>
          <rPr>
            <sz val="9"/>
            <color indexed="81"/>
            <rFont val="Tahoma"/>
            <family val="2"/>
          </rPr>
          <t xml:space="preserve">
This includes both sides of the ditch or stream, so entering 50 feet means 25 feet on each side.</t>
        </r>
      </text>
    </comment>
    <comment ref="S98" authorId="2" shapeId="0">
      <text>
        <r>
          <rPr>
            <b/>
            <sz val="9"/>
            <color indexed="81"/>
            <rFont val="Tahoma"/>
            <family val="2"/>
          </rPr>
          <t>WFL:</t>
        </r>
        <r>
          <rPr>
            <sz val="9"/>
            <color indexed="81"/>
            <rFont val="Tahoma"/>
            <family val="2"/>
          </rPr>
          <t xml:space="preserve">
From NBMP, Watersheds rows 104-105
</t>
        </r>
      </text>
    </comment>
    <comment ref="S103" authorId="2" shapeId="0">
      <text>
        <r>
          <rPr>
            <b/>
            <sz val="9"/>
            <color indexed="81"/>
            <rFont val="Tahoma"/>
            <family val="2"/>
          </rPr>
          <t>WFL:</t>
        </r>
        <r>
          <rPr>
            <sz val="9"/>
            <color indexed="81"/>
            <rFont val="Tahoma"/>
            <family val="2"/>
          </rPr>
          <t xml:space="preserve">
Fall applications are assumed to be NH3, spring urea</t>
        </r>
      </text>
    </comment>
    <comment ref="S219" authorId="0" shapeId="0">
      <text>
        <r>
          <rPr>
            <b/>
            <sz val="9"/>
            <color indexed="81"/>
            <rFont val="Tahoma"/>
            <family val="2"/>
          </rPr>
          <t>William F Lazarus:</t>
        </r>
        <r>
          <rPr>
            <sz val="9"/>
            <color indexed="81"/>
            <rFont val="Tahoma"/>
            <family val="2"/>
          </rPr>
          <t xml:space="preserve">
The corn grain and silage numbers have the N cost back, and the crop values subtracted, because these are calculated separately in the main calculations.</t>
        </r>
      </text>
    </comment>
    <comment ref="S221" authorId="0" shapeId="0">
      <text>
        <r>
          <rPr>
            <b/>
            <sz val="9"/>
            <color indexed="81"/>
            <rFont val="Tahoma"/>
            <family val="2"/>
          </rPr>
          <t>William F Lazarus:</t>
        </r>
        <r>
          <rPr>
            <sz val="9"/>
            <color indexed="81"/>
            <rFont val="Tahoma"/>
            <family val="2"/>
          </rPr>
          <t xml:space="preserve">
The per-acre returns for the crops other than corn and soybeans are from a spreadsheet supplied by David Mulla.</t>
        </r>
      </text>
    </comment>
  </commentList>
</comments>
</file>

<file path=xl/comments7.xml><?xml version="1.0" encoding="utf-8"?>
<comments xmlns="http://schemas.openxmlformats.org/spreadsheetml/2006/main">
  <authors>
    <author>William F Lazarus</author>
    <author>Karina Fabrizzi</author>
    <author>Bill</author>
  </authors>
  <commentList>
    <comment ref="A7" authorId="0" shapeId="0">
      <text>
        <r>
          <rPr>
            <b/>
            <sz val="9"/>
            <color indexed="81"/>
            <rFont val="Tahoma"/>
            <family val="2"/>
          </rPr>
          <t>William F Lazarus:</t>
        </r>
        <r>
          <rPr>
            <sz val="9"/>
            <color indexed="81"/>
            <rFont val="Tahoma"/>
            <family val="2"/>
          </rPr>
          <t xml:space="preserve">
Marginal land in cultivation.  On 4/21/15, I changed this back to the same as in NBMP, before the 11/6/14 change.</t>
        </r>
      </text>
    </comment>
    <comment ref="A10" authorId="1" shapeId="0">
      <text>
        <r>
          <rPr>
            <b/>
            <sz val="10"/>
            <color indexed="81"/>
            <rFont val="Tahoma"/>
            <family val="2"/>
          </rPr>
          <t>Karina Fabrizzi:</t>
        </r>
        <r>
          <rPr>
            <sz val="10"/>
            <color indexed="81"/>
            <rFont val="Tahoma"/>
            <family val="2"/>
          </rPr>
          <t xml:space="preserve">
NLCD, 2006</t>
        </r>
      </text>
    </comment>
    <comment ref="A134" authorId="2" shapeId="0">
      <text>
        <r>
          <rPr>
            <b/>
            <sz val="9"/>
            <color indexed="81"/>
            <rFont val="Tahoma"/>
            <family val="2"/>
          </rPr>
          <t>Bill:</t>
        </r>
        <r>
          <rPr>
            <sz val="9"/>
            <color indexed="81"/>
            <rFont val="Tahoma"/>
            <family val="2"/>
          </rPr>
          <t xml:space="preserve">
before subtracting the short-season sweet corn, peas, potatoes, and dry edible beans on 6/27/14</t>
        </r>
      </text>
    </comment>
  </commentList>
</comments>
</file>

<file path=xl/comments8.xml><?xml version="1.0" encoding="utf-8"?>
<comments xmlns="http://schemas.openxmlformats.org/spreadsheetml/2006/main">
  <authors>
    <author>WFL</author>
    <author>William F Lazarus</author>
  </authors>
  <commentList>
    <comment ref="B19" authorId="0" shapeId="0">
      <text>
        <r>
          <rPr>
            <b/>
            <sz val="8"/>
            <color indexed="81"/>
            <rFont val="Tahoma"/>
            <family val="2"/>
          </rPr>
          <t>WFL:</t>
        </r>
        <r>
          <rPr>
            <sz val="8"/>
            <color indexed="81"/>
            <rFont val="Tahoma"/>
            <family val="2"/>
          </rPr>
          <t xml:space="preserve">
Based on $14.50/50 lb bag, if 200 bags purchased, Albert Lea Seed House, 9/3/14</t>
        </r>
      </text>
    </comment>
    <comment ref="B21" authorId="0" shapeId="0">
      <text>
        <r>
          <rPr>
            <b/>
            <sz val="8"/>
            <color indexed="81"/>
            <rFont val="Tahoma"/>
            <family val="2"/>
          </rPr>
          <t>WFL:</t>
        </r>
        <r>
          <rPr>
            <sz val="8"/>
            <color indexed="81"/>
            <rFont val="Tahoma"/>
            <family val="2"/>
          </rPr>
          <t xml:space="preserve">
Melissa Wilson gave me this rate.  She said they first used Scott's Helicopter Service, which does a lot of mosquito treating, and then switched to Teryjon Helicopter of St. Peter.  Mark Zumwinkle of MDA helped make arrangements.</t>
        </r>
      </text>
    </comment>
    <comment ref="C21" authorId="0" shapeId="0">
      <text>
        <r>
          <rPr>
            <b/>
            <sz val="8"/>
            <color indexed="81"/>
            <rFont val="Tahoma"/>
            <family val="2"/>
          </rPr>
          <t>WFL:</t>
        </r>
        <r>
          <rPr>
            <sz val="8"/>
            <color indexed="81"/>
            <rFont val="Tahoma"/>
            <family val="2"/>
          </rPr>
          <t xml:space="preserve">
Melissa Wilson gave me this rate.  She said they first used Scott's Helicopter Service, which does a lot of mosquito treating, and then switched to Teryjon Helicopter of St. Peter.  Mark Zumwinkle of MDA helped make arrangements.</t>
        </r>
      </text>
    </comment>
    <comment ref="E21" authorId="1" shapeId="0">
      <text>
        <r>
          <rPr>
            <b/>
            <sz val="9"/>
            <color indexed="81"/>
            <rFont val="Tahoma"/>
            <family val="2"/>
          </rPr>
          <t>William F Lazarus:</t>
        </r>
        <r>
          <rPr>
            <sz val="9"/>
            <color indexed="81"/>
            <rFont val="Tahoma"/>
            <family val="2"/>
          </rPr>
          <t xml:space="preserve">
An alternative that at least one SE MN producer has done is to have a floater to apply the rye with an airflow system, followed by a light disking to incorporate.  A 15 ft notill drill costs $24.78/acre.  The floater and a disking might be slightly less.</t>
        </r>
      </text>
    </comment>
    <comment ref="F21" authorId="1" shapeId="0">
      <text>
        <r>
          <rPr>
            <b/>
            <sz val="9"/>
            <color indexed="81"/>
            <rFont val="Tahoma"/>
            <family val="2"/>
          </rPr>
          <t>William F Lazarus:</t>
        </r>
        <r>
          <rPr>
            <sz val="9"/>
            <color indexed="81"/>
            <rFont val="Tahoma"/>
            <family val="2"/>
          </rPr>
          <t xml:space="preserve">
assume a floater to apply, followed by a 30 ft tandem disk to incorporate.  A 15 ft notill drill would cost $24.78/acre.</t>
        </r>
      </text>
    </comment>
    <comment ref="B26" authorId="1" shapeId="0">
      <text>
        <r>
          <rPr>
            <b/>
            <sz val="9"/>
            <color indexed="81"/>
            <rFont val="Tahoma"/>
            <family val="2"/>
          </rPr>
          <t>William F Lazarus:</t>
        </r>
        <r>
          <rPr>
            <sz val="9"/>
            <color indexed="81"/>
            <rFont val="Tahoma"/>
            <family val="2"/>
          </rPr>
          <t xml:space="preserve">
24 oz glyphosate/acre based on the IA report.  I was using 44 oz in my crop budgets.  The prices of $0.15/oz is from the most recent price from Jeff Gunsolous' technician last spring.</t>
        </r>
      </text>
    </comment>
    <comment ref="C26" authorId="1" shapeId="0">
      <text>
        <r>
          <rPr>
            <b/>
            <sz val="9"/>
            <color indexed="81"/>
            <rFont val="Tahoma"/>
            <family val="2"/>
          </rPr>
          <t>William F Lazarus:</t>
        </r>
        <r>
          <rPr>
            <sz val="9"/>
            <color indexed="81"/>
            <rFont val="Tahoma"/>
            <family val="2"/>
          </rPr>
          <t xml:space="preserve">
24 oz glyphosate/acre based on the IA report.  I was using 44 oz in my crop budgets.  The prices of $0.15/oz is from the most recent price from Jeff Gunsolous' technician last spring.</t>
        </r>
      </text>
    </comment>
    <comment ref="D28" authorId="0" shapeId="0">
      <text>
        <r>
          <rPr>
            <b/>
            <sz val="8"/>
            <color indexed="81"/>
            <rFont val="Tahoma"/>
            <family val="2"/>
          </rPr>
          <t>WFL:</t>
        </r>
        <r>
          <rPr>
            <sz val="8"/>
            <color indexed="81"/>
            <rFont val="Tahoma"/>
            <family val="2"/>
          </rPr>
          <t xml:space="preserve">
I added the forage value rows after a conversation with Mark Zumwinkle at MDA.  He reported that one farmer in Fillmore County harvested three tons of rye/acre, valued at $90/ton, this year, as feed for his beef herd.  However, on a typical corn-soybean cash grain operation, the producer may not want to delay planting to harvest the cover crop forage, or may not have a use for it, so I have left these entries at zero by default.</t>
        </r>
      </text>
    </comment>
    <comment ref="A31" authorId="0" shapeId="0">
      <text>
        <r>
          <rPr>
            <b/>
            <sz val="9"/>
            <color indexed="81"/>
            <rFont val="Tahoma"/>
            <family val="2"/>
          </rPr>
          <t>WFL:</t>
        </r>
        <r>
          <rPr>
            <sz val="9"/>
            <color indexed="81"/>
            <rFont val="Tahoma"/>
            <family val="2"/>
          </rPr>
          <t xml:space="preserve">
The values will be shown as negative because the costs are expressed as positive numbers.</t>
        </r>
      </text>
    </comment>
    <comment ref="A33" authorId="0" shapeId="0">
      <text>
        <r>
          <rPr>
            <b/>
            <sz val="9"/>
            <color indexed="81"/>
            <rFont val="Tahoma"/>
            <family val="2"/>
          </rPr>
          <t>WFL:</t>
        </r>
        <r>
          <rPr>
            <sz val="9"/>
            <color indexed="81"/>
            <rFont val="Tahoma"/>
            <family val="2"/>
          </rPr>
          <t xml:space="preserve">
The values will be shown as negative because the costs are expressed as positive numbers.</t>
        </r>
      </text>
    </comment>
  </commentList>
</comments>
</file>

<file path=xl/comments9.xml><?xml version="1.0" encoding="utf-8"?>
<comments xmlns="http://schemas.openxmlformats.org/spreadsheetml/2006/main">
  <authors>
    <author>William F Lazarus</author>
    <author>WFL</author>
  </authors>
  <commentList>
    <comment ref="B21" authorId="0" shapeId="0">
      <text>
        <r>
          <rPr>
            <b/>
            <sz val="9"/>
            <color indexed="81"/>
            <rFont val="Tahoma"/>
            <family val="2"/>
          </rPr>
          <t>William F Lazarus:</t>
        </r>
        <r>
          <rPr>
            <sz val="9"/>
            <color indexed="81"/>
            <rFont val="Tahoma"/>
            <family val="2"/>
          </rPr>
          <t xml:space="preserve">
See Sept 19,2014 email from Jake</t>
        </r>
      </text>
    </comment>
    <comment ref="D22" authorId="1" shapeId="0">
      <text>
        <r>
          <rPr>
            <b/>
            <sz val="9"/>
            <color indexed="81"/>
            <rFont val="Tahoma"/>
            <family val="2"/>
          </rPr>
          <t>WFL:</t>
        </r>
        <r>
          <rPr>
            <sz val="9"/>
            <color indexed="81"/>
            <rFont val="Tahoma"/>
            <family val="2"/>
          </rPr>
          <t xml:space="preserve">
From MPCA, Manure Management Plans for
NPDES Permitted Feedlots Guidance</t>
        </r>
      </text>
    </comment>
  </commentList>
</comments>
</file>

<file path=xl/comments10.xml><?xml version="1.0" encoding="utf-8"?>
<comments xmlns="http://schemas.openxmlformats.org/spreadsheetml/2006/main">
  <authors>
    <author>William F Lazarus</author>
    <author>WFL</author>
    <author>Jian Tang</author>
  </authors>
  <commentList>
    <comment ref="A2" authorId="0" shapeId="0">
      <text>
        <r>
          <rPr>
            <b/>
            <sz val="9"/>
            <color indexed="81"/>
            <rFont val="Tahoma"/>
            <family val="2"/>
          </rPr>
          <t>William F Lazarus:</t>
        </r>
        <r>
          <rPr>
            <sz val="9"/>
            <color indexed="81"/>
            <rFont val="Tahoma"/>
            <family val="2"/>
          </rPr>
          <t xml:space="preserve">
Just corn, or other crops too?</t>
        </r>
      </text>
    </comment>
    <comment ref="B51" authorId="0" shapeId="0">
      <text>
        <r>
          <rPr>
            <b/>
            <sz val="9"/>
            <color indexed="81"/>
            <rFont val="Tahoma"/>
            <family val="2"/>
          </rPr>
          <t>William F Lazarus:</t>
        </r>
        <r>
          <rPr>
            <sz val="9"/>
            <color indexed="81"/>
            <rFont val="Tahoma"/>
            <family val="2"/>
          </rPr>
          <t xml:space="preserve">
2009-13 MN average - NASS
</t>
        </r>
      </text>
    </comment>
    <comment ref="C51" authorId="0" shapeId="0">
      <text>
        <r>
          <rPr>
            <b/>
            <sz val="9"/>
            <color indexed="81"/>
            <rFont val="Tahoma"/>
            <family val="2"/>
          </rPr>
          <t>William F Lazarus:</t>
        </r>
        <r>
          <rPr>
            <sz val="9"/>
            <color indexed="81"/>
            <rFont val="Tahoma"/>
            <family val="2"/>
          </rPr>
          <t xml:space="preserve">
2009-13 MN average - NASS
</t>
        </r>
      </text>
    </comment>
    <comment ref="D51" authorId="0" shapeId="0">
      <text>
        <r>
          <rPr>
            <b/>
            <sz val="9"/>
            <color indexed="81"/>
            <rFont val="Tahoma"/>
            <family val="2"/>
          </rPr>
          <t>William F Lazarus:</t>
        </r>
        <r>
          <rPr>
            <sz val="9"/>
            <color indexed="81"/>
            <rFont val="Tahoma"/>
            <family val="2"/>
          </rPr>
          <t xml:space="preserve">
2009-13 MN average - NASS
</t>
        </r>
      </text>
    </comment>
    <comment ref="E51" authorId="0" shapeId="0">
      <text>
        <r>
          <rPr>
            <b/>
            <sz val="9"/>
            <color indexed="81"/>
            <rFont val="Tahoma"/>
            <family val="2"/>
          </rPr>
          <t>William F Lazarus:</t>
        </r>
        <r>
          <rPr>
            <sz val="9"/>
            <color indexed="81"/>
            <rFont val="Tahoma"/>
            <family val="2"/>
          </rPr>
          <t xml:space="preserve">
2009-13 MN average - NASS
</t>
        </r>
      </text>
    </comment>
    <comment ref="F51" authorId="0" shapeId="0">
      <text>
        <r>
          <rPr>
            <b/>
            <sz val="9"/>
            <color indexed="81"/>
            <rFont val="Tahoma"/>
            <family val="2"/>
          </rPr>
          <t>William F Lazarus:</t>
        </r>
        <r>
          <rPr>
            <sz val="9"/>
            <color indexed="81"/>
            <rFont val="Tahoma"/>
            <family val="2"/>
          </rPr>
          <t xml:space="preserve">
2009-13 MN average - NASS
</t>
        </r>
      </text>
    </comment>
    <comment ref="G51" authorId="0" shapeId="0">
      <text>
        <r>
          <rPr>
            <b/>
            <sz val="9"/>
            <color indexed="81"/>
            <rFont val="Tahoma"/>
            <family val="2"/>
          </rPr>
          <t>William F Lazarus:</t>
        </r>
        <r>
          <rPr>
            <sz val="9"/>
            <color indexed="81"/>
            <rFont val="Tahoma"/>
            <family val="2"/>
          </rPr>
          <t xml:space="preserve">
2009-13 MN average - NASS
</t>
        </r>
      </text>
    </comment>
    <comment ref="H51" authorId="0" shapeId="0">
      <text>
        <r>
          <rPr>
            <b/>
            <sz val="9"/>
            <color indexed="81"/>
            <rFont val="Tahoma"/>
            <family val="2"/>
          </rPr>
          <t>William F Lazarus:</t>
        </r>
        <r>
          <rPr>
            <sz val="9"/>
            <color indexed="81"/>
            <rFont val="Tahoma"/>
            <family val="2"/>
          </rPr>
          <t xml:space="preserve">
2009-13 MN average - NASS
</t>
        </r>
      </text>
    </comment>
    <comment ref="I51" authorId="0" shapeId="0">
      <text>
        <r>
          <rPr>
            <b/>
            <sz val="9"/>
            <color indexed="81"/>
            <rFont val="Tahoma"/>
            <family val="2"/>
          </rPr>
          <t>William F Lazarus:</t>
        </r>
        <r>
          <rPr>
            <sz val="9"/>
            <color indexed="81"/>
            <rFont val="Tahoma"/>
            <family val="2"/>
          </rPr>
          <t xml:space="preserve">
2009-13 MN average - NASS
</t>
        </r>
      </text>
    </comment>
    <comment ref="J51" authorId="0" shapeId="0">
      <text>
        <r>
          <rPr>
            <b/>
            <sz val="9"/>
            <color indexed="81"/>
            <rFont val="Tahoma"/>
            <family val="2"/>
          </rPr>
          <t>William F Lazarus:</t>
        </r>
        <r>
          <rPr>
            <sz val="9"/>
            <color indexed="81"/>
            <rFont val="Tahoma"/>
            <family val="2"/>
          </rPr>
          <t xml:space="preserve">
2009-13 MN average - NASS
</t>
        </r>
      </text>
    </comment>
    <comment ref="K51" authorId="0" shapeId="0">
      <text>
        <r>
          <rPr>
            <b/>
            <sz val="9"/>
            <color indexed="81"/>
            <rFont val="Tahoma"/>
            <family val="2"/>
          </rPr>
          <t>William F Lazarus:</t>
        </r>
        <r>
          <rPr>
            <sz val="9"/>
            <color indexed="81"/>
            <rFont val="Tahoma"/>
            <family val="2"/>
          </rPr>
          <t xml:space="preserve">
2009-13 MN average - NASS
</t>
        </r>
      </text>
    </comment>
    <comment ref="L51" authorId="0" shapeId="0">
      <text>
        <r>
          <rPr>
            <b/>
            <sz val="9"/>
            <color indexed="81"/>
            <rFont val="Tahoma"/>
            <family val="2"/>
          </rPr>
          <t>William F Lazarus:</t>
        </r>
        <r>
          <rPr>
            <sz val="9"/>
            <color indexed="81"/>
            <rFont val="Tahoma"/>
            <family val="2"/>
          </rPr>
          <t xml:space="preserve">
2009-13 MN average - NASS
</t>
        </r>
      </text>
    </comment>
    <comment ref="M51" authorId="0" shapeId="0">
      <text>
        <r>
          <rPr>
            <b/>
            <sz val="9"/>
            <color indexed="81"/>
            <rFont val="Tahoma"/>
            <family val="2"/>
          </rPr>
          <t>William F Lazarus:</t>
        </r>
        <r>
          <rPr>
            <sz val="9"/>
            <color indexed="81"/>
            <rFont val="Tahoma"/>
            <family val="2"/>
          </rPr>
          <t xml:space="preserve">
2009-13 MN average - NASS
</t>
        </r>
      </text>
    </comment>
    <comment ref="N51" authorId="0" shapeId="0">
      <text>
        <r>
          <rPr>
            <b/>
            <sz val="9"/>
            <color indexed="81"/>
            <rFont val="Tahoma"/>
            <family val="2"/>
          </rPr>
          <t>William F Lazarus:</t>
        </r>
        <r>
          <rPr>
            <sz val="9"/>
            <color indexed="81"/>
            <rFont val="Tahoma"/>
            <family val="2"/>
          </rPr>
          <t xml:space="preserve">
2009-13 MN average - NASS
</t>
        </r>
      </text>
    </comment>
    <comment ref="O51" authorId="0" shapeId="0">
      <text>
        <r>
          <rPr>
            <b/>
            <sz val="9"/>
            <color indexed="81"/>
            <rFont val="Tahoma"/>
            <family val="2"/>
          </rPr>
          <t>William F Lazarus:</t>
        </r>
        <r>
          <rPr>
            <sz val="9"/>
            <color indexed="81"/>
            <rFont val="Tahoma"/>
            <family val="2"/>
          </rPr>
          <t xml:space="preserve">
2009-13 MN average - NASS
</t>
        </r>
      </text>
    </comment>
    <comment ref="P51" authorId="0" shapeId="0">
      <text>
        <r>
          <rPr>
            <b/>
            <sz val="9"/>
            <color indexed="81"/>
            <rFont val="Tahoma"/>
            <family val="2"/>
          </rPr>
          <t>William F Lazarus:</t>
        </r>
        <r>
          <rPr>
            <sz val="9"/>
            <color indexed="81"/>
            <rFont val="Tahoma"/>
            <family val="2"/>
          </rPr>
          <t xml:space="preserve">
2009-13 MN average - NASS
</t>
        </r>
      </text>
    </comment>
    <comment ref="Q51" authorId="0" shapeId="0">
      <text>
        <r>
          <rPr>
            <b/>
            <sz val="9"/>
            <color indexed="81"/>
            <rFont val="Tahoma"/>
            <family val="2"/>
          </rPr>
          <t>William F Lazarus:</t>
        </r>
        <r>
          <rPr>
            <sz val="9"/>
            <color indexed="81"/>
            <rFont val="Tahoma"/>
            <family val="2"/>
          </rPr>
          <t xml:space="preserve">
2009-13 MN average - NASS
</t>
        </r>
      </text>
    </comment>
    <comment ref="R51" authorId="0" shapeId="0">
      <text>
        <r>
          <rPr>
            <b/>
            <sz val="9"/>
            <color indexed="81"/>
            <rFont val="Tahoma"/>
            <family val="2"/>
          </rPr>
          <t>William F Lazarus:</t>
        </r>
        <r>
          <rPr>
            <sz val="9"/>
            <color indexed="81"/>
            <rFont val="Tahoma"/>
            <family val="2"/>
          </rPr>
          <t xml:space="preserve">
2009-13 MN average - NASS
</t>
        </r>
      </text>
    </comment>
    <comment ref="S51" authorId="0" shapeId="0">
      <text>
        <r>
          <rPr>
            <b/>
            <sz val="9"/>
            <color indexed="81"/>
            <rFont val="Tahoma"/>
            <family val="2"/>
          </rPr>
          <t>William F Lazarus:</t>
        </r>
        <r>
          <rPr>
            <sz val="9"/>
            <color indexed="81"/>
            <rFont val="Tahoma"/>
            <family val="2"/>
          </rPr>
          <t xml:space="preserve">
2009-13 MN average - NASS
</t>
        </r>
      </text>
    </comment>
    <comment ref="T51" authorId="0" shapeId="0">
      <text>
        <r>
          <rPr>
            <b/>
            <sz val="9"/>
            <color indexed="81"/>
            <rFont val="Tahoma"/>
            <family val="2"/>
          </rPr>
          <t>William F Lazarus:</t>
        </r>
        <r>
          <rPr>
            <sz val="9"/>
            <color indexed="81"/>
            <rFont val="Tahoma"/>
            <family val="2"/>
          </rPr>
          <t xml:space="preserve">
2009-13 MN average - NASS
</t>
        </r>
      </text>
    </comment>
    <comment ref="U51" authorId="0" shapeId="0">
      <text>
        <r>
          <rPr>
            <b/>
            <sz val="9"/>
            <color indexed="81"/>
            <rFont val="Tahoma"/>
            <family val="2"/>
          </rPr>
          <t>William F Lazarus:</t>
        </r>
        <r>
          <rPr>
            <sz val="9"/>
            <color indexed="81"/>
            <rFont val="Tahoma"/>
            <family val="2"/>
          </rPr>
          <t xml:space="preserve">
2009-13 MN average - NASS
</t>
        </r>
      </text>
    </comment>
    <comment ref="V51" authorId="0" shapeId="0">
      <text>
        <r>
          <rPr>
            <b/>
            <sz val="9"/>
            <color indexed="81"/>
            <rFont val="Tahoma"/>
            <family val="2"/>
          </rPr>
          <t>William F Lazarus:</t>
        </r>
        <r>
          <rPr>
            <sz val="9"/>
            <color indexed="81"/>
            <rFont val="Tahoma"/>
            <family val="2"/>
          </rPr>
          <t xml:space="preserve">
2009-13 MN average - NASS
</t>
        </r>
      </text>
    </comment>
    <comment ref="W51" authorId="0" shapeId="0">
      <text>
        <r>
          <rPr>
            <b/>
            <sz val="9"/>
            <color indexed="81"/>
            <rFont val="Tahoma"/>
            <family val="2"/>
          </rPr>
          <t>William F Lazarus:</t>
        </r>
        <r>
          <rPr>
            <sz val="9"/>
            <color indexed="81"/>
            <rFont val="Tahoma"/>
            <family val="2"/>
          </rPr>
          <t xml:space="preserve">
2009-13 MN average - NASS
</t>
        </r>
      </text>
    </comment>
    <comment ref="X51" authorId="0" shapeId="0">
      <text>
        <r>
          <rPr>
            <b/>
            <sz val="9"/>
            <color indexed="81"/>
            <rFont val="Tahoma"/>
            <family val="2"/>
          </rPr>
          <t>William F Lazarus:</t>
        </r>
        <r>
          <rPr>
            <sz val="9"/>
            <color indexed="81"/>
            <rFont val="Tahoma"/>
            <family val="2"/>
          </rPr>
          <t xml:space="preserve">
2009-13 MN average - NASS
</t>
        </r>
      </text>
    </comment>
    <comment ref="Y51" authorId="0" shapeId="0">
      <text>
        <r>
          <rPr>
            <b/>
            <sz val="9"/>
            <color indexed="81"/>
            <rFont val="Tahoma"/>
            <family val="2"/>
          </rPr>
          <t>William F Lazarus:</t>
        </r>
        <r>
          <rPr>
            <sz val="9"/>
            <color indexed="81"/>
            <rFont val="Tahoma"/>
            <family val="2"/>
          </rPr>
          <t xml:space="preserve">
2009-13 MN average - NASS
</t>
        </r>
      </text>
    </comment>
    <comment ref="Z51" authorId="0" shapeId="0">
      <text>
        <r>
          <rPr>
            <b/>
            <sz val="9"/>
            <color indexed="81"/>
            <rFont val="Tahoma"/>
            <family val="2"/>
          </rPr>
          <t>William F Lazarus:</t>
        </r>
        <r>
          <rPr>
            <sz val="9"/>
            <color indexed="81"/>
            <rFont val="Tahoma"/>
            <family val="2"/>
          </rPr>
          <t xml:space="preserve">
2009-13 MN average - NASS
</t>
        </r>
      </text>
    </comment>
    <comment ref="AA51" authorId="0" shapeId="0">
      <text>
        <r>
          <rPr>
            <b/>
            <sz val="9"/>
            <color indexed="81"/>
            <rFont val="Tahoma"/>
            <family val="2"/>
          </rPr>
          <t>William F Lazarus:</t>
        </r>
        <r>
          <rPr>
            <sz val="9"/>
            <color indexed="81"/>
            <rFont val="Tahoma"/>
            <family val="2"/>
          </rPr>
          <t xml:space="preserve">
2009-13 MN average - NASS
</t>
        </r>
      </text>
    </comment>
    <comment ref="AB51" authorId="0" shapeId="0">
      <text>
        <r>
          <rPr>
            <b/>
            <sz val="9"/>
            <color indexed="81"/>
            <rFont val="Tahoma"/>
            <family val="2"/>
          </rPr>
          <t>William F Lazarus:</t>
        </r>
        <r>
          <rPr>
            <sz val="9"/>
            <color indexed="81"/>
            <rFont val="Tahoma"/>
            <family val="2"/>
          </rPr>
          <t xml:space="preserve">
2009-13 MN average - NASS
</t>
        </r>
      </text>
    </comment>
    <comment ref="AC51" authorId="0" shapeId="0">
      <text>
        <r>
          <rPr>
            <b/>
            <sz val="9"/>
            <color indexed="81"/>
            <rFont val="Tahoma"/>
            <family val="2"/>
          </rPr>
          <t>William F Lazarus:</t>
        </r>
        <r>
          <rPr>
            <sz val="9"/>
            <color indexed="81"/>
            <rFont val="Tahoma"/>
            <family val="2"/>
          </rPr>
          <t xml:space="preserve">
2009-13 MN average - NASS
</t>
        </r>
      </text>
    </comment>
    <comment ref="AD51" authorId="0" shapeId="0">
      <text>
        <r>
          <rPr>
            <b/>
            <sz val="9"/>
            <color indexed="81"/>
            <rFont val="Tahoma"/>
            <family val="2"/>
          </rPr>
          <t>William F Lazarus:</t>
        </r>
        <r>
          <rPr>
            <sz val="9"/>
            <color indexed="81"/>
            <rFont val="Tahoma"/>
            <family val="2"/>
          </rPr>
          <t xml:space="preserve">
2009-13 MN average - NASS
</t>
        </r>
      </text>
    </comment>
    <comment ref="AE51" authorId="0" shapeId="0">
      <text>
        <r>
          <rPr>
            <b/>
            <sz val="9"/>
            <color indexed="81"/>
            <rFont val="Tahoma"/>
            <family val="2"/>
          </rPr>
          <t>William F Lazarus:</t>
        </r>
        <r>
          <rPr>
            <sz val="9"/>
            <color indexed="81"/>
            <rFont val="Tahoma"/>
            <family val="2"/>
          </rPr>
          <t xml:space="preserve">
2009-13 MN average - NASS
</t>
        </r>
      </text>
    </comment>
    <comment ref="AF51" authorId="0" shapeId="0">
      <text>
        <r>
          <rPr>
            <b/>
            <sz val="9"/>
            <color indexed="81"/>
            <rFont val="Tahoma"/>
            <family val="2"/>
          </rPr>
          <t>William F Lazarus:</t>
        </r>
        <r>
          <rPr>
            <sz val="9"/>
            <color indexed="81"/>
            <rFont val="Tahoma"/>
            <family val="2"/>
          </rPr>
          <t xml:space="preserve">
2009-13 MN average - NASS
</t>
        </r>
      </text>
    </comment>
    <comment ref="AG51" authorId="0" shapeId="0">
      <text>
        <r>
          <rPr>
            <b/>
            <sz val="9"/>
            <color indexed="81"/>
            <rFont val="Tahoma"/>
            <family val="2"/>
          </rPr>
          <t>William F Lazarus:</t>
        </r>
        <r>
          <rPr>
            <sz val="9"/>
            <color indexed="81"/>
            <rFont val="Tahoma"/>
            <family val="2"/>
          </rPr>
          <t xml:space="preserve">
2009-13 MN average - NASS
</t>
        </r>
      </text>
    </comment>
    <comment ref="AH51" authorId="0" shapeId="0">
      <text>
        <r>
          <rPr>
            <b/>
            <sz val="9"/>
            <color indexed="81"/>
            <rFont val="Tahoma"/>
            <family val="2"/>
          </rPr>
          <t>William F Lazarus:</t>
        </r>
        <r>
          <rPr>
            <sz val="9"/>
            <color indexed="81"/>
            <rFont val="Tahoma"/>
            <family val="2"/>
          </rPr>
          <t xml:space="preserve">
2009-13 MN average - NASS
</t>
        </r>
      </text>
    </comment>
    <comment ref="AI51" authorId="0" shapeId="0">
      <text>
        <r>
          <rPr>
            <b/>
            <sz val="9"/>
            <color indexed="81"/>
            <rFont val="Tahoma"/>
            <family val="2"/>
          </rPr>
          <t>William F Lazarus:</t>
        </r>
        <r>
          <rPr>
            <sz val="9"/>
            <color indexed="81"/>
            <rFont val="Tahoma"/>
            <family val="2"/>
          </rPr>
          <t xml:space="preserve">
2009-13 MN average - NASS
</t>
        </r>
      </text>
    </comment>
    <comment ref="AJ51" authorId="0" shapeId="0">
      <text>
        <r>
          <rPr>
            <b/>
            <sz val="9"/>
            <color indexed="81"/>
            <rFont val="Tahoma"/>
            <family val="2"/>
          </rPr>
          <t>William F Lazarus:</t>
        </r>
        <r>
          <rPr>
            <sz val="9"/>
            <color indexed="81"/>
            <rFont val="Tahoma"/>
            <family val="2"/>
          </rPr>
          <t xml:space="preserve">
2009-13 MN average - NASS
</t>
        </r>
      </text>
    </comment>
    <comment ref="AK51" authorId="0" shapeId="0">
      <text>
        <r>
          <rPr>
            <b/>
            <sz val="9"/>
            <color indexed="81"/>
            <rFont val="Tahoma"/>
            <family val="2"/>
          </rPr>
          <t>William F Lazarus:</t>
        </r>
        <r>
          <rPr>
            <sz val="9"/>
            <color indexed="81"/>
            <rFont val="Tahoma"/>
            <family val="2"/>
          </rPr>
          <t xml:space="preserve">
2009-13 MN average - NASS
</t>
        </r>
      </text>
    </comment>
    <comment ref="AL51" authorId="0" shapeId="0">
      <text>
        <r>
          <rPr>
            <b/>
            <sz val="9"/>
            <color indexed="81"/>
            <rFont val="Tahoma"/>
            <family val="2"/>
          </rPr>
          <t>William F Lazarus:</t>
        </r>
        <r>
          <rPr>
            <sz val="9"/>
            <color indexed="81"/>
            <rFont val="Tahoma"/>
            <family val="2"/>
          </rPr>
          <t xml:space="preserve">
2009-13 MN average - NASS
</t>
        </r>
      </text>
    </comment>
    <comment ref="AM51" authorId="0" shapeId="0">
      <text>
        <r>
          <rPr>
            <b/>
            <sz val="9"/>
            <color indexed="81"/>
            <rFont val="Tahoma"/>
            <family val="2"/>
          </rPr>
          <t>William F Lazarus:</t>
        </r>
        <r>
          <rPr>
            <sz val="9"/>
            <color indexed="81"/>
            <rFont val="Tahoma"/>
            <family val="2"/>
          </rPr>
          <t xml:space="preserve">
2009-13 MN average - NASS
</t>
        </r>
      </text>
    </comment>
    <comment ref="AN51" authorId="0" shapeId="0">
      <text>
        <r>
          <rPr>
            <b/>
            <sz val="9"/>
            <color indexed="81"/>
            <rFont val="Tahoma"/>
            <family val="2"/>
          </rPr>
          <t>William F Lazarus:</t>
        </r>
        <r>
          <rPr>
            <sz val="9"/>
            <color indexed="81"/>
            <rFont val="Tahoma"/>
            <family val="2"/>
          </rPr>
          <t xml:space="preserve">
2009-13 MN average - NASS
</t>
        </r>
      </text>
    </comment>
    <comment ref="A53" authorId="1" shapeId="0">
      <text>
        <r>
          <rPr>
            <b/>
            <sz val="9"/>
            <color indexed="81"/>
            <rFont val="Tahoma"/>
            <family val="2"/>
          </rPr>
          <t>WFL:</t>
        </r>
        <r>
          <rPr>
            <sz val="9"/>
            <color indexed="81"/>
            <rFont val="Tahoma"/>
            <family val="2"/>
          </rPr>
          <t xml:space="preserve">
Assuming all manure is applied to corn, except in regions 11, 17 &amp; 19 that have very little corn
</t>
        </r>
      </text>
    </comment>
    <comment ref="A54" authorId="1" shapeId="0">
      <text>
        <r>
          <rPr>
            <b/>
            <sz val="9"/>
            <color indexed="81"/>
            <rFont val="Tahoma"/>
            <family val="2"/>
          </rPr>
          <t>WFL:</t>
        </r>
        <r>
          <rPr>
            <sz val="9"/>
            <color indexed="81"/>
            <rFont val="Tahoma"/>
            <family val="2"/>
          </rPr>
          <t xml:space="preserve">
Assuming all manure is applied to corn, except in regions 11, 17 &amp; 19 that have very little corn
</t>
        </r>
      </text>
    </comment>
    <comment ref="A55" authorId="1" shapeId="0">
      <text>
        <r>
          <rPr>
            <b/>
            <sz val="9"/>
            <color indexed="81"/>
            <rFont val="Tahoma"/>
            <family val="2"/>
          </rPr>
          <t>WFL:</t>
        </r>
        <r>
          <rPr>
            <sz val="9"/>
            <color indexed="81"/>
            <rFont val="Tahoma"/>
            <family val="2"/>
          </rPr>
          <t xml:space="preserve">
Assuming all manure is applied to corn, except in regions 11, 17 &amp; 19 that have very little corn
</t>
        </r>
      </text>
    </comment>
    <comment ref="A56" authorId="1" shapeId="0">
      <text>
        <r>
          <rPr>
            <b/>
            <sz val="9"/>
            <color indexed="81"/>
            <rFont val="Tahoma"/>
            <family val="2"/>
          </rPr>
          <t>WFL:</t>
        </r>
        <r>
          <rPr>
            <sz val="9"/>
            <color indexed="81"/>
            <rFont val="Tahoma"/>
            <family val="2"/>
          </rPr>
          <t xml:space="preserve">
Assuming all manure is applied to corn, except in regions 11, 17 &amp; 19 that have very little corn
</t>
        </r>
      </text>
    </comment>
    <comment ref="A57" authorId="1" shapeId="0">
      <text>
        <r>
          <rPr>
            <b/>
            <sz val="9"/>
            <color indexed="81"/>
            <rFont val="Tahoma"/>
            <family val="2"/>
          </rPr>
          <t>WFL:</t>
        </r>
        <r>
          <rPr>
            <sz val="9"/>
            <color indexed="81"/>
            <rFont val="Tahoma"/>
            <family val="2"/>
          </rPr>
          <t xml:space="preserve">
Assuming all manure is applied to corn, except in regions 11, 17 &amp; 19 that have very little corn
</t>
        </r>
      </text>
    </comment>
    <comment ref="A98" authorId="2" shapeId="0">
      <text>
        <r>
          <rPr>
            <b/>
            <sz val="9"/>
            <color indexed="81"/>
            <rFont val="Tahoma"/>
            <family val="2"/>
          </rPr>
          <t>Jian Tang:</t>
        </r>
        <r>
          <rPr>
            <sz val="9"/>
            <color indexed="81"/>
            <rFont val="Tahoma"/>
            <family val="2"/>
          </rPr>
          <t xml:space="preserve">
manure P has not been substracted.</t>
        </r>
      </text>
    </comment>
  </commentList>
</comments>
</file>

<file path=xl/comments11.xml><?xml version="1.0" encoding="utf-8"?>
<comments xmlns="http://schemas.openxmlformats.org/spreadsheetml/2006/main">
  <authors>
    <author>Jacob C Galzki</author>
    <author>Jian Tang</author>
  </authors>
  <commentList>
    <comment ref="K2" authorId="0" shapeId="0">
      <text>
        <r>
          <rPr>
            <b/>
            <sz val="9"/>
            <color indexed="81"/>
            <rFont val="Tahoma"/>
            <family val="2"/>
          </rPr>
          <t>Jacob C Galzki:</t>
        </r>
        <r>
          <rPr>
            <sz val="9"/>
            <color indexed="81"/>
            <rFont val="Tahoma"/>
            <family val="2"/>
          </rPr>
          <t xml:space="preserve">
Manually changed to 0 (Red Lake)</t>
        </r>
      </text>
    </comment>
    <comment ref="O2" authorId="0" shapeId="0">
      <text>
        <r>
          <rPr>
            <b/>
            <sz val="9"/>
            <color indexed="81"/>
            <rFont val="Tahoma"/>
            <family val="2"/>
          </rPr>
          <t>Jacob C Galzki:</t>
        </r>
        <r>
          <rPr>
            <sz val="9"/>
            <color indexed="81"/>
            <rFont val="Tahoma"/>
            <family val="2"/>
          </rPr>
          <t xml:space="preserve">
Manually changed to 0 (Red Lake)</t>
        </r>
      </text>
    </comment>
    <comment ref="W2" authorId="0" shapeId="0">
      <text>
        <r>
          <rPr>
            <b/>
            <sz val="9"/>
            <color indexed="81"/>
            <rFont val="Tahoma"/>
            <family val="2"/>
          </rPr>
          <t>Jacob C Galzki:</t>
        </r>
        <r>
          <rPr>
            <sz val="9"/>
            <color indexed="81"/>
            <rFont val="Tahoma"/>
            <family val="2"/>
          </rPr>
          <t xml:space="preserve">
Manually changed to 0 (Red Lake)</t>
        </r>
      </text>
    </comment>
    <comment ref="AJ2" authorId="0" shapeId="0">
      <text>
        <r>
          <rPr>
            <b/>
            <sz val="9"/>
            <color indexed="81"/>
            <rFont val="Tahoma"/>
            <family val="2"/>
          </rPr>
          <t>Jacob C Galzki:</t>
        </r>
        <r>
          <rPr>
            <sz val="9"/>
            <color indexed="81"/>
            <rFont val="Tahoma"/>
            <family val="2"/>
          </rPr>
          <t xml:space="preserve">
Manually changed to 0 (Red Lake)</t>
        </r>
      </text>
    </comment>
    <comment ref="AL2" authorId="0" shapeId="0">
      <text>
        <r>
          <rPr>
            <b/>
            <sz val="9"/>
            <color indexed="81"/>
            <rFont val="Tahoma"/>
            <family val="2"/>
          </rPr>
          <t>Jacob C Galzki:</t>
        </r>
        <r>
          <rPr>
            <sz val="9"/>
            <color indexed="81"/>
            <rFont val="Tahoma"/>
            <family val="2"/>
          </rPr>
          <t xml:space="preserve">
Manually changed to 0 (Red Lake)</t>
        </r>
      </text>
    </comment>
    <comment ref="A25" authorId="1" shapeId="0">
      <text>
        <r>
          <rPr>
            <b/>
            <sz val="9"/>
            <color indexed="81"/>
            <rFont val="Tahoma"/>
            <family val="2"/>
          </rPr>
          <t>Jian Tang:</t>
        </r>
        <r>
          <rPr>
            <sz val="9"/>
            <color indexed="81"/>
            <rFont val="Tahoma"/>
            <family val="2"/>
          </rPr>
          <t xml:space="preserve">
bioreactor reduction remains to be input</t>
        </r>
      </text>
    </comment>
  </commentList>
</comments>
</file>

<file path=xl/comments12.xml><?xml version="1.0" encoding="utf-8"?>
<comments xmlns="http://schemas.openxmlformats.org/spreadsheetml/2006/main">
  <authors>
    <author>WFL</author>
    <author>William F Lazarus</author>
  </authors>
  <commentList>
    <comment ref="A11" authorId="0" shapeId="0">
      <text>
        <r>
          <rPr>
            <b/>
            <sz val="9"/>
            <color indexed="81"/>
            <rFont val="Tahoma"/>
            <family val="2"/>
          </rPr>
          <t>WFL:</t>
        </r>
        <r>
          <rPr>
            <sz val="9"/>
            <color indexed="81"/>
            <rFont val="Tahoma"/>
            <family val="2"/>
          </rPr>
          <t xml:space="preserve">
Default 25%, can be changed in the yellow cells.</t>
        </r>
      </text>
    </comment>
    <comment ref="A13" authorId="1" shapeId="0">
      <text>
        <r>
          <rPr>
            <b/>
            <sz val="9"/>
            <color indexed="81"/>
            <rFont val="Tahoma"/>
            <family val="2"/>
          </rPr>
          <t>William F Lazarus:</t>
        </r>
        <r>
          <rPr>
            <sz val="9"/>
            <color indexed="81"/>
            <rFont val="Tahoma"/>
            <family val="2"/>
          </rPr>
          <t xml:space="preserve">
Criterion is that the average slope of the land nearby is 10% or less, cultivated, not in the Red River Valley, and not well drained.</t>
        </r>
      </text>
    </comment>
    <comment ref="A14" authorId="1" shapeId="0">
      <text>
        <r>
          <rPr>
            <b/>
            <sz val="9"/>
            <color indexed="81"/>
            <rFont val="Tahoma"/>
            <family val="2"/>
          </rPr>
          <t>William F Lazarus:</t>
        </r>
        <r>
          <rPr>
            <sz val="9"/>
            <color indexed="81"/>
            <rFont val="Tahoma"/>
            <family val="2"/>
          </rPr>
          <t xml:space="preserve">
Criterion is that the average slope of the land nearby is 10% or less, cultivated, not in the Red River Valley, and not well drained.</t>
        </r>
      </text>
    </comment>
    <comment ref="A15" authorId="1" shapeId="0">
      <text>
        <r>
          <rPr>
            <b/>
            <sz val="9"/>
            <color indexed="81"/>
            <rFont val="Tahoma"/>
            <family val="2"/>
          </rPr>
          <t>William F Lazarus:</t>
        </r>
        <r>
          <rPr>
            <sz val="9"/>
            <color indexed="81"/>
            <rFont val="Tahoma"/>
            <family val="2"/>
          </rPr>
          <t xml:space="preserve">
Criterion is that the average slope of the land nearby is 10% or less, cultivated, not in the Red River Valley, and not well drained.</t>
        </r>
      </text>
    </comment>
  </commentList>
</comments>
</file>

<file path=xl/comments13.xml><?xml version="1.0" encoding="utf-8"?>
<comments xmlns="http://schemas.openxmlformats.org/spreadsheetml/2006/main">
  <authors>
    <author>Jacob C Galzki</author>
    <author>WFL</author>
    <author>William F Lazarus</author>
  </authors>
  <commentList>
    <comment ref="A16" authorId="0" shapeId="0">
      <text>
        <r>
          <rPr>
            <b/>
            <sz val="9"/>
            <color indexed="81"/>
            <rFont val="Tahoma"/>
            <family val="2"/>
          </rPr>
          <t>Jacob C Galzki:</t>
        </r>
        <r>
          <rPr>
            <sz val="9"/>
            <color indexed="81"/>
            <rFont val="Tahoma"/>
            <family val="2"/>
          </rPr>
          <t xml:space="preserve">
Assumed 50/50 fall/spring applied</t>
        </r>
      </text>
    </comment>
    <comment ref="A17" authorId="0" shapeId="0">
      <text>
        <r>
          <rPr>
            <b/>
            <sz val="9"/>
            <color indexed="81"/>
            <rFont val="Tahoma"/>
            <family val="2"/>
          </rPr>
          <t>Jacob C Galzki:</t>
        </r>
        <r>
          <rPr>
            <sz val="9"/>
            <color indexed="81"/>
            <rFont val="Tahoma"/>
            <family val="2"/>
          </rPr>
          <t xml:space="preserve">
Assumed 50/50 fall/spring applied</t>
        </r>
      </text>
    </comment>
    <comment ref="A24" authorId="0" shapeId="0">
      <text>
        <r>
          <rPr>
            <b/>
            <sz val="9"/>
            <color indexed="81"/>
            <rFont val="Tahoma"/>
            <family val="2"/>
          </rPr>
          <t>Jacob C Galzki:</t>
        </r>
        <r>
          <rPr>
            <sz val="9"/>
            <color indexed="81"/>
            <rFont val="Tahoma"/>
            <family val="2"/>
          </rPr>
          <t xml:space="preserve">
Assumed 50/50 fall/spring applied</t>
        </r>
      </text>
    </comment>
    <comment ref="A25" authorId="0" shapeId="0">
      <text>
        <r>
          <rPr>
            <b/>
            <sz val="9"/>
            <color indexed="81"/>
            <rFont val="Tahoma"/>
            <family val="2"/>
          </rPr>
          <t>Jacob C Galzki:</t>
        </r>
        <r>
          <rPr>
            <sz val="9"/>
            <color indexed="81"/>
            <rFont val="Tahoma"/>
            <family val="2"/>
          </rPr>
          <t xml:space="preserve">
Assumed 50/50 fall/spring applied</t>
        </r>
      </text>
    </comment>
    <comment ref="A37" authorId="1" shapeId="0">
      <text>
        <r>
          <rPr>
            <b/>
            <sz val="9"/>
            <color indexed="81"/>
            <rFont val="Tahoma"/>
            <family val="2"/>
          </rPr>
          <t>WFL:</t>
        </r>
        <r>
          <rPr>
            <sz val="9"/>
            <color indexed="81"/>
            <rFont val="Tahoma"/>
            <family val="2"/>
          </rPr>
          <t xml:space="preserve">
Midpoint between sweep and knife
</t>
        </r>
      </text>
    </comment>
    <comment ref="A38" authorId="1" shapeId="0">
      <text>
        <r>
          <rPr>
            <b/>
            <sz val="9"/>
            <color indexed="81"/>
            <rFont val="Tahoma"/>
            <family val="2"/>
          </rPr>
          <t>WFL:</t>
        </r>
        <r>
          <rPr>
            <sz val="9"/>
            <color indexed="81"/>
            <rFont val="Tahoma"/>
            <family val="2"/>
          </rPr>
          <t xml:space="preserve">
Assume midpoint between &lt;12 hours and 12-96 hours
</t>
        </r>
      </text>
    </comment>
    <comment ref="A39" authorId="1" shapeId="0">
      <text>
        <r>
          <rPr>
            <b/>
            <sz val="9"/>
            <color indexed="81"/>
            <rFont val="Tahoma"/>
            <family val="2"/>
          </rPr>
          <t>WFL:</t>
        </r>
        <r>
          <rPr>
            <sz val="9"/>
            <color indexed="81"/>
            <rFont val="Tahoma"/>
            <family val="2"/>
          </rPr>
          <t xml:space="preserve">
Assume &gt;96 hours
</t>
        </r>
      </text>
    </comment>
    <comment ref="A43" authorId="1" shapeId="0">
      <text>
        <r>
          <rPr>
            <b/>
            <sz val="9"/>
            <color indexed="81"/>
            <rFont val="Tahoma"/>
            <family val="2"/>
          </rPr>
          <t>WFL:</t>
        </r>
        <r>
          <rPr>
            <sz val="9"/>
            <color indexed="81"/>
            <rFont val="Tahoma"/>
            <family val="2"/>
          </rPr>
          <t xml:space="preserve">
Midpoint between sweep and knife
</t>
        </r>
      </text>
    </comment>
    <comment ref="A44" authorId="1" shapeId="0">
      <text>
        <r>
          <rPr>
            <b/>
            <sz val="9"/>
            <color indexed="81"/>
            <rFont val="Tahoma"/>
            <family val="2"/>
          </rPr>
          <t>WFL:</t>
        </r>
        <r>
          <rPr>
            <sz val="9"/>
            <color indexed="81"/>
            <rFont val="Tahoma"/>
            <family val="2"/>
          </rPr>
          <t xml:space="preserve">
Assume midpoint between &lt;12 hours and 12-96 hours
</t>
        </r>
      </text>
    </comment>
    <comment ref="A45" authorId="1" shapeId="0">
      <text>
        <r>
          <rPr>
            <b/>
            <sz val="9"/>
            <color indexed="81"/>
            <rFont val="Tahoma"/>
            <family val="2"/>
          </rPr>
          <t>WFL:</t>
        </r>
        <r>
          <rPr>
            <sz val="9"/>
            <color indexed="81"/>
            <rFont val="Tahoma"/>
            <family val="2"/>
          </rPr>
          <t xml:space="preserve">
Assume &gt;96 hours
</t>
        </r>
      </text>
    </comment>
    <comment ref="A48" authorId="1" shapeId="0">
      <text>
        <r>
          <rPr>
            <b/>
            <sz val="9"/>
            <color indexed="81"/>
            <rFont val="Tahoma"/>
            <family val="2"/>
          </rPr>
          <t>WFL:</t>
        </r>
        <r>
          <rPr>
            <sz val="9"/>
            <color indexed="81"/>
            <rFont val="Tahoma"/>
            <family val="2"/>
          </rPr>
          <t xml:space="preserve">
Assume midpoint between &lt;12 hours and 12-96 hours
</t>
        </r>
      </text>
    </comment>
    <comment ref="A49" authorId="1" shapeId="0">
      <text>
        <r>
          <rPr>
            <b/>
            <sz val="9"/>
            <color indexed="81"/>
            <rFont val="Tahoma"/>
            <family val="2"/>
          </rPr>
          <t>WFL:</t>
        </r>
        <r>
          <rPr>
            <sz val="9"/>
            <color indexed="81"/>
            <rFont val="Tahoma"/>
            <family val="2"/>
          </rPr>
          <t xml:space="preserve">
Assume &gt;96 hours
</t>
        </r>
      </text>
    </comment>
    <comment ref="B62" authorId="2" shapeId="0">
      <text>
        <r>
          <rPr>
            <b/>
            <sz val="9"/>
            <color indexed="81"/>
            <rFont val="Tahoma"/>
            <family val="2"/>
          </rPr>
          <t>William F Lazarus:</t>
        </r>
        <r>
          <rPr>
            <sz val="9"/>
            <color indexed="81"/>
            <rFont val="Tahoma"/>
            <family val="2"/>
          </rPr>
          <t xml:space="preserve">
Percentage of this method that is shifted to Injected under the BMP scenario</t>
        </r>
      </text>
    </comment>
    <comment ref="A63" authorId="0" shapeId="0">
      <text>
        <r>
          <rPr>
            <b/>
            <sz val="9"/>
            <color indexed="81"/>
            <rFont val="Tahoma"/>
            <family val="2"/>
          </rPr>
          <t>Jacob C Galzki:</t>
        </r>
        <r>
          <rPr>
            <sz val="9"/>
            <color indexed="81"/>
            <rFont val="Tahoma"/>
            <family val="2"/>
          </rPr>
          <t xml:space="preserve">
Assumed 50/50 fall/spring applied</t>
        </r>
      </text>
    </comment>
    <comment ref="B63" authorId="2" shapeId="0">
      <text>
        <r>
          <rPr>
            <b/>
            <sz val="9"/>
            <color indexed="81"/>
            <rFont val="Tahoma"/>
            <family val="2"/>
          </rPr>
          <t>William F Lazarus:</t>
        </r>
        <r>
          <rPr>
            <sz val="9"/>
            <color indexed="81"/>
            <rFont val="Tahoma"/>
            <family val="2"/>
          </rPr>
          <t xml:space="preserve">
Percentage of this method that is shifted to Injected under the BMP scenario</t>
        </r>
      </text>
    </comment>
    <comment ref="A64" authorId="0" shapeId="0">
      <text>
        <r>
          <rPr>
            <b/>
            <sz val="9"/>
            <color indexed="81"/>
            <rFont val="Tahoma"/>
            <family val="2"/>
          </rPr>
          <t>Jacob C Galzki:</t>
        </r>
        <r>
          <rPr>
            <sz val="9"/>
            <color indexed="81"/>
            <rFont val="Tahoma"/>
            <family val="2"/>
          </rPr>
          <t xml:space="preserve">
Assumed 50/50 fall/spring applied</t>
        </r>
      </text>
    </comment>
    <comment ref="B64" authorId="2" shapeId="0">
      <text>
        <r>
          <rPr>
            <b/>
            <sz val="9"/>
            <color indexed="81"/>
            <rFont val="Tahoma"/>
            <family val="2"/>
          </rPr>
          <t>William F Lazarus:</t>
        </r>
        <r>
          <rPr>
            <sz val="9"/>
            <color indexed="81"/>
            <rFont val="Tahoma"/>
            <family val="2"/>
          </rPr>
          <t xml:space="preserve">
Percentage of this method that is shifted to Injected under the BMP scenario</t>
        </r>
      </text>
    </comment>
    <comment ref="A70" authorId="0" shapeId="0">
      <text>
        <r>
          <rPr>
            <b/>
            <sz val="9"/>
            <color indexed="81"/>
            <rFont val="Tahoma"/>
            <family val="2"/>
          </rPr>
          <t>Jacob C Galzki:</t>
        </r>
        <r>
          <rPr>
            <sz val="9"/>
            <color indexed="81"/>
            <rFont val="Tahoma"/>
            <family val="2"/>
          </rPr>
          <t xml:space="preserve">
Assumed 50/50 fall/spring applied</t>
        </r>
      </text>
    </comment>
    <comment ref="B70" authorId="2" shapeId="0">
      <text>
        <r>
          <rPr>
            <b/>
            <sz val="9"/>
            <color indexed="81"/>
            <rFont val="Tahoma"/>
            <family val="2"/>
          </rPr>
          <t>William F Lazarus:</t>
        </r>
        <r>
          <rPr>
            <sz val="9"/>
            <color indexed="81"/>
            <rFont val="Tahoma"/>
            <family val="2"/>
          </rPr>
          <t xml:space="preserve">
Percentage of this method that is shifted to Injected under the BMP scenario</t>
        </r>
      </text>
    </comment>
    <comment ref="A71" authorId="0" shapeId="0">
      <text>
        <r>
          <rPr>
            <b/>
            <sz val="9"/>
            <color indexed="81"/>
            <rFont val="Tahoma"/>
            <family val="2"/>
          </rPr>
          <t>Jacob C Galzki:</t>
        </r>
        <r>
          <rPr>
            <sz val="9"/>
            <color indexed="81"/>
            <rFont val="Tahoma"/>
            <family val="2"/>
          </rPr>
          <t xml:space="preserve">
Assumed 50/50 fall/spring applied</t>
        </r>
      </text>
    </comment>
    <comment ref="B71" authorId="2" shapeId="0">
      <text>
        <r>
          <rPr>
            <b/>
            <sz val="9"/>
            <color indexed="81"/>
            <rFont val="Tahoma"/>
            <family val="2"/>
          </rPr>
          <t>William F Lazarus:</t>
        </r>
        <r>
          <rPr>
            <sz val="9"/>
            <color indexed="81"/>
            <rFont val="Tahoma"/>
            <family val="2"/>
          </rPr>
          <t xml:space="preserve">
Percentage of this method that is shifted to Injected under the BMP scenario</t>
        </r>
      </text>
    </comment>
    <comment ref="A75" authorId="1" shapeId="0">
      <text>
        <r>
          <rPr>
            <b/>
            <sz val="9"/>
            <color indexed="81"/>
            <rFont val="Tahoma"/>
            <family val="2"/>
          </rPr>
          <t>WFL:</t>
        </r>
        <r>
          <rPr>
            <sz val="9"/>
            <color indexed="81"/>
            <rFont val="Tahoma"/>
            <family val="2"/>
          </rPr>
          <t xml:space="preserve">
Midpoint between sweep and knife
</t>
        </r>
      </text>
    </comment>
    <comment ref="A76" authorId="1" shapeId="0">
      <text>
        <r>
          <rPr>
            <b/>
            <sz val="9"/>
            <color indexed="81"/>
            <rFont val="Tahoma"/>
            <family val="2"/>
          </rPr>
          <t>WFL:</t>
        </r>
        <r>
          <rPr>
            <sz val="9"/>
            <color indexed="81"/>
            <rFont val="Tahoma"/>
            <family val="2"/>
          </rPr>
          <t xml:space="preserve">
Assume midpoint between &lt;12 hours and 12-96 hours
</t>
        </r>
      </text>
    </comment>
    <comment ref="A77" authorId="1" shapeId="0">
      <text>
        <r>
          <rPr>
            <b/>
            <sz val="9"/>
            <color indexed="81"/>
            <rFont val="Tahoma"/>
            <family val="2"/>
          </rPr>
          <t>WFL:</t>
        </r>
        <r>
          <rPr>
            <sz val="9"/>
            <color indexed="81"/>
            <rFont val="Tahoma"/>
            <family val="2"/>
          </rPr>
          <t xml:space="preserve">
Assume &gt;96 hours
</t>
        </r>
      </text>
    </comment>
    <comment ref="A80" authorId="1" shapeId="0">
      <text>
        <r>
          <rPr>
            <b/>
            <sz val="9"/>
            <color indexed="81"/>
            <rFont val="Tahoma"/>
            <family val="2"/>
          </rPr>
          <t>WFL:</t>
        </r>
        <r>
          <rPr>
            <sz val="9"/>
            <color indexed="81"/>
            <rFont val="Tahoma"/>
            <family val="2"/>
          </rPr>
          <t xml:space="preserve">
Assume midpoint between &lt;12 hours and 12-96 hours
</t>
        </r>
      </text>
    </comment>
    <comment ref="A81" authorId="1" shapeId="0">
      <text>
        <r>
          <rPr>
            <b/>
            <sz val="9"/>
            <color indexed="81"/>
            <rFont val="Tahoma"/>
            <family val="2"/>
          </rPr>
          <t>WFL:</t>
        </r>
        <r>
          <rPr>
            <sz val="9"/>
            <color indexed="81"/>
            <rFont val="Tahoma"/>
            <family val="2"/>
          </rPr>
          <t xml:space="preserve">
Assume &gt;96 hours
</t>
        </r>
      </text>
    </comment>
    <comment ref="B102" authorId="1" shapeId="0">
      <text>
        <r>
          <rPr>
            <b/>
            <sz val="9"/>
            <color indexed="81"/>
            <rFont val="Tahoma"/>
            <family val="2"/>
          </rPr>
          <t>WFL:</t>
        </r>
        <r>
          <rPr>
            <sz val="9"/>
            <color indexed="81"/>
            <rFont val="Tahoma"/>
            <family val="2"/>
          </rPr>
          <t xml:space="preserve">
Increased the difference from surface from that the WI custom rate survey found, based on the Chen budget analysis.</t>
        </r>
      </text>
    </comment>
    <comment ref="P145" authorId="0" shapeId="0">
      <text>
        <r>
          <rPr>
            <b/>
            <sz val="9"/>
            <color indexed="81"/>
            <rFont val="Tahoma"/>
            <family val="2"/>
          </rPr>
          <t>Jacob C Galzki:</t>
        </r>
        <r>
          <rPr>
            <sz val="9"/>
            <color indexed="81"/>
            <rFont val="Tahoma"/>
            <family val="2"/>
          </rPr>
          <t xml:space="preserve">
Assumed 50/50 fall/spring applied</t>
        </r>
      </text>
    </comment>
    <comment ref="Q145" authorId="0" shapeId="0">
      <text>
        <r>
          <rPr>
            <b/>
            <sz val="9"/>
            <color indexed="81"/>
            <rFont val="Tahoma"/>
            <family val="2"/>
          </rPr>
          <t>Jacob C Galzki:</t>
        </r>
        <r>
          <rPr>
            <sz val="9"/>
            <color indexed="81"/>
            <rFont val="Tahoma"/>
            <family val="2"/>
          </rPr>
          <t xml:space="preserve">
Assumed 50/50 fall/spring applied</t>
        </r>
      </text>
    </comment>
    <comment ref="R145" authorId="0" shapeId="0">
      <text>
        <r>
          <rPr>
            <b/>
            <sz val="9"/>
            <color indexed="81"/>
            <rFont val="Tahoma"/>
            <family val="2"/>
          </rPr>
          <t>Jacob C Galzki:</t>
        </r>
        <r>
          <rPr>
            <sz val="9"/>
            <color indexed="81"/>
            <rFont val="Tahoma"/>
            <family val="2"/>
          </rPr>
          <t xml:space="preserve">
Assumed 50/50 fall/spring applied</t>
        </r>
      </text>
    </comment>
    <comment ref="J155" authorId="0" shapeId="0">
      <text>
        <r>
          <rPr>
            <b/>
            <sz val="9"/>
            <color indexed="81"/>
            <rFont val="Tahoma"/>
            <family val="2"/>
          </rPr>
          <t>Jacob C Galzki:</t>
        </r>
        <r>
          <rPr>
            <sz val="9"/>
            <color indexed="81"/>
            <rFont val="Tahoma"/>
            <family val="2"/>
          </rPr>
          <t xml:space="preserve">
40% reduction in swine for phytase and 50% poultry loss to incineration
</t>
        </r>
      </text>
    </comment>
    <comment ref="N155" authorId="0" shapeId="0">
      <text>
        <r>
          <rPr>
            <b/>
            <sz val="9"/>
            <color indexed="81"/>
            <rFont val="Tahoma"/>
            <family val="2"/>
          </rPr>
          <t>Jacob C Galzki:</t>
        </r>
        <r>
          <rPr>
            <sz val="9"/>
            <color indexed="81"/>
            <rFont val="Tahoma"/>
            <family val="2"/>
          </rPr>
          <t xml:space="preserve">
Represented by adjacent data in borders based on recommendations of Dave Wall</t>
        </r>
      </text>
    </comment>
    <comment ref="R155" authorId="0" shapeId="0">
      <text>
        <r>
          <rPr>
            <b/>
            <sz val="9"/>
            <color indexed="81"/>
            <rFont val="Tahoma"/>
            <family val="2"/>
          </rPr>
          <t>Jacob C Galzki:</t>
        </r>
        <r>
          <rPr>
            <sz val="9"/>
            <color indexed="81"/>
            <rFont val="Tahoma"/>
            <family val="2"/>
          </rPr>
          <t xml:space="preserve">
If dairy operation is bigger than 100 head, if smaller 100% solid coefficient was used</t>
        </r>
      </text>
    </comment>
    <comment ref="S155" authorId="0" shapeId="0">
      <text>
        <r>
          <rPr>
            <b/>
            <sz val="9"/>
            <color indexed="81"/>
            <rFont val="Tahoma"/>
            <family val="2"/>
          </rPr>
          <t>Jacob C Galzki:</t>
        </r>
        <r>
          <rPr>
            <sz val="9"/>
            <color indexed="81"/>
            <rFont val="Tahoma"/>
            <family val="2"/>
          </rPr>
          <t xml:space="preserve">
If dairy operation is greater than 100 head</t>
        </r>
      </text>
    </comment>
    <comment ref="A178" authorId="1" shapeId="0">
      <text>
        <r>
          <rPr>
            <b/>
            <sz val="9"/>
            <color indexed="81"/>
            <rFont val="Tahoma"/>
            <family val="2"/>
          </rPr>
          <t>WFL:</t>
        </r>
        <r>
          <rPr>
            <sz val="9"/>
            <color indexed="81"/>
            <rFont val="Tahoma"/>
            <family val="2"/>
          </rPr>
          <t xml:space="preserve">
Midpoint between sweep and knife
</t>
        </r>
      </text>
    </comment>
    <comment ref="A179" authorId="1" shapeId="0">
      <text>
        <r>
          <rPr>
            <b/>
            <sz val="9"/>
            <color indexed="81"/>
            <rFont val="Tahoma"/>
            <family val="2"/>
          </rPr>
          <t>WFL:</t>
        </r>
        <r>
          <rPr>
            <sz val="9"/>
            <color indexed="81"/>
            <rFont val="Tahoma"/>
            <family val="2"/>
          </rPr>
          <t xml:space="preserve">
Assume midpoint between &lt;12 hours and 12-96 hours
</t>
        </r>
      </text>
    </comment>
    <comment ref="A180" authorId="1" shapeId="0">
      <text>
        <r>
          <rPr>
            <b/>
            <sz val="9"/>
            <color indexed="81"/>
            <rFont val="Tahoma"/>
            <family val="2"/>
          </rPr>
          <t>WFL:</t>
        </r>
        <r>
          <rPr>
            <sz val="9"/>
            <color indexed="81"/>
            <rFont val="Tahoma"/>
            <family val="2"/>
          </rPr>
          <t xml:space="preserve">
Assume &gt;96 hours
</t>
        </r>
      </text>
    </comment>
    <comment ref="B187" authorId="1" shapeId="0">
      <text>
        <r>
          <rPr>
            <b/>
            <sz val="9"/>
            <color indexed="81"/>
            <rFont val="Tahoma"/>
            <family val="2"/>
          </rPr>
          <t>WFL:</t>
        </r>
        <r>
          <rPr>
            <sz val="9"/>
            <color indexed="81"/>
            <rFont val="Tahoma"/>
            <family val="2"/>
          </rPr>
          <t xml:space="preserve">
I assumed a mix of NH3 and urea
</t>
        </r>
      </text>
    </comment>
  </commentList>
</comments>
</file>

<file path=xl/comments14.xml><?xml version="1.0" encoding="utf-8"?>
<comments xmlns="http://schemas.openxmlformats.org/spreadsheetml/2006/main">
  <authors>
    <author>WFL</author>
    <author>Jacob C Galzki</author>
  </authors>
  <commentList>
    <comment ref="A4" authorId="0" shapeId="0">
      <text>
        <r>
          <rPr>
            <b/>
            <sz val="9"/>
            <color indexed="81"/>
            <rFont val="Tahoma"/>
            <family val="2"/>
          </rPr>
          <t>WFL:</t>
        </r>
        <r>
          <rPr>
            <sz val="9"/>
            <color indexed="81"/>
            <rFont val="Tahoma"/>
            <family val="2"/>
          </rPr>
          <t xml:space="preserve">
I assum</t>
        </r>
      </text>
    </comment>
    <comment ref="R16" authorId="1" shapeId="0">
      <text>
        <r>
          <rPr>
            <b/>
            <sz val="9"/>
            <color indexed="81"/>
            <rFont val="Tahoma"/>
            <family val="2"/>
          </rPr>
          <t>Jacob C Galzki:</t>
        </r>
        <r>
          <rPr>
            <sz val="9"/>
            <color indexed="81"/>
            <rFont val="Tahoma"/>
            <family val="2"/>
          </rPr>
          <t xml:space="preserve">
Manually changed to 0, limited cultivated land creates anomaly</t>
        </r>
      </text>
    </comment>
  </commentList>
</comments>
</file>

<file path=xl/comments15.xml><?xml version="1.0" encoding="utf-8"?>
<comments xmlns="http://schemas.openxmlformats.org/spreadsheetml/2006/main">
  <authors>
    <author>William F Lazarus</author>
  </authors>
  <commentList>
    <comment ref="C2" authorId="0" shapeId="0">
      <text>
        <r>
          <rPr>
            <b/>
            <sz val="9"/>
            <color indexed="81"/>
            <rFont val="Tahoma"/>
            <family val="2"/>
          </rPr>
          <t>William F Lazarus:</t>
        </r>
        <r>
          <rPr>
            <sz val="9"/>
            <color indexed="81"/>
            <rFont val="Tahoma"/>
            <family val="2"/>
          </rPr>
          <t xml:space="preserve">
Carissa Spencer email 9/12/14</t>
        </r>
      </text>
    </comment>
    <comment ref="D4" authorId="0" shapeId="0">
      <text>
        <r>
          <rPr>
            <b/>
            <sz val="9"/>
            <color indexed="81"/>
            <rFont val="Tahoma"/>
            <family val="2"/>
          </rPr>
          <t>William F Lazarus:</t>
        </r>
        <r>
          <rPr>
            <sz val="9"/>
            <color indexed="81"/>
            <rFont val="Tahoma"/>
            <family val="2"/>
          </rPr>
          <t xml:space="preserve">
$1,000 is a placeholder until we get cost data from somewhere.  From Tim Gillette's 10/1 email, price of side inlets was $3,495 without engineering.  Would be $5,687 with engineering.  I don't yet know exactly how a side inlet differs from a french drain.</t>
        </r>
      </text>
    </comment>
    <comment ref="C6" authorId="0" shapeId="0">
      <text>
        <r>
          <rPr>
            <b/>
            <sz val="9"/>
            <color indexed="81"/>
            <rFont val="Tahoma"/>
            <family val="2"/>
          </rPr>
          <t>William F Lazarus:</t>
        </r>
        <r>
          <rPr>
            <sz val="9"/>
            <color indexed="81"/>
            <rFont val="Tahoma"/>
            <family val="2"/>
          </rPr>
          <t xml:space="preserve">
My guestimate.  It seems like it would be fairly easy to damage, so I picked a life less than what we were using for bioreactors.</t>
        </r>
      </text>
    </comment>
    <comment ref="A10" authorId="0" shapeId="0">
      <text>
        <r>
          <rPr>
            <b/>
            <sz val="9"/>
            <color indexed="81"/>
            <rFont val="Tahoma"/>
            <family val="2"/>
          </rPr>
          <t>William F Lazarus:</t>
        </r>
        <r>
          <rPr>
            <sz val="9"/>
            <color indexed="81"/>
            <rFont val="Tahoma"/>
            <family val="2"/>
          </rPr>
          <t xml:space="preserve">
Calculated using a P version of ferttiming.xlsm</t>
        </r>
      </text>
    </comment>
    <comment ref="C15" authorId="0" shapeId="0">
      <text>
        <r>
          <rPr>
            <b/>
            <sz val="9"/>
            <color indexed="81"/>
            <rFont val="Tahoma"/>
            <family val="2"/>
          </rPr>
          <t>William F Lazarus:</t>
        </r>
        <r>
          <rPr>
            <sz val="9"/>
            <color indexed="81"/>
            <rFont val="Tahoma"/>
            <family val="2"/>
          </rPr>
          <t xml:space="preserve">
Rounded down from the mean of 43.3% in Table 1 of the literature review.</t>
        </r>
      </text>
    </comment>
    <comment ref="E15" authorId="0" shapeId="0">
      <text>
        <r>
          <rPr>
            <b/>
            <sz val="9"/>
            <color indexed="81"/>
            <rFont val="Tahoma"/>
            <family val="2"/>
          </rPr>
          <t>William F Lazarus:</t>
        </r>
        <r>
          <rPr>
            <sz val="9"/>
            <color indexed="81"/>
            <rFont val="Tahoma"/>
            <family val="2"/>
          </rPr>
          <t xml:space="preserve">
Need data by slope</t>
        </r>
      </text>
    </comment>
  </commentList>
</comments>
</file>

<file path=xl/sharedStrings.xml><?xml version="1.0" encoding="utf-8"?>
<sst xmlns="http://schemas.openxmlformats.org/spreadsheetml/2006/main" count="6045" uniqueCount="1968">
  <si>
    <t>of the crop removal rate will be used in the model.</t>
  </si>
  <si>
    <t>Total for all BMPs</t>
  </si>
  <si>
    <t>Alternative tile intakes</t>
  </si>
  <si>
    <t>Drainage</t>
  </si>
  <si>
    <t>Riparian buffers</t>
  </si>
  <si>
    <t>Crop acres receiving target P rate</t>
  </si>
  <si>
    <t>Reduction in watershed P load</t>
  </si>
  <si>
    <t>Treatment Cost ($/acre of watershed)</t>
  </si>
  <si>
    <t>Total treatment cost ($ 000)</t>
  </si>
  <si>
    <t>Percentage of watershed treated</t>
  </si>
  <si>
    <t>P removal cost ($/lb P removed)</t>
  </si>
  <si>
    <t>Treatment Cost ($/acre treated)</t>
  </si>
  <si>
    <t>% treated</t>
  </si>
  <si>
    <t>% adoption</t>
  </si>
  <si>
    <t> % existing</t>
  </si>
  <si>
    <t>Pathway</t>
  </si>
  <si>
    <t>Watershed</t>
  </si>
  <si>
    <t>P Load (lbs)</t>
  </si>
  <si>
    <t>Ag Acres</t>
  </si>
  <si>
    <t>Export (lbs/ac)</t>
  </si>
  <si>
    <t>P Index Score</t>
  </si>
  <si>
    <t>BMP scenarios</t>
  </si>
  <si>
    <t>Wetter Clays &amp; Silts</t>
  </si>
  <si>
    <t>Wetter BE Till</t>
  </si>
  <si>
    <t>Very Poorly Drained Lake Sedi</t>
  </si>
  <si>
    <t>Undulating Plains</t>
  </si>
  <si>
    <t>Swelling Clay Lake Sediments</t>
  </si>
  <si>
    <t>Stream Banks</t>
  </si>
  <si>
    <t>Steeper Till</t>
  </si>
  <si>
    <t>Steeper Alluvium</t>
  </si>
  <si>
    <t>Steep Wetter Moraine</t>
  </si>
  <si>
    <t>Steep Valley Walls</t>
  </si>
  <si>
    <t>Steep Stream Banks</t>
  </si>
  <si>
    <t>Steep Poorly Drained Moraine</t>
  </si>
  <si>
    <t>Steep Dryer Moraine</t>
  </si>
  <si>
    <t>Somewhat Poorly Drained Lake</t>
  </si>
  <si>
    <t>Rolling Moraine</t>
  </si>
  <si>
    <t>Rochester Plateau</t>
  </si>
  <si>
    <t>Red Lake Loams</t>
  </si>
  <si>
    <t>Poorly Drained Lake Sedimen</t>
  </si>
  <si>
    <t>Poorly Drained BE Till</t>
  </si>
  <si>
    <t>Peatlands</t>
  </si>
  <si>
    <t>Northshore Moraine</t>
  </si>
  <si>
    <t>Northern Till</t>
  </si>
  <si>
    <t>Mesabi Range</t>
  </si>
  <si>
    <t>Mahnomen Lake Sediments</t>
  </si>
  <si>
    <t>Level Plains</t>
  </si>
  <si>
    <t>Inter-Beach Sand Bars</t>
  </si>
  <si>
    <t>Inner Coteau</t>
  </si>
  <si>
    <t>Forested Moraine</t>
  </si>
  <si>
    <t>Forested Lake Sediments</t>
  </si>
  <si>
    <t>Dryer Till</t>
  </si>
  <si>
    <t>Dryer Clays &amp; Silts</t>
  </si>
  <si>
    <t>Dryer BE Till</t>
  </si>
  <si>
    <t>Drumlins</t>
  </si>
  <si>
    <t>Drift &amp; Bedrock Complex</t>
  </si>
  <si>
    <t>Coteau</t>
  </si>
  <si>
    <t>Central Till</t>
  </si>
  <si>
    <t>Blufflands</t>
  </si>
  <si>
    <t>Anoka Sand Plains</t>
  </si>
  <si>
    <t>Alluvium &amp; Outwash</t>
  </si>
  <si>
    <t>Agroecoregion</t>
  </si>
  <si>
    <t>Id</t>
  </si>
  <si>
    <t>Current</t>
  </si>
  <si>
    <t>Total Score</t>
  </si>
  <si>
    <t>Manure Method Score</t>
  </si>
  <si>
    <t>Manure Rate Score</t>
  </si>
  <si>
    <t>Fert Meth Score</t>
  </si>
  <si>
    <t>Fert Rate Score</t>
  </si>
  <si>
    <t>STP Score</t>
  </si>
  <si>
    <t>Tile Inlets Score</t>
  </si>
  <si>
    <t>Buffer Score</t>
  </si>
  <si>
    <t>Runoff Score</t>
  </si>
  <si>
    <t>Erosion Score</t>
  </si>
  <si>
    <t>BMP scores</t>
  </si>
  <si>
    <t>Totals</t>
  </si>
  <si>
    <t>Int Slope</t>
  </si>
  <si>
    <t>Int Category</t>
  </si>
  <si>
    <t>Interpolation Value</t>
  </si>
  <si>
    <t>slope</t>
  </si>
  <si>
    <t>Cat Score</t>
  </si>
  <si>
    <t>Erosion Value</t>
  </si>
  <si>
    <t>Score interp</t>
  </si>
  <si>
    <t>Slope</t>
  </si>
  <si>
    <t>Category_rd</t>
  </si>
  <si>
    <t>Cutoff</t>
  </si>
  <si>
    <t>Score_bmp</t>
  </si>
  <si>
    <t>Category_bmp</t>
  </si>
  <si>
    <t>Erosion</t>
  </si>
  <si>
    <t xml:space="preserve">C_new </t>
  </si>
  <si>
    <t>Other</t>
  </si>
  <si>
    <t>Soybeans</t>
  </si>
  <si>
    <t>C_BMP</t>
  </si>
  <si>
    <t>Ratio of BMP residue to current residue</t>
  </si>
  <si>
    <t>Avg of corn &amp; soy</t>
  </si>
  <si>
    <t>BMP residue cover - corn</t>
  </si>
  <si>
    <t>Current Residue cover - corn</t>
  </si>
  <si>
    <t>Total</t>
  </si>
  <si>
    <t>Cons. Tillage, existing + newly treated</t>
  </si>
  <si>
    <t>Treated %</t>
  </si>
  <si>
    <t>potential additional %</t>
  </si>
  <si>
    <t>Interpolated Score</t>
  </si>
  <si>
    <t>Interpolated Category</t>
  </si>
  <si>
    <t>Score</t>
  </si>
  <si>
    <t>Category</t>
  </si>
  <si>
    <t>C_best</t>
  </si>
  <si>
    <t>C_worst</t>
  </si>
  <si>
    <t>LS</t>
  </si>
  <si>
    <t>K</t>
  </si>
  <si>
    <t>Rav</t>
  </si>
  <si>
    <t>Total watershed</t>
  </si>
  <si>
    <t>Name</t>
  </si>
  <si>
    <t>Percent of region matched</t>
  </si>
  <si>
    <t>wtd avg C</t>
  </si>
  <si>
    <t>total no</t>
  </si>
  <si>
    <t>no w/values</t>
  </si>
  <si>
    <t>H-C</t>
  </si>
  <si>
    <t>C-H</t>
  </si>
  <si>
    <t>H-H</t>
  </si>
  <si>
    <t>H-S</t>
  </si>
  <si>
    <t>C-B</t>
  </si>
  <si>
    <t>B-C</t>
  </si>
  <si>
    <t>S-B</t>
  </si>
  <si>
    <t>B-W</t>
  </si>
  <si>
    <t>W-W</t>
  </si>
  <si>
    <t>C-W</t>
  </si>
  <si>
    <t>W-C</t>
  </si>
  <si>
    <t>S-W</t>
  </si>
  <si>
    <t>W-S</t>
  </si>
  <si>
    <t>S-C</t>
  </si>
  <si>
    <t>C-S</t>
  </si>
  <si>
    <t>C-C</t>
  </si>
  <si>
    <t>on 100 b/c</t>
  </si>
  <si>
    <t>based on 86E table</t>
  </si>
  <si>
    <t>Corn</t>
  </si>
  <si>
    <t>Crop totals combined across rotations</t>
  </si>
  <si>
    <t>w/codes</t>
  </si>
  <si>
    <t>zone</t>
  </si>
  <si>
    <t>Cropland</t>
  </si>
  <si>
    <t>hay</t>
  </si>
  <si>
    <t>W_hay</t>
  </si>
  <si>
    <t>W-Hay</t>
  </si>
  <si>
    <t>W_mixed</t>
  </si>
  <si>
    <t>W-Mixed Crops</t>
  </si>
  <si>
    <t>HHHC_ch</t>
  </si>
  <si>
    <t>H-H-H-C</t>
  </si>
  <si>
    <t>HHHC_hh2</t>
  </si>
  <si>
    <t>HHHC_hh</t>
  </si>
  <si>
    <t>HHHC_hc</t>
  </si>
  <si>
    <t>HHCS_sc</t>
  </si>
  <si>
    <t>H-H-C-S</t>
  </si>
  <si>
    <t>HHCS_ch</t>
  </si>
  <si>
    <t>HHCS_HH</t>
  </si>
  <si>
    <t>HHCS_hs</t>
  </si>
  <si>
    <t>SCBS_cb</t>
  </si>
  <si>
    <t>S-C-B-c</t>
  </si>
  <si>
    <t>SCBC_bc</t>
  </si>
  <si>
    <t>S-C-B-C</t>
  </si>
  <si>
    <t>SCBC_cs</t>
  </si>
  <si>
    <t>SBBC_sc</t>
  </si>
  <si>
    <t>WCBS_sb</t>
  </si>
  <si>
    <t>W-C-B-S</t>
  </si>
  <si>
    <t>WCBS_bc</t>
  </si>
  <si>
    <t>WCBS_cw</t>
  </si>
  <si>
    <t>WCBS_ws</t>
  </si>
  <si>
    <t>WBSW_ws</t>
  </si>
  <si>
    <t>W-B-S-W</t>
  </si>
  <si>
    <t>WBSW_sb</t>
  </si>
  <si>
    <t>WBSW_bw</t>
  </si>
  <si>
    <t>WBSW_ww</t>
  </si>
  <si>
    <t>c_w</t>
  </si>
  <si>
    <t>w_c</t>
  </si>
  <si>
    <t>s_w</t>
  </si>
  <si>
    <t>w_s</t>
  </si>
  <si>
    <t>s_c</t>
  </si>
  <si>
    <t>Crop Rotation (ac)</t>
  </si>
  <si>
    <t>c_s</t>
  </si>
  <si>
    <t>c_c</t>
  </si>
  <si>
    <t>percent_res</t>
  </si>
  <si>
    <t>cropfol</t>
  </si>
  <si>
    <t>% Residue</t>
  </si>
  <si>
    <t>AgEco_reg</t>
  </si>
  <si>
    <t>diss</t>
  </si>
  <si>
    <t>Sl. No.</t>
  </si>
  <si>
    <t>Soybean</t>
  </si>
  <si>
    <t xml:space="preserve">after </t>
  </si>
  <si>
    <t>Wheat</t>
  </si>
  <si>
    <t>100B/C</t>
  </si>
  <si>
    <t>Sugar Beets</t>
  </si>
  <si>
    <t>after</t>
  </si>
  <si>
    <t xml:space="preserve">Soybean </t>
  </si>
  <si>
    <t>Corn silage</t>
  </si>
  <si>
    <t xml:space="preserve">Sugar Beets </t>
  </si>
  <si>
    <t>Corn grain</t>
  </si>
  <si>
    <t>Hay</t>
  </si>
  <si>
    <t>Mixed crop</t>
  </si>
  <si>
    <t xml:space="preserve">Hay </t>
  </si>
  <si>
    <t>Corn Silage</t>
  </si>
  <si>
    <t>Mixed Crop</t>
  </si>
  <si>
    <t>Corn Sillage</t>
  </si>
  <si>
    <t>Corn Grain</t>
  </si>
  <si>
    <t xml:space="preserve">Corn Sillage </t>
  </si>
  <si>
    <t xml:space="preserve">Wheat </t>
  </si>
  <si>
    <t>86E</t>
  </si>
  <si>
    <t>barley rotations ignored</t>
  </si>
  <si>
    <t>not matched</t>
  </si>
  <si>
    <t>matched</t>
  </si>
  <si>
    <t>Best</t>
  </si>
  <si>
    <t>Worst</t>
  </si>
  <si>
    <t>Anhydrous application</t>
  </si>
  <si>
    <t>Winter Weathering</t>
  </si>
  <si>
    <t>Stalk Chopper</t>
  </si>
  <si>
    <t>Harvest</t>
  </si>
  <si>
    <t>disk opener</t>
  </si>
  <si>
    <t>Prairie Grass Drill (Twinned) , 21 Ft</t>
  </si>
  <si>
    <t>Prairie Grass Drill 10 Ft</t>
  </si>
  <si>
    <t>No-Till Drill  15 Ft</t>
  </si>
  <si>
    <t>Air Seeder Drill w/Cart 52 Ft</t>
  </si>
  <si>
    <t>Presswheel Drill  30 Ft</t>
  </si>
  <si>
    <t>Presswheel Drill  25 Ft</t>
  </si>
  <si>
    <t>Presswheel Drill  20 Ft</t>
  </si>
  <si>
    <t>Presswheel Drill  16 Ft</t>
  </si>
  <si>
    <t>no-till</t>
  </si>
  <si>
    <t>Min-Til Planter 16 Row-30, 40 Ft</t>
  </si>
  <si>
    <t>Min-Til Planter 12 Row-30, 30 Ft</t>
  </si>
  <si>
    <t>Min-Til Planter 8 Row-30, 20 Ft</t>
  </si>
  <si>
    <t>Min-Til Planter 6 Row-30, 15 Ft</t>
  </si>
  <si>
    <t>Row Crop Planter 24 Row-30, 60 Ft</t>
  </si>
  <si>
    <t>Row Crop Planter 16 Row-30, 40 Ft</t>
  </si>
  <si>
    <t>Row Crop Planter 12 Row-30, 30 Ft</t>
  </si>
  <si>
    <t>Row Crop Planter 8 Row-30, 20 Ft</t>
  </si>
  <si>
    <t>Row Crop Planter 6 Row-30, 15 Ft</t>
  </si>
  <si>
    <t>Offset Disk  12 Ft</t>
  </si>
  <si>
    <t>Tandem Disk  30 Ft Fold</t>
  </si>
  <si>
    <t>Tandem Disk  21 Ft Rigid</t>
  </si>
  <si>
    <t>Field Cultivator  60 Ft</t>
  </si>
  <si>
    <t>Field Cultivator  47 Ft</t>
  </si>
  <si>
    <t>Field Cultivator  23 Ft</t>
  </si>
  <si>
    <t>Field Cultivator  18 Ft</t>
  </si>
  <si>
    <t>Moldboard Plow 8 Bottom-18, 12 Ft</t>
  </si>
  <si>
    <t>Moldboard Plow 6 Bottom-18, 9 Ft</t>
  </si>
  <si>
    <t>multi-tool</t>
  </si>
  <si>
    <t>Chisel Plow, Front Dsk  21.3 Ft Fold</t>
  </si>
  <si>
    <t>Chisel Plow, Front Dsk  16.3 Ft</t>
  </si>
  <si>
    <t>twisted pts</t>
  </si>
  <si>
    <t>Chisel Plow 57 Ft</t>
  </si>
  <si>
    <t>Chisel Plow 37 Ft</t>
  </si>
  <si>
    <t>Chisel Plow 23 Ft</t>
  </si>
  <si>
    <t>Chisel Plow 15 Ft</t>
  </si>
  <si>
    <t>straight pts</t>
  </si>
  <si>
    <t>sweeps</t>
  </si>
  <si>
    <t>soybeans</t>
  </si>
  <si>
    <t>corn</t>
  </si>
  <si>
    <t>Cost</t>
  </si>
  <si>
    <t>% residue left</t>
  </si>
  <si>
    <t>Change compared to current</t>
  </si>
  <si>
    <t>corn residue to soy</t>
  </si>
  <si>
    <t>cost/acre</t>
  </si>
  <si>
    <t>Tillage to prepare to plant soybeans after corn</t>
  </si>
  <si>
    <t>soy residue to corn</t>
  </si>
  <si>
    <t>Tillage to prepare to plant corn after soybeans</t>
  </si>
  <si>
    <t>BMP scenario</t>
  </si>
  <si>
    <t>Current scenario</t>
  </si>
  <si>
    <t>Runoff Value</t>
  </si>
  <si>
    <t>Runoff Category</t>
  </si>
  <si>
    <t>Runoff</t>
  </si>
  <si>
    <t>Other land, presumably mainly pasture</t>
  </si>
  <si>
    <t>Other land, pasture before short-season</t>
  </si>
  <si>
    <t>Total forest, urban, and ag land</t>
  </si>
  <si>
    <t>&gt;2% slope (acres drained)</t>
  </si>
  <si>
    <t>1-2% slope (acres drained)</t>
  </si>
  <si>
    <t>0-1% slope (acres drained)</t>
  </si>
  <si>
    <t>Cultivated Acres</t>
  </si>
  <si>
    <t>this % of total region is in this watershed</t>
  </si>
  <si>
    <t>this region is '% of watershed acres</t>
  </si>
  <si>
    <t>Total all 81 major watersheds entered</t>
  </si>
  <si>
    <t>Total calculated</t>
  </si>
  <si>
    <t>Upper Mississippi River Basin</t>
  </si>
  <si>
    <t>St.  Croix River Basin</t>
  </si>
  <si>
    <t>Red River of the North Basin</t>
  </si>
  <si>
    <t>Rainy River Basin</t>
  </si>
  <si>
    <t>Missouri River Basin</t>
  </si>
  <si>
    <t>Minnesota River Basin</t>
  </si>
  <si>
    <t>Lower Mississippi River Basin</t>
  </si>
  <si>
    <t>Lake Superior Basin</t>
  </si>
  <si>
    <t>Des Moines River Basin</t>
  </si>
  <si>
    <t>Cedar River Basin</t>
  </si>
  <si>
    <t>Mississippi Basin overall</t>
  </si>
  <si>
    <t>Zumbro River</t>
  </si>
  <si>
    <t>Winnebago River</t>
  </si>
  <si>
    <t>Wild Rice River</t>
  </si>
  <si>
    <t>Watonwan River</t>
  </si>
  <si>
    <t>Upper Wapsipinicon River</t>
  </si>
  <si>
    <t>Upper St. Croix River</t>
  </si>
  <si>
    <t>Upper Red River of the North</t>
  </si>
  <si>
    <t>Upper Iowa River</t>
  </si>
  <si>
    <t>Upper Big Sioux River</t>
  </si>
  <si>
    <t>Two Rivers</t>
  </si>
  <si>
    <t>Thief River</t>
  </si>
  <si>
    <t>South Fork Crow River</t>
  </si>
  <si>
    <t>Snake River</t>
  </si>
  <si>
    <t>Shell Rock River</t>
  </si>
  <si>
    <t>Sauk River</t>
  </si>
  <si>
    <t>Rum River</t>
  </si>
  <si>
    <t>Root River</t>
  </si>
  <si>
    <t>Rock River</t>
  </si>
  <si>
    <t>Redwood River</t>
  </si>
  <si>
    <t>Redeye River</t>
  </si>
  <si>
    <t>Red River of the North - Tamarac River</t>
  </si>
  <si>
    <t>Red River of the North - Sandhill River</t>
  </si>
  <si>
    <t>Red River of the North - Marsh River</t>
  </si>
  <si>
    <t>Red River of the North - Grand Marais Creek</t>
  </si>
  <si>
    <t>Red Lake River</t>
  </si>
  <si>
    <t>Pomme de Terre River</t>
  </si>
  <si>
    <t>Pine River</t>
  </si>
  <si>
    <t>Otter Tail River</t>
  </si>
  <si>
    <t>North Fork Crow River</t>
  </si>
  <si>
    <t>Nemadji River</t>
  </si>
  <si>
    <t>Mustinka River</t>
  </si>
  <si>
    <t>Mississippi River - Winona</t>
  </si>
  <si>
    <t>Mississippi River - Twin Cities</t>
  </si>
  <si>
    <t>Mississippi River - St. Cloud</t>
  </si>
  <si>
    <t>Mississippi River - Sartell</t>
  </si>
  <si>
    <t>Mississippi River - Reno</t>
  </si>
  <si>
    <t>Mississippi River - Lake Pepin</t>
  </si>
  <si>
    <t>Mississippi River - La Crescent</t>
  </si>
  <si>
    <t>Mississippi River - Headwaters</t>
  </si>
  <si>
    <t>Mississippi River - Grand Rapids</t>
  </si>
  <si>
    <t>Mississippi River - Brainerd</t>
  </si>
  <si>
    <t>Minnesota River - Yellow Medicine River</t>
  </si>
  <si>
    <t>Minnesota River - Mankato</t>
  </si>
  <si>
    <t>Minnesota River - Headwaters</t>
  </si>
  <si>
    <t>Lower St. Croix River</t>
  </si>
  <si>
    <t>Lower Minnesota River</t>
  </si>
  <si>
    <t>Lower Des Moines River</t>
  </si>
  <si>
    <t>Lower Big Sioux River</t>
  </si>
  <si>
    <t>Long Prairie River</t>
  </si>
  <si>
    <t>Little Sioux River</t>
  </si>
  <si>
    <t>Little Fork River</t>
  </si>
  <si>
    <t>Le Sueur River</t>
  </si>
  <si>
    <t>Lake Superior - South</t>
  </si>
  <si>
    <t>Lac Qui Parle River</t>
  </si>
  <si>
    <t>Kettle River</t>
  </si>
  <si>
    <t>East Fork Des Moines River</t>
  </si>
  <si>
    <t>Des Moines River - Headwaters</t>
  </si>
  <si>
    <t>Crow Wing River</t>
  </si>
  <si>
    <t>Cottonwood River</t>
  </si>
  <si>
    <t>Cloquet River</t>
  </si>
  <si>
    <t>Clearwater River</t>
  </si>
  <si>
    <t>Chippewa River</t>
  </si>
  <si>
    <t>Cedar River</t>
  </si>
  <si>
    <t>Cannon River</t>
  </si>
  <si>
    <t>Buffalo River</t>
  </si>
  <si>
    <t>Bois de Sioux River</t>
  </si>
  <si>
    <t>Blue Earth River</t>
  </si>
  <si>
    <t>Statewide</t>
  </si>
  <si>
    <t>Dry beans</t>
  </si>
  <si>
    <t>Sugarbeet</t>
  </si>
  <si>
    <t>Potato</t>
  </si>
  <si>
    <t>Crop acres - Corn</t>
  </si>
  <si>
    <t>Acres of Soybeans on non-drained lands based on estimated drained land locations, Beanodrain</t>
  </si>
  <si>
    <t>Sweet corn, peas &amp; dry edible beans….Acres</t>
  </si>
  <si>
    <t>Other hay</t>
  </si>
  <si>
    <t>Alfalfa</t>
  </si>
  <si>
    <t>Potatoes</t>
  </si>
  <si>
    <t>Oats</t>
  </si>
  <si>
    <t>Barley</t>
  </si>
  <si>
    <t>Spring Wheat</t>
  </si>
  <si>
    <t>corn &amp; wheat</t>
  </si>
  <si>
    <t>Cultivated Agriculture Total area</t>
  </si>
  <si>
    <t xml:space="preserve">Forest </t>
  </si>
  <si>
    <t>Developed impervious acres</t>
  </si>
  <si>
    <t>AGECO_NEW</t>
  </si>
  <si>
    <t>Agroecoregions (top) Watersheds (left)</t>
  </si>
  <si>
    <t>This sheet will contain the agroecoregion x watershed bridging tables.</t>
  </si>
  <si>
    <t>Int Cat</t>
  </si>
  <si>
    <t>Interpolation value</t>
  </si>
  <si>
    <t>% Ag w/in 90m of streams value</t>
  </si>
  <si>
    <t>Total cost of new buffer acres</t>
  </si>
  <si>
    <t>Opp cost of lost crop returns</t>
  </si>
  <si>
    <t>Total cultivated ag land (not short-season)</t>
  </si>
  <si>
    <t>Corn - marginal land</t>
  </si>
  <si>
    <t>Corn - non-marg land</t>
  </si>
  <si>
    <t>Opportunity cost of cropland converted to buffers</t>
  </si>
  <si>
    <t>Buffer (switchgrass) total direct costs</t>
  </si>
  <si>
    <t>change</t>
  </si>
  <si>
    <t>Interpolated Score_bmp</t>
  </si>
  <si>
    <t>Interpolated Category_bmp</t>
  </si>
  <si>
    <t>New Look value (percent instead of decimal)</t>
  </si>
  <si>
    <t>Buffer Score_bmp</t>
  </si>
  <si>
    <t>Buff Cat_bmp</t>
  </si>
  <si>
    <t>Adjusted percentage_bmp</t>
  </si>
  <si>
    <t>buffers, existing + newly treated</t>
  </si>
  <si>
    <t>Buff Cat</t>
  </si>
  <si>
    <t>Adjusted percentage</t>
  </si>
  <si>
    <t>Stream Power Index Adjustment factor</t>
  </si>
  <si>
    <t>Switchgrass</t>
  </si>
  <si>
    <t>Return to land/Acre</t>
  </si>
  <si>
    <t>Riparian buffer annual costs (assumed same as Switchgrass)</t>
  </si>
  <si>
    <t>Switchgrass (varies depending on value/ton entered)</t>
  </si>
  <si>
    <t>All</t>
  </si>
  <si>
    <t>Marginal</t>
  </si>
  <si>
    <t>Non-marg</t>
  </si>
  <si>
    <t>/T</t>
  </si>
  <si>
    <t>Sweet corn, peas, potatoes &amp; dry edible beans</t>
  </si>
  <si>
    <t>Nonmarg&amp;marginal</t>
  </si>
  <si>
    <t>Comparison across all crops:</t>
  </si>
  <si>
    <t>Total varying &amp; nonvarying costs if harvested</t>
  </si>
  <si>
    <t>Harvest &amp; hauling</t>
  </si>
  <si>
    <t>K2O</t>
  </si>
  <si>
    <t>P2O5</t>
  </si>
  <si>
    <t>N</t>
  </si>
  <si>
    <t>Fertilizer costs:</t>
  </si>
  <si>
    <t>Fertilizer application rates:</t>
  </si>
  <si>
    <t>Switchgrass calculations:</t>
  </si>
  <si>
    <t>Total varying &amp; nonvarying costs</t>
  </si>
  <si>
    <t>Total costs that vary with yield</t>
  </si>
  <si>
    <t>Market revenue:</t>
  </si>
  <si>
    <t>Yield per acre</t>
  </si>
  <si>
    <t>Marginal land</t>
  </si>
  <si>
    <t>bushels</t>
  </si>
  <si>
    <t>Non-marginal land</t>
  </si>
  <si>
    <t>Soybean calculations:</t>
  </si>
  <si>
    <t>Switchgrass yld</t>
  </si>
  <si>
    <t>Add N cost back to corn grain and silage net returns because it is subtracted separately in the main calculations, and subtract crop value:</t>
  </si>
  <si>
    <t>Net return</t>
  </si>
  <si>
    <t>N cost</t>
  </si>
  <si>
    <t>Total varying &amp; nonvarying costs w/o N</t>
  </si>
  <si>
    <t>Corn grain (silage valued as grain)</t>
  </si>
  <si>
    <r>
      <t>K</t>
    </r>
    <r>
      <rPr>
        <vertAlign val="subscript"/>
        <sz val="11"/>
        <color theme="1"/>
        <rFont val="Calibri"/>
        <family val="2"/>
        <scheme val="minor"/>
      </rPr>
      <t>2</t>
    </r>
    <r>
      <rPr>
        <sz val="11"/>
        <color theme="1"/>
        <rFont val="Calibri"/>
        <family val="2"/>
        <scheme val="minor"/>
      </rPr>
      <t>O</t>
    </r>
  </si>
  <si>
    <t>% Bray</t>
  </si>
  <si>
    <t>Olsen P</t>
  </si>
  <si>
    <t>Bray 1-P</t>
  </si>
  <si>
    <t>Soil test levels by region:</t>
  </si>
  <si>
    <t>N cost @ per lb cost:</t>
  </si>
  <si>
    <t>Corn grain calculations:</t>
  </si>
  <si>
    <t>Return to the main cost and return calculations</t>
  </si>
  <si>
    <t>Int</t>
  </si>
  <si>
    <t>Olsen Slope</t>
  </si>
  <si>
    <t>Olsen Int</t>
  </si>
  <si>
    <t>Bray Slope</t>
  </si>
  <si>
    <t>Bray Int</t>
  </si>
  <si>
    <t>Crop</t>
  </si>
  <si>
    <r>
      <t>P</t>
    </r>
    <r>
      <rPr>
        <vertAlign val="subscript"/>
        <sz val="11"/>
        <color theme="1"/>
        <rFont val="Calibri"/>
        <family val="2"/>
        <scheme val="minor"/>
      </rPr>
      <t>2</t>
    </r>
    <r>
      <rPr>
        <sz val="11"/>
        <color theme="1"/>
        <rFont val="Calibri"/>
        <family val="2"/>
        <scheme val="minor"/>
      </rPr>
      <t>O</t>
    </r>
    <r>
      <rPr>
        <vertAlign val="subscript"/>
        <sz val="11"/>
        <color theme="1"/>
        <rFont val="Calibri"/>
        <family val="2"/>
        <scheme val="minor"/>
      </rPr>
      <t>5</t>
    </r>
  </si>
  <si>
    <t>U of MN fertilizer recommendation equations</t>
  </si>
  <si>
    <t>assumed same as avg</t>
  </si>
  <si>
    <t>Wet year</t>
  </si>
  <si>
    <t>Dry year</t>
  </si>
  <si>
    <t>Average year</t>
  </si>
  <si>
    <t>lb total (mill.)</t>
  </si>
  <si>
    <t>lb/A</t>
  </si>
  <si>
    <t>Switchgrass N load:</t>
  </si>
  <si>
    <t>McIsaac Tot inorganic N, corn-soy</t>
  </si>
  <si>
    <t>McIsaac Tot inorganic N, switch</t>
  </si>
  <si>
    <t>tons/acre</t>
  </si>
  <si>
    <t>/lb</t>
  </si>
  <si>
    <t>N for switchgrass (probably urea)</t>
  </si>
  <si>
    <t>UAN (28-0-0), lbs N sold</t>
  </si>
  <si>
    <t>Urea (46-0-0), lbs N sold</t>
  </si>
  <si>
    <t>Anhydrous ammonia (82-0-0), lbs N sold</t>
  </si>
  <si>
    <t>Fertilizer prices used in the budgets:</t>
  </si>
  <si>
    <t>Corn &amp; soy yield on marginal land, % of nonmarginal land in region</t>
  </si>
  <si>
    <t>times corn grain price</t>
  </si>
  <si>
    <t>Corn silage price, multiple of corn grain</t>
  </si>
  <si>
    <t>Parameters used in the region-by-region calculations starting in R70:</t>
  </si>
  <si>
    <t>Note:  yellow cells are for data entry, white are calculated</t>
  </si>
  <si>
    <t>Total harvest &amp; hauling/bushel or /ton</t>
  </si>
  <si>
    <t>Hauling cost/bushel or ton</t>
  </si>
  <si>
    <t>Total harvest machinery/bushel</t>
  </si>
  <si>
    <t>Total/acre at base yield</t>
  </si>
  <si>
    <t>Round Baler/Wrap 5x6', 20 Ft</t>
  </si>
  <si>
    <t>Hay Rake (Wheel, 2-16'), 30 Ft</t>
  </si>
  <si>
    <t>Rotary Mow/conditioner, 12 Ft</t>
  </si>
  <si>
    <t/>
  </si>
  <si>
    <t>Combine Flex Platform 25 Ft</t>
  </si>
  <si>
    <t>Corn Head for SP Harvstr Base 6 Row</t>
  </si>
  <si>
    <t>Grain Cart</t>
  </si>
  <si>
    <t>Combine Corn Hd Chop 8 Row-30, 20 Ft</t>
  </si>
  <si>
    <t>Base yield</t>
  </si>
  <si>
    <t>Harvest machinery &amp; crop hauling cost (varies with yield)</t>
  </si>
  <si>
    <t>$/acre base</t>
  </si>
  <si>
    <t>Per Acre</t>
  </si>
  <si>
    <t>Net non-mkt revenue - listed costs</t>
  </si>
  <si>
    <t>Months charged</t>
  </si>
  <si>
    <t>Total of non-varying costs w/interest</t>
  </si>
  <si>
    <t>Interest on preharv. Costs</t>
  </si>
  <si>
    <t>Rate/year</t>
  </si>
  <si>
    <t>Total of non-varying costs w/o interest</t>
  </si>
  <si>
    <t>Labor &amp; Mgmt (Non-machinery)</t>
  </si>
  <si>
    <t>Crop drying</t>
  </si>
  <si>
    <t>Machinery w/Labor</t>
  </si>
  <si>
    <t>Miscellaneous</t>
  </si>
  <si>
    <t>Crop insurance</t>
  </si>
  <si>
    <t>Crop chemicals</t>
  </si>
  <si>
    <t>Fertilizer application cost:</t>
  </si>
  <si>
    <t>Seed</t>
  </si>
  <si>
    <t>Total of costs that do not vary with region</t>
  </si>
  <si>
    <t>Government payments &amp; miscellaneous</t>
  </si>
  <si>
    <t>NON-MARKET REVENUE</t>
  </si>
  <si>
    <t>Click here for the web page where you can download the "Machinery Cost Estimates" extension publication with more details on the machinery costs and a larger list of machines.</t>
  </si>
  <si>
    <t>Prairie Grass Drill (Twinned), 21 Ft</t>
  </si>
  <si>
    <t>Row Cultivator 12 Row-30, 40 Ft</t>
  </si>
  <si>
    <t>Pre-harvest machinery (does not vary with yield)</t>
  </si>
  <si>
    <t>Passes/year</t>
  </si>
  <si>
    <t>Machinery and Labor Resources Used:</t>
  </si>
  <si>
    <t>Total chemical cost</t>
  </si>
  <si>
    <t>Apply crop chemicals</t>
  </si>
  <si>
    <t>2,4-D, seeding yr only (oz)</t>
  </si>
  <si>
    <t>Paramount, seeding yr only (oz)</t>
  </si>
  <si>
    <t>AMS (qt)</t>
  </si>
  <si>
    <t>Glyphosate, 4.5L (oz)</t>
  </si>
  <si>
    <t>Chemicals:</t>
  </si>
  <si>
    <t>Click to scroll to the fertilizer and yield calculations</t>
  </si>
  <si>
    <t>Costs</t>
  </si>
  <si>
    <t>Roundup Ready fee, $/acre</t>
  </si>
  <si>
    <t>Per-Unit</t>
  </si>
  <si>
    <t>Seed price, $/unit</t>
  </si>
  <si>
    <t>Seeding rate (lbs, seeds, etc.)</t>
  </si>
  <si>
    <t>Production Inputs Used for Budgets:</t>
  </si>
  <si>
    <t>Drain %</t>
  </si>
  <si>
    <t>New Lookup Value (percentage not decimal)</t>
  </si>
  <si>
    <t>Total % estimated drainage</t>
  </si>
  <si>
    <t>total costs</t>
  </si>
  <si>
    <t>Region acres</t>
  </si>
  <si>
    <t>Region acres x perctg</t>
  </si>
  <si>
    <t>% drained &gt;2% slope</t>
  </si>
  <si>
    <t>% drained 1-2% slope</t>
  </si>
  <si>
    <t>% drained &lt;1% slope</t>
  </si>
  <si>
    <t>Spring preplant DAP application, extra cost compared to fall &amp; spring, $/A</t>
  </si>
  <si>
    <t>Annualized NPV of installation cost, $/year/inlet</t>
  </si>
  <si>
    <t>Assumed life of the inlet (years)</t>
  </si>
  <si>
    <t>Interest rate (%/year)</t>
  </si>
  <si>
    <t>$/inlet</t>
  </si>
  <si>
    <t>Installation costs:</t>
  </si>
  <si>
    <t>French drain</t>
  </si>
  <si>
    <t>Higgenbottom</t>
  </si>
  <si>
    <t>Inlet costs</t>
  </si>
  <si>
    <t>Annualized NPV of maintenance &amp; replacement</t>
  </si>
  <si>
    <t>NPV</t>
  </si>
  <si>
    <t>Total annual</t>
  </si>
  <si>
    <t>Repl gates</t>
  </si>
  <si>
    <t>Repl control structure</t>
  </si>
  <si>
    <t>Gate adjustment</t>
  </si>
  <si>
    <t>Year</t>
  </si>
  <si>
    <t>Maintenance and replacement costs</t>
  </si>
  <si>
    <t>Over 2% slope</t>
  </si>
  <si>
    <t>1- 2% slope</t>
  </si>
  <si>
    <t>&lt;1% slope</t>
  </si>
  <si>
    <t>Per acre</t>
  </si>
  <si>
    <t>Annual cost for the watershed:</t>
  </si>
  <si>
    <t>Treated acres</t>
  </si>
  <si>
    <t>Total annualized NPV of install, repl &amp; maint</t>
  </si>
  <si>
    <t>Annualized NPV of repl &amp; maint</t>
  </si>
  <si>
    <t>Maintenance cost/yr for gate adjustment</t>
  </si>
  <si>
    <t>Gate replacement cost</t>
  </si>
  <si>
    <t>Frequency of gate replacement, years</t>
  </si>
  <si>
    <t>Control structure cost</t>
  </si>
  <si>
    <t>Frequency of control structure replacement, years</t>
  </si>
  <si>
    <t>Annualized NPV of installation cost</t>
  </si>
  <si>
    <t>Assumed life of the system (years)</t>
  </si>
  <si>
    <t>Information is needed on how installation costs would vary with slope.</t>
  </si>
  <si>
    <t>$/acre</t>
  </si>
  <si>
    <t>See also the Thorp et al. article</t>
  </si>
  <si>
    <t>Rate of reduction in drain tile N load</t>
  </si>
  <si>
    <t>Used in the model</t>
  </si>
  <si>
    <t>Over 2%</t>
  </si>
  <si>
    <t>slopes 1-2%</t>
  </si>
  <si>
    <t>slopes &lt; 1%</t>
  </si>
  <si>
    <t>Max slope</t>
  </si>
  <si>
    <t>Controlled drainage costs</t>
  </si>
  <si>
    <t>int slope</t>
  </si>
  <si>
    <t>int cat</t>
  </si>
  <si>
    <t>interpolated value (inlets per ha to simplify calculations)</t>
  </si>
  <si>
    <t>Category Score</t>
  </si>
  <si>
    <t>Inlet Density</t>
  </si>
  <si>
    <t>New Lookup Value (inlets per hectare)</t>
  </si>
  <si>
    <t>Inlet Density (ha/inlet)_bmp</t>
  </si>
  <si>
    <t>Untreated risers_bmp</t>
  </si>
  <si>
    <t>Number of French drains</t>
  </si>
  <si>
    <t>Percent french drains</t>
  </si>
  <si>
    <t>Percent higgenbottoms</t>
  </si>
  <si>
    <t>Category score</t>
  </si>
  <si>
    <t>STP value</t>
  </si>
  <si>
    <t>STP_ad</t>
  </si>
  <si>
    <t>bu./acre</t>
  </si>
  <si>
    <t xml:space="preserve"> Yield reduction due to conservation tillage on tile drained land (no reduction on non-drained land)</t>
  </si>
  <si>
    <t>Maximum % of P fertilizer allowed as starter</t>
  </si>
  <si>
    <t>dry beans</t>
  </si>
  <si>
    <t>sugarbeets</t>
  </si>
  <si>
    <t>potato</t>
  </si>
  <si>
    <t>soybean</t>
  </si>
  <si>
    <t>wheat</t>
  </si>
  <si>
    <t>crop removal lb/unit of yld</t>
  </si>
  <si>
    <t>P2O5 perct.</t>
  </si>
  <si>
    <t>inflation factor to adjust lb of P2O5 to market data</t>
  </si>
  <si>
    <t>kg/lb</t>
  </si>
  <si>
    <t>Years of STP change to include</t>
  </si>
  <si>
    <t>Change in STP/year if no P fertilizer applied</t>
  </si>
  <si>
    <t>lbs P in 1 lb of P2O5</t>
  </si>
  <si>
    <t>Max STP for P recommended</t>
  </si>
  <si>
    <t>Acres in one hectare</t>
  </si>
  <si>
    <t>Interpolated Value</t>
  </si>
  <si>
    <t>Fert Rate</t>
  </si>
  <si>
    <t>Fertilizer Rate sheet lookups and parameters</t>
  </si>
  <si>
    <t>Change in fertilizer rate compared to current</t>
  </si>
  <si>
    <t>change in stp (/year)</t>
  </si>
  <si>
    <t>Cost savings in P2O5 fertilizer</t>
  </si>
  <si>
    <t>Change in P2O5 vs. current, affecting STP</t>
  </si>
  <si>
    <t>Change in P2O5 vs. current, total lb</t>
  </si>
  <si>
    <t>P2O5 applied to non-adopt acres</t>
  </si>
  <si>
    <t>Cultivated Acres (all crops statewide)</t>
  </si>
  <si>
    <t>Total lbs of P2O5 inflated</t>
  </si>
  <si>
    <t>Inflated to match 2011 sales (286,786,400 lbs as P)</t>
  </si>
  <si>
    <t>Total lbs as P</t>
  </si>
  <si>
    <t xml:space="preserve">        , drybeans</t>
  </si>
  <si>
    <t xml:space="preserve">        , sugarbeets (ton/ac)</t>
  </si>
  <si>
    <t xml:space="preserve">         , potatoes (ton/ac)</t>
  </si>
  <si>
    <t xml:space="preserve">         , soybean</t>
  </si>
  <si>
    <t xml:space="preserve">          , wheat </t>
  </si>
  <si>
    <t>, drybeans</t>
  </si>
  <si>
    <t>, sugarbeets</t>
  </si>
  <si>
    <t>, potatoes</t>
  </si>
  <si>
    <t>, soybean</t>
  </si>
  <si>
    <t>, wheat</t>
  </si>
  <si>
    <t>,soybean</t>
  </si>
  <si>
    <t>yields, corn (bu/ac)</t>
  </si>
  <si>
    <t>drybeans</t>
  </si>
  <si>
    <t xml:space="preserve">Sugarbeets </t>
  </si>
  <si>
    <t xml:space="preserve">Potatoes </t>
  </si>
  <si>
    <t xml:space="preserve">Soybeans </t>
  </si>
  <si>
    <t xml:space="preserve">drybeans  </t>
  </si>
  <si>
    <t xml:space="preserve">Sugarbeets  </t>
  </si>
  <si>
    <t>Region total</t>
  </si>
  <si>
    <t>% of the crop removal rate will be used in the model.</t>
  </si>
  <si>
    <t>2010 Wheat Acres</t>
  </si>
  <si>
    <t>2010 Corn Acres</t>
  </si>
  <si>
    <t>State</t>
  </si>
  <si>
    <t>SE</t>
  </si>
  <si>
    <t>SC</t>
  </si>
  <si>
    <t>SW/WC</t>
  </si>
  <si>
    <t>Sands</t>
  </si>
  <si>
    <t>NW</t>
  </si>
  <si>
    <t>Regional proportion of fertilizer Application - FanMap 2010</t>
  </si>
  <si>
    <t>Final P Category</t>
  </si>
  <si>
    <t>Percentages weighted and translated to P Categories</t>
  </si>
  <si>
    <t>P index translation</t>
  </si>
  <si>
    <t>Percentage of 2010 acres (corn vs wheat)</t>
  </si>
  <si>
    <t>Extra cost of shift</t>
  </si>
  <si>
    <t>Corn &amp; wheat</t>
  </si>
  <si>
    <t>None applied (0)</t>
  </si>
  <si>
    <t>Sum wheat</t>
  </si>
  <si>
    <t>Spring preplant</t>
  </si>
  <si>
    <t>Spring starter wheat (1)</t>
  </si>
  <si>
    <t>Fall adpt</t>
  </si>
  <si>
    <t>Shifted from fall to either spr</t>
  </si>
  <si>
    <t>fall fertilizer %</t>
  </si>
  <si>
    <t>Sum corn</t>
  </si>
  <si>
    <t>Spring Starter corn (1)</t>
  </si>
  <si>
    <t>Starter % of all fertilizer</t>
  </si>
  <si>
    <t>Spring preplant wheat (2)</t>
  </si>
  <si>
    <t>MAP/DAP Fall wheat (4)</t>
  </si>
  <si>
    <t>Wheat acres</t>
  </si>
  <si>
    <t>Spring Preplant corn (2)</t>
  </si>
  <si>
    <t>MAP/DAP Fall Corn (4)</t>
  </si>
  <si>
    <t>Corn acres</t>
  </si>
  <si>
    <t>Region</t>
  </si>
  <si>
    <t xml:space="preserve">Manure Application (kg/ha) </t>
  </si>
  <si>
    <t>Manure Application (lbs/ac)</t>
  </si>
  <si>
    <t>Total Manure lbs</t>
  </si>
  <si>
    <t>Total Solid Manure lbs</t>
  </si>
  <si>
    <t>Non Poultry Solid lbs</t>
  </si>
  <si>
    <t>Solid Poultry lbs after 50% incineration</t>
  </si>
  <si>
    <t>Rate</t>
  </si>
  <si>
    <t>50% reduction for all poultry incineration</t>
  </si>
  <si>
    <t>ASABE standard D384.2</t>
  </si>
  <si>
    <t>Chicken Liquid Manure</t>
  </si>
  <si>
    <t>Chicken Broiler Little</t>
  </si>
  <si>
    <t>Chicken Broiler Big</t>
  </si>
  <si>
    <t>U of M Extension</t>
  </si>
  <si>
    <t>Chicken Layer Little</t>
  </si>
  <si>
    <t>Chicken Layer Big</t>
  </si>
  <si>
    <t xml:space="preserve">Turkey Little </t>
  </si>
  <si>
    <t>Midwest Plan Service MWPS section 18</t>
  </si>
  <si>
    <t>Turkey Big</t>
  </si>
  <si>
    <t>Swine Little</t>
  </si>
  <si>
    <t>Swine Medium</t>
  </si>
  <si>
    <t>Swine Big</t>
  </si>
  <si>
    <t>Beef Calf</t>
  </si>
  <si>
    <t>Beef Cow Calf</t>
  </si>
  <si>
    <t>Beef Heifer</t>
  </si>
  <si>
    <t>Beef Steer Stock</t>
  </si>
  <si>
    <t>Average of U of M extension and ASABE</t>
  </si>
  <si>
    <t>Dairy Calf</t>
  </si>
  <si>
    <t>Dairy Heifer</t>
  </si>
  <si>
    <t>Dairy Cattle Little</t>
  </si>
  <si>
    <t>Dairy Cattle Big</t>
  </si>
  <si>
    <t>notes</t>
  </si>
  <si>
    <t>source</t>
  </si>
  <si>
    <t>Final coefficient solid</t>
  </si>
  <si>
    <t>Final coefficient Liquid</t>
  </si>
  <si>
    <t>% Assumed liquid</t>
  </si>
  <si>
    <t>Final Coefficient</t>
  </si>
  <si>
    <t>Feedlot Over reporting reduction</t>
  </si>
  <si>
    <t>Final lbs of P/animal/year</t>
  </si>
  <si>
    <t>Animal Category</t>
  </si>
  <si>
    <t>avg of F and G</t>
  </si>
  <si>
    <t>ASABE lbs of P per animal/year</t>
  </si>
  <si>
    <t>lbs P per animal adjusted</t>
  </si>
  <si>
    <t>lbs P per Animal/year</t>
  </si>
  <si>
    <t>P per 1000 lbs</t>
  </si>
  <si>
    <t>P2O5 per 1000 lbs</t>
  </si>
  <si>
    <t>Approx Animal Weight lbs</t>
  </si>
  <si>
    <t>ASABE</t>
  </si>
  <si>
    <t xml:space="preserve">UMN Extension/Dept of Ag </t>
  </si>
  <si>
    <t>Southeastern</t>
  </si>
  <si>
    <t>South Central</t>
  </si>
  <si>
    <t>Southwest and West Central</t>
  </si>
  <si>
    <t>Northwestern</t>
  </si>
  <si>
    <t>Surface applied &gt;3 months before crop</t>
  </si>
  <si>
    <t>Incorporated &gt;3 months or Surface Applied &lt;3 months before crop (4)</t>
  </si>
  <si>
    <t>Incorporated Immediately before crop (2)</t>
  </si>
  <si>
    <t>Injected (1)</t>
  </si>
  <si>
    <t>None Applied (0)</t>
  </si>
  <si>
    <t>Broadcast no incorporation</t>
  </si>
  <si>
    <t>Broadcast incorporation over 4 days</t>
  </si>
  <si>
    <t>Broadcast incorporation within 4 days</t>
  </si>
  <si>
    <t>Broadcast incorporation within 1 day</t>
  </si>
  <si>
    <t>total</t>
  </si>
  <si>
    <t>broadcast no incorporation</t>
  </si>
  <si>
    <t>broadcast incorporation over 4 days</t>
  </si>
  <si>
    <t>broadcast incorporation within 4 days</t>
  </si>
  <si>
    <t>broadcast incorporation within 1 day</t>
  </si>
  <si>
    <t>disc injection</t>
  </si>
  <si>
    <t>Knife injection</t>
  </si>
  <si>
    <t>Sweep injection</t>
  </si>
  <si>
    <t>Solid P Index Interpretation</t>
  </si>
  <si>
    <t>Solid</t>
  </si>
  <si>
    <t>P Index Interpretation</t>
  </si>
  <si>
    <t>Liquid</t>
  </si>
  <si>
    <t>*All breakdowns assume a 50/50 spring fall split of broadcast manure</t>
  </si>
  <si>
    <t>Final avg category score</t>
  </si>
  <si>
    <t>Surface applied &gt;3 months before crop (8)</t>
  </si>
  <si>
    <t xml:space="preserve">Incorporated Immediately before crop </t>
  </si>
  <si>
    <t>P index interpretation per region (solid)</t>
  </si>
  <si>
    <t>P index interpretation per region (liquid)</t>
  </si>
  <si>
    <t>BMP Scenarios</t>
  </si>
  <si>
    <t>Solid Manure Proportion</t>
  </si>
  <si>
    <t>Liquid Manure proportion</t>
  </si>
  <si>
    <t>Solid Manure lbs</t>
  </si>
  <si>
    <t>P Index Score, interpolated</t>
  </si>
  <si>
    <t>Total applied by any method</t>
  </si>
  <si>
    <t>Link to the Wisconsin Custom Rate Guide 2013</t>
  </si>
  <si>
    <t>Liquid manure:</t>
  </si>
  <si>
    <t>Application rate, gallons/acre average</t>
  </si>
  <si>
    <t>Pumping and spreading cost, surface (no incorporation), $/gallon</t>
  </si>
  <si>
    <t>- with injection, average of tanker and dragline</t>
  </si>
  <si>
    <t>Select a tillage operation to incorporate:</t>
  </si>
  <si>
    <t>Cost/acre for:</t>
  </si>
  <si>
    <t>Application with injection, $/acre</t>
  </si>
  <si>
    <t>Surface application with separate incorporation, $/acre</t>
  </si>
  <si>
    <t>Surface application only with NO incorporation, $/acre</t>
  </si>
  <si>
    <t>Total costs</t>
  </si>
  <si>
    <t>Cultivated acres in watershed</t>
  </si>
  <si>
    <t>Change in costs due to BMP shifts in method</t>
  </si>
  <si>
    <t>Use reduced tillage</t>
  </si>
  <si>
    <t>Target P rate</t>
  </si>
  <si>
    <t>Inject or incorp manure</t>
  </si>
  <si>
    <t>Total P reduction, (000 lb)</t>
  </si>
  <si>
    <t>Change in scores due to BMP</t>
  </si>
  <si>
    <t>P Reduction (lb reduced/acre treated)</t>
  </si>
  <si>
    <t>Last revised on</t>
  </si>
  <si>
    <t>Chisel Plow</t>
  </si>
  <si>
    <t xml:space="preserve">Chisel Plow, Front Dsk </t>
  </si>
  <si>
    <t>Moldboard Plow</t>
  </si>
  <si>
    <t xml:space="preserve">Field Cultivator </t>
  </si>
  <si>
    <t xml:space="preserve">Tandem Disk </t>
  </si>
  <si>
    <t xml:space="preserve">Offset Disk </t>
  </si>
  <si>
    <t>Row Crop Planter</t>
  </si>
  <si>
    <t>Min-Til Planter</t>
  </si>
  <si>
    <t xml:space="preserve">Presswheel Drill </t>
  </si>
  <si>
    <t>Air Seeder Drill w/Cart</t>
  </si>
  <si>
    <t xml:space="preserve">No-Till Drill </t>
  </si>
  <si>
    <t>Prairie Grass Drill</t>
  </si>
  <si>
    <t>Impltype</t>
  </si>
  <si>
    <t>Implsize</t>
  </si>
  <si>
    <t>subtype</t>
  </si>
  <si>
    <t>convert kg/ha to lb/A</t>
  </si>
  <si>
    <t>Change in P load (lb)</t>
  </si>
  <si>
    <t>Interpolated score</t>
  </si>
  <si>
    <t>Fall corn fert to preplant/starter</t>
  </si>
  <si>
    <t>P (practice)</t>
  </si>
  <si>
    <t>Enter the percentage of the crop removal rate to apply:</t>
  </si>
  <si>
    <t>For alternative tile inlets, indicate what percentage is higgenbottoms.  The rest are assumed to be french drains -</t>
  </si>
  <si>
    <t>Percent of corn acres manured, from nbmp</t>
  </si>
  <si>
    <t>corn acres</t>
  </si>
  <si>
    <t>Percent of cultivated acres manured</t>
  </si>
  <si>
    <t>Manured acres, this watershed</t>
  </si>
  <si>
    <t>Unadopted cult ag land</t>
  </si>
  <si>
    <t>All acres</t>
  </si>
  <si>
    <t>all corn</t>
  </si>
  <si>
    <t>Assumptions held the same for all regions</t>
  </si>
  <si>
    <t>Cover crop scenario in BMP sheet:</t>
  </si>
  <si>
    <t>area seeded to cover crop</t>
  </si>
  <si>
    <t>Wheat included in main adoption rate</t>
  </si>
  <si>
    <t>Barley &amp; oats included in main adoption rate</t>
  </si>
  <si>
    <t>Peas…beans included in main adoption rate</t>
  </si>
  <si>
    <t>net adoption rates, soybeans &amp; sugar beets</t>
  </si>
  <si>
    <t>corn silage</t>
  </si>
  <si>
    <t>barley&amp;oats</t>
  </si>
  <si>
    <t>peas…beans</t>
  </si>
  <si>
    <t>seeding method</t>
  </si>
  <si>
    <t>aerial</t>
  </si>
  <si>
    <t>notill drill</t>
  </si>
  <si>
    <t>Per acre seeded:</t>
  </si>
  <si>
    <t>seeding rate, lb/acre</t>
  </si>
  <si>
    <t>seed price/lb</t>
  </si>
  <si>
    <t>seed cost/acre</t>
  </si>
  <si>
    <t>seeding machinery &amp; labor/acre</t>
  </si>
  <si>
    <t>prob of successful stand</t>
  </si>
  <si>
    <t>Per acre of successful stand:</t>
  </si>
  <si>
    <t>termination machinery &amp; labor/acre</t>
  </si>
  <si>
    <t>custom spraying</t>
  </si>
  <si>
    <t>termination chemical cost/acre</t>
  </si>
  <si>
    <t>Roundup</t>
  </si>
  <si>
    <t>forage harvested from cover crop, tons/acre</t>
  </si>
  <si>
    <t>see note</t>
  </si>
  <si>
    <t>forage harvesting cost/ton (above termination cost if not harvested)</t>
  </si>
  <si>
    <t>value of the forage as feed or other use, $/ton</t>
  </si>
  <si>
    <t>value of the forage, $/acre successful</t>
  </si>
  <si>
    <t>corn yield reduction (%):</t>
  </si>
  <si>
    <t>Likely scenario</t>
  </si>
  <si>
    <t>Wet spring</t>
  </si>
  <si>
    <t>Scenario currently selected</t>
  </si>
  <si>
    <t>Perennial crop (switchgrass) market price, $/ton dry matter</t>
  </si>
  <si>
    <t>Perennial crop % of marginal corn&amp;soy</t>
  </si>
  <si>
    <t>For the covercrop calculations:</t>
  </si>
  <si>
    <t>Other short season crops</t>
  </si>
  <si>
    <t>For the perennial crop calculations:</t>
  </si>
  <si>
    <t>Corn grain, selected watershed</t>
  </si>
  <si>
    <t>Total corn grain &amp; soybeans</t>
  </si>
  <si>
    <t>Cover crop on corn&amp;soy</t>
  </si>
  <si>
    <t>Cover crop on short season cr</t>
  </si>
  <si>
    <t>column from impl_database:</t>
  </si>
  <si>
    <t>Perennial crop (switchgrass) total direct costs</t>
  </si>
  <si>
    <t>Total cost of perennial crops</t>
  </si>
  <si>
    <t>Perennial crop P removal efficiency</t>
  </si>
  <si>
    <t>Riparian buffer P removal efficiency</t>
  </si>
  <si>
    <t>Cover crop P removal efficiency</t>
  </si>
  <si>
    <t>reduction in P losses when successful</t>
  </si>
  <si>
    <t>P Load before cover crop reductions (lbs)</t>
  </si>
  <si>
    <t>P Load after cover crop reductions (lbs)</t>
  </si>
  <si>
    <t>Perennial crop (switchgrass) yield</t>
  </si>
  <si>
    <t>Perennial crop P load reduction</t>
  </si>
  <si>
    <t>Cover crop reduction on corn &amp; soybeans</t>
  </si>
  <si>
    <t>Cover crop reduction on sugarbeets</t>
  </si>
  <si>
    <t>Cover crop reduction on other short season crops</t>
  </si>
  <si>
    <t>Controlled drainage max slope, %</t>
  </si>
  <si>
    <t>Choices:</t>
  </si>
  <si>
    <t>as a decimal</t>
  </si>
  <si>
    <t>STP average</t>
  </si>
  <si>
    <t>Percent above and below the mean STP:</t>
  </si>
  <si>
    <t>STP high</t>
  </si>
  <si>
    <t>STP low</t>
  </si>
  <si>
    <t>Acres of crops considered for rate reduction</t>
  </si>
  <si>
    <t>P2O5 applied to adopting A based on U of MN recs</t>
  </si>
  <si>
    <t>Apply U of MN recs</t>
  </si>
  <si>
    <t>P2O5 applied to adopting A</t>
  </si>
  <si>
    <t>100% of crop removal - maintain STP</t>
  </si>
  <si>
    <t>USLE C factor for perennial crops</t>
  </si>
  <si>
    <t>Subtract perennial crop acres from corn &amp; soybean acres</t>
  </si>
  <si>
    <t>Marginal corn acres</t>
  </si>
  <si>
    <t>Marginal soybean acres</t>
  </si>
  <si>
    <t>Acres fertilized - corn</t>
  </si>
  <si>
    <t>All crops</t>
  </si>
  <si>
    <t>Corn total</t>
  </si>
  <si>
    <t>Publication order</t>
  </si>
  <si>
    <t>Currently-selected sort row:</t>
  </si>
  <si>
    <t>Sorted scenario numbers based on selected row</t>
  </si>
  <si>
    <t>convert lb/A to kg/ha</t>
  </si>
  <si>
    <t>Fertilizer Rate (lbs/acre)</t>
  </si>
  <si>
    <t xml:space="preserve">Total lbs as P  </t>
  </si>
  <si>
    <t>Fertilizer Rate (lbs/acre)_bmp</t>
  </si>
  <si>
    <t>STP sheet lookups and parameters</t>
  </si>
  <si>
    <t>Erosion sheet lookups and parameters</t>
  </si>
  <si>
    <t>Buffer sheet lookups and parameters</t>
  </si>
  <si>
    <t>drainage sheet lookups and parameters</t>
  </si>
  <si>
    <t>Inlet sheet lookups and parameters</t>
  </si>
  <si>
    <t>Manure rate sheet lookups and parameters</t>
  </si>
  <si>
    <t>runoff sheet lookups and parameters</t>
  </si>
  <si>
    <t>R_dry</t>
  </si>
  <si>
    <t>R_wet</t>
  </si>
  <si>
    <t>Weather Scenario:</t>
  </si>
  <si>
    <t>Average weather</t>
  </si>
  <si>
    <t>Runoff_dry</t>
  </si>
  <si>
    <t>Runoff_wet</t>
  </si>
  <si>
    <t>Runoffaverage</t>
  </si>
  <si>
    <t>Use this box to change the sort order for the BMPs above:</t>
  </si>
  <si>
    <t>(not currently used - using P index calculation in the Erosion sheet instead)</t>
  </si>
  <si>
    <t>Erosion on buffer acres</t>
  </si>
  <si>
    <t>Buffer</t>
  </si>
  <si>
    <t>Tile Inlets</t>
  </si>
  <si>
    <t>STP</t>
  </si>
  <si>
    <t>Fert Meth</t>
  </si>
  <si>
    <t>Manure Method</t>
  </si>
  <si>
    <t>Export before cover crop adjustments (lbs/ac)</t>
  </si>
  <si>
    <t>Reduction in Export (total lbs/region):</t>
  </si>
  <si>
    <t>Change in P load</t>
  </si>
  <si>
    <t>x</t>
  </si>
  <si>
    <t>y</t>
  </si>
  <si>
    <t>z</t>
  </si>
  <si>
    <t>ln(xy+z)</t>
  </si>
  <si>
    <t>Possible alternative to the Erosion cat score scales, based on a natural log function:</t>
  </si>
  <si>
    <t>difference</t>
  </si>
  <si>
    <r>
      <t>Diff</t>
    </r>
    <r>
      <rPr>
        <vertAlign val="superscript"/>
        <sz val="11"/>
        <color theme="1"/>
        <rFont val="Calibri"/>
        <family val="2"/>
        <scheme val="minor"/>
      </rPr>
      <t>2</t>
    </r>
  </si>
  <si>
    <t>% suitable</t>
  </si>
  <si>
    <t>Long season crops % of total cult ag acres</t>
  </si>
  <si>
    <t>Net BMP treatment cost</t>
  </si>
  <si>
    <t>million/year</t>
  </si>
  <si>
    <t>marginal only</t>
  </si>
  <si>
    <t>1 = perennial crop only on marginal land, 0 = all corn &amp; soy land</t>
  </si>
  <si>
    <t>Corn grain (all or on marginal land), selected watershed</t>
  </si>
  <si>
    <t>Soybeans (all or on marginal land)</t>
  </si>
  <si>
    <t>Total corn grain &amp; soybeans (all or on marginal land)</t>
  </si>
  <si>
    <t>Perennial crop</t>
  </si>
  <si>
    <t xml:space="preserve"> Inj &amp; inc manure</t>
  </si>
  <si>
    <t>Tile intakes</t>
  </si>
  <si>
    <t>Cover crop cs</t>
  </si>
  <si>
    <t>Cover crop ss</t>
  </si>
  <si>
    <t>Preplant/starter</t>
  </si>
  <si>
    <t>Scenario number</t>
  </si>
  <si>
    <t>Reduction in P loading, watershed (million)</t>
  </si>
  <si>
    <t>Cost/lb of P load reduced</t>
  </si>
  <si>
    <t>Scenario</t>
  </si>
  <si>
    <t>BMP Suite</t>
  </si>
  <si>
    <t>Total cost by practice ($ million)</t>
  </si>
  <si>
    <t>Percent of max reduction</t>
  </si>
  <si>
    <t>P Reductions</t>
  </si>
  <si>
    <t>Cost/lb of P reduced</t>
  </si>
  <si>
    <t>Total P Reductions, frontier scen</t>
  </si>
  <si>
    <t>Columns in the data table w/o formula column:</t>
  </si>
  <si>
    <t>w/formulas</t>
  </si>
  <si>
    <t>graphresult range</t>
  </si>
  <si>
    <t>primary Y axis</t>
  </si>
  <si>
    <t>X-axis</t>
  </si>
  <si>
    <t>second Y axis</t>
  </si>
  <si>
    <t>scenario no.</t>
  </si>
  <si>
    <t>Average cost/lb</t>
  </si>
  <si>
    <t>% of current N loss</t>
  </si>
  <si>
    <t>Average cost/acre</t>
  </si>
  <si>
    <t>primary vertical axis toggle:</t>
  </si>
  <si>
    <t>Omit BMPs that reduce less than:</t>
  </si>
  <si>
    <t>P load reduction with all BMPs:</t>
  </si>
  <si>
    <t>Current total P load/acre in watershed</t>
  </si>
  <si>
    <t>RGB color chart for chart bars</t>
  </si>
  <si>
    <t>Key to graph colors by BMP (left to right, the numbers are percent of the watershed, from above)</t>
  </si>
  <si>
    <t>Drainage not controlled</t>
  </si>
  <si>
    <t>Crop acres - corn newly treated</t>
  </si>
  <si>
    <t>graph secondary vertical axis toggle</t>
  </si>
  <si>
    <t>Currently in perennials in region</t>
  </si>
  <si>
    <t>Treatment cost (million)</t>
  </si>
  <si>
    <t>marginal land % of total</t>
  </si>
  <si>
    <t>marginal land, ac_margcul</t>
  </si>
  <si>
    <t>When shifting corn and soybean acres to perennial crops, which acres would be shifted?</t>
  </si>
  <si>
    <t>Perennial crops first</t>
  </si>
  <si>
    <t>Non-Marginal corn &amp; soy acres to perennial crops</t>
  </si>
  <si>
    <t>Corn &amp; soy net returns/acre, marginal, conventional till</t>
  </si>
  <si>
    <t>Corn &amp; soy net returns/acre, non-marginal, conventional till</t>
  </si>
  <si>
    <t>Adjust reduced tillage &amp; perennials to not more than 100%:</t>
  </si>
  <si>
    <t>Corn &amp; soy net returns/acre, marginal, reduced till</t>
  </si>
  <si>
    <t>Corn &amp; soy net returns/acre, non-marginal, reduced till</t>
  </si>
  <si>
    <t>Equal proportions of reduced and conventional till</t>
  </si>
  <si>
    <t>Reduced tillage first</t>
  </si>
  <si>
    <t>Deleted watersheds</t>
  </si>
  <si>
    <t>Rainy River - Rainy Lake</t>
  </si>
  <si>
    <t>Lake Superior - North</t>
  </si>
  <si>
    <t>Rainy River - Headwaters</t>
  </si>
  <si>
    <t>Vermilion River</t>
  </si>
  <si>
    <t>Big Fork River</t>
  </si>
  <si>
    <t>Lake of the Woods</t>
  </si>
  <si>
    <t>Leech Lake River</t>
  </si>
  <si>
    <t>Rainy River - Baudette</t>
  </si>
  <si>
    <t>Rainy River - Black River</t>
  </si>
  <si>
    <t>Rapid River</t>
  </si>
  <si>
    <t>Roseau River</t>
  </si>
  <si>
    <t>St. Louis River</t>
  </si>
  <si>
    <t>Upper/Lower Red Lake</t>
  </si>
  <si>
    <t>Reduced tillage acres first</t>
  </si>
  <si>
    <t>Conventional tillage acres first</t>
  </si>
  <si>
    <t>main screen perennial crop acreage choice:</t>
  </si>
  <si>
    <t>1=shift conv till first, 2=equal, 3 = reduc</t>
  </si>
  <si>
    <t>1=reduced 1st, 2=per first</t>
  </si>
  <si>
    <t>reduced till adoption</t>
  </si>
  <si>
    <t>Existing reduced tillage, corn, nonmarginal</t>
  </si>
  <si>
    <t>Reduced Tillage Adoption (tetratech)</t>
  </si>
  <si>
    <t>Existing conv till corn, non-marginal</t>
  </si>
  <si>
    <t>Existing conv till corn, marginal</t>
  </si>
  <si>
    <t>Existing conv till corn</t>
  </si>
  <si>
    <t>all corn&amp;soy, marginal 1st</t>
  </si>
  <si>
    <t>1=marginal only, 2 = marginal 1st, 3=marg &amp; nonmarg equal %</t>
  </si>
  <si>
    <t>Non-Marginal corn acres</t>
  </si>
  <si>
    <t>Non-Marginal soybean acres</t>
  </si>
  <si>
    <t>percent to per - marginal</t>
  </si>
  <si>
    <t>non-marginal</t>
  </si>
  <si>
    <t>Conventional till, non-marg</t>
  </si>
  <si>
    <t>Reduced till, non-marg</t>
  </si>
  <si>
    <t>Conventional till, marg</t>
  </si>
  <si>
    <t>Reduced till,marg</t>
  </si>
  <si>
    <t>Total marginal</t>
  </si>
  <si>
    <t>Total non-marg</t>
  </si>
  <si>
    <t>Total acres to perennials</t>
  </si>
  <si>
    <t>Corn % of corn + soybeans</t>
  </si>
  <si>
    <t>Marginal percentage</t>
  </si>
  <si>
    <t>Reduced Tillage Adoption</t>
  </si>
  <si>
    <t>Existing reduced till after perennials</t>
  </si>
  <si>
    <t>Total conventional till acres to peren</t>
  </si>
  <si>
    <t>Total reduced till acres to peren</t>
  </si>
  <si>
    <t>If new reduced tillage &amp; perennial crop acres total more than 100%, which should be allocated first?</t>
  </si>
  <si>
    <t>all corn&amp;soy, equal %</t>
  </si>
  <si>
    <t>Controlled drainage</t>
  </si>
  <si>
    <t>1 = protect sheet after running macros, 0 = leave unprotected</t>
  </si>
  <si>
    <t>Control Drainage</t>
  </si>
  <si>
    <t>Control Drainage Score</t>
  </si>
  <si>
    <t>finpack</t>
  </si>
  <si>
    <t>Total lbs P2O5/acre applied</t>
  </si>
  <si>
    <t>Lbs. P2O5 applied to Corn</t>
  </si>
  <si>
    <t xml:space="preserve">Lbs P/acre applied to corn </t>
  </si>
  <si>
    <t>Lbs P/acre applied to corn, adj to sales</t>
  </si>
  <si>
    <t>lb actual sales</t>
  </si>
  <si>
    <t>P2O5 fert recommended lb/acre, corn - high STP</t>
  </si>
  <si>
    <t>total lb of recommended P2O5</t>
  </si>
  <si>
    <t>P2O5 fert recommended lb/acre, corn - low STP</t>
  </si>
  <si>
    <t>crop removal P2O5 lb/acre (corn)</t>
  </si>
  <si>
    <t>total lb of crop removal P2O5</t>
  </si>
  <si>
    <t>Average crop removal P2O5/acre over all crops</t>
  </si>
  <si>
    <t>current P2O5 application (lb/ac)</t>
  </si>
  <si>
    <t xml:space="preserve">Lbs P applied to corn </t>
  </si>
  <si>
    <t>Fertilizer rate - N, lb/acre</t>
  </si>
  <si>
    <t>P and K rates for corn grain &amp; silage, and soybeans vary by region based on STP levels and yields</t>
  </si>
  <si>
    <t>Corn N cost/acre</t>
  </si>
  <si>
    <t>Corn &amp; soybean acres % of region</t>
  </si>
  <si>
    <t>Corn &amp; soybean P fertilizer % of region</t>
  </si>
  <si>
    <t>Corn &amp; soy P Load before cc based on fert % (lb/ac)</t>
  </si>
  <si>
    <t>Controlled Drainage</t>
  </si>
  <si>
    <t>P2O5 applied to adopting A based on crop removal</t>
  </si>
  <si>
    <t>Target P2O5 rate</t>
  </si>
  <si>
    <t>First watershed to run scenario for:</t>
  </si>
  <si>
    <t>Last watershed to run scenario for:</t>
  </si>
  <si>
    <t>Live</t>
  </si>
  <si>
    <t>DNR watershed number (major)</t>
  </si>
  <si>
    <t>Watershed total treatment cost ($ mill)</t>
  </si>
  <si>
    <t>Cost/acre</t>
  </si>
  <si>
    <t>P load reduction, mill. lb in watershed</t>
  </si>
  <si>
    <t>Actual % reduction</t>
  </si>
  <si>
    <t>suitable</t>
  </si>
  <si>
    <t>Adoption &amp; treated</t>
  </si>
  <si>
    <t>Cost of BMPs (without fertilizer savings, $ mill.)</t>
  </si>
  <si>
    <t>Fertilizer savings ($ mill.)</t>
  </si>
  <si>
    <t>watershed acres</t>
  </si>
  <si>
    <t>annual cost/A formulas</t>
  </si>
  <si>
    <t>annual cost/A values only</t>
  </si>
  <si>
    <t>% water- shed</t>
  </si>
  <si>
    <t>Min acceptable adoption</t>
  </si>
  <si>
    <t>Max acceptable adoption</t>
  </si>
  <si>
    <t>optimal adoption %</t>
  </si>
  <si>
    <t>annual cost (total watershed)</t>
  </si>
  <si>
    <t>Results are displayed below for watershed ====&gt;</t>
  </si>
  <si>
    <t>Watershed currently selected in the Main_Calcs sheet:</t>
  </si>
  <si>
    <t>Total acres in watershed (million)</t>
  </si>
  <si>
    <t>Total annual cost cost (sum of individual)</t>
  </si>
  <si>
    <t>Total annual cost cost (from combination)</t>
  </si>
  <si>
    <t>Reduction in N loading, watershed (million)</t>
  </si>
  <si>
    <t>Reduction from current</t>
  </si>
  <si>
    <t>N reduction constraint (%)</t>
  </si>
  <si>
    <t>Annual cost constraint</t>
  </si>
  <si>
    <t>Now running:</t>
  </si>
  <si>
    <t>million acres of cropland in the watershed</t>
  </si>
  <si>
    <t>Total cropland acres in watershed (million)</t>
  </si>
  <si>
    <t>Cropland Acres (all crops)</t>
  </si>
  <si>
    <t>Cropland Acres statewide</t>
  </si>
  <si>
    <t xml:space="preserve"> in watershed or statewide</t>
  </si>
  <si>
    <t>Soybean acres</t>
  </si>
  <si>
    <t>Interpolated Category - Log function</t>
  </si>
  <si>
    <t>Acres in these crops but already meeting rate target</t>
  </si>
  <si>
    <t>Acres in the region but not in these crops</t>
  </si>
  <si>
    <t>Check</t>
  </si>
  <si>
    <t>Inlet Density (ha/inlet)</t>
  </si>
  <si>
    <t>After soybeans, going into corn grain</t>
  </si>
  <si>
    <t>After corn grain, going into soybeans</t>
  </si>
  <si>
    <t>Corn grain, soybeans, SB or corn sil included in main adoption rate</t>
  </si>
  <si>
    <t>reduction in P drainage losses considering success rate</t>
  </si>
  <si>
    <t>Main screen label for the corn-soy cover crop BMP:</t>
  </si>
  <si>
    <t>Corn grain &amp; soybean acres w/cereal rye cover crop</t>
  </si>
  <si>
    <t>Cereal rye cover crop after soybeans, before corn</t>
  </si>
  <si>
    <t>Cereal rye cover crop after corn grain, before soybeans</t>
  </si>
  <si>
    <t>Both corn&amp;soy acres are zeroed out in the Covercrop sheet</t>
  </si>
  <si>
    <t>Short season crops planted to a rye cover crop</t>
  </si>
  <si>
    <t>Background material used in the dropdown menus above:</t>
  </si>
  <si>
    <t>Manure P2O5 applied, total lb</t>
  </si>
  <si>
    <t>Liquid Manure lbs P2O5</t>
  </si>
  <si>
    <t>Manure P2O5 applied, total lb/ac of high STP corn</t>
  </si>
  <si>
    <t>Manure P2O5 applied, total lb/ac of low STP corn</t>
  </si>
  <si>
    <t>Manure P2O5, max lb applied or needed on low STP corn</t>
  </si>
  <si>
    <t>Manure P2O5, lb applied on high STP corn</t>
  </si>
  <si>
    <t>Manure P2O5 applied, total lb/ac of all corn</t>
  </si>
  <si>
    <t>convert meters to feet</t>
  </si>
  <si>
    <t>= fertilizer optimization BMPs</t>
  </si>
  <si>
    <t>= drainage-related and drainage BMPs</t>
  </si>
  <si>
    <t>= Vegetation change BMPs</t>
  </si>
  <si>
    <t>Explanation of the colors in the table to the left:</t>
  </si>
  <si>
    <t>Main</t>
  </si>
  <si>
    <t>Watersheds</t>
  </si>
  <si>
    <t>Covercrop</t>
  </si>
  <si>
    <t>P export</t>
  </si>
  <si>
    <t>P_Index Scores</t>
  </si>
  <si>
    <t>Parameters</t>
  </si>
  <si>
    <t>Fertilizer Rate</t>
  </si>
  <si>
    <t>Fertilizer Method</t>
  </si>
  <si>
    <t>Crop_codes</t>
  </si>
  <si>
    <t>Impl_select</t>
  </si>
  <si>
    <t>C_Drain</t>
  </si>
  <si>
    <t>Inlets</t>
  </si>
  <si>
    <t>Manure Rate</t>
  </si>
  <si>
    <t>Cost data</t>
  </si>
  <si>
    <t>Click on a link below to jump to the sheet listed:</t>
  </si>
  <si>
    <t>After sugar beets</t>
  </si>
  <si>
    <t>After corn silage, peas, sweet corn, potatoes, and dry
edible beans</t>
  </si>
  <si>
    <t>Calculations for costs that vary by manure application method</t>
  </si>
  <si>
    <t>Fall corn&amp;wheat fert to preplant/starter</t>
  </si>
  <si>
    <t>Jeff Vetsch suggestions</t>
  </si>
  <si>
    <t>Going into corn</t>
  </si>
  <si>
    <t>Going into soybeans</t>
  </si>
  <si>
    <t>No. of riser pipes (i.e. Higgenbottom)</t>
  </si>
  <si>
    <t>Percent of cropland suitable</t>
  </si>
  <si>
    <t>Current Untreated Risers in region</t>
  </si>
  <si>
    <t>Acres suitable for inlets statewide</t>
  </si>
  <si>
    <t>Acres suitable for inlets in region</t>
  </si>
  <si>
    <t>Default adoption rates</t>
  </si>
  <si>
    <t>Current Total Risers statewide</t>
  </si>
  <si>
    <t>Current Total Risers in region</t>
  </si>
  <si>
    <t>Percent of risers already treated</t>
  </si>
  <si>
    <t>Cultivated cropland acres currently in perennials, statewide</t>
  </si>
  <si>
    <t>Reduction in erosion compared to current</t>
  </si>
  <si>
    <t>Riparian buffer lost cropland width, feet</t>
  </si>
  <si>
    <t>Buffer acres, newly filtered</t>
  </si>
  <si>
    <t>Corn fert N rate with current practices, not including manure, (lb N/ac)</t>
  </si>
  <si>
    <t>% fall-applied</t>
  </si>
  <si>
    <t>Corn N savings/acre</t>
  </si>
  <si>
    <t>NH3 % of spring N (from NBMP, Watersheds sheet)</t>
  </si>
  <si>
    <t>Spring-app NH3</t>
  </si>
  <si>
    <t>Spring-app urea</t>
  </si>
  <si>
    <t>Spring avg N cost in watershed</t>
  </si>
  <si>
    <t>Corn N savings total</t>
  </si>
  <si>
    <t>Crop acres - corn grain, marginal land</t>
  </si>
  <si>
    <t>Crop acres - corn grain, non-marginal</t>
  </si>
  <si>
    <t>Existing reduced tillage, corn grain</t>
  </si>
  <si>
    <t>Rip buffer suitable acres on marginal land, this watershed</t>
  </si>
  <si>
    <t>Rip buffer new treated acres on marginal land</t>
  </si>
  <si>
    <t>Rip buffers on nonmarginal land</t>
  </si>
  <si>
    <t>Buffer acres, new treated, lost to crops</t>
  </si>
  <si>
    <t>Cropland Acres statewide (all crops)</t>
  </si>
  <si>
    <t>Total acres statewide, all uses (ha)</t>
  </si>
  <si>
    <t>Total acres statewide, all uses (acres)</t>
  </si>
  <si>
    <t>Total acres in region, all uses (ha)</t>
  </si>
  <si>
    <t>Filtered width, feet</t>
  </si>
  <si>
    <t>Acres already treated in region</t>
  </si>
  <si>
    <t>Consider riparian buffers on intermittent steams?</t>
  </si>
  <si>
    <t>Buffers on both permanent and intermittent streams</t>
  </si>
  <si>
    <t>Buffers only on permanent streams</t>
  </si>
  <si>
    <t>1= Riparian buffers on intermittent steams, 2=permanent only</t>
  </si>
  <si>
    <t>rip buffers on marginal land - permanent only</t>
  </si>
  <si>
    <t>% Ag w/in 90m of streams, permanent</t>
  </si>
  <si>
    <t>rip buffers on marginal land, selected</t>
  </si>
  <si>
    <t>Existing Buffer Adoption, permanent</t>
  </si>
  <si>
    <t>Potential new Buff_acres-w/intermittent, 100 ft, state</t>
  </si>
  <si>
    <t>% Ag w/in 90m, permanent, acres</t>
  </si>
  <si>
    <t>Existing buffers, 90m, permanent, acres</t>
  </si>
  <si>
    <t>Existing buffers w/intermittent, 100 ft, state</t>
  </si>
  <si>
    <t>Potential future buffer acres filtered</t>
  </si>
  <si>
    <t>Cropland acres lost to riparian buffers (000)</t>
  </si>
  <si>
    <t>Cropland acres lost to riparian buffers (%)</t>
  </si>
  <si>
    <t>Corn silage calculations:</t>
  </si>
  <si>
    <t>Price as multiple of grain price:</t>
  </si>
  <si>
    <t>Corn grain &amp; silage avg</t>
  </si>
  <si>
    <t>Total cultivated ag land (with short-season)</t>
  </si>
  <si>
    <t>Total cropland acres in watershed, with short season (million)</t>
  </si>
  <si>
    <t>Short-season crops (not incl. corn silage)</t>
  </si>
  <si>
    <t>Current crop returns</t>
  </si>
  <si>
    <t>Crop returns after buffer acres deducted from corn and soy</t>
  </si>
  <si>
    <t>Crop mix assumed before  new buffer acres:</t>
  </si>
  <si>
    <t>Crop mix assumed after  new buffer acres:</t>
  </si>
  <si>
    <t>Marginal % of buffer acres, permanent</t>
  </si>
  <si>
    <t>Marginal % of region acres, used for intermitent</t>
  </si>
  <si>
    <t>Corn grain yield avg marg &amp; nonmarg</t>
  </si>
  <si>
    <t>Total nonmarginal land to corn and soybeans</t>
  </si>
  <si>
    <t>Total marginal land to corn and soybeans</t>
  </si>
  <si>
    <t>Corn and soybean acres to buffers</t>
  </si>
  <si>
    <t>Total buffers</t>
  </si>
  <si>
    <t>Erosion, BMP (wtd avg of crop &amp; per)</t>
  </si>
  <si>
    <t>Net BMP treatment cost/acre</t>
  </si>
  <si>
    <t>Cropland P load reduction with these adoption rates:</t>
  </si>
  <si>
    <t>acres treated (thousands)</t>
  </si>
  <si>
    <t>Acres treated by BMP (thousands)</t>
  </si>
  <si>
    <t xml:space="preserve">How much of these P index scores should be reduced when cropland is converted to: </t>
  </si>
  <si>
    <t>perennials or buffers?</t>
  </si>
  <si>
    <t>reduced tillage?</t>
  </si>
  <si>
    <t>xxx</t>
  </si>
  <si>
    <t>Perennial crop % of marginal corn&amp;soy land</t>
  </si>
  <si>
    <t>&gt;2% slope (total acres of cropland)</t>
  </si>
  <si>
    <t>Cropland Acres in region</t>
  </si>
  <si>
    <t>Existing %, intermittent</t>
  </si>
  <si>
    <t>Existing Buffer Adoption,selected</t>
  </si>
  <si>
    <t>rip buffers on marginal land - including intermittent, statewide</t>
  </si>
  <si>
    <t>Treated width adj by stream power, feet</t>
  </si>
  <si>
    <t>of watershed</t>
  </si>
  <si>
    <t>feet after stream power adjustment</t>
  </si>
  <si>
    <t>Convention till tillage costs/A - corn</t>
  </si>
  <si>
    <t>Reduced till  tillage costs/A - corn</t>
  </si>
  <si>
    <t>Reduced till Change in tillage costs/A - corn</t>
  </si>
  <si>
    <t>Change in tillage costs - corn</t>
  </si>
  <si>
    <t>Total change in cost for tillage reduction</t>
  </si>
  <si>
    <t>P index units to equal to 1 lb P exported/acre</t>
  </si>
  <si>
    <t>Broadcast</t>
  </si>
  <si>
    <t>Disk injection</t>
  </si>
  <si>
    <t>Cost/hour, no nurse tanks</t>
  </si>
  <si>
    <t>Cost/acre, no nurse tanks</t>
  </si>
  <si>
    <t>Cost/gallon, no nurse tanks</t>
  </si>
  <si>
    <t>Cost/hour, w/nurse tanks</t>
  </si>
  <si>
    <t>Cost/acre, w/nurse tanks</t>
  </si>
  <si>
    <t>Cost/gallon, w/nurse tanks</t>
  </si>
  <si>
    <t>Application rate, gal/min</t>
  </si>
  <si>
    <t>Application rate, gal/acre</t>
  </si>
  <si>
    <t>Applicator width</t>
  </si>
  <si>
    <t>Travel speed while applying</t>
  </si>
  <si>
    <t>Hr/acre while applying</t>
  </si>
  <si>
    <t>Total hours/acre reported</t>
  </si>
  <si>
    <t>Percent of time actually applying, no nurse tanks</t>
  </si>
  <si>
    <t>Percent of time actually applying, w/nurse tanks</t>
  </si>
  <si>
    <t>Acres/hour reported</t>
  </si>
  <si>
    <t>Injection cost/gal - broadcast</t>
  </si>
  <si>
    <t>difference with injection</t>
  </si>
  <si>
    <t>Drag hose injection</t>
  </si>
  <si>
    <t>from WI custom rate survey</t>
  </si>
  <si>
    <t>Cost estimates from Chen et al., On-Farm Comparison of Two Dairy Manure Application Methods in Terms of Ammonia and Odor Emissions and Costs, Applied Engineering in Ag 30(2014),5:805-813</t>
  </si>
  <si>
    <t>Note:  Their travel speed and gal/min for the tank applicator scenarios do not seem consistent with the 20,000 gal/acre rate they mention in the text.</t>
  </si>
  <si>
    <t>Tank applicator scenarios</t>
  </si>
  <si>
    <t>1st Year N availability assumed for valuing the reduction in N fertilizer resulting from liquid injection or solid incorporation</t>
  </si>
  <si>
    <t>Beef</t>
  </si>
  <si>
    <t>Dairy</t>
  </si>
  <si>
    <t>Swine</t>
  </si>
  <si>
    <t>Poultry</t>
  </si>
  <si>
    <t>Injected</t>
  </si>
  <si>
    <t>Incorporated Immediately before crop</t>
  </si>
  <si>
    <t>Incorporated &gt;3 months or Surface Applied &lt;3 months before crop</t>
  </si>
  <si>
    <t>Species percentage assumed</t>
  </si>
  <si>
    <t>Species mix assumed for the N availability factor lookups:</t>
  </si>
  <si>
    <t>N availability factors averaged over species:</t>
  </si>
  <si>
    <t>Statewide total manure N from NBMP model</t>
  </si>
  <si>
    <t>Liquid Manure lbs (statewide)</t>
  </si>
  <si>
    <t>Manure N available, liquid:</t>
  </si>
  <si>
    <t>Manure N available, solid:</t>
  </si>
  <si>
    <t>Average 1st year availability</t>
  </si>
  <si>
    <t>Manure N available, total statewide</t>
  </si>
  <si>
    <t>This region</t>
  </si>
  <si>
    <t>N price used to value the reduction in N fertilizer due to the extra injection or incorporation:</t>
  </si>
  <si>
    <t>/lb of N</t>
  </si>
  <si>
    <t>Difference in available N from current:</t>
  </si>
  <si>
    <t>Value of the reduced N fertilizer:</t>
  </si>
  <si>
    <t>P and N fertilizer cost savings</t>
  </si>
  <si>
    <t>Target P rate 35%</t>
  </si>
  <si>
    <t>Target P rate 35%,Use reduced tillage 15%</t>
  </si>
  <si>
    <t>Target P rate 35%, Inj &amp; inc manure 0.7%,Use reduced tillage 15%</t>
  </si>
  <si>
    <t>Target P rate 35%,Control Drainage2.0%Tile intakes4.2%,Use reduced tillage 15%</t>
  </si>
  <si>
    <t>Target P rate 35%,Use reduced tillage 15%,Riparian buffers 0.8%</t>
  </si>
  <si>
    <t>Target P rate 35%,Control Drainage2.0%Tile intakes4.2%,Use reduced tillage 15%,Perennial crop 2.5%</t>
  </si>
  <si>
    <t>Target P rate 35%, Inj &amp; inc manure 0.7%,Use reduced tillage 15%,Riparian buffers 0.8%</t>
  </si>
  <si>
    <t>Target P rate 35%,Control Drainage2.0%Tile intakes4.2%,Use reduced tillage 15%,Riparian buffers 0.8%</t>
  </si>
  <si>
    <t>Target P rate 35%,Control Drainage2.0%Tile intakes4.2%, Inj &amp; inc manure 0.7%,Use reduced tillage 15%,Riparian buffers 0.8%</t>
  </si>
  <si>
    <t>Target P rate 35%,Control Drainage2.0%Tile intakes4.2%,Use reduced tillage 15%,Riparian buffers 0.8%,Perennial crop 2.5%</t>
  </si>
  <si>
    <t>Target P rate 35%,Control Drainage2.0%Tile intakes4.2%, Inj &amp; inc manure 0.7%,Use reduced tillage 15%,Riparian buffers 0.8%,Perennial crop 2.5%</t>
  </si>
  <si>
    <t>Target P rate 35%,Control Drainage2.0%Tile intakes4.2%,Cover crop cs7.5%Cover crop ss 7.1%,Use reduced tillage 15%,Riparian buffers 0.8%</t>
  </si>
  <si>
    <t>Target P rate 35%,Control Drainage2.0%Tile intakes4.2%, Inj &amp; inc manure 0.7%,Cover crop cs7.5%Cover crop ss 7.1%,Use reduced tillage 15%,Riparian buffers 0.8%</t>
  </si>
  <si>
    <t>Target P rate 35%,Control Drainage2.0%Tile intakes4.2%,Cover crop cs7.5%Cover crop ss 7.1%,Use reduced tillage 15%,Riparian buffers 0.8%,Perennial crop 2.5%</t>
  </si>
  <si>
    <t>Target P rate 35%,Control Drainage2.0%Tile intakes4.2%, Inj &amp; inc manure 0.7%,Cover crop cs7.5%Cover crop ss 7.1%,Use reduced tillage 15%,Riparian buffers 0.8%,Perennial crop 2.5%</t>
  </si>
  <si>
    <t>Target P rate 35%,Preplant/starter 5.1%</t>
  </si>
  <si>
    <t>Target P rate 35%,Control Drainage2.0%Tile intakes4.2%, Inj &amp; inc manure 0.7%,Preplant/starter 5.1%,Use reduced tillage 15%,Riparian buffers 0.8%,Perennial crop 2.5%</t>
  </si>
  <si>
    <t>Target P rate 35%,Control Drainage 2.0%,Tile intakes 4.2%, Inj &amp; inc manure 0.7%,Preplant/starter 5.1%,Cover crop cs 7.5%,Cover crop ss 7.1%,Use reduced tillage 15%,Riparian buffers 0.8%,Perennial crop 2.5%</t>
  </si>
  <si>
    <t>Export (lbs/ac based on cropland A)</t>
  </si>
  <si>
    <t>Total P Load (lbs)</t>
  </si>
  <si>
    <t>Current baseline P loads from the suitable acres considered for each BMP</t>
  </si>
  <si>
    <t>Acres in these crops NOT meeting the STP target above</t>
  </si>
  <si>
    <t>Bray soil test P (STP) target</t>
  </si>
  <si>
    <t>U of M recommendation formulas:</t>
  </si>
  <si>
    <t>Intercept</t>
  </si>
  <si>
    <t>Sugarbeets, levels by Bray STP, greater than:</t>
  </si>
  <si>
    <t>Acres of corn, soybeans &amp; small grains in region</t>
  </si>
  <si>
    <t>Corn, soy, sg A. &gt;2% slope, suitable for reduced till</t>
  </si>
  <si>
    <t>&gt;2% slope (total acres of corn, soybeans &amp; small grains)</t>
  </si>
  <si>
    <t>Existing reduced tillage acres, corn, soy, sg</t>
  </si>
  <si>
    <t>Percent on &gt;2% slope</t>
  </si>
  <si>
    <t>Crop acres - corn grain &gt;2% slope</t>
  </si>
  <si>
    <t>Corn, soy&amp;small grain A &gt;2% slope</t>
  </si>
  <si>
    <t>Existing reduced tillage, corn, marginal land &gt;2%</t>
  </si>
  <si>
    <t>Use reduced tillage on corn, soy &amp; small gr &gt;2% slopes</t>
  </si>
  <si>
    <t>Filter criterion</t>
  </si>
  <si>
    <t>HUC8 watershed selected:</t>
  </si>
  <si>
    <t>HU8 row in Watersheds</t>
  </si>
  <si>
    <t>HUC8 name</t>
  </si>
  <si>
    <t>Main database of HUC10 cropland acres by agroecoregion</t>
  </si>
  <si>
    <t>DNR_HUC_8</t>
  </si>
  <si>
    <t>DNR_HUC_10</t>
  </si>
  <si>
    <t>Grand Total</t>
  </si>
  <si>
    <t>04010101</t>
  </si>
  <si>
    <t>0401010101</t>
  </si>
  <si>
    <t>0401010102</t>
  </si>
  <si>
    <t>0401010103</t>
  </si>
  <si>
    <t>0401010104</t>
  </si>
  <si>
    <t>0401010105</t>
  </si>
  <si>
    <t>0401010106</t>
  </si>
  <si>
    <t>0401010107</t>
  </si>
  <si>
    <t>0401010108</t>
  </si>
  <si>
    <t>0401010109</t>
  </si>
  <si>
    <t>0401010110</t>
  </si>
  <si>
    <t>0401010111</t>
  </si>
  <si>
    <t>04010102</t>
  </si>
  <si>
    <t>0401010201</t>
  </si>
  <si>
    <t>0401010202</t>
  </si>
  <si>
    <t>0401010203</t>
  </si>
  <si>
    <t>0401010204</t>
  </si>
  <si>
    <t>04010201</t>
  </si>
  <si>
    <t>0401020101</t>
  </si>
  <si>
    <t>0401020102</t>
  </si>
  <si>
    <t>0401020103</t>
  </si>
  <si>
    <t>0401020104</t>
  </si>
  <si>
    <t>0401020105</t>
  </si>
  <si>
    <t>0401020106</t>
  </si>
  <si>
    <t>0401020107</t>
  </si>
  <si>
    <t>0401020108</t>
  </si>
  <si>
    <t>0401020109</t>
  </si>
  <si>
    <t>0401020110</t>
  </si>
  <si>
    <t>0401020111</t>
  </si>
  <si>
    <t>0401020112</t>
  </si>
  <si>
    <t>0401020113</t>
  </si>
  <si>
    <t>0401020114</t>
  </si>
  <si>
    <t>0401020115</t>
  </si>
  <si>
    <t>0401020116</t>
  </si>
  <si>
    <t>04010202</t>
  </si>
  <si>
    <t>0401020201</t>
  </si>
  <si>
    <t>0401020202</t>
  </si>
  <si>
    <t>0401020203</t>
  </si>
  <si>
    <t>0401020204</t>
  </si>
  <si>
    <t>0401020205</t>
  </si>
  <si>
    <t>0401020206</t>
  </si>
  <si>
    <t>04010301</t>
  </si>
  <si>
    <t>0401030101</t>
  </si>
  <si>
    <t>0401030102</t>
  </si>
  <si>
    <t>0401030103</t>
  </si>
  <si>
    <t>0401030104</t>
  </si>
  <si>
    <t>0401030105</t>
  </si>
  <si>
    <t>07010101</t>
  </si>
  <si>
    <t>0701010101</t>
  </si>
  <si>
    <t>0701010102</t>
  </si>
  <si>
    <t>0701010103</t>
  </si>
  <si>
    <t>0701010104</t>
  </si>
  <si>
    <t>0701010105</t>
  </si>
  <si>
    <t>0701010106</t>
  </si>
  <si>
    <t>0701010107</t>
  </si>
  <si>
    <t>0701010108</t>
  </si>
  <si>
    <t>0701010109</t>
  </si>
  <si>
    <t>07010102</t>
  </si>
  <si>
    <t>0701010201</t>
  </si>
  <si>
    <t>0701010202</t>
  </si>
  <si>
    <t>0701010203</t>
  </si>
  <si>
    <t>0701010204</t>
  </si>
  <si>
    <t>0701010205</t>
  </si>
  <si>
    <t>0701010206</t>
  </si>
  <si>
    <t>07010103</t>
  </si>
  <si>
    <t>0701010301</t>
  </si>
  <si>
    <t>0701010302</t>
  </si>
  <si>
    <t>0701010303</t>
  </si>
  <si>
    <t>0701010304</t>
  </si>
  <si>
    <t>0701010305</t>
  </si>
  <si>
    <t>0701010306</t>
  </si>
  <si>
    <t>0701010307</t>
  </si>
  <si>
    <t>0701010308</t>
  </si>
  <si>
    <t>0701010309</t>
  </si>
  <si>
    <t>07010104</t>
  </si>
  <si>
    <t>0701010401</t>
  </si>
  <si>
    <t>0701010402</t>
  </si>
  <si>
    <t>0701010403</t>
  </si>
  <si>
    <t>0701010404</t>
  </si>
  <si>
    <t>0701010405</t>
  </si>
  <si>
    <t>0701010406</t>
  </si>
  <si>
    <t>0701010407</t>
  </si>
  <si>
    <t>0701010408</t>
  </si>
  <si>
    <t>0701010409</t>
  </si>
  <si>
    <t>07010105</t>
  </si>
  <si>
    <t>0701010501</t>
  </si>
  <si>
    <t>0701010502</t>
  </si>
  <si>
    <t>0701010503</t>
  </si>
  <si>
    <t>0701010504</t>
  </si>
  <si>
    <t>0701010505</t>
  </si>
  <si>
    <t>0701010506</t>
  </si>
  <si>
    <t>07010106</t>
  </si>
  <si>
    <t>0701010601</t>
  </si>
  <si>
    <t>0701010602</t>
  </si>
  <si>
    <t>0701010603</t>
  </si>
  <si>
    <t>0701010604</t>
  </si>
  <si>
    <t>0701010605</t>
  </si>
  <si>
    <t>0701010606</t>
  </si>
  <si>
    <t>0701010607</t>
  </si>
  <si>
    <t>0701010608</t>
  </si>
  <si>
    <t>0701010609</t>
  </si>
  <si>
    <t>0701010610</t>
  </si>
  <si>
    <t>0701010611</t>
  </si>
  <si>
    <t>07010107</t>
  </si>
  <si>
    <t>0701010701</t>
  </si>
  <si>
    <t>0701010702</t>
  </si>
  <si>
    <t>0701010703</t>
  </si>
  <si>
    <t>0701010704</t>
  </si>
  <si>
    <t>0701010705</t>
  </si>
  <si>
    <t>0701010706</t>
  </si>
  <si>
    <t>07010108</t>
  </si>
  <si>
    <t>0701010801</t>
  </si>
  <si>
    <t>0701010802</t>
  </si>
  <si>
    <t>0701010803</t>
  </si>
  <si>
    <t>0701010804</t>
  </si>
  <si>
    <t>0701010805</t>
  </si>
  <si>
    <t>0701010806</t>
  </si>
  <si>
    <t>0701010807</t>
  </si>
  <si>
    <t>07010201</t>
  </si>
  <si>
    <t>0701020101</t>
  </si>
  <si>
    <t>0701020102</t>
  </si>
  <si>
    <t>0701020103</t>
  </si>
  <si>
    <t>0701020104</t>
  </si>
  <si>
    <t>0701020105</t>
  </si>
  <si>
    <t>0701020106</t>
  </si>
  <si>
    <t>0701020107</t>
  </si>
  <si>
    <t>07010202</t>
  </si>
  <si>
    <t>0701020201</t>
  </si>
  <si>
    <t>0701020202</t>
  </si>
  <si>
    <t>0701020203</t>
  </si>
  <si>
    <t>0701020204</t>
  </si>
  <si>
    <t>0701020205</t>
  </si>
  <si>
    <t>0701020206</t>
  </si>
  <si>
    <t>07010203</t>
  </si>
  <si>
    <t>0701020301</t>
  </si>
  <si>
    <t>0701020302</t>
  </si>
  <si>
    <t>0701020303</t>
  </si>
  <si>
    <t>0701020304</t>
  </si>
  <si>
    <t>0701020305</t>
  </si>
  <si>
    <t>0701020306</t>
  </si>
  <si>
    <t>07010204</t>
  </si>
  <si>
    <t>0701020401</t>
  </si>
  <si>
    <t>0701020402</t>
  </si>
  <si>
    <t>0701020403</t>
  </si>
  <si>
    <t>0701020404</t>
  </si>
  <si>
    <t>0701020405</t>
  </si>
  <si>
    <t>0701020406</t>
  </si>
  <si>
    <t>0701020407</t>
  </si>
  <si>
    <t>07010205</t>
  </si>
  <si>
    <t>0701020501</t>
  </si>
  <si>
    <t>0701020502</t>
  </si>
  <si>
    <t>0701020503</t>
  </si>
  <si>
    <t>0701020504</t>
  </si>
  <si>
    <t>0701020505</t>
  </si>
  <si>
    <t>0701020506</t>
  </si>
  <si>
    <t>0701020507</t>
  </si>
  <si>
    <t>07010206</t>
  </si>
  <si>
    <t>0701020601</t>
  </si>
  <si>
    <t>0701020602</t>
  </si>
  <si>
    <t>0701020603</t>
  </si>
  <si>
    <t>0701020604</t>
  </si>
  <si>
    <t>0701020605</t>
  </si>
  <si>
    <t>0701020606</t>
  </si>
  <si>
    <t>0701020607</t>
  </si>
  <si>
    <t>0701020608</t>
  </si>
  <si>
    <t>0701020609</t>
  </si>
  <si>
    <t>07010207</t>
  </si>
  <si>
    <t>0701020701</t>
  </si>
  <si>
    <t>0701020702</t>
  </si>
  <si>
    <t>0701020703</t>
  </si>
  <si>
    <t>0701020704</t>
  </si>
  <si>
    <t>0701020705</t>
  </si>
  <si>
    <t>0701020706</t>
  </si>
  <si>
    <t>0701020707</t>
  </si>
  <si>
    <t>07020001</t>
  </si>
  <si>
    <t>0702000103</t>
  </si>
  <si>
    <t>0702000104</t>
  </si>
  <si>
    <t>0702000107</t>
  </si>
  <si>
    <t>0702000108</t>
  </si>
  <si>
    <t>0702000109</t>
  </si>
  <si>
    <t>0702000110</t>
  </si>
  <si>
    <t>0702000111</t>
  </si>
  <si>
    <t>0702000112</t>
  </si>
  <si>
    <t>07020002</t>
  </si>
  <si>
    <t>0702000201</t>
  </si>
  <si>
    <t>0702000202</t>
  </si>
  <si>
    <t>0702000203</t>
  </si>
  <si>
    <t>0702000204</t>
  </si>
  <si>
    <t>0702000205</t>
  </si>
  <si>
    <t>0702000206</t>
  </si>
  <si>
    <t>07020003</t>
  </si>
  <si>
    <t>0702000301</t>
  </si>
  <si>
    <t>0702000302</t>
  </si>
  <si>
    <t>0702000303</t>
  </si>
  <si>
    <t>0702000304</t>
  </si>
  <si>
    <t>0702000305</t>
  </si>
  <si>
    <t>0702000306</t>
  </si>
  <si>
    <t>0702000307</t>
  </si>
  <si>
    <t>07020004</t>
  </si>
  <si>
    <t>0702000401</t>
  </si>
  <si>
    <t>0702000402</t>
  </si>
  <si>
    <t>0702000403</t>
  </si>
  <si>
    <t>0702000404</t>
  </si>
  <si>
    <t>0702000405</t>
  </si>
  <si>
    <t>0702000406</t>
  </si>
  <si>
    <t>0702000407</t>
  </si>
  <si>
    <t>0702000408</t>
  </si>
  <si>
    <t>0702000409</t>
  </si>
  <si>
    <t>0702000410</t>
  </si>
  <si>
    <t>0702000411</t>
  </si>
  <si>
    <t>0702000412</t>
  </si>
  <si>
    <t>07020005</t>
  </si>
  <si>
    <t>0702000501</t>
  </si>
  <si>
    <t>0702000502</t>
  </si>
  <si>
    <t>0702000503</t>
  </si>
  <si>
    <t>0702000504</t>
  </si>
  <si>
    <t>0702000505</t>
  </si>
  <si>
    <t>0702000506</t>
  </si>
  <si>
    <t>0702000507</t>
  </si>
  <si>
    <t>0702000508</t>
  </si>
  <si>
    <t>0702000509</t>
  </si>
  <si>
    <t>0702000510</t>
  </si>
  <si>
    <t>0702000511</t>
  </si>
  <si>
    <t>07020006</t>
  </si>
  <si>
    <t>0702000601</t>
  </si>
  <si>
    <t>0702000602</t>
  </si>
  <si>
    <t>0702000603</t>
  </si>
  <si>
    <t>0702000604</t>
  </si>
  <si>
    <t>0702000605</t>
  </si>
  <si>
    <t>0702000606</t>
  </si>
  <si>
    <t>0702000607</t>
  </si>
  <si>
    <t>07020007</t>
  </si>
  <si>
    <t>0702000701</t>
  </si>
  <si>
    <t>0702000702</t>
  </si>
  <si>
    <t>0702000703</t>
  </si>
  <si>
    <t>0702000704</t>
  </si>
  <si>
    <t>0702000705</t>
  </si>
  <si>
    <t>0702000706</t>
  </si>
  <si>
    <t>0702000707</t>
  </si>
  <si>
    <t>0702000708</t>
  </si>
  <si>
    <t>0702000709</t>
  </si>
  <si>
    <t>0702000710</t>
  </si>
  <si>
    <t>0702000711</t>
  </si>
  <si>
    <t>07020008</t>
  </si>
  <si>
    <t>0702000801</t>
  </si>
  <si>
    <t>0702000802</t>
  </si>
  <si>
    <t>0702000803</t>
  </si>
  <si>
    <t>0702000804</t>
  </si>
  <si>
    <t>0702000805</t>
  </si>
  <si>
    <t>0702000806</t>
  </si>
  <si>
    <t>0702000807</t>
  </si>
  <si>
    <t>0702000808</t>
  </si>
  <si>
    <t>07020009</t>
  </si>
  <si>
    <t>0702000902</t>
  </si>
  <si>
    <t>0702000903</t>
  </si>
  <si>
    <t>0702000904</t>
  </si>
  <si>
    <t>0702000905</t>
  </si>
  <si>
    <t>0702000906</t>
  </si>
  <si>
    <t>0702000907</t>
  </si>
  <si>
    <t>0702000908</t>
  </si>
  <si>
    <t>0702000909</t>
  </si>
  <si>
    <t>0702000910</t>
  </si>
  <si>
    <t>0702000911</t>
  </si>
  <si>
    <t>07020010</t>
  </si>
  <si>
    <t>0702001001</t>
  </si>
  <si>
    <t>0702001002</t>
  </si>
  <si>
    <t>0702001003</t>
  </si>
  <si>
    <t>0702001004</t>
  </si>
  <si>
    <t>0702001005</t>
  </si>
  <si>
    <t>0702001006</t>
  </si>
  <si>
    <t>07020011</t>
  </si>
  <si>
    <t>0702001101</t>
  </si>
  <si>
    <t>0702001102</t>
  </si>
  <si>
    <t>0702001103</t>
  </si>
  <si>
    <t>0702001104</t>
  </si>
  <si>
    <t>0702001105</t>
  </si>
  <si>
    <t>0702001106</t>
  </si>
  <si>
    <t>07020012</t>
  </si>
  <si>
    <t>0702001201</t>
  </si>
  <si>
    <t>0702001202</t>
  </si>
  <si>
    <t>0702001203</t>
  </si>
  <si>
    <t>0702001204</t>
  </si>
  <si>
    <t>0702001205</t>
  </si>
  <si>
    <t>0702001206</t>
  </si>
  <si>
    <t>0702001207</t>
  </si>
  <si>
    <t>0702001208</t>
  </si>
  <si>
    <t>0702001209</t>
  </si>
  <si>
    <t>0702001210</t>
  </si>
  <si>
    <t>0702001211</t>
  </si>
  <si>
    <t>07030001</t>
  </si>
  <si>
    <t>0703000103</t>
  </si>
  <si>
    <t>0703000106</t>
  </si>
  <si>
    <t>0703000107</t>
  </si>
  <si>
    <t>0703000110</t>
  </si>
  <si>
    <t>0703000111</t>
  </si>
  <si>
    <t>0703000112</t>
  </si>
  <si>
    <t>07030003</t>
  </si>
  <si>
    <t>0703000301</t>
  </si>
  <si>
    <t>0703000302</t>
  </si>
  <si>
    <t>0703000303</t>
  </si>
  <si>
    <t>0703000304</t>
  </si>
  <si>
    <t>0703000305</t>
  </si>
  <si>
    <t>0703000306</t>
  </si>
  <si>
    <t>07030004</t>
  </si>
  <si>
    <t>0703000401</t>
  </si>
  <si>
    <t>0703000402</t>
  </si>
  <si>
    <t>0703000403</t>
  </si>
  <si>
    <t>0703000404</t>
  </si>
  <si>
    <t>0703000405</t>
  </si>
  <si>
    <t>0703000406</t>
  </si>
  <si>
    <t>0703000407</t>
  </si>
  <si>
    <t>0703000408</t>
  </si>
  <si>
    <t>07030005</t>
  </si>
  <si>
    <t>0703000502</t>
  </si>
  <si>
    <t>0703000503</t>
  </si>
  <si>
    <t>0703000504</t>
  </si>
  <si>
    <t>0703000506</t>
  </si>
  <si>
    <t>0703000509</t>
  </si>
  <si>
    <t>0703000512</t>
  </si>
  <si>
    <t>07040001</t>
  </si>
  <si>
    <t>0704000101</t>
  </si>
  <si>
    <t>0704000102</t>
  </si>
  <si>
    <t>0704000104</t>
  </si>
  <si>
    <t>0704000106</t>
  </si>
  <si>
    <t>0704000107</t>
  </si>
  <si>
    <t>07040002</t>
  </si>
  <si>
    <t>0704000201</t>
  </si>
  <si>
    <t>0704000202</t>
  </si>
  <si>
    <t>0704000203</t>
  </si>
  <si>
    <t>0704000204</t>
  </si>
  <si>
    <t>0704000205</t>
  </si>
  <si>
    <t>0704000206</t>
  </si>
  <si>
    <t>0704000207</t>
  </si>
  <si>
    <t>0704000208</t>
  </si>
  <si>
    <t>0704000209</t>
  </si>
  <si>
    <t>07040003</t>
  </si>
  <si>
    <t>0704000303</t>
  </si>
  <si>
    <t>0704000305</t>
  </si>
  <si>
    <t>0704000306</t>
  </si>
  <si>
    <t>07040004</t>
  </si>
  <si>
    <t>0704000401</t>
  </si>
  <si>
    <t>0704000402</t>
  </si>
  <si>
    <t>0704000403</t>
  </si>
  <si>
    <t>0704000404</t>
  </si>
  <si>
    <t>0704000405</t>
  </si>
  <si>
    <t>07040006</t>
  </si>
  <si>
    <t>0704000601</t>
  </si>
  <si>
    <t>0704000605</t>
  </si>
  <si>
    <t>07040008</t>
  </si>
  <si>
    <t>0704000801</t>
  </si>
  <si>
    <t>0704000802</t>
  </si>
  <si>
    <t>0704000803</t>
  </si>
  <si>
    <t>0704000804</t>
  </si>
  <si>
    <t>0704000805</t>
  </si>
  <si>
    <t>0704000806</t>
  </si>
  <si>
    <t>0704000807</t>
  </si>
  <si>
    <t>0704000808</t>
  </si>
  <si>
    <t>0704000809</t>
  </si>
  <si>
    <t>07060001</t>
  </si>
  <si>
    <t>0706000102</t>
  </si>
  <si>
    <t>0706000104</t>
  </si>
  <si>
    <t>0706000105</t>
  </si>
  <si>
    <t>07060002</t>
  </si>
  <si>
    <t>0706000201</t>
  </si>
  <si>
    <t>0706000202</t>
  </si>
  <si>
    <t>0706000203</t>
  </si>
  <si>
    <t>0706000205</t>
  </si>
  <si>
    <t>0706000206</t>
  </si>
  <si>
    <t>07080102</t>
  </si>
  <si>
    <t>0708010202</t>
  </si>
  <si>
    <t>07080201</t>
  </si>
  <si>
    <t>0708020101</t>
  </si>
  <si>
    <t>0708020102</t>
  </si>
  <si>
    <t>0708020103</t>
  </si>
  <si>
    <t>0708020104</t>
  </si>
  <si>
    <t>0708020105</t>
  </si>
  <si>
    <t>0708020107</t>
  </si>
  <si>
    <t>07080202</t>
  </si>
  <si>
    <t>0708020201</t>
  </si>
  <si>
    <t>07080203</t>
  </si>
  <si>
    <t>0708020301</t>
  </si>
  <si>
    <t>07100001</t>
  </si>
  <si>
    <t>0710000101</t>
  </si>
  <si>
    <t>0710000102</t>
  </si>
  <si>
    <t>0710000103</t>
  </si>
  <si>
    <t>0710000104</t>
  </si>
  <si>
    <t>0710000105</t>
  </si>
  <si>
    <t>0710000106</t>
  </si>
  <si>
    <t>0710000107</t>
  </si>
  <si>
    <t>0710000108</t>
  </si>
  <si>
    <t>07100002</t>
  </si>
  <si>
    <t>0710000201</t>
  </si>
  <si>
    <t>07100003</t>
  </si>
  <si>
    <t>0710000301</t>
  </si>
  <si>
    <t>09020101</t>
  </si>
  <si>
    <t>0902010102</t>
  </si>
  <si>
    <t>0902010104</t>
  </si>
  <si>
    <t>0902010105</t>
  </si>
  <si>
    <t>09020102</t>
  </si>
  <si>
    <t>0902010201</t>
  </si>
  <si>
    <t>0902010202</t>
  </si>
  <si>
    <t>0902010203</t>
  </si>
  <si>
    <t>0902010204</t>
  </si>
  <si>
    <t>0902010205</t>
  </si>
  <si>
    <t>09020103</t>
  </si>
  <si>
    <t>0902010301</t>
  </si>
  <si>
    <t>0902010302</t>
  </si>
  <si>
    <t>0902010303</t>
  </si>
  <si>
    <t>0902010304</t>
  </si>
  <si>
    <t>0902010305</t>
  </si>
  <si>
    <t>0902010306</t>
  </si>
  <si>
    <t>0902010307</t>
  </si>
  <si>
    <t>0902010308</t>
  </si>
  <si>
    <t>0902010309</t>
  </si>
  <si>
    <t>0902010310</t>
  </si>
  <si>
    <t>09020104</t>
  </si>
  <si>
    <t>0902010401</t>
  </si>
  <si>
    <t>0902010402</t>
  </si>
  <si>
    <t>0902010403</t>
  </si>
  <si>
    <t>0902010404</t>
  </si>
  <si>
    <t>0902010405</t>
  </si>
  <si>
    <t>09020106</t>
  </si>
  <si>
    <t>0902010601</t>
  </si>
  <si>
    <t>0902010602</t>
  </si>
  <si>
    <t>0902010603</t>
  </si>
  <si>
    <t>0902010604</t>
  </si>
  <si>
    <t>0902010605</t>
  </si>
  <si>
    <t>0902010606</t>
  </si>
  <si>
    <t>0902010607</t>
  </si>
  <si>
    <t>09020107</t>
  </si>
  <si>
    <t>0902010701</t>
  </si>
  <si>
    <t>0902010705</t>
  </si>
  <si>
    <t>0902010706</t>
  </si>
  <si>
    <t>09020108</t>
  </si>
  <si>
    <t>0902010801</t>
  </si>
  <si>
    <t>0902010802</t>
  </si>
  <si>
    <t>0902010803</t>
  </si>
  <si>
    <t>0902010804</t>
  </si>
  <si>
    <t>0902010805</t>
  </si>
  <si>
    <t>0902010806</t>
  </si>
  <si>
    <t>0902010807</t>
  </si>
  <si>
    <t>0902010808</t>
  </si>
  <si>
    <t>0902010809</t>
  </si>
  <si>
    <t>0902010810</t>
  </si>
  <si>
    <t>0902010811</t>
  </si>
  <si>
    <t>0902010812</t>
  </si>
  <si>
    <t>09020109</t>
  </si>
  <si>
    <t>0902010906</t>
  </si>
  <si>
    <t>09020204</t>
  </si>
  <si>
    <t>0902020407</t>
  </si>
  <si>
    <t>09020301</t>
  </si>
  <si>
    <t>0902030101</t>
  </si>
  <si>
    <t>0902030102</t>
  </si>
  <si>
    <t>0902030103</t>
  </si>
  <si>
    <t>0902030104</t>
  </si>
  <si>
    <t>0902030106</t>
  </si>
  <si>
    <t>0902030107</t>
  </si>
  <si>
    <t>09020302</t>
  </si>
  <si>
    <t>0902030201</t>
  </si>
  <si>
    <t>0902030202</t>
  </si>
  <si>
    <t>0902030203</t>
  </si>
  <si>
    <t>0902030204</t>
  </si>
  <si>
    <t>0902030205</t>
  </si>
  <si>
    <t>0902030206</t>
  </si>
  <si>
    <t>0902030207</t>
  </si>
  <si>
    <t>0902030208</t>
  </si>
  <si>
    <t>0902030209</t>
  </si>
  <si>
    <t>09020303</t>
  </si>
  <si>
    <t>0902030301</t>
  </si>
  <si>
    <t>0902030302</t>
  </si>
  <si>
    <t>0902030303</t>
  </si>
  <si>
    <t>0902030304</t>
  </si>
  <si>
    <t>0902030305</t>
  </si>
  <si>
    <t>0902030306</t>
  </si>
  <si>
    <t>0902030307</t>
  </si>
  <si>
    <t>09020304</t>
  </si>
  <si>
    <t>0902030401</t>
  </si>
  <si>
    <t>0902030402</t>
  </si>
  <si>
    <t>0902030403</t>
  </si>
  <si>
    <t>0902030404</t>
  </si>
  <si>
    <t>0902030405</t>
  </si>
  <si>
    <t>0902030406</t>
  </si>
  <si>
    <t>0902030407</t>
  </si>
  <si>
    <t>0902030408</t>
  </si>
  <si>
    <t>09020305</t>
  </si>
  <si>
    <t>0902030501</t>
  </si>
  <si>
    <t>0902030502</t>
  </si>
  <si>
    <t>0902030503</t>
  </si>
  <si>
    <t>0902030504</t>
  </si>
  <si>
    <t>0902030505</t>
  </si>
  <si>
    <t>0902030506</t>
  </si>
  <si>
    <t>0902030507</t>
  </si>
  <si>
    <t>09020306</t>
  </si>
  <si>
    <t>0902030601</t>
  </si>
  <si>
    <t>0902030602</t>
  </si>
  <si>
    <t>0902030603</t>
  </si>
  <si>
    <t>0902030604</t>
  </si>
  <si>
    <t>0902030605</t>
  </si>
  <si>
    <t>0902030606</t>
  </si>
  <si>
    <t>09020307</t>
  </si>
  <si>
    <t>0902030704</t>
  </si>
  <si>
    <t>09020309</t>
  </si>
  <si>
    <t>0902030901</t>
  </si>
  <si>
    <t>0902030902</t>
  </si>
  <si>
    <t>0902030903</t>
  </si>
  <si>
    <t>09020310</t>
  </si>
  <si>
    <t>0902031005</t>
  </si>
  <si>
    <t>09020311</t>
  </si>
  <si>
    <t>0902031101</t>
  </si>
  <si>
    <t>0902031102</t>
  </si>
  <si>
    <t>0902031103</t>
  </si>
  <si>
    <t>0902031104</t>
  </si>
  <si>
    <t>0902031105</t>
  </si>
  <si>
    <t>0902031106</t>
  </si>
  <si>
    <t>0902031107</t>
  </si>
  <si>
    <t>0902031108</t>
  </si>
  <si>
    <t>09020312</t>
  </si>
  <si>
    <t>0902031201</t>
  </si>
  <si>
    <t>0902031202</t>
  </si>
  <si>
    <t>0902031203</t>
  </si>
  <si>
    <t>0902031204</t>
  </si>
  <si>
    <t>0902031205</t>
  </si>
  <si>
    <t>0902031206</t>
  </si>
  <si>
    <t>0902031207</t>
  </si>
  <si>
    <t>09020314</t>
  </si>
  <si>
    <t>0902031401</t>
  </si>
  <si>
    <t>0902031402</t>
  </si>
  <si>
    <t>0902031403</t>
  </si>
  <si>
    <t>0902031404</t>
  </si>
  <si>
    <t>0902031405</t>
  </si>
  <si>
    <t>0902031406</t>
  </si>
  <si>
    <t>0902031408</t>
  </si>
  <si>
    <t>09020316</t>
  </si>
  <si>
    <t>0902031610</t>
  </si>
  <si>
    <t>09030001</t>
  </si>
  <si>
    <t>0903000100</t>
  </si>
  <si>
    <t>0903000103</t>
  </si>
  <si>
    <t>0903000104</t>
  </si>
  <si>
    <t>0903000105</t>
  </si>
  <si>
    <t>0903000106</t>
  </si>
  <si>
    <t>0903000107</t>
  </si>
  <si>
    <t>0903000108</t>
  </si>
  <si>
    <t>0903000109</t>
  </si>
  <si>
    <t>0903000110</t>
  </si>
  <si>
    <t>0903000111</t>
  </si>
  <si>
    <t>0903000112</t>
  </si>
  <si>
    <t>0903000113</t>
  </si>
  <si>
    <t>0903000118</t>
  </si>
  <si>
    <t>0903000119</t>
  </si>
  <si>
    <t>0903000120</t>
  </si>
  <si>
    <t>0903000123</t>
  </si>
  <si>
    <t>0903000124</t>
  </si>
  <si>
    <t>0903000125</t>
  </si>
  <si>
    <t>09030002</t>
  </si>
  <si>
    <t>0903000201</t>
  </si>
  <si>
    <t>0903000202</t>
  </si>
  <si>
    <t>0903000203</t>
  </si>
  <si>
    <t>0903000204</t>
  </si>
  <si>
    <t>0903000205</t>
  </si>
  <si>
    <t>09030003</t>
  </si>
  <si>
    <t>0903000300</t>
  </si>
  <si>
    <t>0903000318</t>
  </si>
  <si>
    <t>0903000319</t>
  </si>
  <si>
    <t>09030005</t>
  </si>
  <si>
    <t>0903000501</t>
  </si>
  <si>
    <t>0903000502</t>
  </si>
  <si>
    <t>0903000503</t>
  </si>
  <si>
    <t>0903000504</t>
  </si>
  <si>
    <t>0903000505</t>
  </si>
  <si>
    <t>0903000506</t>
  </si>
  <si>
    <t>0903000507</t>
  </si>
  <si>
    <t>0903000508</t>
  </si>
  <si>
    <t>0903000509</t>
  </si>
  <si>
    <t>09030006</t>
  </si>
  <si>
    <t>0903000601</t>
  </si>
  <si>
    <t>0903000602</t>
  </si>
  <si>
    <t>0903000603</t>
  </si>
  <si>
    <t>0903000604</t>
  </si>
  <si>
    <t>0903000605</t>
  </si>
  <si>
    <t>0903000606</t>
  </si>
  <si>
    <t>0903000607</t>
  </si>
  <si>
    <t>0903000608</t>
  </si>
  <si>
    <t>0903000609</t>
  </si>
  <si>
    <t>0903000610</t>
  </si>
  <si>
    <t>09030007</t>
  </si>
  <si>
    <t>0903000701</t>
  </si>
  <si>
    <t>0903000702</t>
  </si>
  <si>
    <t>0903000703</t>
  </si>
  <si>
    <t>0903000704</t>
  </si>
  <si>
    <t>0903000705</t>
  </si>
  <si>
    <t>09030008</t>
  </si>
  <si>
    <t>0903000800</t>
  </si>
  <si>
    <t>0903000802</t>
  </si>
  <si>
    <t>0903000803</t>
  </si>
  <si>
    <t>0903000805</t>
  </si>
  <si>
    <t>0903000806</t>
  </si>
  <si>
    <t>0903000807</t>
  </si>
  <si>
    <t>09030009</t>
  </si>
  <si>
    <t>0903000900</t>
  </si>
  <si>
    <t>0903000901</t>
  </si>
  <si>
    <t>0903000902</t>
  </si>
  <si>
    <t>0903000903</t>
  </si>
  <si>
    <t>0903000904</t>
  </si>
  <si>
    <t>0903000905</t>
  </si>
  <si>
    <t>0903000906</t>
  </si>
  <si>
    <t>10170202</t>
  </si>
  <si>
    <t>1017020209</t>
  </si>
  <si>
    <t>1017020210</t>
  </si>
  <si>
    <t>10170203</t>
  </si>
  <si>
    <t>1017020301</t>
  </si>
  <si>
    <t>1017020303</t>
  </si>
  <si>
    <t>1017020313</t>
  </si>
  <si>
    <t>1017020315</t>
  </si>
  <si>
    <t>1017020316</t>
  </si>
  <si>
    <t>1017020317</t>
  </si>
  <si>
    <t>10170204</t>
  </si>
  <si>
    <t>1017020401</t>
  </si>
  <si>
    <t>1017020402</t>
  </si>
  <si>
    <t>1017020403</t>
  </si>
  <si>
    <t>1017020404</t>
  </si>
  <si>
    <t>1017020405</t>
  </si>
  <si>
    <t>1017020406</t>
  </si>
  <si>
    <t>1017020407</t>
  </si>
  <si>
    <t>Little Soux River</t>
  </si>
  <si>
    <t>10230003</t>
  </si>
  <si>
    <t>1023000301</t>
  </si>
  <si>
    <t>1023000302</t>
  </si>
  <si>
    <t>1023000303</t>
  </si>
  <si>
    <t>1023000305</t>
  </si>
  <si>
    <t>0902031400</t>
  </si>
  <si>
    <t>0902031100</t>
  </si>
  <si>
    <t>Selected HUC10 watershed:</t>
  </si>
  <si>
    <t>HUC10 Subwatershed</t>
  </si>
  <si>
    <t>HUC10 list for subwatershed combo box:</t>
  </si>
  <si>
    <t>Returns_Per_A</t>
  </si>
  <si>
    <t>Corn grain price (entered in the N rate sheet)</t>
  </si>
  <si>
    <t>Soybean price</t>
  </si>
  <si>
    <t>/bu</t>
  </si>
  <si>
    <t>/ton</t>
  </si>
  <si>
    <t>For Riparian Buffers - Switchgrass Estimated Costs and Returns, Minnesota, Projected 2015</t>
  </si>
  <si>
    <t>value net of termination cost, $/successful acre</t>
  </si>
  <si>
    <t>Total seeding &amp; termination cost net of forage value/acre seeded</t>
  </si>
  <si>
    <t>NA</t>
  </si>
  <si>
    <t>Adopt BMP P2O5 rate</t>
  </si>
  <si>
    <t>Date</t>
  </si>
  <si>
    <t>Description of revision</t>
  </si>
  <si>
    <t>fall fertilizer % of any fert</t>
  </si>
  <si>
    <t>Corrected the manure method suitable acre percentage calculation in the main screen.  
In the P export sheet, multiply the index by total region cropland acres rather than just the inlet suitable acres in the Inlet sheet.  
Corrected the existing and suitable acre percentages for the fertilizer timing shift BMP in the Main sheet.</t>
  </si>
  <si>
    <t>Marginal % of buffer acres, used</t>
  </si>
  <si>
    <t>From the Iowa Nutrient Reduction Strategy document estimates for corn and soy, phosphorus section, Table 1, p. 120 of 204.  The sugar beet reduction is assumed to be less  because of early planting.</t>
  </si>
  <si>
    <t>New riparian buffer treated width, feet</t>
  </si>
  <si>
    <t>Existing riparian buffer treated width, feet</t>
  </si>
  <si>
    <t>feet (limited to a range of 30-300 feet)</t>
  </si>
  <si>
    <t>feet before stream power adjustment (limited to a range of 30-300 feet)</t>
  </si>
  <si>
    <t>feet before stream power adjustment</t>
  </si>
  <si>
    <t>Treatment cost before fertilizer &amp; tillage cost savings</t>
  </si>
  <si>
    <t>Savings from reduced tillage</t>
  </si>
</sst>
</file>

<file path=xl/styles.xml><?xml version="1.0" encoding="utf-8"?>
<styleSheet xmlns="http://schemas.openxmlformats.org/spreadsheetml/2006/main" xmlns:mc="http://schemas.openxmlformats.org/markup-compatibility/2006" xmlns:x14ac="http://schemas.microsoft.com/office/spreadsheetml/2009/9/ac" mc:Ignorable="x14ac">
  <numFmts count="28">
    <numFmt numFmtId="7" formatCode="&quot;$&quot;#,##0.00_);\(&quot;$&quot;#,##0.00\)"/>
    <numFmt numFmtId="8" formatCode="&quot;$&quot;#,##0.00_);[Red]\(&quot;$&quot;#,##0.00\)"/>
    <numFmt numFmtId="44" formatCode="_(&quot;$&quot;* #,##0.00_);_(&quot;$&quot;* \(#,##0.00\);_(&quot;$&quot;* &quot;-&quot;??_);_(@_)"/>
    <numFmt numFmtId="43" formatCode="_(* #,##0.00_);_(* \(#,##0.00\);_(* &quot;-&quot;??_);_(@_)"/>
    <numFmt numFmtId="164" formatCode="_(&quot;$&quot;* #,##0_);_(&quot;$&quot;* \(#,##0\);_(&quot;$&quot;* &quot;-&quot;??_);_(@_)"/>
    <numFmt numFmtId="165" formatCode="0.000"/>
    <numFmt numFmtId="166" formatCode="0.0%"/>
    <numFmt numFmtId="167" formatCode="_(* #,##0.0000_);_(* \(#,##0.0000\);_(* &quot;-&quot;??_);_(@_)"/>
    <numFmt numFmtId="168" formatCode="_(* #,##0_);_(* \(#,##0\);_(* &quot;-&quot;??_);_(@_)"/>
    <numFmt numFmtId="169" formatCode="General_)"/>
    <numFmt numFmtId="170" formatCode="0.0"/>
    <numFmt numFmtId="171" formatCode="0.000%"/>
    <numFmt numFmtId="172" formatCode="0.0000"/>
    <numFmt numFmtId="173" formatCode="&quot;$&quot;#,##0"/>
    <numFmt numFmtId="174" formatCode="&quot;$&quot;#,##0.00"/>
    <numFmt numFmtId="175" formatCode="_(* #,##0.0_);_(* \(#,##0.0\);_(* &quot;-&quot;??_);_(@_)"/>
    <numFmt numFmtId="176" formatCode="#,##0.0"/>
    <numFmt numFmtId="177" formatCode="0_);\(0\)"/>
    <numFmt numFmtId="178" formatCode="_(&quot;$&quot;* #,##0.0_);_(&quot;$&quot;* \(#,##0.0\);_(&quot;$&quot;* &quot;-&quot;??_);_(@_)"/>
    <numFmt numFmtId="179" formatCode="#,##0.000"/>
    <numFmt numFmtId="180" formatCode="_(* #,##0.000_);_(* \(#,##0.000\);_(* &quot;-&quot;??_);_(@_)"/>
    <numFmt numFmtId="181" formatCode="_(* #,##0.00000_);_(* \(#,##0.00000\);_(* &quot;-&quot;??_);_(@_)"/>
    <numFmt numFmtId="182" formatCode=";;;"/>
    <numFmt numFmtId="183" formatCode="0.000000"/>
    <numFmt numFmtId="184" formatCode="_(&quot;$&quot;* #,##0.0000_);_(&quot;$&quot;* \(#,##0.0000\);_(&quot;$&quot;* &quot;-&quot;??_);_(@_)"/>
    <numFmt numFmtId="185" formatCode="&quot;$&quot;#,##0.0"/>
    <numFmt numFmtId="186" formatCode="_(&quot;$&quot;* #,##0.00000_);_(&quot;$&quot;* \(#,##0.00000\);_(&quot;$&quot;* &quot;-&quot;??_);_(@_)"/>
    <numFmt numFmtId="187" formatCode="0.00000000000"/>
  </numFmts>
  <fonts count="49" x14ac:knownFonts="1">
    <font>
      <sz val="11"/>
      <color theme="1"/>
      <name val="Calibri"/>
      <family val="2"/>
      <scheme val="minor"/>
    </font>
    <font>
      <sz val="11"/>
      <color theme="1"/>
      <name val="Calibri"/>
      <family val="2"/>
      <scheme val="minor"/>
    </font>
    <font>
      <b/>
      <sz val="11"/>
      <color theme="1"/>
      <name val="Calibri"/>
      <family val="2"/>
      <scheme val="minor"/>
    </font>
    <font>
      <sz val="10"/>
      <name val="Arial"/>
      <family val="2"/>
    </font>
    <font>
      <u/>
      <sz val="11"/>
      <color theme="1"/>
      <name val="Calibri"/>
      <family val="2"/>
      <scheme val="minor"/>
    </font>
    <font>
      <sz val="10"/>
      <color rgb="FF222222"/>
      <name val="Arial"/>
      <family val="2"/>
    </font>
    <font>
      <u/>
      <sz val="10"/>
      <name val="Arial"/>
      <family val="2"/>
    </font>
    <font>
      <b/>
      <sz val="9"/>
      <color indexed="81"/>
      <name val="Tahoma"/>
      <family val="2"/>
    </font>
    <font>
      <sz val="9"/>
      <color indexed="81"/>
      <name val="Tahoma"/>
      <family val="2"/>
    </font>
    <font>
      <b/>
      <sz val="16"/>
      <color theme="1"/>
      <name val="Calibri"/>
      <family val="2"/>
      <scheme val="minor"/>
    </font>
    <font>
      <b/>
      <u/>
      <sz val="16"/>
      <color rgb="FFFF0000"/>
      <name val="Calibri"/>
      <family val="2"/>
      <scheme val="minor"/>
    </font>
    <font>
      <b/>
      <sz val="14"/>
      <color theme="1"/>
      <name val="Calibri"/>
      <family val="2"/>
      <scheme val="minor"/>
    </font>
    <font>
      <sz val="10"/>
      <name val="Times New Roman"/>
      <family val="1"/>
    </font>
    <font>
      <b/>
      <sz val="10"/>
      <name val="Times New Roman"/>
      <family val="1"/>
    </font>
    <font>
      <sz val="11"/>
      <color indexed="8"/>
      <name val="Arial"/>
      <family val="2"/>
    </font>
    <font>
      <sz val="11"/>
      <color theme="1"/>
      <name val="Arial"/>
      <family val="2"/>
    </font>
    <font>
      <sz val="11"/>
      <name val="Arial"/>
      <family val="2"/>
    </font>
    <font>
      <sz val="10"/>
      <color theme="1"/>
      <name val="Arial"/>
      <family val="2"/>
    </font>
    <font>
      <sz val="8"/>
      <color theme="1"/>
      <name val="Arial"/>
      <family val="2"/>
    </font>
    <font>
      <sz val="8"/>
      <color indexed="8"/>
      <name val="Calibri"/>
      <family val="2"/>
    </font>
    <font>
      <b/>
      <sz val="10"/>
      <name val="Arial"/>
      <family val="2"/>
    </font>
    <font>
      <sz val="10"/>
      <color theme="1"/>
      <name val="Calibri"/>
      <family val="2"/>
      <scheme val="minor"/>
    </font>
    <font>
      <b/>
      <sz val="10"/>
      <color indexed="81"/>
      <name val="Tahoma"/>
      <family val="2"/>
    </font>
    <font>
      <sz val="10"/>
      <color indexed="81"/>
      <name val="Tahoma"/>
      <family val="2"/>
    </font>
    <font>
      <u/>
      <sz val="10"/>
      <color theme="1"/>
      <name val="Arial"/>
      <family val="2"/>
    </font>
    <font>
      <vertAlign val="subscript"/>
      <sz val="11"/>
      <color theme="1"/>
      <name val="Calibri"/>
      <family val="2"/>
      <scheme val="minor"/>
    </font>
    <font>
      <u/>
      <sz val="10"/>
      <color theme="10"/>
      <name val="Arial"/>
      <family val="2"/>
    </font>
    <font>
      <u val="singleAccounting"/>
      <sz val="10"/>
      <color theme="1"/>
      <name val="Arial"/>
      <family val="2"/>
    </font>
    <font>
      <u/>
      <sz val="10"/>
      <color theme="10"/>
      <name val="Calibri"/>
      <family val="2"/>
    </font>
    <font>
      <sz val="11"/>
      <name val="Calibri"/>
      <family val="2"/>
      <scheme val="minor"/>
    </font>
    <font>
      <b/>
      <i/>
      <u/>
      <sz val="12"/>
      <name val="Arial"/>
      <family val="2"/>
    </font>
    <font>
      <sz val="12"/>
      <color theme="1"/>
      <name val="Calibri"/>
      <family val="2"/>
      <scheme val="minor"/>
    </font>
    <font>
      <sz val="11"/>
      <color theme="1"/>
      <name val="Calibri"/>
      <family val="2"/>
    </font>
    <font>
      <sz val="14"/>
      <color theme="1"/>
      <name val="Calibri"/>
      <family val="2"/>
      <scheme val="minor"/>
    </font>
    <font>
      <b/>
      <u/>
      <sz val="10"/>
      <name val="Arial"/>
      <family val="2"/>
    </font>
    <font>
      <b/>
      <u/>
      <sz val="11"/>
      <color theme="1"/>
      <name val="Calibri"/>
      <family val="2"/>
      <scheme val="minor"/>
    </font>
    <font>
      <b/>
      <sz val="8"/>
      <color indexed="81"/>
      <name val="Tahoma"/>
      <family val="2"/>
    </font>
    <font>
      <sz val="8"/>
      <color indexed="81"/>
      <name val="Tahoma"/>
      <family val="2"/>
    </font>
    <font>
      <vertAlign val="superscript"/>
      <sz val="11"/>
      <color theme="1"/>
      <name val="Calibri"/>
      <family val="2"/>
      <scheme val="minor"/>
    </font>
    <font>
      <u val="singleAccounting"/>
      <sz val="11"/>
      <color theme="1"/>
      <name val="Calibri"/>
      <family val="2"/>
      <scheme val="minor"/>
    </font>
    <font>
      <sz val="11"/>
      <color theme="1" tint="0.499984740745262"/>
      <name val="Calibri"/>
      <family val="2"/>
      <scheme val="minor"/>
    </font>
    <font>
      <b/>
      <u/>
      <sz val="12"/>
      <color theme="1"/>
      <name val="Calibri"/>
      <family val="2"/>
      <scheme val="minor"/>
    </font>
    <font>
      <sz val="9"/>
      <color theme="1"/>
      <name val="Calibri"/>
      <family val="2"/>
      <scheme val="minor"/>
    </font>
    <font>
      <sz val="10"/>
      <color theme="0" tint="-0.34998626667073579"/>
      <name val="Arial"/>
      <family val="2"/>
    </font>
    <font>
      <b/>
      <sz val="12"/>
      <color theme="1"/>
      <name val="Arial"/>
      <family val="2"/>
    </font>
    <font>
      <sz val="11"/>
      <color rgb="FF000000"/>
      <name val="Calibri"/>
      <family val="2"/>
    </font>
    <font>
      <sz val="8"/>
      <color rgb="FF000000"/>
      <name val="Arial"/>
      <family val="2"/>
    </font>
    <font>
      <sz val="18"/>
      <color theme="1"/>
      <name val="Calibri"/>
      <family val="2"/>
      <scheme val="minor"/>
    </font>
    <font>
      <sz val="12"/>
      <color rgb="FF000000"/>
      <name val="Calibri"/>
      <family val="2"/>
      <scheme val="minor"/>
    </font>
  </fonts>
  <fills count="42">
    <fill>
      <patternFill patternType="none"/>
    </fill>
    <fill>
      <patternFill patternType="gray125"/>
    </fill>
    <fill>
      <patternFill patternType="solid">
        <fgColor theme="0"/>
        <bgColor indexed="64"/>
      </patternFill>
    </fill>
    <fill>
      <patternFill patternType="solid">
        <fgColor rgb="FFFFFF00"/>
        <bgColor indexed="64"/>
      </patternFill>
    </fill>
    <fill>
      <patternFill patternType="solid">
        <fgColor rgb="FF00CC66"/>
        <bgColor indexed="64"/>
      </patternFill>
    </fill>
    <fill>
      <patternFill patternType="solid">
        <fgColor theme="5" tint="0.79998168889431442"/>
        <bgColor indexed="64"/>
      </patternFill>
    </fill>
    <fill>
      <patternFill patternType="solid">
        <fgColor rgb="FF0099FF"/>
        <bgColor indexed="64"/>
      </patternFill>
    </fill>
    <fill>
      <patternFill patternType="solid">
        <fgColor theme="6" tint="0.59999389629810485"/>
        <bgColor indexed="64"/>
      </patternFill>
    </fill>
    <fill>
      <patternFill patternType="solid">
        <fgColor rgb="FF00B050"/>
        <bgColor indexed="64"/>
      </patternFill>
    </fill>
    <fill>
      <patternFill patternType="solid">
        <fgColor rgb="FF92D050"/>
        <bgColor indexed="64"/>
      </patternFill>
    </fill>
    <fill>
      <patternFill patternType="solid">
        <fgColor theme="3" tint="0.79998168889431442"/>
        <bgColor indexed="64"/>
      </patternFill>
    </fill>
    <fill>
      <patternFill patternType="solid">
        <fgColor rgb="FFFF0000"/>
        <bgColor indexed="64"/>
      </patternFill>
    </fill>
    <fill>
      <patternFill patternType="solid">
        <fgColor theme="0" tint="-0.14999847407452621"/>
        <bgColor indexed="64"/>
      </patternFill>
    </fill>
    <fill>
      <patternFill patternType="solid">
        <fgColor theme="4" tint="0.59999389629810485"/>
        <bgColor indexed="64"/>
      </patternFill>
    </fill>
    <fill>
      <patternFill patternType="solid">
        <fgColor theme="6" tint="0.39997558519241921"/>
        <bgColor indexed="64"/>
      </patternFill>
    </fill>
    <fill>
      <patternFill patternType="solid">
        <fgColor theme="5" tint="0.59999389629810485"/>
        <bgColor indexed="64"/>
      </patternFill>
    </fill>
    <fill>
      <patternFill patternType="solid">
        <fgColor theme="9" tint="0.79998168889431442"/>
        <bgColor indexed="64"/>
      </patternFill>
    </fill>
    <fill>
      <patternFill patternType="solid">
        <fgColor rgb="FFFFC000"/>
        <bgColor indexed="64"/>
      </patternFill>
    </fill>
    <fill>
      <patternFill patternType="solid">
        <fgColor indexed="51"/>
        <bgColor indexed="64"/>
      </patternFill>
    </fill>
    <fill>
      <patternFill patternType="solid">
        <fgColor indexed="40"/>
        <bgColor indexed="64"/>
      </patternFill>
    </fill>
    <fill>
      <patternFill patternType="solid">
        <fgColor theme="2"/>
        <bgColor indexed="64"/>
      </patternFill>
    </fill>
    <fill>
      <patternFill patternType="solid">
        <fgColor rgb="FF00B0F0"/>
        <bgColor indexed="64"/>
      </patternFill>
    </fill>
    <fill>
      <patternFill patternType="solid">
        <fgColor theme="4" tint="0.39997558519241921"/>
        <bgColor indexed="64"/>
      </patternFill>
    </fill>
    <fill>
      <patternFill patternType="solid">
        <fgColor theme="0" tint="-0.249977111117893"/>
        <bgColor indexed="64"/>
      </patternFill>
    </fill>
    <fill>
      <patternFill patternType="solid">
        <fgColor theme="9" tint="-0.249977111117893"/>
        <bgColor indexed="64"/>
      </patternFill>
    </fill>
    <fill>
      <patternFill patternType="solid">
        <fgColor theme="9"/>
        <bgColor indexed="64"/>
      </patternFill>
    </fill>
    <fill>
      <patternFill patternType="solid">
        <fgColor theme="7" tint="0.39997558519241921"/>
        <bgColor indexed="64"/>
      </patternFill>
    </fill>
    <fill>
      <patternFill patternType="solid">
        <fgColor theme="4" tint="0.79998168889431442"/>
        <bgColor indexed="64"/>
      </patternFill>
    </fill>
    <fill>
      <patternFill patternType="solid">
        <fgColor theme="5" tint="0.39997558519241921"/>
        <bgColor indexed="64"/>
      </patternFill>
    </fill>
    <fill>
      <patternFill patternType="solid">
        <fgColor theme="9" tint="0.59999389629810485"/>
        <bgColor indexed="64"/>
      </patternFill>
    </fill>
    <fill>
      <patternFill patternType="solid">
        <fgColor rgb="FFFDE9D9"/>
        <bgColor rgb="FF000000"/>
      </patternFill>
    </fill>
    <fill>
      <patternFill patternType="solid">
        <fgColor rgb="FFE6B8B7"/>
        <bgColor rgb="FF000000"/>
      </patternFill>
    </fill>
    <fill>
      <patternFill patternType="solid">
        <fgColor rgb="FFFFFFFF"/>
        <bgColor indexed="64"/>
      </patternFill>
    </fill>
    <fill>
      <patternFill patternType="solid">
        <fgColor rgb="FF4DAF4A"/>
        <bgColor indexed="64"/>
      </patternFill>
    </fill>
    <fill>
      <patternFill patternType="solid">
        <fgColor rgb="FF377EB8"/>
        <bgColor indexed="64"/>
      </patternFill>
    </fill>
    <fill>
      <patternFill patternType="solid">
        <fgColor rgb="FFE41A1C"/>
        <bgColor indexed="64"/>
      </patternFill>
    </fill>
    <fill>
      <patternFill patternType="solid">
        <fgColor rgb="FF984EA3"/>
        <bgColor indexed="64"/>
      </patternFill>
    </fill>
    <fill>
      <patternFill patternType="solid">
        <fgColor rgb="FFFF7F00"/>
        <bgColor indexed="64"/>
      </patternFill>
    </fill>
    <fill>
      <patternFill patternType="solid">
        <fgColor rgb="FFFFFF33"/>
        <bgColor indexed="64"/>
      </patternFill>
    </fill>
    <fill>
      <patternFill patternType="solid">
        <fgColor rgb="FFA65628"/>
        <bgColor indexed="64"/>
      </patternFill>
    </fill>
    <fill>
      <patternFill patternType="solid">
        <fgColor rgb="FFF781BF"/>
        <bgColor indexed="64"/>
      </patternFill>
    </fill>
    <fill>
      <patternFill patternType="solid">
        <fgColor rgb="FF999999"/>
        <bgColor indexed="64"/>
      </patternFill>
    </fill>
  </fills>
  <borders count="2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right/>
      <top/>
      <bottom style="double">
        <color indexed="64"/>
      </bottom>
      <diagonal/>
    </border>
    <border>
      <left style="thin">
        <color indexed="64"/>
      </left>
      <right style="thin">
        <color indexed="64"/>
      </right>
      <top style="thin">
        <color indexed="64"/>
      </top>
      <bottom/>
      <diagonal/>
    </border>
    <border>
      <left/>
      <right/>
      <top/>
      <bottom style="medium">
        <color indexed="64"/>
      </bottom>
      <diagonal/>
    </border>
    <border>
      <left style="dotted">
        <color theme="0" tint="-0.34998626667073579"/>
      </left>
      <right/>
      <top/>
      <bottom/>
      <diagonal/>
    </border>
    <border>
      <left/>
      <right/>
      <top style="thin">
        <color auto="1"/>
      </top>
      <bottom style="thin">
        <color auto="1"/>
      </bottom>
      <diagonal/>
    </border>
    <border>
      <left style="dotted">
        <color theme="1"/>
      </left>
      <right style="dotted">
        <color theme="1"/>
      </right>
      <top/>
      <bottom/>
      <diagonal/>
    </border>
    <border>
      <left/>
      <right/>
      <top/>
      <bottom style="thin">
        <color indexed="64"/>
      </bottom>
      <diagonal/>
    </border>
    <border>
      <left/>
      <right/>
      <top style="thin">
        <color indexed="64"/>
      </top>
      <bottom/>
      <diagonal/>
    </border>
    <border>
      <left style="dotted">
        <color indexed="64"/>
      </left>
      <right style="dotted">
        <color indexed="64"/>
      </right>
      <top/>
      <bottom style="thin">
        <color indexed="64"/>
      </bottom>
      <diagonal/>
    </border>
    <border>
      <left style="dotted">
        <color indexed="64"/>
      </left>
      <right style="dotted">
        <color indexed="64"/>
      </right>
      <top/>
      <bottom/>
      <diagonal/>
    </border>
    <border>
      <left/>
      <right style="dotted">
        <color indexed="64"/>
      </right>
      <top/>
      <bottom/>
      <diagonal/>
    </border>
    <border>
      <left style="dotted">
        <color indexed="64"/>
      </left>
      <right style="dotted">
        <color indexed="64"/>
      </right>
      <top style="thin">
        <color indexed="64"/>
      </top>
      <bottom/>
      <diagonal/>
    </border>
    <border>
      <left style="thin">
        <color indexed="64"/>
      </left>
      <right/>
      <top/>
      <bottom style="thin">
        <color indexed="64"/>
      </bottom>
      <diagonal/>
    </border>
    <border>
      <left style="thin">
        <color indexed="64"/>
      </left>
      <right/>
      <top style="thin">
        <color indexed="64"/>
      </top>
      <bottom/>
      <diagonal/>
    </border>
    <border>
      <left/>
      <right style="thin">
        <color indexed="64"/>
      </right>
      <top style="thin">
        <color indexed="64"/>
      </top>
      <bottom style="thin">
        <color indexed="64"/>
      </bottom>
      <diagonal/>
    </border>
    <border>
      <left/>
      <right style="thin">
        <color auto="1"/>
      </right>
      <top/>
      <bottom/>
      <diagonal/>
    </border>
    <border>
      <left style="thin">
        <color auto="1"/>
      </left>
      <right/>
      <top/>
      <bottom/>
      <diagonal/>
    </border>
    <border>
      <left/>
      <right style="thin">
        <color indexed="64"/>
      </right>
      <top style="thin">
        <color indexed="64"/>
      </top>
      <bottom/>
      <diagonal/>
    </border>
    <border>
      <left style="thin">
        <color indexed="64"/>
      </left>
      <right/>
      <top style="thin">
        <color indexed="64"/>
      </top>
      <bottom style="thin">
        <color indexed="64"/>
      </bottom>
      <diagonal/>
    </border>
    <border>
      <left style="medium">
        <color auto="1"/>
      </left>
      <right style="thin">
        <color auto="1"/>
      </right>
      <top style="thin">
        <color auto="1"/>
      </top>
      <bottom style="thin">
        <color auto="1"/>
      </bottom>
      <diagonal/>
    </border>
    <border>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s>
  <cellStyleXfs count="16">
    <xf numFmtId="0" fontId="0" fillId="0" borderId="0"/>
    <xf numFmtId="43" fontId="1" fillId="0" borderId="0" applyFont="0" applyFill="0" applyBorder="0" applyAlignment="0" applyProtection="0"/>
    <xf numFmtId="44" fontId="1" fillId="0" borderId="0" applyFont="0" applyFill="0" applyBorder="0" applyAlignment="0" applyProtection="0"/>
    <xf numFmtId="9" fontId="1" fillId="0" borderId="0" applyFont="0" applyFill="0" applyBorder="0" applyAlignment="0" applyProtection="0"/>
    <xf numFmtId="0" fontId="12" fillId="0" borderId="0"/>
    <xf numFmtId="9" fontId="12" fillId="0" borderId="0" applyFont="0" applyFill="0" applyBorder="0" applyAlignment="0" applyProtection="0"/>
    <xf numFmtId="43" fontId="12" fillId="0" borderId="0" applyFont="0" applyFill="0" applyBorder="0" applyAlignment="0" applyProtection="0"/>
    <xf numFmtId="0" fontId="3" fillId="0" borderId="0"/>
    <xf numFmtId="43" fontId="17" fillId="0" borderId="0" applyFont="0" applyFill="0" applyBorder="0" applyAlignment="0" applyProtection="0"/>
    <xf numFmtId="0" fontId="1" fillId="0" borderId="0"/>
    <xf numFmtId="43" fontId="3" fillId="0" borderId="0" applyFont="0" applyFill="0" applyBorder="0" applyAlignment="0" applyProtection="0"/>
    <xf numFmtId="9" fontId="17" fillId="0" borderId="0" applyFont="0" applyFill="0" applyBorder="0" applyAlignment="0" applyProtection="0"/>
    <xf numFmtId="44" fontId="17" fillId="0" borderId="0" applyFont="0" applyFill="0" applyBorder="0" applyAlignment="0" applyProtection="0"/>
    <xf numFmtId="0" fontId="26" fillId="0" borderId="0" applyNumberFormat="0" applyFill="0" applyBorder="0" applyAlignment="0" applyProtection="0">
      <alignment vertical="top"/>
      <protection locked="0"/>
    </xf>
    <xf numFmtId="0" fontId="1" fillId="0" borderId="0"/>
    <xf numFmtId="0" fontId="17" fillId="0" borderId="0"/>
  </cellStyleXfs>
  <cellXfs count="898">
    <xf numFmtId="0" fontId="0" fillId="0" borderId="0" xfId="0"/>
    <xf numFmtId="9" fontId="0" fillId="0" borderId="0" xfId="0" applyNumberFormat="1"/>
    <xf numFmtId="43" fontId="0" fillId="0" borderId="0" xfId="0" applyNumberFormat="1"/>
    <xf numFmtId="43" fontId="0" fillId="0" borderId="0" xfId="1" applyFont="1"/>
    <xf numFmtId="0" fontId="0" fillId="2" borderId="1" xfId="0" applyFill="1" applyBorder="1"/>
    <xf numFmtId="164" fontId="0" fillId="0" borderId="0" xfId="2" applyNumberFormat="1" applyFont="1"/>
    <xf numFmtId="0" fontId="0" fillId="0" borderId="1" xfId="0" applyBorder="1"/>
    <xf numFmtId="166" fontId="0" fillId="0" borderId="1" xfId="0" applyNumberFormat="1" applyBorder="1"/>
    <xf numFmtId="0" fontId="3" fillId="0" borderId="0" xfId="0" applyFont="1" applyFill="1" applyBorder="1"/>
    <xf numFmtId="0" fontId="0" fillId="0" borderId="0" xfId="0" applyFont="1" applyFill="1" applyBorder="1"/>
    <xf numFmtId="0" fontId="0" fillId="0" borderId="0" xfId="0" applyFill="1" applyBorder="1"/>
    <xf numFmtId="0" fontId="0" fillId="3" borderId="1" xfId="0" applyFill="1" applyBorder="1"/>
    <xf numFmtId="9" fontId="0" fillId="0" borderId="0" xfId="3" applyFont="1"/>
    <xf numFmtId="44" fontId="0" fillId="0" borderId="0" xfId="0" applyNumberFormat="1"/>
    <xf numFmtId="10" fontId="0" fillId="0" borderId="0" xfId="3" applyNumberFormat="1" applyFont="1"/>
    <xf numFmtId="166" fontId="0" fillId="0" borderId="1" xfId="3" applyNumberFormat="1" applyFont="1" applyBorder="1"/>
    <xf numFmtId="9" fontId="0" fillId="0" borderId="1" xfId="3" applyFont="1" applyBorder="1" applyAlignment="1"/>
    <xf numFmtId="0" fontId="0" fillId="0" borderId="1" xfId="0" applyBorder="1" applyAlignment="1">
      <alignment horizontal="center" wrapText="1"/>
    </xf>
    <xf numFmtId="0" fontId="0" fillId="5" borderId="0" xfId="0" applyFill="1"/>
    <xf numFmtId="0" fontId="10" fillId="0" borderId="0" xfId="0" applyFont="1" applyFill="1"/>
    <xf numFmtId="2" fontId="0" fillId="0" borderId="0" xfId="0" applyNumberFormat="1"/>
    <xf numFmtId="0" fontId="0" fillId="0" borderId="0" xfId="0" applyAlignment="1"/>
    <xf numFmtId="9" fontId="0" fillId="0" borderId="0" xfId="3" applyFont="1" applyAlignment="1"/>
    <xf numFmtId="2" fontId="11" fillId="0" borderId="0" xfId="0" applyNumberFormat="1" applyFont="1"/>
    <xf numFmtId="0" fontId="0" fillId="7" borderId="0" xfId="0" applyFill="1"/>
    <xf numFmtId="0" fontId="0" fillId="8" borderId="0" xfId="0" applyFill="1"/>
    <xf numFmtId="0" fontId="0" fillId="9" borderId="0" xfId="0" applyFill="1"/>
    <xf numFmtId="0" fontId="0" fillId="6" borderId="0" xfId="0" applyFill="1"/>
    <xf numFmtId="2" fontId="11" fillId="7" borderId="0" xfId="0" applyNumberFormat="1" applyFont="1" applyFill="1"/>
    <xf numFmtId="2" fontId="0" fillId="7" borderId="0" xfId="0" applyNumberFormat="1" applyFill="1"/>
    <xf numFmtId="1" fontId="0" fillId="0" borderId="0" xfId="0" applyNumberFormat="1" applyAlignment="1"/>
    <xf numFmtId="0" fontId="0" fillId="11" borderId="0" xfId="0" applyFill="1" applyAlignment="1"/>
    <xf numFmtId="0" fontId="0" fillId="0" borderId="0" xfId="0" applyAlignment="1">
      <alignment wrapText="1"/>
    </xf>
    <xf numFmtId="164" fontId="0" fillId="0" borderId="0" xfId="0" applyNumberFormat="1"/>
    <xf numFmtId="0" fontId="0" fillId="0" borderId="0" xfId="0" applyFill="1" applyBorder="1" applyAlignment="1"/>
    <xf numFmtId="0" fontId="0" fillId="0" borderId="0" xfId="0" applyFill="1" applyBorder="1" applyAlignment="1">
      <alignment wrapText="1"/>
    </xf>
    <xf numFmtId="43" fontId="0" fillId="0" borderId="0" xfId="1" applyNumberFormat="1" applyFont="1"/>
    <xf numFmtId="44" fontId="0" fillId="0" borderId="0" xfId="2" applyNumberFormat="1" applyFont="1"/>
    <xf numFmtId="44" fontId="0" fillId="0" borderId="0" xfId="2" applyFont="1"/>
    <xf numFmtId="0" fontId="0" fillId="0" borderId="0" xfId="0" applyFont="1" applyFill="1" applyBorder="1" applyAlignment="1"/>
    <xf numFmtId="167" fontId="0" fillId="0" borderId="0" xfId="1" applyNumberFormat="1" applyFont="1" applyFill="1" applyBorder="1" applyAlignment="1"/>
    <xf numFmtId="0" fontId="0" fillId="0" borderId="0" xfId="0" applyFont="1" applyFill="1" applyBorder="1" applyAlignment="1">
      <alignment wrapText="1"/>
    </xf>
    <xf numFmtId="43" fontId="0" fillId="0" borderId="0" xfId="1" applyFont="1" applyFill="1" applyBorder="1" applyAlignment="1"/>
    <xf numFmtId="0" fontId="0" fillId="12" borderId="0" xfId="0" applyFill="1"/>
    <xf numFmtId="9" fontId="0" fillId="12" borderId="0" xfId="3" applyFont="1" applyFill="1"/>
    <xf numFmtId="0" fontId="0" fillId="12" borderId="0" xfId="0" applyFill="1" applyBorder="1" applyAlignment="1"/>
    <xf numFmtId="0" fontId="0" fillId="12" borderId="0" xfId="0" applyFill="1" applyBorder="1" applyAlignment="1">
      <alignment wrapText="1"/>
    </xf>
    <xf numFmtId="9" fontId="0" fillId="0" borderId="0" xfId="3" applyFont="1" applyFill="1" applyBorder="1" applyAlignment="1"/>
    <xf numFmtId="9" fontId="0" fillId="0" borderId="0" xfId="0" applyNumberFormat="1" applyFont="1" applyFill="1" applyBorder="1" applyAlignment="1"/>
    <xf numFmtId="168" fontId="0" fillId="0" borderId="0" xfId="1" applyNumberFormat="1" applyFont="1"/>
    <xf numFmtId="168" fontId="0" fillId="0" borderId="0" xfId="1" applyNumberFormat="1" applyFont="1" applyFill="1" applyBorder="1" applyAlignment="1"/>
    <xf numFmtId="168" fontId="0" fillId="0" borderId="0" xfId="1" applyNumberFormat="1" applyFont="1" applyAlignment="1"/>
    <xf numFmtId="10" fontId="0" fillId="0" borderId="0" xfId="0" applyNumberFormat="1" applyFill="1"/>
    <xf numFmtId="0" fontId="0" fillId="0" borderId="0" xfId="0" applyFill="1" applyAlignment="1">
      <alignment wrapText="1"/>
    </xf>
    <xf numFmtId="2" fontId="0" fillId="0" borderId="0" xfId="0" applyNumberFormat="1" applyAlignment="1"/>
    <xf numFmtId="2" fontId="0" fillId="0" borderId="0" xfId="0" applyNumberFormat="1" applyFill="1" applyAlignment="1"/>
    <xf numFmtId="2" fontId="0" fillId="4" borderId="0" xfId="0" applyNumberFormat="1" applyFill="1" applyAlignment="1"/>
    <xf numFmtId="0" fontId="0" fillId="5" borderId="0" xfId="0" applyFill="1" applyAlignment="1"/>
    <xf numFmtId="10" fontId="0" fillId="5" borderId="0" xfId="0" applyNumberFormat="1" applyFill="1" applyAlignment="1"/>
    <xf numFmtId="0" fontId="0" fillId="3" borderId="0" xfId="0" applyFill="1" applyAlignment="1"/>
    <xf numFmtId="0" fontId="0" fillId="5" borderId="1" xfId="0" applyFill="1" applyBorder="1" applyAlignment="1"/>
    <xf numFmtId="0" fontId="12" fillId="0" borderId="0" xfId="4"/>
    <xf numFmtId="9" fontId="0" fillId="0" borderId="0" xfId="5" applyFont="1"/>
    <xf numFmtId="0" fontId="12" fillId="0" borderId="0" xfId="4" applyFont="1" applyAlignment="1">
      <alignment wrapText="1"/>
    </xf>
    <xf numFmtId="0" fontId="12" fillId="0" borderId="0" xfId="4" applyFont="1"/>
    <xf numFmtId="168" fontId="12" fillId="0" borderId="0" xfId="4" applyNumberFormat="1"/>
    <xf numFmtId="168" fontId="0" fillId="0" borderId="0" xfId="6" applyNumberFormat="1" applyFont="1"/>
    <xf numFmtId="0" fontId="13" fillId="0" borderId="0" xfId="4" applyFont="1" applyFill="1" applyBorder="1" applyAlignment="1">
      <alignment horizontal="center"/>
    </xf>
    <xf numFmtId="0" fontId="12" fillId="0" borderId="0" xfId="4" applyFont="1" applyAlignment="1">
      <alignment horizontal="right" wrapText="1"/>
    </xf>
    <xf numFmtId="0" fontId="13" fillId="0" borderId="0" xfId="4" applyFont="1" applyFill="1" applyBorder="1" applyAlignment="1">
      <alignment horizontal="left"/>
    </xf>
    <xf numFmtId="0" fontId="12" fillId="0" borderId="0" xfId="4" applyBorder="1"/>
    <xf numFmtId="0" fontId="13" fillId="0" borderId="0" xfId="4" applyFont="1" applyBorder="1" applyAlignment="1"/>
    <xf numFmtId="0" fontId="13" fillId="0" borderId="0" xfId="4" applyFont="1" applyBorder="1" applyAlignment="1">
      <alignment horizontal="center"/>
    </xf>
    <xf numFmtId="0" fontId="12" fillId="13" borderId="0" xfId="4" applyFill="1"/>
    <xf numFmtId="0" fontId="12" fillId="0" borderId="0" xfId="4" applyAlignment="1">
      <alignment horizontal="right"/>
    </xf>
    <xf numFmtId="0" fontId="12" fillId="0" borderId="0" xfId="4" applyAlignment="1">
      <alignment horizontal="left"/>
    </xf>
    <xf numFmtId="0" fontId="13" fillId="0" borderId="0" xfId="4" applyFont="1"/>
    <xf numFmtId="0" fontId="12" fillId="0" borderId="0" xfId="4" applyAlignment="1"/>
    <xf numFmtId="0" fontId="12" fillId="14" borderId="0" xfId="4" applyFill="1"/>
    <xf numFmtId="0" fontId="13" fillId="15" borderId="0" xfId="4" applyFont="1" applyFill="1"/>
    <xf numFmtId="0" fontId="12" fillId="0" borderId="3" xfId="4" applyBorder="1"/>
    <xf numFmtId="0" fontId="12" fillId="0" borderId="3" xfId="4" applyBorder="1" applyAlignment="1">
      <alignment horizontal="center"/>
    </xf>
    <xf numFmtId="0" fontId="12" fillId="0" borderId="3" xfId="4" applyBorder="1" applyAlignment="1">
      <alignment horizontal="left"/>
    </xf>
    <xf numFmtId="166" fontId="0" fillId="0" borderId="0" xfId="3" applyNumberFormat="1" applyFont="1"/>
    <xf numFmtId="0" fontId="0" fillId="0" borderId="0" xfId="0" applyFont="1"/>
    <xf numFmtId="169" fontId="14" fillId="0" borderId="0" xfId="0" applyNumberFormat="1" applyFont="1" applyFill="1" applyBorder="1" applyAlignment="1" applyProtection="1">
      <alignment horizontal="left" wrapText="1"/>
    </xf>
    <xf numFmtId="169" fontId="14" fillId="0" borderId="2" xfId="0" applyNumberFormat="1" applyFont="1" applyFill="1" applyBorder="1" applyAlignment="1" applyProtection="1">
      <alignment horizontal="left" wrapText="1"/>
    </xf>
    <xf numFmtId="44" fontId="15" fillId="0" borderId="0" xfId="2" applyFont="1" applyFill="1" applyBorder="1" applyProtection="1"/>
    <xf numFmtId="44" fontId="16" fillId="0" borderId="1" xfId="2" applyFont="1" applyFill="1" applyBorder="1" applyProtection="1"/>
    <xf numFmtId="169" fontId="14" fillId="0" borderId="1" xfId="0" applyNumberFormat="1" applyFont="1" applyBorder="1" applyAlignment="1" applyProtection="1">
      <alignment horizontal="left" wrapText="1"/>
    </xf>
    <xf numFmtId="0" fontId="15" fillId="0" borderId="0" xfId="0" applyFont="1" applyBorder="1" applyAlignment="1">
      <alignment horizontal="center"/>
    </xf>
    <xf numFmtId="0" fontId="16" fillId="0" borderId="1" xfId="0" applyFont="1" applyBorder="1" applyAlignment="1">
      <alignment horizontal="center"/>
    </xf>
    <xf numFmtId="0" fontId="0" fillId="0" borderId="0" xfId="0" quotePrefix="1"/>
    <xf numFmtId="0" fontId="0" fillId="3" borderId="1" xfId="0" applyFont="1" applyFill="1" applyBorder="1"/>
    <xf numFmtId="44" fontId="0" fillId="0" borderId="0" xfId="0" applyNumberFormat="1" applyFont="1"/>
    <xf numFmtId="44" fontId="0" fillId="3" borderId="1" xfId="2" applyFont="1" applyFill="1" applyBorder="1"/>
    <xf numFmtId="166" fontId="0" fillId="0" borderId="0" xfId="0" applyNumberFormat="1"/>
    <xf numFmtId="0" fontId="0" fillId="3" borderId="0" xfId="0" applyFill="1"/>
    <xf numFmtId="0" fontId="3" fillId="0" borderId="0" xfId="7"/>
    <xf numFmtId="168" fontId="0" fillId="0" borderId="0" xfId="8" applyNumberFormat="1" applyFont="1"/>
    <xf numFmtId="168" fontId="0" fillId="2" borderId="1" xfId="0" applyNumberFormat="1" applyFill="1" applyBorder="1"/>
    <xf numFmtId="170" fontId="1" fillId="0" borderId="0" xfId="9" applyNumberFormat="1" applyFill="1" applyAlignment="1">
      <alignment horizontal="center" wrapText="1"/>
    </xf>
    <xf numFmtId="170" fontId="1" fillId="0" borderId="0" xfId="9" applyNumberFormat="1" applyFont="1" applyFill="1" applyAlignment="1">
      <alignment horizontal="center" wrapText="1"/>
    </xf>
    <xf numFmtId="168" fontId="0" fillId="16" borderId="1" xfId="0" applyNumberFormat="1" applyFill="1" applyBorder="1"/>
    <xf numFmtId="43" fontId="0" fillId="0" borderId="0" xfId="10" applyFont="1"/>
    <xf numFmtId="171" fontId="0" fillId="0" borderId="0" xfId="11" applyNumberFormat="1" applyFont="1"/>
    <xf numFmtId="171" fontId="0" fillId="0" borderId="0" xfId="0" applyNumberFormat="1"/>
    <xf numFmtId="0" fontId="0" fillId="0" borderId="0" xfId="0" quotePrefix="1" applyAlignment="1">
      <alignment wrapText="1"/>
    </xf>
    <xf numFmtId="166" fontId="0" fillId="0" borderId="0" xfId="11" applyNumberFormat="1" applyFont="1"/>
    <xf numFmtId="43" fontId="3" fillId="5" borderId="1" xfId="10" applyFont="1" applyFill="1" applyBorder="1"/>
    <xf numFmtId="0" fontId="3" fillId="0" borderId="0" xfId="7" applyFill="1" applyAlignment="1">
      <alignment horizontal="left" wrapText="1"/>
    </xf>
    <xf numFmtId="168" fontId="0" fillId="0" borderId="0" xfId="10" applyNumberFormat="1" applyFont="1"/>
    <xf numFmtId="0" fontId="0" fillId="0" borderId="0" xfId="0" applyFill="1"/>
    <xf numFmtId="0" fontId="0" fillId="16" borderId="1" xfId="0" applyFill="1" applyBorder="1"/>
    <xf numFmtId="43" fontId="0" fillId="0" borderId="0" xfId="10" applyFont="1" applyFill="1"/>
    <xf numFmtId="1" fontId="3" fillId="0" borderId="0" xfId="7" applyNumberFormat="1" applyFill="1"/>
    <xf numFmtId="1" fontId="3" fillId="0" borderId="0" xfId="7" applyNumberFormat="1" applyFill="1" applyAlignment="1">
      <alignment wrapText="1"/>
    </xf>
    <xf numFmtId="0" fontId="3" fillId="0" borderId="0" xfId="7" applyFill="1"/>
    <xf numFmtId="168" fontId="0" fillId="0" borderId="0" xfId="10" applyNumberFormat="1" applyFont="1" applyFill="1"/>
    <xf numFmtId="1" fontId="3" fillId="14" borderId="0" xfId="7" applyNumberFormat="1" applyFill="1" applyAlignment="1">
      <alignment wrapText="1"/>
    </xf>
    <xf numFmtId="3" fontId="0" fillId="5" borderId="1" xfId="0" applyNumberFormat="1" applyFill="1" applyBorder="1" applyAlignment="1"/>
    <xf numFmtId="0" fontId="0" fillId="0" borderId="0" xfId="0" applyAlignment="1">
      <alignment horizontal="left" indent="1"/>
    </xf>
    <xf numFmtId="0" fontId="3" fillId="0" borderId="0" xfId="7" applyFill="1" applyAlignment="1">
      <alignment horizontal="center" wrapText="1"/>
    </xf>
    <xf numFmtId="168" fontId="18" fillId="5" borderId="1" xfId="10" applyNumberFormat="1" applyFont="1" applyFill="1" applyBorder="1"/>
    <xf numFmtId="168" fontId="18" fillId="16" borderId="1" xfId="8" applyNumberFormat="1" applyFont="1" applyFill="1" applyBorder="1"/>
    <xf numFmtId="0" fontId="18" fillId="17" borderId="0" xfId="7" applyFont="1" applyFill="1" applyAlignment="1">
      <alignment wrapText="1"/>
    </xf>
    <xf numFmtId="0" fontId="18" fillId="18" borderId="0" xfId="7" applyFont="1" applyFill="1" applyBorder="1" applyAlignment="1">
      <alignment horizontal="left" vertical="center"/>
    </xf>
    <xf numFmtId="168" fontId="19" fillId="5" borderId="1" xfId="10" applyNumberFormat="1" applyFont="1" applyFill="1" applyBorder="1"/>
    <xf numFmtId="0" fontId="18" fillId="18" borderId="0" xfId="7" applyFont="1" applyFill="1" applyBorder="1" applyAlignment="1">
      <alignment vertical="center"/>
    </xf>
    <xf numFmtId="168" fontId="18" fillId="5" borderId="4" xfId="10" applyNumberFormat="1" applyFont="1" applyFill="1" applyBorder="1"/>
    <xf numFmtId="168" fontId="18" fillId="0" borderId="0" xfId="10" applyNumberFormat="1" applyFont="1"/>
    <xf numFmtId="170" fontId="18" fillId="19" borderId="0" xfId="7" applyNumberFormat="1" applyFont="1" applyFill="1" applyBorder="1" applyAlignment="1">
      <alignment horizontal="left" vertical="center" wrapText="1"/>
    </xf>
    <xf numFmtId="0" fontId="3" fillId="20" borderId="5" xfId="7" applyFill="1" applyBorder="1" applyAlignment="1">
      <alignment horizontal="left" vertical="center"/>
    </xf>
    <xf numFmtId="170" fontId="20" fillId="0" borderId="0" xfId="7" applyNumberFormat="1" applyFont="1" applyFill="1" applyAlignment="1">
      <alignment wrapText="1"/>
    </xf>
    <xf numFmtId="170" fontId="3" fillId="0" borderId="0" xfId="7" applyNumberFormat="1" applyFont="1" applyBorder="1" applyAlignment="1">
      <alignment vertical="center" wrapText="1"/>
    </xf>
    <xf numFmtId="168" fontId="1" fillId="5" borderId="1" xfId="8" applyNumberFormat="1" applyFont="1" applyFill="1" applyBorder="1"/>
    <xf numFmtId="170" fontId="21" fillId="0" borderId="0" xfId="9" applyNumberFormat="1" applyFont="1" applyFill="1" applyAlignment="1">
      <alignment horizontal="left" wrapText="1"/>
    </xf>
    <xf numFmtId="3" fontId="0" fillId="0" borderId="0" xfId="0" applyNumberFormat="1"/>
    <xf numFmtId="168" fontId="0" fillId="16" borderId="1" xfId="8" applyNumberFormat="1" applyFont="1" applyFill="1" applyBorder="1"/>
    <xf numFmtId="1" fontId="0" fillId="0" borderId="0" xfId="0" applyNumberFormat="1"/>
    <xf numFmtId="171" fontId="3" fillId="0" borderId="0" xfId="7" applyNumberFormat="1"/>
    <xf numFmtId="168" fontId="0" fillId="0" borderId="0" xfId="0" applyNumberFormat="1" applyAlignment="1">
      <alignment wrapText="1"/>
    </xf>
    <xf numFmtId="0" fontId="3" fillId="0" borderId="0" xfId="7" applyAlignment="1">
      <alignment wrapText="1"/>
    </xf>
    <xf numFmtId="170" fontId="3" fillId="0" borderId="0" xfId="7" applyNumberFormat="1" applyAlignment="1">
      <alignment wrapText="1"/>
    </xf>
    <xf numFmtId="170" fontId="3" fillId="0" borderId="0" xfId="7" applyNumberFormat="1" applyFont="1" applyAlignment="1">
      <alignment wrapText="1"/>
    </xf>
    <xf numFmtId="170" fontId="3" fillId="0" borderId="0" xfId="7" applyNumberFormat="1" applyBorder="1" applyAlignment="1">
      <alignment vertical="center" wrapText="1"/>
    </xf>
    <xf numFmtId="0" fontId="0" fillId="0" borderId="0" xfId="0" applyAlignment="1">
      <alignment horizontal="center"/>
    </xf>
    <xf numFmtId="164" fontId="0" fillId="0" borderId="0" xfId="0" applyNumberFormat="1" applyAlignment="1">
      <alignment horizontal="center"/>
    </xf>
    <xf numFmtId="0" fontId="0" fillId="0" borderId="0" xfId="0" applyAlignment="1">
      <alignment horizontal="left"/>
    </xf>
    <xf numFmtId="166" fontId="0" fillId="0" borderId="0" xfId="3" applyNumberFormat="1" applyFont="1" applyAlignment="1">
      <alignment horizontal="right"/>
    </xf>
    <xf numFmtId="0" fontId="0" fillId="0" borderId="0" xfId="0" applyAlignment="1">
      <alignment horizontal="right"/>
    </xf>
    <xf numFmtId="0" fontId="4" fillId="0" borderId="0" xfId="0" applyFont="1" applyAlignment="1">
      <alignment horizontal="left"/>
    </xf>
    <xf numFmtId="0" fontId="0" fillId="12" borderId="0" xfId="0" applyFill="1" applyAlignment="1">
      <alignment horizontal="center"/>
    </xf>
    <xf numFmtId="164" fontId="0" fillId="0" borderId="0" xfId="2" applyNumberFormat="1" applyFont="1" applyAlignment="1">
      <alignment horizontal="center"/>
    </xf>
    <xf numFmtId="2" fontId="0" fillId="0" borderId="0" xfId="0" applyNumberFormat="1" applyAlignment="1">
      <alignment horizontal="center"/>
    </xf>
    <xf numFmtId="2" fontId="0" fillId="6" borderId="0" xfId="0" applyNumberFormat="1" applyFill="1" applyAlignment="1"/>
    <xf numFmtId="0" fontId="0" fillId="11" borderId="0" xfId="0" applyFill="1" applyAlignment="1">
      <alignment horizontal="center"/>
    </xf>
    <xf numFmtId="165" fontId="0" fillId="0" borderId="0" xfId="0" applyNumberFormat="1" applyAlignment="1"/>
    <xf numFmtId="168" fontId="0" fillId="12" borderId="0" xfId="0" applyNumberFormat="1" applyFill="1" applyAlignment="1">
      <alignment horizontal="center"/>
    </xf>
    <xf numFmtId="168" fontId="0" fillId="0" borderId="0" xfId="1" applyNumberFormat="1" applyFont="1" applyAlignment="1">
      <alignment horizontal="center"/>
    </xf>
    <xf numFmtId="165" fontId="0" fillId="12" borderId="0" xfId="0" applyNumberFormat="1" applyFill="1" applyAlignment="1">
      <alignment horizontal="right"/>
    </xf>
    <xf numFmtId="10" fontId="0" fillId="0" borderId="0" xfId="0" applyNumberFormat="1" applyAlignment="1">
      <alignment horizontal="right"/>
    </xf>
    <xf numFmtId="10" fontId="0" fillId="0" borderId="0" xfId="0" applyNumberFormat="1" applyFill="1" applyAlignment="1"/>
    <xf numFmtId="0" fontId="0" fillId="0" borderId="0" xfId="0" applyFill="1" applyAlignment="1"/>
    <xf numFmtId="166" fontId="0" fillId="12" borderId="0" xfId="3" applyNumberFormat="1" applyFont="1" applyFill="1"/>
    <xf numFmtId="10" fontId="0" fillId="0" borderId="0" xfId="3" applyNumberFormat="1" applyFont="1" applyAlignment="1"/>
    <xf numFmtId="166" fontId="0" fillId="0" borderId="0" xfId="3" applyNumberFormat="1" applyFont="1" applyAlignment="1">
      <alignment horizontal="center"/>
    </xf>
    <xf numFmtId="2" fontId="0" fillId="5" borderId="1" xfId="0" applyNumberFormat="1" applyFill="1" applyBorder="1" applyAlignment="1"/>
    <xf numFmtId="0" fontId="0" fillId="0" borderId="0" xfId="0" applyFill="1" applyAlignment="1">
      <alignment horizontal="center"/>
    </xf>
    <xf numFmtId="10" fontId="0" fillId="5" borderId="1" xfId="0" applyNumberFormat="1" applyFill="1" applyBorder="1" applyAlignment="1">
      <alignment horizontal="right"/>
    </xf>
    <xf numFmtId="0" fontId="0" fillId="3" borderId="0" xfId="0" applyFill="1" applyAlignment="1">
      <alignment horizontal="center"/>
    </xf>
    <xf numFmtId="173" fontId="0" fillId="0" borderId="0" xfId="0" applyNumberFormat="1"/>
    <xf numFmtId="3" fontId="0" fillId="3" borderId="0" xfId="0" applyNumberFormat="1" applyFill="1" applyProtection="1">
      <protection locked="0"/>
    </xf>
    <xf numFmtId="174" fontId="0" fillId="0" borderId="0" xfId="0" applyNumberFormat="1"/>
    <xf numFmtId="3" fontId="0" fillId="0" borderId="0" xfId="0" applyNumberFormat="1" applyFill="1" applyProtection="1">
      <protection locked="0"/>
    </xf>
    <xf numFmtId="3" fontId="0" fillId="0" borderId="0" xfId="0" applyNumberFormat="1" applyFill="1"/>
    <xf numFmtId="3" fontId="0" fillId="5" borderId="0" xfId="0" applyNumberFormat="1" applyFill="1"/>
    <xf numFmtId="0" fontId="18" fillId="0" borderId="0" xfId="0" applyFont="1" applyAlignment="1"/>
    <xf numFmtId="0" fontId="0" fillId="0" borderId="0" xfId="0" applyFill="1" applyBorder="1" applyAlignment="1">
      <alignment horizontal="left" indent="1"/>
    </xf>
    <xf numFmtId="0" fontId="24" fillId="0" borderId="0" xfId="0" applyFont="1"/>
    <xf numFmtId="0" fontId="0" fillId="0" borderId="0" xfId="0" applyFill="1" applyBorder="1" applyAlignment="1">
      <alignment horizontal="left"/>
    </xf>
    <xf numFmtId="173" fontId="0" fillId="0" borderId="0" xfId="8" applyNumberFormat="1" applyFont="1"/>
    <xf numFmtId="168" fontId="0" fillId="0" borderId="0" xfId="0" applyNumberFormat="1"/>
    <xf numFmtId="43" fontId="0" fillId="0" borderId="0" xfId="8" applyNumberFormat="1" applyFont="1"/>
    <xf numFmtId="0" fontId="0" fillId="2" borderId="0" xfId="0" applyFill="1" applyBorder="1" applyAlignment="1">
      <alignment horizontal="left"/>
    </xf>
    <xf numFmtId="174" fontId="0" fillId="0" borderId="0" xfId="0" applyNumberFormat="1" applyBorder="1"/>
    <xf numFmtId="164" fontId="1" fillId="0" borderId="0" xfId="12" applyNumberFormat="1" applyFont="1" applyFill="1" applyBorder="1" applyAlignment="1" applyProtection="1">
      <alignment horizontal="right"/>
      <protection locked="0"/>
    </xf>
    <xf numFmtId="168" fontId="0" fillId="0" borderId="0" xfId="0" applyNumberFormat="1" applyFont="1"/>
    <xf numFmtId="7" fontId="0" fillId="0" borderId="1" xfId="12" applyNumberFormat="1" applyFont="1" applyFill="1" applyBorder="1"/>
    <xf numFmtId="1" fontId="0" fillId="3" borderId="1" xfId="0" applyNumberFormat="1" applyFill="1" applyBorder="1" applyProtection="1">
      <protection locked="0"/>
    </xf>
    <xf numFmtId="0" fontId="0" fillId="0" borderId="0" xfId="0" applyBorder="1"/>
    <xf numFmtId="9" fontId="0" fillId="3" borderId="1" xfId="11" applyFont="1" applyFill="1" applyBorder="1" applyProtection="1">
      <protection locked="0"/>
    </xf>
    <xf numFmtId="0" fontId="0" fillId="0" borderId="6" xfId="0" applyFill="1" applyBorder="1" applyAlignment="1">
      <alignment horizontal="left"/>
    </xf>
    <xf numFmtId="0" fontId="0" fillId="12" borderId="0" xfId="0" applyFill="1" applyAlignment="1">
      <alignment wrapText="1"/>
    </xf>
    <xf numFmtId="0" fontId="26" fillId="0" borderId="0" xfId="13" applyAlignment="1" applyProtection="1"/>
    <xf numFmtId="0" fontId="0" fillId="2" borderId="1" xfId="0" applyFill="1" applyBorder="1" applyAlignment="1">
      <alignment horizontal="center"/>
    </xf>
    <xf numFmtId="0" fontId="0" fillId="2" borderId="0" xfId="0" applyFill="1" applyBorder="1"/>
    <xf numFmtId="170" fontId="0" fillId="0" borderId="1" xfId="0" applyNumberFormat="1" applyFill="1" applyBorder="1"/>
    <xf numFmtId="0" fontId="0" fillId="0" borderId="0" xfId="0" applyFill="1" applyBorder="1" applyAlignment="1">
      <alignment horizontal="right"/>
    </xf>
    <xf numFmtId="167" fontId="0" fillId="0" borderId="0" xfId="8" applyNumberFormat="1" applyFont="1"/>
    <xf numFmtId="0" fontId="15" fillId="3" borderId="1" xfId="0" applyFont="1" applyFill="1" applyBorder="1" applyProtection="1">
      <protection locked="0"/>
    </xf>
    <xf numFmtId="0" fontId="0" fillId="0" borderId="0" xfId="0" quotePrefix="1" applyFill="1" applyBorder="1"/>
    <xf numFmtId="174" fontId="15" fillId="3" borderId="1" xfId="0" applyNumberFormat="1" applyFont="1" applyFill="1" applyBorder="1" applyProtection="1">
      <protection locked="0"/>
    </xf>
    <xf numFmtId="174" fontId="1" fillId="3" borderId="1" xfId="14" applyNumberFormat="1" applyFill="1" applyBorder="1" applyProtection="1">
      <protection locked="0"/>
    </xf>
    <xf numFmtId="0" fontId="0" fillId="0" borderId="0" xfId="0" applyFill="1" applyBorder="1" applyAlignment="1">
      <alignment vertical="center" wrapText="1"/>
    </xf>
    <xf numFmtId="0" fontId="15" fillId="0" borderId="0" xfId="0" applyFont="1"/>
    <xf numFmtId="0" fontId="24" fillId="0" borderId="0" xfId="0" applyFont="1" applyFill="1" applyBorder="1"/>
    <xf numFmtId="44" fontId="1" fillId="0" borderId="0" xfId="12" applyFont="1" applyFill="1" applyBorder="1" applyProtection="1">
      <protection locked="0"/>
    </xf>
    <xf numFmtId="43" fontId="0" fillId="0" borderId="0" xfId="0" applyNumberFormat="1" applyFill="1" applyBorder="1" applyProtection="1">
      <protection locked="0"/>
    </xf>
    <xf numFmtId="0" fontId="0" fillId="2" borderId="0" xfId="0" applyFill="1"/>
    <xf numFmtId="43" fontId="27" fillId="3" borderId="1" xfId="0" applyNumberFormat="1" applyFont="1" applyFill="1" applyBorder="1" applyProtection="1">
      <protection locked="0"/>
    </xf>
    <xf numFmtId="0" fontId="0" fillId="0" borderId="0" xfId="0" applyFill="1" applyBorder="1" applyProtection="1">
      <protection locked="0"/>
    </xf>
    <xf numFmtId="44" fontId="1" fillId="3" borderId="1" xfId="12" applyFont="1" applyFill="1" applyBorder="1" applyProtection="1">
      <protection locked="0"/>
    </xf>
    <xf numFmtId="0" fontId="0" fillId="3" borderId="1" xfId="0" applyFill="1" applyBorder="1" applyProtection="1">
      <protection locked="0"/>
    </xf>
    <xf numFmtId="44" fontId="1" fillId="0" borderId="7" xfId="12" applyFont="1" applyFill="1" applyBorder="1" applyProtection="1">
      <protection locked="0"/>
    </xf>
    <xf numFmtId="175" fontId="0" fillId="0" borderId="1" xfId="8" applyNumberFormat="1" applyFont="1" applyFill="1" applyBorder="1" applyAlignment="1" applyProtection="1">
      <alignment horizontal="right"/>
    </xf>
    <xf numFmtId="168" fontId="0" fillId="3" borderId="1" xfId="8" applyNumberFormat="1" applyFont="1" applyFill="1" applyBorder="1" applyAlignment="1" applyProtection="1">
      <alignment horizontal="right"/>
      <protection locked="0"/>
    </xf>
    <xf numFmtId="0" fontId="0" fillId="0" borderId="7" xfId="0" applyFill="1" applyBorder="1" applyProtection="1">
      <protection locked="0"/>
    </xf>
    <xf numFmtId="0" fontId="2" fillId="2" borderId="0" xfId="0" applyFont="1" applyFill="1"/>
    <xf numFmtId="0" fontId="21" fillId="2" borderId="1" xfId="0" quotePrefix="1" applyFont="1" applyFill="1" applyBorder="1" applyAlignment="1">
      <alignment horizontal="center"/>
    </xf>
    <xf numFmtId="0" fontId="21" fillId="2" borderId="1" xfId="0" applyFont="1" applyFill="1" applyBorder="1" applyAlignment="1">
      <alignment horizontal="center" wrapText="1"/>
    </xf>
    <xf numFmtId="0" fontId="0" fillId="2" borderId="7" xfId="0" applyFill="1" applyBorder="1" applyAlignment="1"/>
    <xf numFmtId="164" fontId="1" fillId="0" borderId="0" xfId="12" applyNumberFormat="1" applyFont="1" applyFill="1" applyBorder="1" applyProtection="1">
      <protection locked="0"/>
    </xf>
    <xf numFmtId="0" fontId="1" fillId="0" borderId="0" xfId="14" applyFont="1" applyFill="1" applyBorder="1" applyAlignment="1">
      <alignment horizontal="left" indent="1"/>
    </xf>
    <xf numFmtId="0" fontId="1" fillId="2" borderId="0" xfId="14" applyFont="1" applyFill="1" applyBorder="1" applyAlignment="1">
      <alignment horizontal="left" indent="1"/>
    </xf>
    <xf numFmtId="9" fontId="0" fillId="0" borderId="0" xfId="11" applyFont="1"/>
    <xf numFmtId="164" fontId="1" fillId="3" borderId="1" xfId="12" applyNumberFormat="1" applyFont="1" applyFill="1" applyBorder="1" applyProtection="1">
      <protection locked="0"/>
    </xf>
    <xf numFmtId="164" fontId="1" fillId="0" borderId="1" xfId="12" applyNumberFormat="1" applyFont="1" applyFill="1" applyBorder="1" applyProtection="1">
      <protection locked="0"/>
    </xf>
    <xf numFmtId="0" fontId="0" fillId="2" borderId="0" xfId="0" applyFill="1" applyBorder="1" applyAlignment="1">
      <alignment horizontal="left" indent="1"/>
    </xf>
    <xf numFmtId="164" fontId="2" fillId="2" borderId="0" xfId="12" applyNumberFormat="1" applyFont="1" applyFill="1" applyBorder="1"/>
    <xf numFmtId="0" fontId="2" fillId="2" borderId="0" xfId="0" applyFont="1" applyFill="1" applyBorder="1" applyAlignment="1">
      <alignment horizontal="left"/>
    </xf>
    <xf numFmtId="0" fontId="2" fillId="2" borderId="0" xfId="0" applyFont="1" applyFill="1" applyBorder="1" applyAlignment="1">
      <alignment horizontal="left" indent="1"/>
    </xf>
    <xf numFmtId="0" fontId="0" fillId="0" borderId="8" xfId="0" applyFont="1" applyFill="1" applyBorder="1"/>
    <xf numFmtId="0" fontId="2" fillId="2" borderId="0" xfId="0" applyFont="1" applyFill="1" applyBorder="1"/>
    <xf numFmtId="0" fontId="28" fillId="0" borderId="0" xfId="13" applyFont="1" applyFill="1" applyAlignment="1" applyProtection="1">
      <protection locked="0"/>
    </xf>
    <xf numFmtId="4" fontId="0" fillId="0" borderId="0" xfId="0" applyNumberFormat="1"/>
    <xf numFmtId="0" fontId="0" fillId="0" borderId="9" xfId="0" applyBorder="1"/>
    <xf numFmtId="0" fontId="0" fillId="2" borderId="0" xfId="0" applyFill="1" applyBorder="1" applyAlignment="1">
      <alignment horizontal="center"/>
    </xf>
    <xf numFmtId="0" fontId="0" fillId="2" borderId="0" xfId="0" quotePrefix="1" applyFill="1" applyBorder="1" applyAlignment="1">
      <alignment horizontal="center"/>
    </xf>
    <xf numFmtId="0" fontId="0" fillId="2" borderId="10" xfId="0" applyFill="1" applyBorder="1"/>
    <xf numFmtId="0" fontId="24" fillId="2" borderId="10" xfId="0" quotePrefix="1" applyFont="1" applyFill="1" applyBorder="1" applyAlignment="1">
      <alignment horizontal="center"/>
    </xf>
    <xf numFmtId="0" fontId="0" fillId="2" borderId="11" xfId="0" applyFill="1" applyBorder="1"/>
    <xf numFmtId="164" fontId="1" fillId="2" borderId="11" xfId="12" applyNumberFormat="1" applyFont="1" applyFill="1" applyBorder="1" applyAlignment="1">
      <alignment horizontal="right"/>
    </xf>
    <xf numFmtId="0" fontId="0" fillId="2" borderId="9" xfId="0" applyFill="1" applyBorder="1"/>
    <xf numFmtId="0" fontId="0" fillId="3" borderId="1" xfId="0" applyFill="1" applyBorder="1" applyAlignment="1" applyProtection="1">
      <alignment horizontal="right"/>
      <protection locked="0"/>
    </xf>
    <xf numFmtId="0" fontId="0" fillId="2" borderId="0" xfId="0" applyFill="1" applyBorder="1" applyAlignment="1"/>
    <xf numFmtId="176" fontId="1" fillId="3" borderId="1" xfId="11" applyNumberFormat="1" applyFont="1" applyFill="1" applyBorder="1" applyAlignment="1" applyProtection="1">
      <alignment horizontal="right"/>
      <protection locked="0"/>
    </xf>
    <xf numFmtId="0" fontId="0" fillId="2" borderId="12" xfId="0" applyFill="1" applyBorder="1"/>
    <xf numFmtId="0" fontId="0" fillId="2" borderId="12" xfId="0" applyFill="1" applyBorder="1" applyAlignment="1">
      <alignment horizontal="right"/>
    </xf>
    <xf numFmtId="174" fontId="1" fillId="3" borderId="1" xfId="12" applyNumberFormat="1" applyFont="1" applyFill="1" applyBorder="1" applyAlignment="1" applyProtection="1">
      <alignment horizontal="right"/>
      <protection locked="0"/>
    </xf>
    <xf numFmtId="177" fontId="1" fillId="3" borderId="1" xfId="12" applyNumberFormat="1" applyFont="1" applyFill="1" applyBorder="1" applyAlignment="1" applyProtection="1">
      <alignment horizontal="right"/>
      <protection locked="0"/>
    </xf>
    <xf numFmtId="0" fontId="0" fillId="2" borderId="13" xfId="0" applyFill="1" applyBorder="1" applyAlignment="1">
      <alignment horizontal="center"/>
    </xf>
    <xf numFmtId="164" fontId="1" fillId="3" borderId="1" xfId="12" applyNumberFormat="1" applyFont="1" applyFill="1" applyBorder="1" applyAlignment="1" applyProtection="1">
      <alignment horizontal="right"/>
      <protection locked="0"/>
    </xf>
    <xf numFmtId="44" fontId="1" fillId="3" borderId="1" xfId="12" applyFont="1" applyFill="1" applyBorder="1" applyAlignment="1" applyProtection="1">
      <alignment horizontal="right"/>
      <protection locked="0"/>
    </xf>
    <xf numFmtId="0" fontId="0" fillId="2" borderId="13" xfId="0" applyFill="1" applyBorder="1"/>
    <xf numFmtId="0" fontId="0" fillId="2" borderId="14" xfId="0" applyFill="1" applyBorder="1"/>
    <xf numFmtId="0" fontId="21" fillId="2" borderId="0" xfId="0" quotePrefix="1" applyFont="1" applyFill="1" applyBorder="1" applyAlignment="1">
      <alignment horizontal="center"/>
    </xf>
    <xf numFmtId="0" fontId="21" fillId="3" borderId="1" xfId="0" applyFont="1" applyFill="1" applyBorder="1" applyAlignment="1" applyProtection="1">
      <alignment horizontal="center"/>
      <protection locked="0"/>
    </xf>
    <xf numFmtId="0" fontId="17" fillId="0" borderId="0" xfId="15"/>
    <xf numFmtId="0" fontId="17" fillId="3" borderId="1" xfId="15" applyFill="1" applyBorder="1"/>
    <xf numFmtId="0" fontId="17" fillId="2" borderId="0" xfId="15" applyFill="1"/>
    <xf numFmtId="0" fontId="2" fillId="2" borderId="0" xfId="15" applyFont="1" applyFill="1" applyBorder="1" applyAlignment="1"/>
    <xf numFmtId="0" fontId="2" fillId="2" borderId="9" xfId="15" applyFont="1" applyFill="1" applyBorder="1" applyAlignment="1"/>
    <xf numFmtId="0" fontId="29" fillId="0" borderId="0" xfId="0" applyFont="1" applyFill="1"/>
    <xf numFmtId="166" fontId="0" fillId="0" borderId="0" xfId="3" applyNumberFormat="1" applyFont="1" applyAlignment="1"/>
    <xf numFmtId="168" fontId="0" fillId="5" borderId="0" xfId="1" applyNumberFormat="1" applyFont="1" applyFill="1" applyAlignment="1"/>
    <xf numFmtId="9" fontId="0" fillId="10" borderId="0" xfId="3" applyFont="1" applyFill="1" applyAlignment="1"/>
    <xf numFmtId="168" fontId="0" fillId="10" borderId="0" xfId="1" applyNumberFormat="1" applyFont="1" applyFill="1" applyAlignment="1"/>
    <xf numFmtId="174" fontId="3" fillId="0" borderId="1" xfId="15" applyNumberFormat="1" applyFont="1" applyFill="1" applyBorder="1"/>
    <xf numFmtId="0" fontId="3" fillId="0" borderId="0" xfId="15" quotePrefix="1" applyFont="1" applyAlignment="1">
      <alignment horizontal="center"/>
    </xf>
    <xf numFmtId="0" fontId="3" fillId="0" borderId="0" xfId="15" applyFont="1"/>
    <xf numFmtId="0" fontId="0" fillId="3" borderId="1" xfId="11" applyNumberFormat="1" applyFont="1" applyFill="1" applyBorder="1" applyProtection="1">
      <protection locked="0"/>
    </xf>
    <xf numFmtId="170" fontId="17" fillId="0" borderId="0" xfId="15" applyNumberFormat="1" applyBorder="1" applyAlignment="1">
      <alignment vertical="center"/>
    </xf>
    <xf numFmtId="170" fontId="17" fillId="0" borderId="0" xfId="15" applyNumberFormat="1" applyBorder="1" applyAlignment="1">
      <alignment horizontal="left" vertical="center"/>
    </xf>
    <xf numFmtId="166" fontId="3" fillId="3" borderId="1" xfId="11" quotePrefix="1" applyNumberFormat="1" applyFont="1" applyFill="1" applyBorder="1" applyProtection="1">
      <protection locked="0"/>
    </xf>
    <xf numFmtId="0" fontId="3" fillId="0" borderId="0" xfId="15" applyFont="1" applyAlignment="1">
      <alignment horizontal="center"/>
    </xf>
    <xf numFmtId="173" fontId="3" fillId="3" borderId="1" xfId="12" applyNumberFormat="1" applyFont="1" applyFill="1" applyBorder="1" applyProtection="1">
      <protection locked="0"/>
    </xf>
    <xf numFmtId="0" fontId="17" fillId="0" borderId="0" xfId="15" quotePrefix="1" applyFont="1" applyAlignment="1">
      <alignment horizontal="center"/>
    </xf>
    <xf numFmtId="0" fontId="3" fillId="0" borderId="0" xfId="15" applyFont="1" applyFill="1" applyAlignment="1"/>
    <xf numFmtId="0" fontId="3" fillId="0" borderId="0" xfId="15" applyFont="1" applyAlignment="1"/>
    <xf numFmtId="0" fontId="30" fillId="0" borderId="0" xfId="15" applyFont="1"/>
    <xf numFmtId="8" fontId="3" fillId="0" borderId="0" xfId="0" applyNumberFormat="1" applyFont="1" applyFill="1" applyBorder="1"/>
    <xf numFmtId="164" fontId="3" fillId="0" borderId="0" xfId="0" applyNumberFormat="1" applyFont="1" applyFill="1" applyBorder="1"/>
    <xf numFmtId="168" fontId="3" fillId="0" borderId="0" xfId="8" applyNumberFormat="1" applyFont="1" applyFill="1" applyBorder="1"/>
    <xf numFmtId="43" fontId="3" fillId="0" borderId="0" xfId="8" applyNumberFormat="1" applyFont="1" applyFill="1" applyBorder="1"/>
    <xf numFmtId="44" fontId="3" fillId="0" borderId="0" xfId="0" applyNumberFormat="1" applyFont="1" applyFill="1" applyBorder="1"/>
    <xf numFmtId="164" fontId="3" fillId="0" borderId="0" xfId="0" applyNumberFormat="1" applyFont="1" applyFill="1" applyBorder="1" applyAlignment="1">
      <alignment wrapText="1"/>
    </xf>
    <xf numFmtId="174" fontId="0" fillId="0" borderId="0" xfId="8" applyNumberFormat="1" applyFont="1"/>
    <xf numFmtId="174" fontId="0" fillId="0" borderId="1" xfId="0" applyNumberFormat="1" applyBorder="1"/>
    <xf numFmtId="174" fontId="3" fillId="0" borderId="7" xfId="0" applyNumberFormat="1" applyFont="1" applyFill="1" applyBorder="1"/>
    <xf numFmtId="0" fontId="3" fillId="0" borderId="0" xfId="0" quotePrefix="1" applyFont="1" applyAlignment="1">
      <alignment horizontal="center"/>
    </xf>
    <xf numFmtId="174" fontId="3" fillId="15" borderId="1" xfId="12" applyNumberFormat="1" applyFont="1" applyFill="1" applyBorder="1" applyProtection="1">
      <protection locked="0"/>
    </xf>
    <xf numFmtId="174" fontId="3" fillId="3" borderId="1" xfId="12" applyNumberFormat="1" applyFont="1" applyFill="1" applyBorder="1" applyProtection="1">
      <protection locked="0"/>
    </xf>
    <xf numFmtId="174" fontId="3" fillId="3" borderId="1" xfId="8" applyNumberFormat="1" applyFont="1" applyFill="1" applyBorder="1" applyProtection="1">
      <protection locked="0"/>
    </xf>
    <xf numFmtId="0" fontId="0" fillId="0" borderId="0" xfId="0" quotePrefix="1" applyFont="1" applyAlignment="1">
      <alignment horizontal="center"/>
    </xf>
    <xf numFmtId="0" fontId="3" fillId="0" borderId="0" xfId="0" applyFont="1"/>
    <xf numFmtId="168" fontId="3" fillId="15" borderId="1" xfId="8" applyNumberFormat="1" applyFont="1" applyFill="1" applyBorder="1" applyProtection="1">
      <protection locked="0"/>
    </xf>
    <xf numFmtId="168" fontId="3" fillId="3" borderId="1" xfId="8" applyNumberFormat="1" applyFont="1" applyFill="1" applyBorder="1" applyProtection="1">
      <protection locked="0"/>
    </xf>
    <xf numFmtId="174" fontId="3" fillId="0" borderId="1" xfId="0" applyNumberFormat="1" applyFont="1" applyFill="1" applyBorder="1"/>
    <xf numFmtId="168" fontId="0" fillId="15" borderId="1" xfId="8" applyNumberFormat="1" applyFont="1" applyFill="1" applyBorder="1" applyProtection="1">
      <protection locked="0"/>
    </xf>
    <xf numFmtId="168" fontId="0" fillId="3" borderId="1" xfId="8" applyNumberFormat="1" applyFont="1" applyFill="1" applyBorder="1" applyProtection="1">
      <protection locked="0"/>
    </xf>
    <xf numFmtId="170" fontId="0" fillId="0" borderId="0" xfId="0" applyNumberFormat="1" applyBorder="1" applyAlignment="1">
      <alignment vertical="center"/>
    </xf>
    <xf numFmtId="170" fontId="0" fillId="0" borderId="0" xfId="0" applyNumberFormat="1" applyBorder="1" applyAlignment="1">
      <alignment horizontal="left" vertical="center"/>
    </xf>
    <xf numFmtId="166" fontId="3" fillId="15" borderId="1" xfId="11" quotePrefix="1" applyNumberFormat="1" applyFont="1" applyFill="1" applyBorder="1" applyProtection="1">
      <protection locked="0"/>
    </xf>
    <xf numFmtId="0" fontId="3" fillId="0" borderId="0" xfId="0" applyFont="1" applyAlignment="1">
      <alignment horizontal="center"/>
    </xf>
    <xf numFmtId="173" fontId="3" fillId="15" borderId="1" xfId="12" applyNumberFormat="1" applyFont="1" applyFill="1" applyBorder="1" applyProtection="1">
      <protection locked="0"/>
    </xf>
    <xf numFmtId="0" fontId="3" fillId="0" borderId="0" xfId="0" applyFont="1" applyFill="1" applyAlignment="1"/>
    <xf numFmtId="7" fontId="3" fillId="15" borderId="1" xfId="11" applyNumberFormat="1" applyFont="1" applyFill="1" applyBorder="1" applyProtection="1">
      <protection locked="0"/>
    </xf>
    <xf numFmtId="7" fontId="3" fillId="3" borderId="1" xfId="11" applyNumberFormat="1" applyFont="1" applyFill="1" applyBorder="1" applyProtection="1">
      <protection locked="0"/>
    </xf>
    <xf numFmtId="9" fontId="3" fillId="3" borderId="1" xfId="11" applyNumberFormat="1" applyFont="1" applyFill="1" applyBorder="1" applyProtection="1">
      <protection locked="0"/>
    </xf>
    <xf numFmtId="170" fontId="0" fillId="0" borderId="0" xfId="0" applyNumberFormat="1" applyFill="1" applyBorder="1" applyAlignment="1">
      <alignment vertical="center"/>
    </xf>
    <xf numFmtId="9" fontId="0" fillId="3" borderId="0" xfId="0" applyNumberFormat="1" applyFill="1"/>
    <xf numFmtId="0" fontId="3" fillId="0" borderId="0" xfId="0" applyFont="1" applyAlignment="1"/>
    <xf numFmtId="0" fontId="30" fillId="0" borderId="0" xfId="0" applyFont="1"/>
    <xf numFmtId="0" fontId="0" fillId="12" borderId="0" xfId="0" applyFill="1" applyAlignment="1"/>
    <xf numFmtId="168" fontId="0" fillId="12" borderId="0" xfId="0" applyNumberFormat="1" applyFill="1" applyAlignment="1"/>
    <xf numFmtId="168" fontId="0" fillId="12" borderId="0" xfId="1" applyNumberFormat="1" applyFont="1" applyFill="1" applyAlignment="1"/>
    <xf numFmtId="164" fontId="0" fillId="12" borderId="0" xfId="2" applyNumberFormat="1" applyFont="1" applyFill="1" applyAlignment="1"/>
    <xf numFmtId="178" fontId="0" fillId="0" borderId="0" xfId="2" applyNumberFormat="1" applyFont="1" applyAlignment="1"/>
    <xf numFmtId="9" fontId="0" fillId="0" borderId="0" xfId="0" applyNumberFormat="1" applyAlignment="1"/>
    <xf numFmtId="168" fontId="0" fillId="0" borderId="0" xfId="3" applyNumberFormat="1" applyFont="1" applyAlignment="1"/>
    <xf numFmtId="2" fontId="0" fillId="12" borderId="0" xfId="1" applyNumberFormat="1" applyFont="1" applyFill="1"/>
    <xf numFmtId="2" fontId="0" fillId="21" borderId="0" xfId="0" applyNumberFormat="1" applyFill="1" applyAlignment="1"/>
    <xf numFmtId="9" fontId="0" fillId="10" borderId="1" xfId="3" applyFont="1" applyFill="1" applyBorder="1"/>
    <xf numFmtId="43" fontId="0" fillId="0" borderId="0" xfId="1" applyFont="1" applyAlignment="1"/>
    <xf numFmtId="43" fontId="0" fillId="12" borderId="0" xfId="1" applyFont="1" applyFill="1"/>
    <xf numFmtId="43" fontId="0" fillId="10" borderId="1" xfId="1" applyFont="1" applyFill="1" applyBorder="1"/>
    <xf numFmtId="165" fontId="0" fillId="0" borderId="0" xfId="0" applyNumberFormat="1"/>
    <xf numFmtId="164" fontId="0" fillId="12" borderId="0" xfId="2" applyNumberFormat="1" applyFont="1" applyFill="1"/>
    <xf numFmtId="0" fontId="31" fillId="0" borderId="0" xfId="0" applyFont="1" applyFill="1"/>
    <xf numFmtId="168" fontId="0" fillId="12" borderId="0" xfId="1" applyNumberFormat="1" applyFont="1" applyFill="1"/>
    <xf numFmtId="43" fontId="0" fillId="10" borderId="0" xfId="1" applyFont="1" applyFill="1" applyAlignment="1"/>
    <xf numFmtId="0" fontId="0" fillId="6" borderId="0" xfId="0" applyFill="1" applyAlignment="1"/>
    <xf numFmtId="43" fontId="0" fillId="6" borderId="0" xfId="1" applyFont="1" applyFill="1"/>
    <xf numFmtId="9" fontId="0" fillId="0" borderId="0" xfId="3" applyNumberFormat="1" applyFont="1"/>
    <xf numFmtId="168" fontId="32" fillId="0" borderId="0" xfId="1" applyNumberFormat="1" applyFont="1" applyFill="1"/>
    <xf numFmtId="168" fontId="0" fillId="6" borderId="0" xfId="1" applyNumberFormat="1" applyFont="1" applyFill="1"/>
    <xf numFmtId="170" fontId="32" fillId="0" borderId="0" xfId="0" applyNumberFormat="1" applyFont="1" applyFill="1"/>
    <xf numFmtId="170" fontId="32" fillId="11" borderId="0" xfId="0" applyNumberFormat="1" applyFont="1" applyFill="1"/>
    <xf numFmtId="168" fontId="0" fillId="5" borderId="1" xfId="1" applyNumberFormat="1" applyFont="1" applyFill="1" applyBorder="1"/>
    <xf numFmtId="170" fontId="0" fillId="5" borderId="1" xfId="0" applyNumberFormat="1" applyFont="1" applyFill="1" applyBorder="1"/>
    <xf numFmtId="170" fontId="32" fillId="5" borderId="1" xfId="0" applyNumberFormat="1" applyFont="1" applyFill="1" applyBorder="1"/>
    <xf numFmtId="3" fontId="0" fillId="0" borderId="0" xfId="0" applyNumberFormat="1" applyAlignment="1"/>
    <xf numFmtId="0" fontId="0" fillId="0" borderId="0" xfId="0" applyAlignment="1">
      <alignment horizontal="left" indent="2"/>
    </xf>
    <xf numFmtId="3" fontId="0" fillId="12" borderId="0" xfId="0" applyNumberFormat="1" applyFill="1" applyAlignment="1"/>
    <xf numFmtId="43" fontId="0" fillId="0" borderId="0" xfId="0" applyNumberFormat="1" applyAlignment="1"/>
    <xf numFmtId="0" fontId="2" fillId="0" borderId="0" xfId="0" applyFont="1" applyAlignment="1">
      <alignment wrapText="1"/>
    </xf>
    <xf numFmtId="164" fontId="0" fillId="0" borderId="0" xfId="2" applyNumberFormat="1" applyFont="1" applyAlignment="1"/>
    <xf numFmtId="0" fontId="0" fillId="0" borderId="0" xfId="0" applyFont="1" applyAlignment="1">
      <alignment horizontal="right"/>
    </xf>
    <xf numFmtId="180" fontId="0" fillId="0" borderId="0" xfId="1" applyNumberFormat="1" applyFont="1" applyAlignment="1"/>
    <xf numFmtId="180" fontId="0" fillId="10" borderId="0" xfId="1" applyNumberFormat="1" applyFont="1" applyFill="1" applyAlignment="1"/>
    <xf numFmtId="180" fontId="3" fillId="4" borderId="0" xfId="1" applyNumberFormat="1" applyFont="1" applyFill="1" applyAlignment="1"/>
    <xf numFmtId="0" fontId="0" fillId="10" borderId="0" xfId="0" applyFill="1" applyAlignment="1"/>
    <xf numFmtId="0" fontId="3" fillId="4" borderId="0" xfId="0" applyFont="1" applyFill="1" applyAlignment="1"/>
    <xf numFmtId="180" fontId="0" fillId="0" borderId="0" xfId="1" applyNumberFormat="1" applyFont="1" applyFill="1" applyAlignment="1"/>
    <xf numFmtId="180" fontId="0" fillId="0" borderId="0" xfId="1" applyNumberFormat="1" applyFont="1"/>
    <xf numFmtId="180" fontId="17" fillId="0" borderId="0" xfId="1" applyNumberFormat="1" applyFont="1" applyFill="1" applyAlignment="1"/>
    <xf numFmtId="180" fontId="0" fillId="0" borderId="0" xfId="1" applyNumberFormat="1" applyFont="1" applyFill="1"/>
    <xf numFmtId="0" fontId="0" fillId="0" borderId="0" xfId="0" applyFont="1" applyFill="1"/>
    <xf numFmtId="180" fontId="3" fillId="0" borderId="0" xfId="1" applyNumberFormat="1" applyFont="1" applyAlignment="1"/>
    <xf numFmtId="0" fontId="0" fillId="0" borderId="0" xfId="0" applyFont="1" applyFill="1" applyAlignment="1"/>
    <xf numFmtId="180" fontId="2" fillId="0" borderId="0" xfId="1" applyNumberFormat="1" applyFont="1" applyAlignment="1">
      <alignment wrapText="1"/>
    </xf>
    <xf numFmtId="168" fontId="3" fillId="0" borderId="0" xfId="1" applyNumberFormat="1" applyFont="1" applyAlignment="1"/>
    <xf numFmtId="0" fontId="20" fillId="0" borderId="0" xfId="0" applyFont="1" applyAlignment="1"/>
    <xf numFmtId="0" fontId="2" fillId="0" borderId="0" xfId="0" applyFont="1" applyAlignment="1"/>
    <xf numFmtId="165" fontId="0" fillId="0" borderId="0" xfId="0" applyNumberFormat="1" applyFill="1" applyAlignment="1"/>
    <xf numFmtId="165" fontId="33" fillId="0" borderId="0" xfId="0" applyNumberFormat="1" applyFont="1" applyFill="1" applyAlignment="1">
      <alignment horizontal="left"/>
    </xf>
    <xf numFmtId="9" fontId="33" fillId="0" borderId="0" xfId="0" applyNumberFormat="1" applyFont="1" applyFill="1" applyAlignment="1">
      <alignment horizontal="center"/>
    </xf>
    <xf numFmtId="2" fontId="33" fillId="0" borderId="0" xfId="0" applyNumberFormat="1" applyFont="1" applyFill="1" applyAlignment="1">
      <alignment horizontal="center"/>
    </xf>
    <xf numFmtId="2" fontId="0" fillId="5" borderId="1" xfId="0" applyNumberFormat="1" applyFill="1" applyBorder="1" applyAlignment="1">
      <alignment horizontal="center"/>
    </xf>
    <xf numFmtId="2" fontId="33" fillId="5" borderId="1" xfId="0" applyNumberFormat="1" applyFont="1" applyFill="1" applyBorder="1" applyAlignment="1">
      <alignment horizontal="center"/>
    </xf>
    <xf numFmtId="2" fontId="33" fillId="0" borderId="0" xfId="0" applyNumberFormat="1" applyFont="1" applyAlignment="1"/>
    <xf numFmtId="2" fontId="33" fillId="0" borderId="15" xfId="0" applyNumberFormat="1" applyFont="1" applyFill="1" applyBorder="1" applyAlignment="1"/>
    <xf numFmtId="2" fontId="33" fillId="0" borderId="16" xfId="0" applyNumberFormat="1" applyFont="1" applyFill="1" applyBorder="1" applyAlignment="1"/>
    <xf numFmtId="0" fontId="33" fillId="0" borderId="0" xfId="0" applyFont="1" applyFill="1" applyAlignment="1">
      <alignment horizontal="center"/>
    </xf>
    <xf numFmtId="0" fontId="0" fillId="0" borderId="17" xfId="0" applyFill="1" applyBorder="1" applyAlignment="1"/>
    <xf numFmtId="0" fontId="0" fillId="0" borderId="0" xfId="0" applyFill="1" applyAlignment="1">
      <alignment horizontal="left"/>
    </xf>
    <xf numFmtId="0" fontId="2" fillId="0" borderId="0" xfId="0" applyFont="1" applyFill="1" applyAlignment="1"/>
    <xf numFmtId="2" fontId="0" fillId="14" borderId="0" xfId="0" applyNumberFormat="1" applyFill="1" applyAlignment="1">
      <alignment horizontal="center"/>
    </xf>
    <xf numFmtId="10" fontId="0" fillId="5" borderId="1" xfId="0" applyNumberFormat="1" applyFill="1" applyBorder="1" applyAlignment="1"/>
    <xf numFmtId="0" fontId="0" fillId="15" borderId="0" xfId="0" applyFill="1" applyBorder="1" applyAlignment="1"/>
    <xf numFmtId="0" fontId="0" fillId="15" borderId="19" xfId="0" applyFill="1" applyBorder="1" applyAlignment="1"/>
    <xf numFmtId="0" fontId="3" fillId="0" borderId="18" xfId="0" applyFont="1" applyFill="1" applyBorder="1" applyAlignment="1"/>
    <xf numFmtId="0" fontId="0" fillId="13" borderId="0" xfId="0" applyFill="1" applyBorder="1" applyAlignment="1"/>
    <xf numFmtId="0" fontId="0" fillId="13" borderId="19" xfId="0" applyFill="1" applyBorder="1" applyAlignment="1"/>
    <xf numFmtId="0" fontId="3" fillId="13" borderId="0" xfId="0" applyFont="1" applyFill="1" applyBorder="1" applyAlignment="1"/>
    <xf numFmtId="0" fontId="3" fillId="13" borderId="19" xfId="0" applyFont="1" applyFill="1" applyBorder="1" applyAlignment="1"/>
    <xf numFmtId="0" fontId="0" fillId="15" borderId="20" xfId="0" applyFill="1" applyBorder="1" applyAlignment="1">
      <alignment horizontal="center"/>
    </xf>
    <xf numFmtId="0" fontId="0" fillId="15" borderId="10" xfId="0" applyFill="1" applyBorder="1" applyAlignment="1">
      <alignment horizontal="center"/>
    </xf>
    <xf numFmtId="0" fontId="3" fillId="15" borderId="16" xfId="0" applyFont="1" applyFill="1" applyBorder="1" applyAlignment="1">
      <alignment horizontal="center"/>
    </xf>
    <xf numFmtId="0" fontId="0" fillId="0" borderId="20" xfId="0" applyFill="1" applyBorder="1" applyAlignment="1">
      <alignment horizontal="center"/>
    </xf>
    <xf numFmtId="0" fontId="3" fillId="0" borderId="1" xfId="0" applyFont="1" applyBorder="1" applyAlignment="1"/>
    <xf numFmtId="0" fontId="0" fillId="0" borderId="1" xfId="0" applyFill="1" applyBorder="1" applyAlignment="1">
      <alignment horizontal="center"/>
    </xf>
    <xf numFmtId="0" fontId="0" fillId="15" borderId="1" xfId="0" applyFill="1" applyBorder="1" applyAlignment="1"/>
    <xf numFmtId="0" fontId="0" fillId="13" borderId="1" xfId="0" applyFill="1" applyBorder="1" applyAlignment="1"/>
    <xf numFmtId="0" fontId="0" fillId="0" borderId="1" xfId="0" applyBorder="1" applyAlignment="1"/>
    <xf numFmtId="0" fontId="9" fillId="0" borderId="1" xfId="0" applyFont="1" applyBorder="1" applyAlignment="1"/>
    <xf numFmtId="0" fontId="3" fillId="15" borderId="9" xfId="0" applyFont="1" applyFill="1" applyBorder="1" applyAlignment="1">
      <alignment wrapText="1"/>
    </xf>
    <xf numFmtId="0" fontId="0" fillId="15" borderId="9" xfId="0" applyFill="1" applyBorder="1" applyAlignment="1">
      <alignment wrapText="1"/>
    </xf>
    <xf numFmtId="0" fontId="0" fillId="15" borderId="15" xfId="0" applyFill="1" applyBorder="1" applyAlignment="1">
      <alignment wrapText="1"/>
    </xf>
    <xf numFmtId="0" fontId="3" fillId="5" borderId="9" xfId="0" applyFont="1" applyFill="1" applyBorder="1" applyAlignment="1">
      <alignment wrapText="1"/>
    </xf>
    <xf numFmtId="0" fontId="0" fillId="5" borderId="9" xfId="0" applyFill="1" applyBorder="1" applyAlignment="1">
      <alignment wrapText="1"/>
    </xf>
    <xf numFmtId="0" fontId="0" fillId="13" borderId="9" xfId="0" applyFill="1" applyBorder="1" applyAlignment="1">
      <alignment wrapText="1"/>
    </xf>
    <xf numFmtId="0" fontId="0" fillId="13" borderId="15" xfId="0" applyFill="1" applyBorder="1" applyAlignment="1">
      <alignment wrapText="1"/>
    </xf>
    <xf numFmtId="1" fontId="0" fillId="0" borderId="1" xfId="0" applyNumberFormat="1" applyBorder="1" applyAlignment="1"/>
    <xf numFmtId="171" fontId="0" fillId="0" borderId="0" xfId="3" applyNumberFormat="1" applyFont="1" applyAlignment="1"/>
    <xf numFmtId="0" fontId="11" fillId="0" borderId="0" xfId="0" applyFont="1" applyAlignment="1">
      <alignment wrapText="1"/>
    </xf>
    <xf numFmtId="171" fontId="0" fillId="12" borderId="0" xfId="3" applyNumberFormat="1" applyFont="1" applyFill="1" applyAlignment="1">
      <alignment horizontal="center"/>
    </xf>
    <xf numFmtId="171" fontId="0" fillId="0" borderId="0" xfId="3" applyNumberFormat="1" applyFont="1" applyAlignment="1">
      <alignment horizontal="center"/>
    </xf>
    <xf numFmtId="164" fontId="0" fillId="0" borderId="0" xfId="2" applyNumberFormat="1" applyFont="1" applyAlignment="1">
      <alignment horizontal="left"/>
    </xf>
    <xf numFmtId="43" fontId="0" fillId="0" borderId="0" xfId="0" applyNumberFormat="1" applyAlignment="1">
      <alignment horizontal="right"/>
    </xf>
    <xf numFmtId="43" fontId="0" fillId="0" borderId="0" xfId="1" applyFont="1" applyAlignment="1">
      <alignment horizontal="right"/>
    </xf>
    <xf numFmtId="43" fontId="0" fillId="0" borderId="0" xfId="0" applyNumberFormat="1" applyAlignment="1">
      <alignment horizontal="center"/>
    </xf>
    <xf numFmtId="0" fontId="34" fillId="0" borderId="0" xfId="0" applyFont="1" applyAlignment="1"/>
    <xf numFmtId="0" fontId="34" fillId="0" borderId="0" xfId="0" applyFont="1" applyAlignment="1">
      <alignment horizontal="left"/>
    </xf>
    <xf numFmtId="43" fontId="0" fillId="0" borderId="1" xfId="1" applyFont="1" applyFill="1" applyBorder="1" applyAlignment="1">
      <alignment horizontal="center"/>
    </xf>
    <xf numFmtId="43" fontId="0" fillId="5" borderId="1" xfId="1" applyFont="1" applyFill="1" applyBorder="1" applyAlignment="1">
      <alignment horizontal="center"/>
    </xf>
    <xf numFmtId="0" fontId="3" fillId="5" borderId="0" xfId="0" applyFont="1" applyFill="1" applyBorder="1" applyAlignment="1">
      <alignment wrapText="1"/>
    </xf>
    <xf numFmtId="0" fontId="3" fillId="15" borderId="0" xfId="0" applyFont="1" applyFill="1" applyBorder="1" applyAlignment="1">
      <alignment wrapText="1"/>
    </xf>
    <xf numFmtId="43" fontId="0" fillId="5" borderId="0" xfId="1" applyFont="1" applyFill="1" applyBorder="1" applyAlignment="1">
      <alignment horizontal="center"/>
    </xf>
    <xf numFmtId="43" fontId="0" fillId="11" borderId="1" xfId="1" applyFont="1" applyFill="1" applyBorder="1" applyAlignment="1"/>
    <xf numFmtId="43" fontId="0" fillId="11" borderId="0" xfId="0" applyNumberFormat="1" applyFill="1"/>
    <xf numFmtId="43" fontId="0" fillId="0" borderId="0" xfId="1" applyFont="1" applyFill="1" applyBorder="1" applyAlignment="1">
      <alignment horizontal="center"/>
    </xf>
    <xf numFmtId="0" fontId="26" fillId="0" borderId="0" xfId="13" applyFill="1" applyAlignment="1" applyProtection="1"/>
    <xf numFmtId="0" fontId="35" fillId="0" borderId="0" xfId="0" applyFont="1" applyFill="1" applyAlignment="1"/>
    <xf numFmtId="0" fontId="3" fillId="0" borderId="0" xfId="0" applyFont="1" applyFill="1" applyAlignment="1">
      <alignment horizontal="left" indent="1"/>
    </xf>
    <xf numFmtId="0" fontId="3" fillId="0" borderId="0" xfId="0" quotePrefix="1" applyFont="1" applyFill="1" applyAlignment="1">
      <alignment horizontal="left" indent="1"/>
    </xf>
    <xf numFmtId="44" fontId="3" fillId="0" borderId="0" xfId="2" applyFont="1" applyFill="1" applyAlignment="1"/>
    <xf numFmtId="0" fontId="3" fillId="0" borderId="0" xfId="0" quotePrefix="1" applyFont="1" applyFill="1" applyAlignment="1"/>
    <xf numFmtId="164" fontId="0" fillId="13" borderId="0" xfId="2" applyNumberFormat="1" applyFont="1" applyFill="1" applyBorder="1" applyAlignment="1"/>
    <xf numFmtId="164" fontId="3" fillId="15" borderId="0" xfId="2" applyNumberFormat="1" applyFont="1" applyFill="1" applyBorder="1" applyAlignment="1">
      <alignment wrapText="1"/>
    </xf>
    <xf numFmtId="164" fontId="0" fillId="0" borderId="0" xfId="2" applyNumberFormat="1" applyFont="1" applyFill="1" applyBorder="1" applyAlignment="1">
      <alignment horizontal="center"/>
    </xf>
    <xf numFmtId="164" fontId="0" fillId="0" borderId="0" xfId="2" applyNumberFormat="1" applyFont="1" applyFill="1" applyAlignment="1"/>
    <xf numFmtId="175" fontId="0" fillId="0" borderId="0" xfId="1" applyNumberFormat="1" applyFont="1" applyAlignment="1"/>
    <xf numFmtId="175" fontId="0" fillId="0" borderId="0" xfId="1" applyNumberFormat="1" applyFont="1"/>
    <xf numFmtId="168" fontId="0" fillId="5" borderId="1" xfId="1" applyNumberFormat="1" applyFont="1" applyFill="1" applyBorder="1" applyAlignment="1"/>
    <xf numFmtId="43" fontId="0" fillId="0" borderId="1" xfId="1" applyFont="1" applyBorder="1" applyAlignment="1"/>
    <xf numFmtId="168" fontId="3" fillId="0" borderId="1" xfId="1" applyNumberFormat="1" applyFont="1" applyBorder="1" applyAlignment="1"/>
    <xf numFmtId="44" fontId="0" fillId="0" borderId="1" xfId="0" applyNumberFormat="1" applyBorder="1"/>
    <xf numFmtId="164" fontId="0" fillId="0" borderId="1" xfId="2" applyNumberFormat="1" applyFont="1" applyBorder="1"/>
    <xf numFmtId="168" fontId="0" fillId="0" borderId="1" xfId="1" applyNumberFormat="1" applyFont="1" applyBorder="1"/>
    <xf numFmtId="179" fontId="0" fillId="0" borderId="1" xfId="0" applyNumberFormat="1" applyBorder="1"/>
    <xf numFmtId="9" fontId="0" fillId="6" borderId="0" xfId="3" applyNumberFormat="1" applyFont="1" applyFill="1" applyAlignment="1"/>
    <xf numFmtId="9" fontId="0" fillId="0" borderId="0" xfId="3" applyNumberFormat="1" applyFont="1" applyAlignment="1"/>
    <xf numFmtId="168" fontId="0" fillId="5" borderId="0" xfId="1" applyNumberFormat="1" applyFont="1" applyFill="1"/>
    <xf numFmtId="168" fontId="9" fillId="0" borderId="0" xfId="1" applyNumberFormat="1" applyFont="1"/>
    <xf numFmtId="168" fontId="10" fillId="0" borderId="0" xfId="1" applyNumberFormat="1" applyFont="1" applyFill="1"/>
    <xf numFmtId="9" fontId="0" fillId="0" borderId="0" xfId="3" applyFont="1" applyFill="1"/>
    <xf numFmtId="180" fontId="0" fillId="12" borderId="0" xfId="1" applyNumberFormat="1" applyFont="1" applyFill="1" applyAlignment="1"/>
    <xf numFmtId="43" fontId="0" fillId="0" borderId="0" xfId="1" applyNumberFormat="1" applyFont="1" applyAlignment="1"/>
    <xf numFmtId="43" fontId="0" fillId="12" borderId="0" xfId="1" applyNumberFormat="1" applyFont="1" applyFill="1" applyAlignment="1"/>
    <xf numFmtId="168" fontId="3" fillId="0" borderId="0" xfId="1" applyNumberFormat="1" applyFont="1"/>
    <xf numFmtId="168" fontId="0" fillId="0" borderId="0" xfId="1" applyNumberFormat="1" applyFont="1" applyFill="1" applyAlignment="1"/>
    <xf numFmtId="168" fontId="0" fillId="0" borderId="0" xfId="0" applyNumberFormat="1" applyFill="1" applyAlignment="1"/>
    <xf numFmtId="3" fontId="0" fillId="12" borderId="0" xfId="0" applyNumberFormat="1" applyFill="1"/>
    <xf numFmtId="168" fontId="3" fillId="2" borderId="0" xfId="1" applyNumberFormat="1" applyFont="1" applyFill="1"/>
    <xf numFmtId="168" fontId="0" fillId="16" borderId="1" xfId="1" applyNumberFormat="1" applyFont="1" applyFill="1" applyBorder="1"/>
    <xf numFmtId="168" fontId="0" fillId="12" borderId="0" xfId="0" applyNumberFormat="1" applyFill="1"/>
    <xf numFmtId="0" fontId="0" fillId="3" borderId="0" xfId="0" applyFill="1" applyAlignment="1">
      <alignment wrapText="1"/>
    </xf>
    <xf numFmtId="0" fontId="1" fillId="0" borderId="0" xfId="14" applyFont="1" applyFill="1"/>
    <xf numFmtId="0" fontId="1" fillId="0" borderId="0" xfId="14" applyFont="1" applyFill="1" applyAlignment="1">
      <alignment wrapText="1"/>
    </xf>
    <xf numFmtId="9" fontId="0" fillId="0" borderId="4" xfId="11" applyFont="1" applyFill="1" applyBorder="1"/>
    <xf numFmtId="9" fontId="0" fillId="0" borderId="1" xfId="0" applyNumberFormat="1" applyBorder="1"/>
    <xf numFmtId="9" fontId="0" fillId="0" borderId="21" xfId="0" applyNumberFormat="1" applyBorder="1"/>
    <xf numFmtId="9" fontId="0" fillId="0" borderId="0" xfId="0" applyNumberFormat="1" applyBorder="1"/>
    <xf numFmtId="9" fontId="0" fillId="0" borderId="0" xfId="11" applyFont="1" applyFill="1" applyBorder="1"/>
    <xf numFmtId="9" fontId="0" fillId="0" borderId="1" xfId="11" applyFont="1" applyFill="1" applyBorder="1"/>
    <xf numFmtId="0" fontId="0" fillId="0" borderId="0" xfId="0" applyAlignment="1">
      <alignment horizontal="left" wrapText="1" indent="1"/>
    </xf>
    <xf numFmtId="0" fontId="0" fillId="0" borderId="1" xfId="0" applyFill="1" applyBorder="1"/>
    <xf numFmtId="7" fontId="0" fillId="3" borderId="1" xfId="12" applyNumberFormat="1" applyFont="1" applyFill="1" applyBorder="1" applyProtection="1">
      <protection locked="0"/>
    </xf>
    <xf numFmtId="44" fontId="0" fillId="0" borderId="1" xfId="12" applyFont="1" applyBorder="1"/>
    <xf numFmtId="44" fontId="0" fillId="0" borderId="1" xfId="12" applyFont="1" applyFill="1" applyBorder="1"/>
    <xf numFmtId="164" fontId="0" fillId="3" borderId="1" xfId="12" applyNumberFormat="1" applyFont="1" applyFill="1" applyBorder="1" applyProtection="1">
      <protection locked="0"/>
    </xf>
    <xf numFmtId="44" fontId="0" fillId="3" borderId="1" xfId="0" applyNumberFormat="1" applyFill="1" applyBorder="1" applyProtection="1">
      <protection locked="0"/>
    </xf>
    <xf numFmtId="44" fontId="0" fillId="0" borderId="1" xfId="0" applyNumberFormat="1" applyFill="1" applyBorder="1"/>
    <xf numFmtId="164" fontId="0" fillId="0" borderId="7" xfId="12" applyNumberFormat="1" applyFont="1" applyFill="1" applyBorder="1"/>
    <xf numFmtId="9" fontId="0" fillId="3" borderId="1" xfId="0" applyNumberFormat="1" applyFill="1" applyBorder="1" applyProtection="1">
      <protection locked="0"/>
    </xf>
    <xf numFmtId="164" fontId="0" fillId="0" borderId="1" xfId="0" applyNumberFormat="1" applyBorder="1"/>
    <xf numFmtId="175" fontId="0" fillId="3" borderId="1" xfId="8" applyNumberFormat="1" applyFont="1" applyFill="1" applyBorder="1" applyProtection="1">
      <protection locked="0"/>
    </xf>
    <xf numFmtId="0" fontId="0" fillId="23" borderId="0" xfId="0" applyFill="1"/>
    <xf numFmtId="164" fontId="0" fillId="0" borderId="1" xfId="12" applyNumberFormat="1" applyFont="1" applyFill="1" applyBorder="1"/>
    <xf numFmtId="166" fontId="0" fillId="3" borderId="1" xfId="0" applyNumberFormat="1" applyFill="1" applyBorder="1" applyProtection="1">
      <protection locked="0"/>
    </xf>
    <xf numFmtId="173" fontId="0" fillId="3" borderId="1" xfId="0" applyNumberFormat="1" applyFont="1" applyFill="1" applyBorder="1" applyAlignment="1" applyProtection="1">
      <alignment horizontal="right" vertical="center"/>
      <protection locked="0"/>
    </xf>
    <xf numFmtId="0" fontId="0" fillId="0" borderId="0" xfId="0" applyAlignment="1">
      <alignment horizontal="center"/>
    </xf>
    <xf numFmtId="0" fontId="0" fillId="0" borderId="0" xfId="0" applyFill="1" applyAlignment="1">
      <alignment horizontal="left" indent="1"/>
    </xf>
    <xf numFmtId="3" fontId="0" fillId="0" borderId="0" xfId="0" applyNumberFormat="1" applyFill="1" applyBorder="1" applyAlignment="1"/>
    <xf numFmtId="168" fontId="18" fillId="0" borderId="0" xfId="10" applyNumberFormat="1" applyFont="1" applyFill="1" applyBorder="1"/>
    <xf numFmtId="0" fontId="4" fillId="0" borderId="0" xfId="0" applyFont="1" applyFill="1" applyAlignment="1">
      <alignment horizontal="left"/>
    </xf>
    <xf numFmtId="9" fontId="3" fillId="0" borderId="0" xfId="3" applyFont="1"/>
    <xf numFmtId="164" fontId="0" fillId="0" borderId="0" xfId="2" applyNumberFormat="1" applyFont="1" applyAlignment="1">
      <alignment horizontal="left" wrapText="1"/>
    </xf>
    <xf numFmtId="44" fontId="0" fillId="0" borderId="0" xfId="2" applyFont="1" applyAlignment="1">
      <alignment horizontal="center"/>
    </xf>
    <xf numFmtId="0" fontId="0" fillId="12" borderId="0" xfId="0" applyFill="1" applyAlignment="1">
      <alignment horizontal="right"/>
    </xf>
    <xf numFmtId="0" fontId="0" fillId="0" borderId="0" xfId="0" applyAlignment="1">
      <alignment horizontal="left" wrapText="1"/>
    </xf>
    <xf numFmtId="10" fontId="0" fillId="0" borderId="0" xfId="3" applyNumberFormat="1" applyFont="1" applyAlignment="1">
      <alignment horizontal="left" wrapText="1"/>
    </xf>
    <xf numFmtId="10" fontId="0" fillId="0" borderId="0" xfId="3" applyNumberFormat="1" applyFont="1" applyAlignment="1">
      <alignment horizontal="right"/>
    </xf>
    <xf numFmtId="10" fontId="0" fillId="12" borderId="0" xfId="3" applyNumberFormat="1" applyFont="1" applyFill="1" applyAlignment="1">
      <alignment horizontal="right"/>
    </xf>
    <xf numFmtId="180" fontId="0" fillId="12" borderId="0" xfId="1" applyNumberFormat="1" applyFont="1" applyFill="1" applyAlignment="1">
      <alignment horizontal="center"/>
    </xf>
    <xf numFmtId="180" fontId="0" fillId="0" borderId="0" xfId="1" applyNumberFormat="1" applyFont="1" applyAlignment="1">
      <alignment horizontal="center"/>
    </xf>
    <xf numFmtId="168" fontId="0" fillId="0" borderId="0" xfId="1" applyNumberFormat="1" applyFont="1" applyAlignment="1">
      <alignment wrapText="1"/>
    </xf>
    <xf numFmtId="9" fontId="15" fillId="3" borderId="2" xfId="3" applyFont="1" applyFill="1" applyBorder="1" applyProtection="1">
      <protection locked="0"/>
    </xf>
    <xf numFmtId="0" fontId="0" fillId="0" borderId="0" xfId="0" applyAlignment="1">
      <alignment horizontal="center"/>
    </xf>
    <xf numFmtId="166" fontId="0" fillId="3" borderId="1" xfId="11" applyNumberFormat="1" applyFont="1" applyFill="1" applyBorder="1" applyProtection="1">
      <protection locked="0"/>
    </xf>
    <xf numFmtId="0" fontId="0" fillId="0" borderId="0" xfId="0" applyFont="1" applyAlignment="1">
      <alignment horizontal="center"/>
    </xf>
    <xf numFmtId="9" fontId="0" fillId="0" borderId="0" xfId="0" applyNumberFormat="1" applyAlignment="1">
      <alignment horizontal="center"/>
    </xf>
    <xf numFmtId="0" fontId="0" fillId="0" borderId="0" xfId="0" applyFill="1" applyAlignment="1">
      <alignment horizontal="right"/>
    </xf>
    <xf numFmtId="43" fontId="32" fillId="0" borderId="0" xfId="1" applyNumberFormat="1" applyFont="1" applyFill="1"/>
    <xf numFmtId="0" fontId="35" fillId="0" borderId="0" xfId="0" applyFont="1" applyFill="1"/>
    <xf numFmtId="3" fontId="0" fillId="0" borderId="0" xfId="1" applyNumberFormat="1" applyFont="1" applyAlignment="1"/>
    <xf numFmtId="0" fontId="20" fillId="0" borderId="0" xfId="0" applyFont="1" applyAlignment="1">
      <alignment wrapText="1"/>
    </xf>
    <xf numFmtId="1" fontId="0" fillId="0" borderId="0" xfId="0" applyNumberFormat="1" applyAlignment="1">
      <alignment wrapText="1"/>
    </xf>
    <xf numFmtId="0" fontId="0" fillId="0" borderId="0" xfId="0" applyFont="1" applyFill="1" applyAlignment="1">
      <alignment horizontal="left" indent="1"/>
    </xf>
    <xf numFmtId="0" fontId="0" fillId="0" borderId="0" xfId="0" applyBorder="1" applyAlignment="1">
      <alignment horizontal="center" wrapText="1"/>
    </xf>
    <xf numFmtId="43" fontId="0" fillId="0" borderId="1" xfId="1" applyNumberFormat="1" applyFont="1" applyBorder="1"/>
    <xf numFmtId="0" fontId="0" fillId="0" borderId="0" xfId="14" applyFont="1" applyFill="1" applyBorder="1"/>
    <xf numFmtId="0" fontId="0" fillId="0" borderId="1" xfId="0" applyBorder="1" applyAlignment="1">
      <alignment wrapText="1"/>
    </xf>
    <xf numFmtId="0" fontId="0" fillId="0" borderId="1" xfId="0" applyNumberFormat="1" applyBorder="1" applyAlignment="1"/>
    <xf numFmtId="0" fontId="0" fillId="0" borderId="1" xfId="0" applyBorder="1" applyAlignment="1">
      <alignment horizontal="center"/>
    </xf>
    <xf numFmtId="172" fontId="0" fillId="0" borderId="1" xfId="0" applyNumberFormat="1" applyBorder="1" applyAlignment="1">
      <alignment horizontal="center"/>
    </xf>
    <xf numFmtId="0" fontId="0" fillId="24" borderId="0" xfId="0" applyFill="1"/>
    <xf numFmtId="0" fontId="0" fillId="5" borderId="1" xfId="0" applyFill="1" applyBorder="1"/>
    <xf numFmtId="0" fontId="0" fillId="0" borderId="0" xfId="0" applyProtection="1">
      <protection locked="0"/>
    </xf>
    <xf numFmtId="0" fontId="15" fillId="0" borderId="0" xfId="0" applyFont="1" applyProtection="1">
      <protection locked="0"/>
    </xf>
    <xf numFmtId="0" fontId="0" fillId="0" borderId="0" xfId="14" applyFont="1" applyFill="1" applyProtection="1">
      <protection locked="0"/>
    </xf>
    <xf numFmtId="0" fontId="0" fillId="0" borderId="0" xfId="14" applyFont="1" applyFill="1" applyProtection="1"/>
    <xf numFmtId="0" fontId="0" fillId="25" borderId="0" xfId="0" applyFill="1" applyAlignment="1"/>
    <xf numFmtId="0" fontId="0" fillId="25" borderId="0" xfId="0" applyFill="1"/>
    <xf numFmtId="0" fontId="3" fillId="0" borderId="1" xfId="0" applyFont="1" applyFill="1" applyBorder="1" applyAlignment="1">
      <alignment wrapText="1"/>
    </xf>
    <xf numFmtId="0" fontId="0" fillId="0" borderId="1" xfId="0" applyFont="1" applyFill="1" applyBorder="1" applyAlignment="1">
      <alignment wrapText="1"/>
    </xf>
    <xf numFmtId="0" fontId="0" fillId="0" borderId="1" xfId="0" applyFont="1" applyFill="1" applyBorder="1" applyAlignment="1">
      <alignment horizontal="left" vertical="center" wrapText="1"/>
    </xf>
    <xf numFmtId="0" fontId="0" fillId="0" borderId="1" xfId="0" applyFill="1" applyBorder="1" applyAlignment="1">
      <alignment wrapText="1"/>
    </xf>
    <xf numFmtId="2" fontId="0" fillId="8" borderId="0" xfId="1" applyNumberFormat="1" applyFont="1" applyFill="1"/>
    <xf numFmtId="2" fontId="0" fillId="0" borderId="0" xfId="1" applyNumberFormat="1" applyFont="1"/>
    <xf numFmtId="2" fontId="11" fillId="0" borderId="0" xfId="1" applyNumberFormat="1" applyFont="1"/>
    <xf numFmtId="2" fontId="0" fillId="8" borderId="0" xfId="0" applyNumberFormat="1" applyFill="1"/>
    <xf numFmtId="43" fontId="0" fillId="0" borderId="0" xfId="1" applyNumberFormat="1" applyFont="1" applyAlignment="1">
      <alignment wrapText="1"/>
    </xf>
    <xf numFmtId="168" fontId="9" fillId="0" borderId="0" xfId="0" applyNumberFormat="1" applyFont="1"/>
    <xf numFmtId="1" fontId="0" fillId="0" borderId="1" xfId="0" applyNumberFormat="1" applyBorder="1" applyAlignment="1">
      <alignment horizontal="right"/>
    </xf>
    <xf numFmtId="9" fontId="1" fillId="15" borderId="1" xfId="3" applyFont="1" applyFill="1" applyBorder="1" applyAlignment="1"/>
    <xf numFmtId="168" fontId="1" fillId="15" borderId="1" xfId="1" applyNumberFormat="1" applyFont="1" applyFill="1" applyBorder="1"/>
    <xf numFmtId="9" fontId="1" fillId="0" borderId="1" xfId="3" applyFont="1" applyFill="1" applyBorder="1" applyAlignment="1"/>
    <xf numFmtId="9" fontId="0" fillId="0" borderId="0" xfId="3" applyFont="1" applyFill="1" applyAlignment="1"/>
    <xf numFmtId="168" fontId="0" fillId="0" borderId="0" xfId="1" applyNumberFormat="1" applyFont="1" applyFill="1"/>
    <xf numFmtId="43" fontId="3" fillId="0" borderId="0" xfId="7" applyNumberFormat="1"/>
    <xf numFmtId="9" fontId="0" fillId="12" borderId="0" xfId="0" applyNumberFormat="1" applyFill="1" applyBorder="1"/>
    <xf numFmtId="0" fontId="0" fillId="2" borderId="0" xfId="0" applyFont="1" applyFill="1" applyBorder="1"/>
    <xf numFmtId="9" fontId="0" fillId="2" borderId="0" xfId="0" applyNumberFormat="1" applyFill="1" applyBorder="1"/>
    <xf numFmtId="0" fontId="0" fillId="12" borderId="0" xfId="0" applyFont="1" applyFill="1" applyBorder="1" applyAlignment="1">
      <alignment horizontal="right"/>
    </xf>
    <xf numFmtId="0" fontId="0" fillId="2" borderId="0" xfId="0" applyFill="1" applyAlignment="1">
      <alignment horizontal="right"/>
    </xf>
    <xf numFmtId="166" fontId="0" fillId="12" borderId="0" xfId="0" applyNumberFormat="1" applyFill="1"/>
    <xf numFmtId="174" fontId="0" fillId="2" borderId="0" xfId="0" applyNumberFormat="1" applyFill="1"/>
    <xf numFmtId="174" fontId="39" fillId="2" borderId="0" xfId="0" applyNumberFormat="1" applyFont="1" applyFill="1"/>
    <xf numFmtId="0" fontId="0" fillId="2" borderId="0" xfId="0" applyFill="1" applyAlignment="1">
      <alignment wrapText="1"/>
    </xf>
    <xf numFmtId="0" fontId="0" fillId="0" borderId="0" xfId="0" applyAlignment="1">
      <alignment horizontal="center" wrapText="1"/>
    </xf>
    <xf numFmtId="0" fontId="0" fillId="0" borderId="0" xfId="0" quotePrefix="1" applyAlignment="1">
      <alignment horizontal="center" wrapText="1"/>
    </xf>
    <xf numFmtId="7" fontId="0" fillId="0" borderId="0" xfId="0" applyNumberFormat="1" applyAlignment="1">
      <alignment wrapText="1"/>
    </xf>
    <xf numFmtId="168" fontId="0" fillId="12" borderId="0" xfId="8" applyNumberFormat="1" applyFont="1" applyFill="1" applyProtection="1">
      <protection locked="0"/>
    </xf>
    <xf numFmtId="10" fontId="0" fillId="2" borderId="0" xfId="0" applyNumberFormat="1" applyFill="1"/>
    <xf numFmtId="180" fontId="0" fillId="0" borderId="0" xfId="0" applyNumberFormat="1"/>
    <xf numFmtId="181" fontId="0" fillId="0" borderId="0" xfId="0" applyNumberFormat="1"/>
    <xf numFmtId="0" fontId="24" fillId="2" borderId="0" xfId="0" applyFont="1" applyFill="1" applyAlignment="1" applyProtection="1">
      <alignment horizontal="left"/>
      <protection locked="0"/>
    </xf>
    <xf numFmtId="0" fontId="0" fillId="0" borderId="0" xfId="0" applyFont="1" applyFill="1" applyAlignment="1">
      <alignment wrapText="1"/>
    </xf>
    <xf numFmtId="0" fontId="0" fillId="0" borderId="0" xfId="0" applyAlignment="1">
      <alignment horizontal="center"/>
    </xf>
    <xf numFmtId="9" fontId="0" fillId="16" borderId="1" xfId="3" applyFont="1" applyFill="1" applyBorder="1"/>
    <xf numFmtId="1" fontId="0" fillId="0" borderId="0" xfId="0" applyNumberFormat="1" applyFill="1" applyAlignment="1">
      <alignment wrapText="1"/>
    </xf>
    <xf numFmtId="1" fontId="0" fillId="16" borderId="1" xfId="0" applyNumberFormat="1" applyFill="1" applyBorder="1"/>
    <xf numFmtId="43" fontId="3" fillId="14" borderId="0" xfId="10" applyFont="1" applyFill="1"/>
    <xf numFmtId="43" fontId="18" fillId="5" borderId="1" xfId="10" applyFont="1" applyFill="1" applyBorder="1"/>
    <xf numFmtId="0" fontId="0" fillId="0" borderId="0" xfId="0" quotePrefix="1" applyAlignment="1"/>
    <xf numFmtId="164" fontId="0" fillId="0" borderId="0" xfId="2" quotePrefix="1" applyNumberFormat="1" applyFont="1" applyAlignment="1">
      <alignment horizontal="left" wrapText="1"/>
    </xf>
    <xf numFmtId="9" fontId="31" fillId="0" borderId="0" xfId="0" applyNumberFormat="1" applyFont="1" applyFill="1"/>
    <xf numFmtId="0" fontId="0" fillId="0" borderId="0" xfId="1" applyNumberFormat="1" applyFont="1" applyAlignment="1"/>
    <xf numFmtId="0" fontId="0" fillId="0" borderId="0" xfId="1" applyNumberFormat="1" applyFont="1" applyFill="1" applyBorder="1" applyAlignment="1"/>
    <xf numFmtId="168" fontId="0" fillId="0" borderId="0" xfId="1" applyNumberFormat="1" applyFont="1" applyFill="1" applyBorder="1" applyAlignment="1">
      <alignment horizontal="left" indent="1"/>
    </xf>
    <xf numFmtId="164" fontId="0" fillId="0" borderId="0" xfId="2" applyNumberFormat="1" applyFont="1" applyAlignment="1">
      <alignment horizontal="left" wrapText="1" indent="1"/>
    </xf>
    <xf numFmtId="168" fontId="0" fillId="12" borderId="0" xfId="1" applyNumberFormat="1" applyFont="1" applyFill="1" applyBorder="1" applyAlignment="1"/>
    <xf numFmtId="168" fontId="0" fillId="12" borderId="0" xfId="1" applyNumberFormat="1" applyFont="1" applyFill="1" applyBorder="1" applyAlignment="1">
      <alignment horizontal="left" indent="1"/>
    </xf>
    <xf numFmtId="168" fontId="0" fillId="15" borderId="0" xfId="1" applyNumberFormat="1" applyFont="1" applyFill="1" applyAlignment="1"/>
    <xf numFmtId="0" fontId="0" fillId="15" borderId="0" xfId="0" applyFill="1" applyAlignment="1"/>
    <xf numFmtId="168" fontId="0" fillId="15" borderId="0" xfId="0" applyNumberFormat="1" applyFill="1" applyAlignment="1"/>
    <xf numFmtId="168" fontId="0" fillId="15" borderId="0" xfId="1" applyNumberFormat="1" applyFont="1" applyFill="1" applyBorder="1" applyAlignment="1"/>
    <xf numFmtId="0" fontId="41" fillId="0" borderId="0" xfId="0" applyFont="1" applyFill="1"/>
    <xf numFmtId="44" fontId="3" fillId="0" borderId="0" xfId="3" applyNumberFormat="1" applyFont="1"/>
    <xf numFmtId="44" fontId="3" fillId="0" borderId="0" xfId="2" applyFont="1"/>
    <xf numFmtId="9" fontId="17" fillId="2" borderId="0" xfId="3" applyFont="1" applyFill="1"/>
    <xf numFmtId="0" fontId="0" fillId="0" borderId="0" xfId="0" applyFill="1" applyProtection="1"/>
    <xf numFmtId="0" fontId="0" fillId="26" borderId="0" xfId="0" applyFill="1"/>
    <xf numFmtId="4" fontId="0" fillId="0" borderId="0" xfId="0" applyNumberFormat="1" applyAlignment="1"/>
    <xf numFmtId="43" fontId="32" fillId="0" borderId="0" xfId="1" applyFont="1" applyFill="1"/>
    <xf numFmtId="43" fontId="32" fillId="11" borderId="0" xfId="1" applyFont="1" applyFill="1"/>
    <xf numFmtId="174" fontId="17" fillId="3" borderId="1" xfId="0" applyNumberFormat="1" applyFont="1" applyFill="1" applyBorder="1" applyProtection="1">
      <protection locked="0"/>
    </xf>
    <xf numFmtId="7" fontId="17" fillId="3" borderId="1" xfId="12" applyNumberFormat="1" applyFont="1" applyFill="1" applyBorder="1" applyProtection="1">
      <protection locked="0"/>
    </xf>
    <xf numFmtId="1" fontId="0" fillId="3" borderId="1" xfId="8" applyNumberFormat="1" applyFont="1" applyFill="1" applyBorder="1" applyProtection="1">
      <protection locked="0"/>
    </xf>
    <xf numFmtId="0" fontId="0" fillId="0" borderId="0" xfId="0" applyAlignment="1" applyProtection="1">
      <protection locked="0"/>
    </xf>
    <xf numFmtId="0" fontId="0" fillId="7" borderId="0" xfId="0" applyFill="1" applyAlignment="1" applyProtection="1">
      <protection locked="0"/>
    </xf>
    <xf numFmtId="0" fontId="0" fillId="23" borderId="0" xfId="0" applyFill="1" applyAlignment="1" applyProtection="1">
      <protection locked="0"/>
    </xf>
    <xf numFmtId="0" fontId="43" fillId="0" borderId="0" xfId="0" applyFont="1" applyFill="1" applyAlignment="1" applyProtection="1">
      <protection locked="0"/>
    </xf>
    <xf numFmtId="0" fontId="0" fillId="0" borderId="0" xfId="0" quotePrefix="1" applyBorder="1"/>
    <xf numFmtId="0" fontId="0" fillId="0" borderId="0" xfId="0" applyBorder="1" applyAlignment="1">
      <alignment vertical="center" wrapText="1"/>
    </xf>
    <xf numFmtId="0" fontId="0" fillId="0" borderId="0" xfId="0" applyAlignment="1" applyProtection="1">
      <alignment wrapText="1"/>
      <protection locked="0"/>
    </xf>
    <xf numFmtId="0" fontId="0" fillId="27" borderId="0" xfId="0" applyFill="1"/>
    <xf numFmtId="0" fontId="0" fillId="2" borderId="0" xfId="0" quotePrefix="1" applyFill="1" applyBorder="1" applyAlignment="1">
      <alignment horizontal="center" wrapText="1"/>
    </xf>
    <xf numFmtId="0" fontId="44" fillId="0" borderId="0" xfId="0" applyFont="1"/>
    <xf numFmtId="43" fontId="0" fillId="0" borderId="0" xfId="8" applyFont="1"/>
    <xf numFmtId="164" fontId="0" fillId="0" borderId="1" xfId="12" applyNumberFormat="1" applyFont="1" applyBorder="1"/>
    <xf numFmtId="0" fontId="0" fillId="0" borderId="18" xfId="14" applyFont="1" applyFill="1" applyBorder="1" applyAlignment="1">
      <alignment horizontal="right"/>
    </xf>
    <xf numFmtId="4" fontId="0" fillId="0" borderId="1" xfId="0" applyNumberFormat="1" applyBorder="1"/>
    <xf numFmtId="166" fontId="0" fillId="0" borderId="1" xfId="11" applyNumberFormat="1" applyFont="1" applyBorder="1" applyAlignment="1">
      <alignment horizontal="right"/>
    </xf>
    <xf numFmtId="168" fontId="0" fillId="0" borderId="0" xfId="8" applyNumberFormat="1" applyFont="1" applyFill="1" applyAlignment="1" applyProtection="1">
      <alignment horizontal="right"/>
      <protection locked="0"/>
    </xf>
    <xf numFmtId="174" fontId="0" fillId="0" borderId="0" xfId="0" applyNumberFormat="1" applyFill="1" applyProtection="1">
      <protection locked="0"/>
    </xf>
    <xf numFmtId="182" fontId="0" fillId="0" borderId="1" xfId="0" applyNumberFormat="1" applyFill="1" applyBorder="1" applyAlignment="1"/>
    <xf numFmtId="182" fontId="0" fillId="0" borderId="4" xfId="0" applyNumberFormat="1" applyFill="1" applyBorder="1" applyAlignment="1"/>
    <xf numFmtId="182" fontId="0" fillId="0" borderId="0" xfId="0" applyNumberFormat="1" applyFill="1" applyBorder="1"/>
    <xf numFmtId="0" fontId="0" fillId="3" borderId="0" xfId="0" applyFill="1" applyProtection="1">
      <protection locked="0"/>
    </xf>
    <xf numFmtId="9" fontId="0" fillId="3" borderId="1" xfId="3" applyFont="1" applyFill="1" applyBorder="1" applyProtection="1">
      <protection locked="0"/>
    </xf>
    <xf numFmtId="14" fontId="0" fillId="3" borderId="0" xfId="0" applyNumberFormat="1" applyFill="1" applyProtection="1">
      <protection locked="0"/>
    </xf>
    <xf numFmtId="9" fontId="0" fillId="3" borderId="1" xfId="3" applyFont="1" applyFill="1" applyBorder="1" applyAlignment="1" applyProtection="1">
      <protection locked="0"/>
    </xf>
    <xf numFmtId="179" fontId="0" fillId="3" borderId="0" xfId="0" applyNumberFormat="1" applyFill="1" applyProtection="1">
      <protection locked="0"/>
    </xf>
    <xf numFmtId="9" fontId="0" fillId="3" borderId="0" xfId="3" applyFont="1" applyFill="1" applyBorder="1" applyProtection="1">
      <protection locked="0"/>
    </xf>
    <xf numFmtId="9" fontId="0" fillId="3" borderId="0" xfId="3" applyFont="1" applyFill="1" applyAlignment="1" applyProtection="1">
      <protection locked="0"/>
    </xf>
    <xf numFmtId="0" fontId="0" fillId="3" borderId="1" xfId="0" applyFont="1" applyFill="1" applyBorder="1" applyProtection="1">
      <protection locked="0"/>
    </xf>
    <xf numFmtId="164" fontId="2" fillId="3" borderId="1" xfId="12" applyNumberFormat="1" applyFont="1" applyFill="1" applyBorder="1" applyProtection="1">
      <protection locked="0"/>
    </xf>
    <xf numFmtId="170" fontId="0" fillId="3" borderId="1" xfId="0" applyNumberFormat="1" applyFill="1" applyBorder="1" applyProtection="1">
      <protection locked="0"/>
    </xf>
    <xf numFmtId="9" fontId="0" fillId="3" borderId="21" xfId="0" applyNumberFormat="1" applyFill="1" applyBorder="1" applyAlignment="1" applyProtection="1">
      <alignment horizontal="center"/>
      <protection locked="0"/>
    </xf>
    <xf numFmtId="168" fontId="0" fillId="3" borderId="1" xfId="1" applyNumberFormat="1" applyFont="1" applyFill="1" applyBorder="1" applyAlignment="1" applyProtection="1">
      <protection locked="0"/>
    </xf>
    <xf numFmtId="0" fontId="3" fillId="3" borderId="1" xfId="0" applyFont="1" applyFill="1" applyBorder="1" applyAlignment="1" applyProtection="1">
      <protection locked="0"/>
    </xf>
    <xf numFmtId="2" fontId="0" fillId="28" borderId="0" xfId="0" applyNumberFormat="1" applyFill="1" applyAlignment="1"/>
    <xf numFmtId="168" fontId="18" fillId="5" borderId="1" xfId="1" applyNumberFormat="1" applyFont="1" applyFill="1" applyBorder="1" applyAlignment="1">
      <alignment horizontal="left"/>
    </xf>
    <xf numFmtId="168" fontId="18" fillId="5" borderId="1" xfId="1" applyNumberFormat="1" applyFont="1" applyFill="1" applyBorder="1"/>
    <xf numFmtId="7" fontId="0" fillId="0" borderId="1" xfId="12" applyNumberFormat="1" applyFont="1" applyBorder="1"/>
    <xf numFmtId="0" fontId="0" fillId="2" borderId="0" xfId="0" applyFont="1" applyFill="1" applyBorder="1" applyAlignment="1">
      <alignment wrapText="1"/>
    </xf>
    <xf numFmtId="0" fontId="0" fillId="12" borderId="0" xfId="0" applyFill="1" applyProtection="1">
      <protection locked="0"/>
    </xf>
    <xf numFmtId="0" fontId="0" fillId="12" borderId="0" xfId="0" applyFill="1" applyAlignment="1">
      <alignment horizontal="left" indent="1"/>
    </xf>
    <xf numFmtId="0" fontId="0" fillId="12" borderId="0" xfId="0" applyFill="1" applyBorder="1"/>
    <xf numFmtId="168" fontId="0" fillId="0" borderId="0" xfId="1" applyNumberFormat="1" applyFont="1" applyFill="1" applyBorder="1"/>
    <xf numFmtId="168" fontId="0" fillId="0" borderId="0" xfId="0" applyNumberFormat="1" applyFill="1"/>
    <xf numFmtId="43" fontId="0" fillId="0" borderId="0" xfId="1" applyNumberFormat="1" applyFont="1" applyFill="1" applyBorder="1"/>
    <xf numFmtId="43" fontId="0" fillId="15" borderId="0" xfId="1" applyFont="1" applyFill="1"/>
    <xf numFmtId="2" fontId="32" fillId="0" borderId="0" xfId="0" applyNumberFormat="1" applyFont="1" applyFill="1"/>
    <xf numFmtId="10" fontId="0" fillId="0" borderId="1" xfId="0" applyNumberFormat="1" applyFill="1" applyBorder="1" applyAlignment="1">
      <alignment horizontal="right"/>
    </xf>
    <xf numFmtId="0" fontId="0" fillId="0" borderId="0" xfId="0" quotePrefix="1" applyAlignment="1">
      <alignment horizontal="right"/>
    </xf>
    <xf numFmtId="10" fontId="0" fillId="0" borderId="0" xfId="3" applyNumberFormat="1" applyFont="1" applyFill="1" applyBorder="1" applyAlignment="1">
      <alignment horizontal="right"/>
    </xf>
    <xf numFmtId="168" fontId="0" fillId="0" borderId="0" xfId="1" applyNumberFormat="1" applyFont="1" applyFill="1" applyBorder="1" applyAlignment="1">
      <alignment horizontal="center"/>
    </xf>
    <xf numFmtId="168" fontId="0" fillId="0" borderId="0" xfId="0" applyNumberFormat="1" applyFill="1" applyAlignment="1">
      <alignment horizontal="center"/>
    </xf>
    <xf numFmtId="166" fontId="0" fillId="0" borderId="0" xfId="3" applyNumberFormat="1" applyFont="1" applyFill="1" applyAlignment="1">
      <alignment horizontal="center"/>
    </xf>
    <xf numFmtId="10" fontId="0" fillId="0" borderId="0" xfId="0" applyNumberFormat="1" applyAlignment="1">
      <alignment horizontal="left" wrapText="1"/>
    </xf>
    <xf numFmtId="183" fontId="0" fillId="0" borderId="1" xfId="1" applyNumberFormat="1" applyFont="1" applyBorder="1" applyAlignment="1"/>
    <xf numFmtId="14" fontId="0" fillId="2" borderId="0" xfId="0" applyNumberFormat="1" applyFill="1"/>
    <xf numFmtId="0" fontId="6" fillId="2" borderId="0" xfId="0" applyFont="1" applyFill="1"/>
    <xf numFmtId="0" fontId="0" fillId="2" borderId="0" xfId="0" applyFill="1" applyProtection="1">
      <protection locked="0"/>
    </xf>
    <xf numFmtId="180" fontId="0" fillId="2" borderId="0" xfId="1" applyNumberFormat="1" applyFont="1" applyFill="1"/>
    <xf numFmtId="0" fontId="5" fillId="2" borderId="1" xfId="0" applyFont="1" applyFill="1" applyBorder="1"/>
    <xf numFmtId="0" fontId="5" fillId="2" borderId="1" xfId="0" applyFont="1" applyFill="1" applyBorder="1" applyAlignment="1">
      <alignment horizontal="center" wrapText="1"/>
    </xf>
    <xf numFmtId="0" fontId="0" fillId="2" borderId="1" xfId="0" applyFill="1" applyBorder="1" applyAlignment="1">
      <alignment horizontal="center" wrapText="1"/>
    </xf>
    <xf numFmtId="0" fontId="3" fillId="2" borderId="1" xfId="0" applyFont="1" applyFill="1" applyBorder="1"/>
    <xf numFmtId="0" fontId="0" fillId="2" borderId="1" xfId="0" applyFont="1" applyFill="1" applyBorder="1"/>
    <xf numFmtId="0" fontId="0" fillId="2" borderId="1" xfId="0" applyFont="1" applyFill="1" applyBorder="1" applyAlignment="1">
      <alignment horizontal="left" vertical="center"/>
    </xf>
    <xf numFmtId="0" fontId="21" fillId="2" borderId="1" xfId="0" applyFont="1" applyFill="1" applyBorder="1"/>
    <xf numFmtId="0" fontId="0" fillId="2" borderId="2" xfId="0" applyFont="1" applyFill="1" applyBorder="1"/>
    <xf numFmtId="168" fontId="0" fillId="2" borderId="0" xfId="1" applyNumberFormat="1" applyFont="1" applyFill="1"/>
    <xf numFmtId="166" fontId="0" fillId="2" borderId="0" xfId="3" applyNumberFormat="1" applyFont="1" applyFill="1"/>
    <xf numFmtId="164" fontId="0" fillId="2" borderId="0" xfId="2" applyNumberFormat="1" applyFont="1" applyFill="1"/>
    <xf numFmtId="44" fontId="0" fillId="2" borderId="0" xfId="0" applyNumberFormat="1" applyFill="1"/>
    <xf numFmtId="0" fontId="4" fillId="2" borderId="0" xfId="0" applyFont="1" applyFill="1" applyBorder="1"/>
    <xf numFmtId="9" fontId="0" fillId="2" borderId="0" xfId="0" applyNumberFormat="1" applyFill="1"/>
    <xf numFmtId="9" fontId="0" fillId="2" borderId="0" xfId="3" applyFont="1" applyFill="1" applyBorder="1"/>
    <xf numFmtId="9" fontId="0" fillId="2" borderId="0" xfId="3" applyFont="1" applyFill="1"/>
    <xf numFmtId="0" fontId="0" fillId="2" borderId="0" xfId="0" applyFill="1" applyAlignment="1"/>
    <xf numFmtId="9" fontId="0" fillId="2" borderId="0" xfId="0" applyNumberFormat="1" applyFill="1" applyAlignment="1"/>
    <xf numFmtId="0" fontId="0" fillId="2" borderId="0" xfId="0" applyFill="1" applyAlignment="1">
      <alignment horizontal="left"/>
    </xf>
    <xf numFmtId="43" fontId="0" fillId="2" borderId="0" xfId="1" applyFont="1" applyFill="1"/>
    <xf numFmtId="44" fontId="0" fillId="2" borderId="0" xfId="2" applyFont="1" applyFill="1"/>
    <xf numFmtId="182" fontId="0" fillId="2" borderId="1" xfId="0" applyNumberFormat="1" applyFill="1" applyBorder="1" applyAlignment="1"/>
    <xf numFmtId="182" fontId="0" fillId="2" borderId="4" xfId="0" applyNumberFormat="1" applyFill="1" applyBorder="1" applyAlignment="1"/>
    <xf numFmtId="182" fontId="0" fillId="2" borderId="0" xfId="0" applyNumberFormat="1" applyFill="1" applyBorder="1"/>
    <xf numFmtId="0" fontId="0" fillId="2" borderId="0" xfId="0" applyNumberFormat="1" applyFill="1"/>
    <xf numFmtId="0" fontId="3" fillId="2" borderId="0" xfId="0" applyFont="1" applyFill="1" applyBorder="1"/>
    <xf numFmtId="0" fontId="0" fillId="2" borderId="0" xfId="0" applyFont="1" applyFill="1" applyBorder="1" applyAlignment="1">
      <alignment horizontal="left" vertical="center"/>
    </xf>
    <xf numFmtId="9" fontId="0" fillId="2" borderId="0" xfId="3" applyFont="1" applyFill="1" applyAlignment="1"/>
    <xf numFmtId="9" fontId="0" fillId="2" borderId="1" xfId="0" applyNumberFormat="1" applyFill="1" applyBorder="1"/>
    <xf numFmtId="9" fontId="0" fillId="2" borderId="1" xfId="3" applyFont="1" applyFill="1" applyBorder="1"/>
    <xf numFmtId="9" fontId="0" fillId="2" borderId="21" xfId="3" applyFont="1" applyFill="1" applyBorder="1"/>
    <xf numFmtId="43" fontId="0" fillId="2" borderId="0" xfId="1" applyFont="1" applyFill="1" applyAlignment="1"/>
    <xf numFmtId="2" fontId="0" fillId="2" borderId="0" xfId="0" applyNumberFormat="1" applyFill="1"/>
    <xf numFmtId="1" fontId="40" fillId="2" borderId="0" xfId="3" applyNumberFormat="1" applyFont="1" applyFill="1" applyBorder="1"/>
    <xf numFmtId="0" fontId="0" fillId="2" borderId="22" xfId="14" applyFont="1" applyFill="1" applyBorder="1"/>
    <xf numFmtId="165" fontId="0" fillId="2" borderId="0" xfId="0" applyNumberFormat="1" applyFill="1"/>
    <xf numFmtId="170" fontId="0" fillId="2" borderId="0" xfId="0" applyNumberFormat="1" applyFill="1"/>
    <xf numFmtId="2" fontId="0" fillId="22" borderId="1" xfId="0" applyNumberFormat="1" applyFill="1" applyBorder="1"/>
    <xf numFmtId="168" fontId="0" fillId="22" borderId="1" xfId="1" applyNumberFormat="1" applyFont="1" applyFill="1" applyBorder="1"/>
    <xf numFmtId="166" fontId="0" fillId="22" borderId="1" xfId="3" applyNumberFormat="1" applyFont="1" applyFill="1" applyBorder="1"/>
    <xf numFmtId="164" fontId="0" fillId="22" borderId="1" xfId="2" applyNumberFormat="1" applyFont="1" applyFill="1" applyBorder="1"/>
    <xf numFmtId="44" fontId="0" fillId="22" borderId="1" xfId="0" applyNumberFormat="1" applyFill="1" applyBorder="1"/>
    <xf numFmtId="179" fontId="0" fillId="22" borderId="1" xfId="0" applyNumberFormat="1" applyFill="1" applyBorder="1"/>
    <xf numFmtId="2" fontId="0" fillId="15" borderId="1" xfId="0" applyNumberFormat="1" applyFill="1" applyBorder="1"/>
    <xf numFmtId="168" fontId="0" fillId="15" borderId="1" xfId="1" applyNumberFormat="1" applyFont="1" applyFill="1" applyBorder="1"/>
    <xf numFmtId="166" fontId="0" fillId="15" borderId="1" xfId="3" applyNumberFormat="1" applyFont="1" applyFill="1" applyBorder="1"/>
    <xf numFmtId="164" fontId="0" fillId="15" borderId="1" xfId="2" applyNumberFormat="1" applyFont="1" applyFill="1" applyBorder="1"/>
    <xf numFmtId="44" fontId="0" fillId="15" borderId="1" xfId="0" applyNumberFormat="1" applyFill="1" applyBorder="1"/>
    <xf numFmtId="179" fontId="0" fillId="15" borderId="1" xfId="0" applyNumberFormat="1" applyFill="1" applyBorder="1"/>
    <xf numFmtId="2" fontId="0" fillId="29" borderId="1" xfId="0" applyNumberFormat="1" applyFill="1" applyBorder="1"/>
    <xf numFmtId="168" fontId="0" fillId="29" borderId="1" xfId="1" applyNumberFormat="1" applyFont="1" applyFill="1" applyBorder="1"/>
    <xf numFmtId="166" fontId="0" fillId="29" borderId="1" xfId="3" applyNumberFormat="1" applyFont="1" applyFill="1" applyBorder="1"/>
    <xf numFmtId="164" fontId="0" fillId="29" borderId="1" xfId="2" applyNumberFormat="1" applyFont="1" applyFill="1" applyBorder="1"/>
    <xf numFmtId="44" fontId="0" fillId="29" borderId="1" xfId="0" applyNumberFormat="1" applyFill="1" applyBorder="1"/>
    <xf numFmtId="179" fontId="0" fillId="29" borderId="1" xfId="0" applyNumberFormat="1" applyFill="1" applyBorder="1"/>
    <xf numFmtId="0" fontId="0" fillId="2" borderId="0" xfId="0" quotePrefix="1" applyFill="1"/>
    <xf numFmtId="166" fontId="0" fillId="15" borderId="1" xfId="11" applyNumberFormat="1" applyFont="1" applyFill="1" applyBorder="1"/>
    <xf numFmtId="166" fontId="0" fillId="22" borderId="1" xfId="11" applyNumberFormat="1" applyFont="1" applyFill="1" applyBorder="1"/>
    <xf numFmtId="166" fontId="0" fillId="29" borderId="1" xfId="11" applyNumberFormat="1" applyFont="1" applyFill="1" applyBorder="1"/>
    <xf numFmtId="0" fontId="24" fillId="2" borderId="0" xfId="0" applyFont="1" applyFill="1" applyAlignment="1"/>
    <xf numFmtId="0" fontId="0" fillId="13" borderId="1" xfId="0" applyFill="1" applyBorder="1" applyAlignment="1">
      <alignment wrapText="1"/>
    </xf>
    <xf numFmtId="0" fontId="0" fillId="13" borderId="1" xfId="0" applyFill="1" applyBorder="1" applyAlignment="1">
      <alignment horizontal="center" wrapText="1"/>
    </xf>
    <xf numFmtId="0" fontId="0" fillId="13" borderId="21" xfId="0" applyFill="1" applyBorder="1" applyAlignment="1">
      <alignment wrapText="1"/>
    </xf>
    <xf numFmtId="0" fontId="11" fillId="0" borderId="0" xfId="0" applyFont="1"/>
    <xf numFmtId="166" fontId="0" fillId="0" borderId="0" xfId="3" applyNumberFormat="1" applyFont="1" applyFill="1" applyAlignment="1"/>
    <xf numFmtId="0" fontId="0" fillId="0" borderId="0" xfId="0" applyFont="1" applyFill="1" applyAlignment="1">
      <alignment horizontal="center"/>
    </xf>
    <xf numFmtId="168" fontId="0" fillId="0" borderId="0" xfId="1" applyNumberFormat="1" applyFont="1" applyAlignment="1">
      <alignment horizontal="right"/>
    </xf>
    <xf numFmtId="10" fontId="0" fillId="2" borderId="1" xfId="0" applyNumberFormat="1" applyFill="1" applyBorder="1"/>
    <xf numFmtId="10" fontId="0" fillId="2" borderId="1" xfId="3" applyNumberFormat="1" applyFont="1" applyFill="1" applyBorder="1"/>
    <xf numFmtId="10" fontId="0" fillId="2" borderId="1" xfId="3" applyNumberFormat="1" applyFont="1" applyFill="1" applyBorder="1" applyAlignment="1"/>
    <xf numFmtId="0" fontId="18" fillId="0" borderId="0" xfId="0" applyFont="1" applyFill="1" applyBorder="1" applyAlignment="1"/>
    <xf numFmtId="0" fontId="18" fillId="0" borderId="0" xfId="0" applyFont="1" applyFill="1" applyBorder="1" applyAlignment="1">
      <alignment horizontal="center" vertical="center"/>
    </xf>
    <xf numFmtId="4" fontId="17" fillId="0" borderId="0" xfId="0" quotePrefix="1" applyNumberFormat="1" applyFont="1" applyFill="1" applyBorder="1" applyAlignment="1">
      <alignment wrapText="1"/>
    </xf>
    <xf numFmtId="166" fontId="45" fillId="0" borderId="0" xfId="3" applyNumberFormat="1" applyFont="1" applyFill="1" applyBorder="1"/>
    <xf numFmtId="0" fontId="17" fillId="0" borderId="0" xfId="0" applyFont="1" applyFill="1" applyBorder="1"/>
    <xf numFmtId="176" fontId="0" fillId="0" borderId="0" xfId="0" applyNumberFormat="1" applyFont="1" applyFill="1" applyBorder="1"/>
    <xf numFmtId="44" fontId="0" fillId="0" borderId="0" xfId="2" applyFont="1" applyAlignment="1"/>
    <xf numFmtId="4" fontId="17" fillId="0" borderId="0" xfId="0" quotePrefix="1" applyNumberFormat="1" applyFont="1" applyFill="1" applyBorder="1" applyAlignment="1"/>
    <xf numFmtId="9" fontId="45" fillId="30" borderId="1" xfId="3" applyFont="1" applyFill="1" applyBorder="1"/>
    <xf numFmtId="4" fontId="17" fillId="0" borderId="0" xfId="0" applyNumberFormat="1" applyFont="1" applyFill="1" applyBorder="1" applyAlignment="1">
      <alignment wrapText="1"/>
    </xf>
    <xf numFmtId="3" fontId="17" fillId="0" borderId="0" xfId="0" applyNumberFormat="1" applyFont="1" applyFill="1" applyBorder="1"/>
    <xf numFmtId="164" fontId="45" fillId="0" borderId="0" xfId="2" applyNumberFormat="1" applyFont="1" applyFill="1" applyBorder="1"/>
    <xf numFmtId="164" fontId="17" fillId="0" borderId="0" xfId="2" applyNumberFormat="1" applyFont="1" applyFill="1" applyBorder="1"/>
    <xf numFmtId="184" fontId="0" fillId="0" borderId="0" xfId="2" applyNumberFormat="1" applyFont="1"/>
    <xf numFmtId="168" fontId="45" fillId="5" borderId="1" xfId="1" applyNumberFormat="1" applyFont="1" applyFill="1" applyBorder="1"/>
    <xf numFmtId="185" fontId="0" fillId="0" borderId="0" xfId="0" applyNumberFormat="1"/>
    <xf numFmtId="168" fontId="0" fillId="0" borderId="0" xfId="0" applyNumberFormat="1" applyAlignment="1">
      <alignment horizontal="center"/>
    </xf>
    <xf numFmtId="0" fontId="0" fillId="0" borderId="0" xfId="0" quotePrefix="1" applyAlignment="1">
      <alignment horizontal="left"/>
    </xf>
    <xf numFmtId="168" fontId="32" fillId="0" borderId="0" xfId="1" applyNumberFormat="1" applyFont="1" applyFill="1" applyBorder="1" applyAlignment="1"/>
    <xf numFmtId="168" fontId="32" fillId="0" borderId="0" xfId="1" applyNumberFormat="1" applyFont="1" applyFill="1" applyBorder="1"/>
    <xf numFmtId="168" fontId="32" fillId="5" borderId="0" xfId="1" applyNumberFormat="1" applyFont="1" applyFill="1" applyBorder="1"/>
    <xf numFmtId="175" fontId="0" fillId="0" borderId="0" xfId="1" applyNumberFormat="1" applyFont="1" applyFill="1" applyBorder="1" applyAlignment="1">
      <alignment horizontal="right"/>
    </xf>
    <xf numFmtId="0" fontId="0" fillId="0" borderId="0" xfId="0" applyAlignment="1">
      <alignment horizontal="center"/>
    </xf>
    <xf numFmtId="0" fontId="0" fillId="0" borderId="0" xfId="0" applyAlignment="1">
      <alignment horizontal="center"/>
    </xf>
    <xf numFmtId="170" fontId="0" fillId="0" borderId="0" xfId="9" applyNumberFormat="1" applyFont="1" applyAlignment="1">
      <alignment horizontal="left" wrapText="1"/>
    </xf>
    <xf numFmtId="168" fontId="0" fillId="0" borderId="1" xfId="1" applyNumberFormat="1" applyFont="1" applyFill="1" applyBorder="1" applyAlignment="1">
      <alignment horizontal="right"/>
    </xf>
    <xf numFmtId="168" fontId="1" fillId="0" borderId="1" xfId="8" applyNumberFormat="1" applyFont="1" applyFill="1" applyBorder="1"/>
    <xf numFmtId="170" fontId="0" fillId="0" borderId="0" xfId="9" applyNumberFormat="1" applyFont="1" applyFill="1" applyAlignment="1">
      <alignment horizontal="left" wrapText="1"/>
    </xf>
    <xf numFmtId="168" fontId="0" fillId="0" borderId="0" xfId="8" applyNumberFormat="1" applyFont="1" applyFill="1"/>
    <xf numFmtId="0" fontId="0" fillId="0" borderId="0" xfId="0" applyAlignment="1">
      <alignment horizontal="center"/>
    </xf>
    <xf numFmtId="168" fontId="1" fillId="16" borderId="1" xfId="8" applyNumberFormat="1" applyFont="1" applyFill="1" applyBorder="1"/>
    <xf numFmtId="168" fontId="0" fillId="5" borderId="1" xfId="1" applyNumberFormat="1" applyFont="1" applyFill="1" applyBorder="1" applyAlignment="1">
      <alignment horizontal="right"/>
    </xf>
    <xf numFmtId="0" fontId="0" fillId="12" borderId="0" xfId="0" applyFill="1" applyAlignment="1">
      <alignment horizontal="center" wrapText="1"/>
    </xf>
    <xf numFmtId="0" fontId="0" fillId="0" borderId="0" xfId="0" applyAlignment="1">
      <alignment horizontal="center"/>
    </xf>
    <xf numFmtId="10" fontId="0" fillId="0" borderId="1" xfId="3" applyNumberFormat="1" applyFont="1" applyFill="1" applyBorder="1" applyAlignment="1">
      <alignment horizontal="right"/>
    </xf>
    <xf numFmtId="170" fontId="0" fillId="0" borderId="0" xfId="9" applyNumberFormat="1" applyFont="1" applyAlignment="1">
      <alignment horizontal="left" wrapText="1" indent="1"/>
    </xf>
    <xf numFmtId="0" fontId="0" fillId="2" borderId="0" xfId="0" applyFill="1" applyAlignment="1">
      <alignment horizontal="center"/>
    </xf>
    <xf numFmtId="168" fontId="0" fillId="2" borderId="0" xfId="1" applyNumberFormat="1" applyFont="1" applyFill="1" applyBorder="1" applyAlignment="1">
      <alignment horizontal="right"/>
    </xf>
    <xf numFmtId="168" fontId="0" fillId="2" borderId="0" xfId="0" applyNumberFormat="1" applyFill="1" applyAlignment="1">
      <alignment horizontal="center"/>
    </xf>
    <xf numFmtId="168" fontId="0" fillId="2" borderId="1" xfId="1" applyNumberFormat="1" applyFont="1" applyFill="1" applyBorder="1" applyAlignment="1">
      <alignment horizontal="right"/>
    </xf>
    <xf numFmtId="168" fontId="0" fillId="2" borderId="0" xfId="8" applyNumberFormat="1" applyFont="1" applyFill="1"/>
    <xf numFmtId="170" fontId="0" fillId="2" borderId="0" xfId="9" applyNumberFormat="1" applyFont="1" applyFill="1" applyAlignment="1">
      <alignment horizontal="left" wrapText="1"/>
    </xf>
    <xf numFmtId="168" fontId="1" fillId="2" borderId="1" xfId="8" applyNumberFormat="1" applyFont="1" applyFill="1" applyBorder="1"/>
    <xf numFmtId="3" fontId="0" fillId="2" borderId="0" xfId="0" applyNumberFormat="1" applyFill="1"/>
    <xf numFmtId="168" fontId="1" fillId="2" borderId="0" xfId="8" applyNumberFormat="1" applyFont="1" applyFill="1" applyBorder="1"/>
    <xf numFmtId="10" fontId="0" fillId="2" borderId="1" xfId="0" applyNumberFormat="1" applyFill="1" applyBorder="1" applyAlignment="1">
      <alignment horizontal="right"/>
    </xf>
    <xf numFmtId="166" fontId="1" fillId="2" borderId="1" xfId="3" applyNumberFormat="1" applyFont="1" applyFill="1" applyBorder="1"/>
    <xf numFmtId="170" fontId="0" fillId="2" borderId="0" xfId="9" applyNumberFormat="1" applyFont="1" applyFill="1" applyAlignment="1">
      <alignment horizontal="left" wrapText="1" indent="1"/>
    </xf>
    <xf numFmtId="10" fontId="0" fillId="2" borderId="0" xfId="0" applyNumberFormat="1" applyFill="1" applyBorder="1" applyAlignment="1">
      <alignment horizontal="right"/>
    </xf>
    <xf numFmtId="0" fontId="0" fillId="0" borderId="0" xfId="0" applyAlignment="1">
      <alignment horizontal="center"/>
    </xf>
    <xf numFmtId="168" fontId="47" fillId="0" borderId="1" xfId="1" applyNumberFormat="1" applyFont="1" applyFill="1" applyBorder="1" applyAlignment="1">
      <alignment horizontal="right"/>
    </xf>
    <xf numFmtId="0" fontId="0" fillId="2" borderId="0" xfId="0" applyFill="1" applyAlignment="1">
      <alignment horizontal="center" wrapText="1"/>
    </xf>
    <xf numFmtId="166" fontId="0" fillId="0" borderId="0" xfId="3" applyNumberFormat="1" applyFont="1" applyBorder="1"/>
    <xf numFmtId="10" fontId="0" fillId="0" borderId="0" xfId="3" applyNumberFormat="1" applyFont="1" applyBorder="1"/>
    <xf numFmtId="43" fontId="0" fillId="2" borderId="0" xfId="1" applyNumberFormat="1" applyFont="1" applyFill="1"/>
    <xf numFmtId="10" fontId="0" fillId="2" borderId="0" xfId="3" applyNumberFormat="1" applyFont="1" applyFill="1"/>
    <xf numFmtId="173" fontId="0" fillId="0" borderId="1" xfId="0" applyNumberFormat="1" applyFill="1" applyBorder="1"/>
    <xf numFmtId="173" fontId="0" fillId="0" borderId="0" xfId="0" applyNumberFormat="1" applyFill="1" applyBorder="1"/>
    <xf numFmtId="170" fontId="17" fillId="3" borderId="0" xfId="0" applyNumberFormat="1" applyFont="1" applyFill="1" applyBorder="1"/>
    <xf numFmtId="170" fontId="17" fillId="3" borderId="0" xfId="0" applyNumberFormat="1" applyFont="1" applyFill="1" applyBorder="1" applyProtection="1">
      <protection locked="0"/>
    </xf>
    <xf numFmtId="0" fontId="0" fillId="0" borderId="0" xfId="0" applyAlignment="1">
      <alignment horizontal="center"/>
    </xf>
    <xf numFmtId="0" fontId="0" fillId="0" borderId="0" xfId="0" applyAlignment="1">
      <alignment horizontal="center"/>
    </xf>
    <xf numFmtId="0" fontId="0" fillId="0" borderId="0" xfId="0" applyFont="1" applyAlignment="1">
      <alignment horizontal="left"/>
    </xf>
    <xf numFmtId="0" fontId="0" fillId="0" borderId="0" xfId="0" applyFont="1" applyAlignment="1">
      <alignment horizontal="left" wrapText="1"/>
    </xf>
    <xf numFmtId="164" fontId="0" fillId="0" borderId="0" xfId="2" applyNumberFormat="1" applyFont="1" applyAlignment="1">
      <alignment horizontal="right"/>
    </xf>
    <xf numFmtId="168" fontId="0" fillId="0" borderId="0" xfId="0" applyNumberFormat="1" applyAlignment="1">
      <alignment horizontal="right"/>
    </xf>
    <xf numFmtId="0" fontId="0" fillId="0" borderId="0" xfId="0" applyAlignment="1">
      <alignment horizontal="center"/>
    </xf>
    <xf numFmtId="2" fontId="0" fillId="0" borderId="0" xfId="0" applyNumberFormat="1" applyFill="1"/>
    <xf numFmtId="0" fontId="0" fillId="2" borderId="0" xfId="14" applyFont="1" applyFill="1"/>
    <xf numFmtId="168" fontId="3" fillId="5" borderId="1" xfId="10" applyNumberFormat="1" applyFont="1" applyFill="1" applyBorder="1"/>
    <xf numFmtId="168" fontId="3" fillId="0" borderId="0" xfId="7" applyNumberFormat="1"/>
    <xf numFmtId="0" fontId="4" fillId="2" borderId="0" xfId="0" applyFont="1" applyFill="1" applyAlignment="1">
      <alignment horizontal="right"/>
    </xf>
    <xf numFmtId="0" fontId="4" fillId="0" borderId="0" xfId="0" applyFont="1"/>
    <xf numFmtId="168" fontId="3" fillId="5" borderId="1" xfId="1" applyNumberFormat="1" applyFont="1" applyFill="1" applyBorder="1"/>
    <xf numFmtId="168" fontId="0" fillId="0" borderId="0" xfId="1" applyNumberFormat="1" applyFont="1" applyFill="1" applyBorder="1" applyAlignment="1">
      <alignment horizontal="right"/>
    </xf>
    <xf numFmtId="1" fontId="0" fillId="0" borderId="0" xfId="1" applyNumberFormat="1" applyFont="1"/>
    <xf numFmtId="184" fontId="0" fillId="0" borderId="0" xfId="2" applyNumberFormat="1" applyFont="1" applyFill="1" applyAlignment="1"/>
    <xf numFmtId="43" fontId="0" fillId="0" borderId="0" xfId="1" applyFont="1" applyFill="1" applyAlignment="1"/>
    <xf numFmtId="43" fontId="0" fillId="0" borderId="0" xfId="0" applyNumberFormat="1" applyFill="1" applyAlignment="1"/>
    <xf numFmtId="167" fontId="0" fillId="0" borderId="0" xfId="0" applyNumberFormat="1" applyFill="1" applyAlignment="1"/>
    <xf numFmtId="44" fontId="0" fillId="0" borderId="0" xfId="0" applyNumberFormat="1" applyFill="1" applyAlignment="1"/>
    <xf numFmtId="184" fontId="0" fillId="0" borderId="0" xfId="0" applyNumberFormat="1" applyFill="1" applyAlignment="1"/>
    <xf numFmtId="186" fontId="0" fillId="0" borderId="0" xfId="0" applyNumberFormat="1" applyFill="1" applyAlignment="1"/>
    <xf numFmtId="44" fontId="0" fillId="3" borderId="0" xfId="2" applyFont="1" applyFill="1" applyAlignment="1"/>
    <xf numFmtId="44" fontId="0" fillId="0" borderId="0" xfId="0" applyNumberFormat="1" applyFont="1" applyFill="1" applyAlignment="1"/>
    <xf numFmtId="0" fontId="3" fillId="0" borderId="0" xfId="0" applyFont="1" applyFill="1" applyAlignment="1">
      <alignment wrapText="1"/>
    </xf>
    <xf numFmtId="1" fontId="0" fillId="3" borderId="0" xfId="0" applyNumberFormat="1" applyFill="1" applyAlignment="1"/>
    <xf numFmtId="172" fontId="0" fillId="0" borderId="0" xfId="0" applyNumberFormat="1" applyFill="1" applyAlignment="1"/>
    <xf numFmtId="0" fontId="3" fillId="15" borderId="19" xfId="0" applyFont="1" applyFill="1" applyBorder="1" applyAlignment="1">
      <alignment wrapText="1"/>
    </xf>
    <xf numFmtId="0" fontId="3" fillId="15" borderId="18" xfId="0" applyFont="1" applyFill="1" applyBorder="1" applyAlignment="1">
      <alignment wrapText="1"/>
    </xf>
    <xf numFmtId="0" fontId="3" fillId="13" borderId="0" xfId="0" applyFont="1" applyFill="1" applyBorder="1" applyAlignment="1">
      <alignment wrapText="1"/>
    </xf>
    <xf numFmtId="0" fontId="3" fillId="13" borderId="18" xfId="0" applyFont="1" applyFill="1" applyBorder="1" applyAlignment="1">
      <alignment wrapText="1"/>
    </xf>
    <xf numFmtId="0" fontId="0" fillId="13" borderId="0" xfId="0" applyFill="1" applyBorder="1" applyAlignment="1">
      <alignment wrapText="1"/>
    </xf>
    <xf numFmtId="0" fontId="0" fillId="15" borderId="0" xfId="0" applyFill="1" applyBorder="1" applyAlignment="1">
      <alignment wrapText="1"/>
    </xf>
    <xf numFmtId="0" fontId="0" fillId="15" borderId="18" xfId="0" applyFill="1" applyBorder="1" applyAlignment="1">
      <alignment wrapText="1"/>
    </xf>
    <xf numFmtId="0" fontId="34" fillId="0" borderId="0" xfId="0" quotePrefix="1" applyFont="1" applyFill="1" applyAlignment="1"/>
    <xf numFmtId="0" fontId="35" fillId="0" borderId="0" xfId="0" applyFont="1" applyAlignment="1"/>
    <xf numFmtId="0" fontId="3" fillId="0" borderId="0" xfId="0" applyFont="1" applyFill="1" applyBorder="1" applyAlignment="1">
      <alignment wrapText="1"/>
    </xf>
    <xf numFmtId="0" fontId="0" fillId="0" borderId="0" xfId="0" applyBorder="1" applyAlignment="1"/>
    <xf numFmtId="9" fontId="0" fillId="3" borderId="0" xfId="3" applyFont="1" applyFill="1" applyAlignment="1"/>
    <xf numFmtId="43" fontId="0" fillId="0" borderId="0" xfId="1" applyFont="1" applyBorder="1" applyAlignment="1"/>
    <xf numFmtId="168" fontId="17" fillId="31" borderId="0" xfId="1" applyNumberFormat="1" applyFont="1" applyFill="1" applyBorder="1"/>
    <xf numFmtId="164" fontId="0" fillId="0" borderId="0" xfId="2" applyNumberFormat="1" applyFont="1" applyFill="1" applyBorder="1" applyAlignment="1"/>
    <xf numFmtId="164" fontId="3" fillId="0" borderId="0" xfId="2" applyNumberFormat="1" applyFont="1" applyFill="1" applyBorder="1" applyAlignment="1">
      <alignment wrapText="1"/>
    </xf>
    <xf numFmtId="0" fontId="6" fillId="0" borderId="0" xfId="0" applyFont="1" applyFill="1" applyBorder="1" applyAlignment="1">
      <alignment wrapText="1"/>
    </xf>
    <xf numFmtId="9" fontId="0" fillId="0" borderId="0" xfId="3" applyFont="1" applyFill="1" applyBorder="1" applyAlignment="1">
      <alignment horizontal="right"/>
    </xf>
    <xf numFmtId="0" fontId="39" fillId="0" borderId="0" xfId="1" applyNumberFormat="1" applyFont="1" applyBorder="1" applyAlignment="1">
      <alignment horizontal="left"/>
    </xf>
    <xf numFmtId="0" fontId="3" fillId="0" borderId="0" xfId="0" applyFont="1" applyFill="1" applyBorder="1" applyAlignment="1">
      <alignment horizontal="left" wrapText="1" indent="1"/>
    </xf>
    <xf numFmtId="43" fontId="0" fillId="0" borderId="0" xfId="1" applyNumberFormat="1" applyFont="1" applyFill="1" applyBorder="1" applyAlignment="1">
      <alignment horizontal="center"/>
    </xf>
    <xf numFmtId="0" fontId="48" fillId="0" borderId="0" xfId="0" applyFont="1" applyAlignment="1">
      <alignment vertical="center" readingOrder="1"/>
    </xf>
    <xf numFmtId="1" fontId="0" fillId="3" borderId="1" xfId="1" applyNumberFormat="1" applyFont="1" applyFill="1" applyBorder="1" applyProtection="1">
      <protection locked="0"/>
    </xf>
    <xf numFmtId="0" fontId="0" fillId="32" borderId="0" xfId="0" applyFill="1"/>
    <xf numFmtId="0" fontId="0" fillId="33" borderId="0" xfId="0" applyFill="1"/>
    <xf numFmtId="0" fontId="0" fillId="34" borderId="0" xfId="0" applyFill="1"/>
    <xf numFmtId="0" fontId="0" fillId="35" borderId="0" xfId="0" applyFill="1"/>
    <xf numFmtId="0" fontId="0" fillId="36" borderId="0" xfId="0" applyFill="1"/>
    <xf numFmtId="0" fontId="0" fillId="37" borderId="0" xfId="0" applyFill="1"/>
    <xf numFmtId="0" fontId="0" fillId="38" borderId="0" xfId="0" applyFill="1"/>
    <xf numFmtId="0" fontId="0" fillId="39" borderId="0" xfId="0" applyFill="1"/>
    <xf numFmtId="0" fontId="0" fillId="40" borderId="0" xfId="0" applyFill="1"/>
    <xf numFmtId="0" fontId="0" fillId="41" borderId="0" xfId="0" applyFill="1"/>
    <xf numFmtId="0" fontId="1" fillId="2" borderId="0" xfId="0" applyNumberFormat="1" applyFont="1" applyFill="1"/>
    <xf numFmtId="0" fontId="1" fillId="0" borderId="0" xfId="0" applyNumberFormat="1" applyFont="1"/>
    <xf numFmtId="182" fontId="1" fillId="2" borderId="0" xfId="0" applyNumberFormat="1" applyFont="1" applyFill="1" applyBorder="1"/>
    <xf numFmtId="182" fontId="1" fillId="0" borderId="0" xfId="0" applyNumberFormat="1" applyFont="1" applyBorder="1"/>
    <xf numFmtId="182" fontId="1" fillId="2" borderId="0" xfId="3" applyNumberFormat="1" applyFont="1" applyFill="1" applyBorder="1"/>
    <xf numFmtId="182" fontId="1" fillId="0" borderId="0" xfId="3" applyNumberFormat="1" applyFont="1" applyFill="1" applyBorder="1"/>
    <xf numFmtId="182" fontId="1" fillId="0" borderId="19" xfId="3" applyNumberFormat="1" applyFont="1" applyFill="1" applyBorder="1" applyAlignment="1">
      <alignment wrapText="1"/>
    </xf>
    <xf numFmtId="182" fontId="1" fillId="0" borderId="0" xfId="3" applyNumberFormat="1" applyFont="1" applyFill="1" applyBorder="1" applyAlignment="1">
      <alignment wrapText="1"/>
    </xf>
    <xf numFmtId="182" fontId="1" fillId="2" borderId="19" xfId="3" applyNumberFormat="1" applyFont="1" applyFill="1" applyBorder="1"/>
    <xf numFmtId="168" fontId="0" fillId="0" borderId="0" xfId="1" applyNumberFormat="1" applyFont="1" applyFill="1" applyProtection="1"/>
    <xf numFmtId="168" fontId="0" fillId="3" borderId="1" xfId="1" applyNumberFormat="1" applyFont="1" applyFill="1" applyBorder="1" applyAlignment="1"/>
    <xf numFmtId="168" fontId="0" fillId="0" borderId="0" xfId="1" applyNumberFormat="1" applyFont="1" applyAlignment="1">
      <alignment horizontal="left" indent="1"/>
    </xf>
    <xf numFmtId="0" fontId="17" fillId="0" borderId="0" xfId="15" applyAlignment="1">
      <alignment wrapText="1"/>
    </xf>
    <xf numFmtId="0" fontId="17" fillId="0" borderId="0" xfId="15" applyProtection="1">
      <protection locked="0"/>
    </xf>
    <xf numFmtId="0" fontId="17" fillId="29" borderId="0" xfId="15" applyFill="1"/>
    <xf numFmtId="1" fontId="17" fillId="0" borderId="0" xfId="15" applyNumberFormat="1" applyAlignment="1">
      <alignment wrapText="1"/>
    </xf>
    <xf numFmtId="170" fontId="17" fillId="0" borderId="0" xfId="15" applyNumberFormat="1" applyAlignment="1">
      <alignment wrapText="1"/>
    </xf>
    <xf numFmtId="187" fontId="17" fillId="0" borderId="0" xfId="15" applyNumberFormat="1" applyAlignment="1">
      <alignment wrapText="1"/>
    </xf>
    <xf numFmtId="0" fontId="17" fillId="0" borderId="0" xfId="15" applyAlignment="1">
      <alignment horizontal="left"/>
    </xf>
    <xf numFmtId="0" fontId="17" fillId="3" borderId="0" xfId="15" applyFill="1" applyProtection="1">
      <protection locked="0"/>
    </xf>
    <xf numFmtId="0" fontId="17" fillId="0" borderId="0" xfId="15" applyAlignment="1" applyProtection="1">
      <alignment horizontal="left"/>
      <protection locked="0"/>
    </xf>
    <xf numFmtId="1" fontId="17" fillId="0" borderId="0" xfId="15" applyNumberFormat="1" applyProtection="1">
      <protection locked="0"/>
    </xf>
    <xf numFmtId="1" fontId="17" fillId="0" borderId="0" xfId="15" applyNumberFormat="1"/>
    <xf numFmtId="170" fontId="0" fillId="0" borderId="0" xfId="0" applyNumberFormat="1" applyAlignment="1">
      <alignment wrapText="1"/>
    </xf>
    <xf numFmtId="10" fontId="0" fillId="2" borderId="1" xfId="3" applyNumberFormat="1" applyFont="1" applyFill="1" applyBorder="1" applyAlignment="1">
      <alignment horizontal="center"/>
    </xf>
    <xf numFmtId="0" fontId="21" fillId="0" borderId="0" xfId="0" quotePrefix="1" applyFont="1" applyFill="1" applyBorder="1" applyAlignment="1" applyProtection="1">
      <alignment horizontal="left"/>
      <protection locked="0"/>
    </xf>
    <xf numFmtId="0" fontId="0" fillId="0" borderId="1" xfId="0" quotePrefix="1" applyFont="1" applyFill="1" applyBorder="1" applyAlignment="1" applyProtection="1">
      <alignment horizontal="left"/>
      <protection locked="0"/>
    </xf>
    <xf numFmtId="164" fontId="0" fillId="0" borderId="7" xfId="0" applyNumberFormat="1" applyBorder="1"/>
    <xf numFmtId="0" fontId="2" fillId="0" borderId="0" xfId="0" applyFont="1" applyFill="1" applyAlignment="1">
      <alignment wrapText="1"/>
    </xf>
    <xf numFmtId="164" fontId="11" fillId="0" borderId="1" xfId="12" applyNumberFormat="1" applyFont="1" applyFill="1" applyBorder="1"/>
    <xf numFmtId="164" fontId="11" fillId="0" borderId="0" xfId="0" applyNumberFormat="1" applyFont="1" applyFill="1"/>
    <xf numFmtId="9" fontId="0" fillId="0" borderId="24" xfId="3" applyFont="1" applyBorder="1"/>
    <xf numFmtId="0" fontId="24" fillId="0" borderId="0" xfId="0" applyFont="1" applyAlignment="1">
      <alignment horizontal="center"/>
    </xf>
    <xf numFmtId="0" fontId="0" fillId="0" borderId="0" xfId="0" applyFont="1" applyAlignment="1">
      <alignment horizontal="right" vertical="center"/>
    </xf>
    <xf numFmtId="14" fontId="0" fillId="0" borderId="0" xfId="0" applyNumberFormat="1" applyFont="1" applyAlignment="1">
      <alignment horizontal="right" vertical="center"/>
    </xf>
    <xf numFmtId="166" fontId="0" fillId="5" borderId="1" xfId="3" applyNumberFormat="1" applyFont="1" applyFill="1" applyBorder="1" applyAlignment="1"/>
    <xf numFmtId="0" fontId="0" fillId="2" borderId="1" xfId="0" applyFont="1" applyFill="1" applyBorder="1" applyAlignment="1">
      <alignment wrapText="1"/>
    </xf>
    <xf numFmtId="43" fontId="0" fillId="2" borderId="1" xfId="1" applyNumberFormat="1" applyFont="1" applyFill="1" applyBorder="1"/>
    <xf numFmtId="43" fontId="0" fillId="0" borderId="0" xfId="1" applyFont="1" applyBorder="1"/>
    <xf numFmtId="0" fontId="0" fillId="0" borderId="1" xfId="0" applyFill="1" applyBorder="1" applyProtection="1"/>
    <xf numFmtId="0" fontId="0" fillId="2" borderId="0" xfId="0" applyFill="1" applyBorder="1" applyAlignment="1" applyProtection="1">
      <alignment horizontal="left" wrapText="1"/>
      <protection locked="0"/>
    </xf>
    <xf numFmtId="0" fontId="24" fillId="2" borderId="10" xfId="0" quotePrefix="1" applyFont="1" applyFill="1" applyBorder="1" applyAlignment="1">
      <alignment horizontal="center"/>
    </xf>
    <xf numFmtId="164" fontId="42" fillId="0" borderId="16" xfId="12" applyNumberFormat="1" applyFont="1" applyFill="1" applyBorder="1" applyAlignment="1" applyProtection="1">
      <alignment horizontal="left" wrapText="1"/>
      <protection locked="0"/>
    </xf>
    <xf numFmtId="164" fontId="42" fillId="0" borderId="10" xfId="12" applyNumberFormat="1" applyFont="1" applyFill="1" applyBorder="1" applyAlignment="1" applyProtection="1">
      <alignment horizontal="left" wrapText="1"/>
      <protection locked="0"/>
    </xf>
    <xf numFmtId="164" fontId="42" fillId="0" borderId="20" xfId="12" applyNumberFormat="1" applyFont="1" applyFill="1" applyBorder="1" applyAlignment="1" applyProtection="1">
      <alignment horizontal="left" wrapText="1"/>
      <protection locked="0"/>
    </xf>
    <xf numFmtId="164" fontId="42" fillId="0" borderId="15" xfId="12" applyNumberFormat="1" applyFont="1" applyFill="1" applyBorder="1" applyAlignment="1" applyProtection="1">
      <alignment horizontal="left" wrapText="1"/>
      <protection locked="0"/>
    </xf>
    <xf numFmtId="164" fontId="42" fillId="0" borderId="9" xfId="12" applyNumberFormat="1" applyFont="1" applyFill="1" applyBorder="1" applyAlignment="1" applyProtection="1">
      <alignment horizontal="left" wrapText="1"/>
      <protection locked="0"/>
    </xf>
    <xf numFmtId="164" fontId="42" fillId="0" borderId="23" xfId="12" applyNumberFormat="1" applyFont="1" applyFill="1" applyBorder="1" applyAlignment="1" applyProtection="1">
      <alignment horizontal="left" wrapText="1"/>
      <protection locked="0"/>
    </xf>
    <xf numFmtId="0" fontId="0" fillId="0" borderId="0" xfId="0" applyAlignment="1">
      <alignment horizontal="center"/>
    </xf>
    <xf numFmtId="0" fontId="3" fillId="15" borderId="16" xfId="0" applyFont="1" applyFill="1" applyBorder="1" applyAlignment="1">
      <alignment horizontal="center" wrapText="1"/>
    </xf>
    <xf numFmtId="0" fontId="3" fillId="15" borderId="10" xfId="0" applyFont="1" applyFill="1" applyBorder="1" applyAlignment="1">
      <alignment horizontal="center" wrapText="1"/>
    </xf>
    <xf numFmtId="0" fontId="3" fillId="15" borderId="20" xfId="0" applyFont="1" applyFill="1" applyBorder="1" applyAlignment="1">
      <alignment horizontal="center" wrapText="1"/>
    </xf>
    <xf numFmtId="0" fontId="0" fillId="22" borderId="0" xfId="0" applyFill="1" applyAlignment="1">
      <alignment horizontal="center"/>
    </xf>
    <xf numFmtId="0" fontId="3" fillId="13" borderId="16" xfId="0" applyFont="1" applyFill="1" applyBorder="1" applyAlignment="1">
      <alignment horizontal="center"/>
    </xf>
    <xf numFmtId="0" fontId="3" fillId="13" borderId="10" xfId="0" applyFont="1" applyFill="1" applyBorder="1" applyAlignment="1">
      <alignment horizontal="center"/>
    </xf>
    <xf numFmtId="0" fontId="3" fillId="13" borderId="20" xfId="0" applyFont="1" applyFill="1" applyBorder="1" applyAlignment="1">
      <alignment horizontal="center"/>
    </xf>
    <xf numFmtId="174" fontId="0" fillId="2" borderId="0" xfId="0" applyNumberFormat="1" applyFont="1" applyFill="1" applyBorder="1"/>
  </cellXfs>
  <cellStyles count="16">
    <cellStyle name="Comma" xfId="1" builtinId="3"/>
    <cellStyle name="Comma 2" xfId="10"/>
    <cellStyle name="Comma 3" xfId="8"/>
    <cellStyle name="Comma 4" xfId="6"/>
    <cellStyle name="Currency" xfId="2" builtinId="4"/>
    <cellStyle name="Currency 2" xfId="12"/>
    <cellStyle name="Hyperlink" xfId="13" builtinId="8"/>
    <cellStyle name="Normal" xfId="0" builtinId="0"/>
    <cellStyle name="Normal 2" xfId="7"/>
    <cellStyle name="Normal 3" xfId="15"/>
    <cellStyle name="Normal 3 2" xfId="14"/>
    <cellStyle name="Normal 4" xfId="9"/>
    <cellStyle name="Normal 5" xfId="4"/>
    <cellStyle name="Percent" xfId="3" builtinId="5"/>
    <cellStyle name="Percent 2" xfId="11"/>
    <cellStyle name="Percent 3" xfId="5"/>
  </cellStyles>
  <dxfs count="103">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fill>
        <patternFill patternType="none">
          <bgColor auto="1"/>
        </patternFill>
      </fill>
    </dxf>
    <dxf>
      <font>
        <color theme="0" tint="-0.24994659260841701"/>
      </font>
    </dxf>
    <dxf>
      <font>
        <color theme="0" tint="-0.24994659260841701"/>
      </font>
    </dxf>
    <dxf>
      <font>
        <b/>
        <i val="0"/>
      </font>
    </dxf>
    <dxf>
      <font>
        <b/>
        <i val="0"/>
      </font>
    </dxf>
    <dxf>
      <font>
        <b/>
        <i val="0"/>
      </font>
    </dxf>
    <dxf>
      <font>
        <b/>
        <i val="0"/>
      </font>
    </dxf>
    <dxf>
      <font>
        <b/>
        <i val="0"/>
      </font>
    </dxf>
    <dxf>
      <font>
        <b/>
        <i val="0"/>
      </font>
    </dxf>
    <dxf>
      <font>
        <color theme="0" tint="-0.14996795556505021"/>
      </font>
    </dxf>
    <dxf>
      <font>
        <color theme="0" tint="-0.14996795556505021"/>
      </font>
    </dxf>
    <dxf>
      <font>
        <color theme="0" tint="-0.14996795556505021"/>
      </font>
    </dxf>
    <dxf>
      <font>
        <color theme="0" tint="-0.14996795556505021"/>
      </font>
    </dxf>
    <dxf>
      <font>
        <color theme="0" tint="-0.1499679555650502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font>
    </dxf>
    <dxf>
      <font>
        <color rgb="FFBFBFBF"/>
      </font>
      <fill>
        <patternFill>
          <bgColor rgb="FFFFFFFF"/>
        </patternFill>
      </fill>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ont>
        <color theme="0" tint="-0.24994659260841701"/>
      </font>
    </dxf>
    <dxf>
      <fill>
        <patternFill>
          <bgColor theme="3" tint="0.59996337778862885"/>
        </patternFill>
      </fill>
    </dxf>
    <dxf>
      <fill>
        <patternFill>
          <bgColor theme="9" tint="0.59996337778862885"/>
        </patternFill>
      </fill>
    </dxf>
    <dxf>
      <fill>
        <patternFill>
          <bgColor theme="6" tint="0.39994506668294322"/>
        </patternFill>
      </fill>
    </dxf>
    <dxf>
      <fill>
        <patternFill>
          <bgColor theme="3" tint="0.59996337778862885"/>
        </patternFill>
      </fill>
    </dxf>
    <dxf>
      <fill>
        <patternFill>
          <bgColor theme="6" tint="0.59996337778862885"/>
        </patternFill>
      </fill>
    </dxf>
    <dxf>
      <fill>
        <patternFill>
          <bgColor theme="9" tint="0.59996337778862885"/>
        </patternFill>
      </fill>
    </dxf>
    <dxf>
      <fill>
        <patternFill>
          <bgColor theme="6" tint="0.39994506668294322"/>
        </patternFill>
      </fill>
    </dxf>
    <dxf>
      <fill>
        <patternFill>
          <bgColor theme="3" tint="0.59996337778862885"/>
        </patternFill>
      </fill>
    </dxf>
    <dxf>
      <fill>
        <patternFill>
          <bgColor theme="9" tint="0.39994506668294322"/>
        </patternFill>
      </fill>
    </dxf>
    <dxf>
      <font>
        <color theme="0" tint="-0.14996795556505021"/>
      </font>
    </dxf>
    <dxf>
      <font>
        <color theme="0" tint="-0.14996795556505021"/>
      </font>
    </dxf>
    <dxf>
      <font>
        <b val="0"/>
        <i val="0"/>
        <color theme="0" tint="-0.14996795556505021"/>
      </font>
      <fill>
        <patternFill patternType="solid">
          <bgColor theme="0"/>
        </patternFill>
      </fill>
    </dxf>
  </dxfs>
  <tableStyles count="0" defaultTableStyle="TableStyleMedium2" defaultPivotStyle="PivotStyleLight16"/>
  <colors>
    <mruColors>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34" Type="http://schemas.microsoft.com/office/2006/relationships/vbaProject" Target="vbaProject.bin"/><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Main!$A$287</c:f>
          <c:strCache>
            <c:ptCount val="1"/>
            <c:pt idx="0">
              <c:v>Effectiveness and Cost of Individual Practices, Statewide, Average weather</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1"/>
          <c:tx>
            <c:strRef>
              <c:f>Main!$I$9</c:f>
              <c:strCache>
                <c:ptCount val="1"/>
                <c:pt idx="0">
                  <c:v>Reduction in watershed P load</c:v>
                </c:pt>
              </c:strCache>
            </c:strRef>
          </c:tx>
          <c:spPr>
            <a:solidFill>
              <a:srgbClr val="FF5050"/>
            </a:solidFill>
            <a:ln>
              <a:noFill/>
            </a:ln>
            <a:effectLst/>
          </c:spPr>
          <c:invertIfNegative val="0"/>
          <c:cat>
            <c:strRef>
              <c:f>Main!$A$10:$A$19</c:f>
              <c:strCache>
                <c:ptCount val="10"/>
                <c:pt idx="0">
                  <c:v>Adopt BMP P2O5 rate</c:v>
                </c:pt>
                <c:pt idx="1">
                  <c:v>Fall corn&amp;wheat fert to preplant/starter</c:v>
                </c:pt>
                <c:pt idx="2">
                  <c:v>Use reduced tillage on corn, soy &amp; small gr &gt;2% slopes</c:v>
                </c:pt>
                <c:pt idx="3">
                  <c:v>50 ft buffers, perm&amp;intermit streams, 100 ft treated</c:v>
                </c:pt>
                <c:pt idx="4">
                  <c:v>Perennial crop % of marginal corn&amp;soy land</c:v>
                </c:pt>
                <c:pt idx="5">
                  <c:v>Corn grain &amp; soybean acres w/cereal rye cover crop</c:v>
                </c:pt>
                <c:pt idx="6">
                  <c:v>Short season crops planted to a rye cover crop</c:v>
                </c:pt>
                <c:pt idx="7">
                  <c:v>Controlled drainage</c:v>
                </c:pt>
                <c:pt idx="8">
                  <c:v>Alternative tile intakes</c:v>
                </c:pt>
                <c:pt idx="9">
                  <c:v>Inject or incorp manure</c:v>
                </c:pt>
              </c:strCache>
            </c:strRef>
          </c:cat>
          <c:val>
            <c:numRef>
              <c:f>Main!$I$10:$I$19</c:f>
              <c:numCache>
                <c:formatCode>0.0%</c:formatCode>
                <c:ptCount val="10"/>
                <c:pt idx="0">
                  <c:v>5.5828041027335344E-2</c:v>
                </c:pt>
                <c:pt idx="1">
                  <c:v>2.7800825354094131E-3</c:v>
                </c:pt>
                <c:pt idx="2">
                  <c:v>3.0019479289649428E-2</c:v>
                </c:pt>
                <c:pt idx="3">
                  <c:v>3.1127837422889E-2</c:v>
                </c:pt>
                <c:pt idx="4">
                  <c:v>1.2385908475258526E-2</c:v>
                </c:pt>
                <c:pt idx="5">
                  <c:v>4.8071485051924103E-3</c:v>
                </c:pt>
                <c:pt idx="6">
                  <c:v>1.3770613596106736E-2</c:v>
                </c:pt>
                <c:pt idx="7">
                  <c:v>9.1113911116914754E-3</c:v>
                </c:pt>
                <c:pt idx="8">
                  <c:v>3.9273505145689259E-2</c:v>
                </c:pt>
                <c:pt idx="9">
                  <c:v>1.2038159816248881E-2</c:v>
                </c:pt>
              </c:numCache>
            </c:numRef>
          </c:val>
          <c:extLst xmlns:c16r2="http://schemas.microsoft.com/office/drawing/2015/06/chart">
            <c:ext xmlns:c16="http://schemas.microsoft.com/office/drawing/2014/chart" uri="{C3380CC4-5D6E-409C-BE32-E72D297353CC}">
              <c16:uniqueId val="{00000000-6DDB-43F2-92C2-2236C5E49D76}"/>
            </c:ext>
          </c:extLst>
        </c:ser>
        <c:dLbls>
          <c:showLegendKey val="0"/>
          <c:showVal val="0"/>
          <c:showCatName val="0"/>
          <c:showSerName val="0"/>
          <c:showPercent val="0"/>
          <c:showBubbleSize val="0"/>
        </c:dLbls>
        <c:gapWidth val="219"/>
        <c:axId val="588129024"/>
        <c:axId val="588128632"/>
      </c:barChart>
      <c:lineChart>
        <c:grouping val="standard"/>
        <c:varyColors val="0"/>
        <c:ser>
          <c:idx val="1"/>
          <c:order val="0"/>
          <c:tx>
            <c:strRef>
              <c:f>Main!$N$9</c:f>
              <c:strCache>
                <c:ptCount val="1"/>
                <c:pt idx="0">
                  <c:v>P removal cost ($/lb P removed)</c:v>
                </c:pt>
              </c:strCache>
            </c:strRef>
          </c:tx>
          <c:spPr>
            <a:ln w="28575" cap="rnd">
              <a:solidFill>
                <a:srgbClr val="0070C0"/>
              </a:solidFill>
              <a:round/>
            </a:ln>
            <a:effectLst/>
          </c:spPr>
          <c:marker>
            <c:symbol val="none"/>
          </c:marker>
          <c:cat>
            <c:strRef>
              <c:f>Main!$A$10:$A$19</c:f>
              <c:strCache>
                <c:ptCount val="10"/>
                <c:pt idx="0">
                  <c:v>Adopt BMP P2O5 rate</c:v>
                </c:pt>
                <c:pt idx="1">
                  <c:v>Fall corn&amp;wheat fert to preplant/starter</c:v>
                </c:pt>
                <c:pt idx="2">
                  <c:v>Use reduced tillage on corn, soy &amp; small gr &gt;2% slopes</c:v>
                </c:pt>
                <c:pt idx="3">
                  <c:v>50 ft buffers, perm&amp;intermit streams, 100 ft treated</c:v>
                </c:pt>
                <c:pt idx="4">
                  <c:v>Perennial crop % of marginal corn&amp;soy land</c:v>
                </c:pt>
                <c:pt idx="5">
                  <c:v>Corn grain &amp; soybean acres w/cereal rye cover crop</c:v>
                </c:pt>
                <c:pt idx="6">
                  <c:v>Short season crops planted to a rye cover crop</c:v>
                </c:pt>
                <c:pt idx="7">
                  <c:v>Controlled drainage</c:v>
                </c:pt>
                <c:pt idx="8">
                  <c:v>Alternative tile intakes</c:v>
                </c:pt>
                <c:pt idx="9">
                  <c:v>Inject or incorp manure</c:v>
                </c:pt>
              </c:strCache>
            </c:strRef>
          </c:cat>
          <c:val>
            <c:numRef>
              <c:f>Main!$N$10:$N$19</c:f>
              <c:numCache>
                <c:formatCode>_("$"* #,##0.00_);_("$"* \(#,##0.00\);_("$"* "-"??_);_(@_)</c:formatCode>
                <c:ptCount val="10"/>
                <c:pt idx="0">
                  <c:v>-430.3204043807707</c:v>
                </c:pt>
                <c:pt idx="1">
                  <c:v>1511.8161706018514</c:v>
                </c:pt>
                <c:pt idx="2">
                  <c:v>-177.25602038466971</c:v>
                </c:pt>
                <c:pt idx="3">
                  <c:v>46.879739668965946</c:v>
                </c:pt>
                <c:pt idx="4">
                  <c:v>113.91844383949839</c:v>
                </c:pt>
                <c:pt idx="5">
                  <c:v>2883.8796760528558</c:v>
                </c:pt>
                <c:pt idx="6">
                  <c:v>945.0035267142739</c:v>
                </c:pt>
                <c:pt idx="7">
                  <c:v>64.485373775206412</c:v>
                </c:pt>
                <c:pt idx="8">
                  <c:v>5.6689156928079756</c:v>
                </c:pt>
                <c:pt idx="9">
                  <c:v>83.791259778553325</c:v>
                </c:pt>
              </c:numCache>
            </c:numRef>
          </c:val>
          <c:smooth val="0"/>
          <c:extLst xmlns:c16r2="http://schemas.microsoft.com/office/drawing/2015/06/chart">
            <c:ext xmlns:c16="http://schemas.microsoft.com/office/drawing/2014/chart" uri="{C3380CC4-5D6E-409C-BE32-E72D297353CC}">
              <c16:uniqueId val="{00000001-6DDB-43F2-92C2-2236C5E49D76}"/>
            </c:ext>
          </c:extLst>
        </c:ser>
        <c:dLbls>
          <c:showLegendKey val="0"/>
          <c:showVal val="0"/>
          <c:showCatName val="0"/>
          <c:showSerName val="0"/>
          <c:showPercent val="0"/>
          <c:showBubbleSize val="0"/>
        </c:dLbls>
        <c:marker val="1"/>
        <c:smooth val="0"/>
        <c:axId val="591813344"/>
        <c:axId val="591812952"/>
      </c:lineChart>
      <c:valAx>
        <c:axId val="591812952"/>
        <c:scaling>
          <c:orientation val="minMax"/>
        </c:scaling>
        <c:delete val="0"/>
        <c:axPos val="r"/>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rgbClr val="0070C0"/>
                    </a:solidFill>
                  </a:rPr>
                  <a:t>Cost/lb of P reduced</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_(&quot;$&quot;* #,##0_);_(&quot;$&quot;* \(#,##0\);_(&quot;$&quot;* &quot;-&quot;_);_(@_)" sourceLinked="0"/>
        <c:majorTickMark val="none"/>
        <c:minorTickMark val="none"/>
        <c:tickLblPos val="nextTo"/>
        <c:spPr>
          <a:noFill/>
          <a:ln>
            <a:noFill/>
          </a:ln>
          <a:effectLst/>
        </c:spPr>
        <c:txPr>
          <a:bodyPr rot="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591813344"/>
        <c:crosses val="max"/>
        <c:crossBetween val="between"/>
      </c:valAx>
      <c:catAx>
        <c:axId val="591813344"/>
        <c:scaling>
          <c:orientation val="minMax"/>
        </c:scaling>
        <c:delete val="0"/>
        <c:axPos val="b"/>
        <c:numFmt formatCode="General" sourceLinked="1"/>
        <c:majorTickMark val="none"/>
        <c:minorTickMark val="none"/>
        <c:tickLblPos val="low"/>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591812952"/>
        <c:crosses val="autoZero"/>
        <c:auto val="1"/>
        <c:lblAlgn val="ctr"/>
        <c:lblOffset val="100"/>
        <c:noMultiLvlLbl val="0"/>
      </c:catAx>
      <c:valAx>
        <c:axId val="588128632"/>
        <c:scaling>
          <c:orientation val="minMax"/>
        </c:scaling>
        <c:delete val="0"/>
        <c:axPos val="l"/>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rgbClr val="FF0000"/>
                    </a:solidFill>
                  </a:rPr>
                  <a:t>P Reduction</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0.0%" sourceLinked="1"/>
        <c:majorTickMark val="out"/>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88129024"/>
        <c:crosses val="autoZero"/>
        <c:crossBetween val="between"/>
      </c:valAx>
      <c:catAx>
        <c:axId val="588129024"/>
        <c:scaling>
          <c:orientation val="minMax"/>
        </c:scaling>
        <c:delete val="1"/>
        <c:axPos val="b"/>
        <c:numFmt formatCode="General" sourceLinked="1"/>
        <c:majorTickMark val="out"/>
        <c:minorTickMark val="none"/>
        <c:tickLblPos val="nextTo"/>
        <c:crossAx val="588128632"/>
        <c:crosses val="autoZero"/>
        <c:auto val="1"/>
        <c:lblAlgn val="ctr"/>
        <c:lblOffset val="100"/>
        <c:noMultiLvlLbl val="0"/>
      </c:catAx>
      <c:spPr>
        <a:noFill/>
        <a:ln>
          <a:noFill/>
        </a:ln>
        <a:effectLst/>
      </c:spPr>
    </c:plotArea>
    <c:legend>
      <c:legendPos val="b"/>
      <c:legendEntry>
        <c:idx val="0"/>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Entry>
      <c:legendEntry>
        <c:idx val="1"/>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Entry>
      <c:layout/>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showDLblsOverMax val="0"/>
  </c:chart>
  <c:spPr>
    <a:solidFill>
      <a:schemeClr val="bg1"/>
    </a:solidFill>
    <a:ln w="63500"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Main!$A$287</c:f>
          <c:strCache>
            <c:ptCount val="1"/>
            <c:pt idx="0">
              <c:v>Effectiveness and Cost of Individual Practices, Statewide, Average weather</c:v>
            </c:pt>
          </c:strCache>
        </c:strRef>
      </c:tx>
      <c:layout/>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barChart>
        <c:barDir val="col"/>
        <c:grouping val="clustered"/>
        <c:varyColors val="0"/>
        <c:ser>
          <c:idx val="0"/>
          <c:order val="1"/>
          <c:tx>
            <c:strRef>
              <c:f>Main!$L$9</c:f>
              <c:strCache>
                <c:ptCount val="1"/>
                <c:pt idx="0">
                  <c:v>P Reduction (lb reduced/acre treated)</c:v>
                </c:pt>
              </c:strCache>
            </c:strRef>
          </c:tx>
          <c:spPr>
            <a:solidFill>
              <a:srgbClr val="FF5050"/>
            </a:solidFill>
            <a:ln>
              <a:noFill/>
            </a:ln>
            <a:effectLst/>
          </c:spPr>
          <c:invertIfNegative val="0"/>
          <c:cat>
            <c:strRef>
              <c:f>Main!$A$10:$A$19</c:f>
              <c:strCache>
                <c:ptCount val="10"/>
                <c:pt idx="0">
                  <c:v>Adopt BMP P2O5 rate</c:v>
                </c:pt>
                <c:pt idx="1">
                  <c:v>Fall corn&amp;wheat fert to preplant/starter</c:v>
                </c:pt>
                <c:pt idx="2">
                  <c:v>Use reduced tillage on corn, soy &amp; small gr &gt;2% slopes</c:v>
                </c:pt>
                <c:pt idx="3">
                  <c:v>50 ft buffers, perm&amp;intermit streams, 100 ft treated</c:v>
                </c:pt>
                <c:pt idx="4">
                  <c:v>Perennial crop % of marginal corn&amp;soy land</c:v>
                </c:pt>
                <c:pt idx="5">
                  <c:v>Corn grain &amp; soybean acres w/cereal rye cover crop</c:v>
                </c:pt>
                <c:pt idx="6">
                  <c:v>Short season crops planted to a rye cover crop</c:v>
                </c:pt>
                <c:pt idx="7">
                  <c:v>Controlled drainage</c:v>
                </c:pt>
                <c:pt idx="8">
                  <c:v>Alternative tile intakes</c:v>
                </c:pt>
                <c:pt idx="9">
                  <c:v>Inject or incorp manure</c:v>
                </c:pt>
              </c:strCache>
            </c:strRef>
          </c:cat>
          <c:val>
            <c:numRef>
              <c:f>Main!$L$10:$L$19</c:f>
              <c:numCache>
                <c:formatCode>#,##0.000</c:formatCode>
                <c:ptCount val="10"/>
                <c:pt idx="0">
                  <c:v>2.8120114137423696E-2</c:v>
                </c:pt>
                <c:pt idx="1">
                  <c:v>2.5886771305919112E-2</c:v>
                </c:pt>
                <c:pt idx="2">
                  <c:v>8.4490511980615399E-2</c:v>
                </c:pt>
                <c:pt idx="3">
                  <c:v>1.35297673172176</c:v>
                </c:pt>
                <c:pt idx="4">
                  <c:v>0.17698613072099673</c:v>
                </c:pt>
                <c:pt idx="5">
                  <c:v>2.3029740301405952E-2</c:v>
                </c:pt>
                <c:pt idx="6">
                  <c:v>6.9846300182069998E-2</c:v>
                </c:pt>
                <c:pt idx="7">
                  <c:v>0.1607472003772675</c:v>
                </c:pt>
                <c:pt idx="8">
                  <c:v>0.1230381564543198</c:v>
                </c:pt>
                <c:pt idx="9">
                  <c:v>0.17897731143169315</c:v>
                </c:pt>
              </c:numCache>
            </c:numRef>
          </c:val>
          <c:extLst xmlns:c16r2="http://schemas.microsoft.com/office/drawing/2015/06/chart">
            <c:ext xmlns:c16="http://schemas.microsoft.com/office/drawing/2014/chart" uri="{C3380CC4-5D6E-409C-BE32-E72D297353CC}">
              <c16:uniqueId val="{00000000-746C-4F2B-BB2E-04A11BFCFF61}"/>
            </c:ext>
          </c:extLst>
        </c:ser>
        <c:dLbls>
          <c:showLegendKey val="0"/>
          <c:showVal val="0"/>
          <c:showCatName val="0"/>
          <c:showSerName val="0"/>
          <c:showPercent val="0"/>
          <c:showBubbleSize val="0"/>
        </c:dLbls>
        <c:gapWidth val="219"/>
        <c:axId val="588130200"/>
        <c:axId val="588129808"/>
      </c:barChart>
      <c:lineChart>
        <c:grouping val="standard"/>
        <c:varyColors val="0"/>
        <c:ser>
          <c:idx val="1"/>
          <c:order val="0"/>
          <c:tx>
            <c:strRef>
              <c:f>Main!$K$9</c:f>
              <c:strCache>
                <c:ptCount val="1"/>
                <c:pt idx="0">
                  <c:v>Treatment Cost ($/acre treated)</c:v>
                </c:pt>
              </c:strCache>
            </c:strRef>
          </c:tx>
          <c:spPr>
            <a:ln w="28575" cap="rnd">
              <a:solidFill>
                <a:srgbClr val="0070C0"/>
              </a:solidFill>
              <a:round/>
            </a:ln>
            <a:effectLst/>
          </c:spPr>
          <c:marker>
            <c:symbol val="none"/>
          </c:marker>
          <c:cat>
            <c:strRef>
              <c:f>Main!$A$10:$A$19</c:f>
              <c:strCache>
                <c:ptCount val="10"/>
                <c:pt idx="0">
                  <c:v>Adopt BMP P2O5 rate</c:v>
                </c:pt>
                <c:pt idx="1">
                  <c:v>Fall corn&amp;wheat fert to preplant/starter</c:v>
                </c:pt>
                <c:pt idx="2">
                  <c:v>Use reduced tillage on corn, soy &amp; small gr &gt;2% slopes</c:v>
                </c:pt>
                <c:pt idx="3">
                  <c:v>50 ft buffers, perm&amp;intermit streams, 100 ft treated</c:v>
                </c:pt>
                <c:pt idx="4">
                  <c:v>Perennial crop % of marginal corn&amp;soy land</c:v>
                </c:pt>
                <c:pt idx="5">
                  <c:v>Corn grain &amp; soybean acres w/cereal rye cover crop</c:v>
                </c:pt>
                <c:pt idx="6">
                  <c:v>Short season crops planted to a rye cover crop</c:v>
                </c:pt>
                <c:pt idx="7">
                  <c:v>Controlled drainage</c:v>
                </c:pt>
                <c:pt idx="8">
                  <c:v>Alternative tile intakes</c:v>
                </c:pt>
                <c:pt idx="9">
                  <c:v>Inject or incorp manure</c:v>
                </c:pt>
              </c:strCache>
            </c:strRef>
          </c:cat>
          <c:val>
            <c:numRef>
              <c:f>Main!$K$10:$K$19</c:f>
              <c:numCache>
                <c:formatCode>_("$"* #,##0.00_);_("$"* \(#,##0.00\);_("$"* "-"??_);_(@_)</c:formatCode>
                <c:ptCount val="10"/>
                <c:pt idx="0">
                  <c:v>-12.100658886849592</c:v>
                </c:pt>
                <c:pt idx="1">
                  <c:v>39.136039464960518</c:v>
                </c:pt>
                <c:pt idx="2">
                  <c:v>-14.976451913947145</c:v>
                </c:pt>
                <c:pt idx="3">
                  <c:v>63.427196961284487</c:v>
                </c:pt>
                <c:pt idx="4">
                  <c:v>20.161984592909988</c:v>
                </c:pt>
                <c:pt idx="5">
                  <c:v>66.414999999999992</c:v>
                </c:pt>
                <c:pt idx="6">
                  <c:v>66.004999999999981</c:v>
                </c:pt>
                <c:pt idx="7">
                  <c:v>10.365843299646096</c:v>
                </c:pt>
                <c:pt idx="8">
                  <c:v>0.69749293593805639</c:v>
                </c:pt>
                <c:pt idx="9">
                  <c:v>14.996734396640042</c:v>
                </c:pt>
              </c:numCache>
            </c:numRef>
          </c:val>
          <c:smooth val="0"/>
          <c:extLst xmlns:c16r2="http://schemas.microsoft.com/office/drawing/2015/06/chart">
            <c:ext xmlns:c16="http://schemas.microsoft.com/office/drawing/2014/chart" uri="{C3380CC4-5D6E-409C-BE32-E72D297353CC}">
              <c16:uniqueId val="{00000001-746C-4F2B-BB2E-04A11BFCFF61}"/>
            </c:ext>
          </c:extLst>
        </c:ser>
        <c:dLbls>
          <c:showLegendKey val="0"/>
          <c:showVal val="0"/>
          <c:showCatName val="0"/>
          <c:showSerName val="0"/>
          <c:showPercent val="0"/>
          <c:showBubbleSize val="0"/>
        </c:dLbls>
        <c:marker val="1"/>
        <c:smooth val="0"/>
        <c:axId val="588398648"/>
        <c:axId val="588398256"/>
      </c:lineChart>
      <c:valAx>
        <c:axId val="588129808"/>
        <c:scaling>
          <c:orientation val="minMax"/>
        </c:scaling>
        <c:delete val="0"/>
        <c:axPos val="l"/>
        <c:majorGridlines>
          <c:spPr>
            <a:ln w="9525" cap="flat" cmpd="sng" algn="ctr">
              <a:solidFill>
                <a:schemeClr val="tx1">
                  <a:lumMod val="15000"/>
                  <a:lumOff val="85000"/>
                </a:schemeClr>
              </a:solidFill>
              <a:round/>
            </a:ln>
            <a:effectLst/>
          </c:spPr>
        </c:majorGridlines>
        <c:title>
          <c:tx>
            <c:rich>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r>
                  <a:rPr lang="en-US" b="1">
                    <a:solidFill>
                      <a:srgbClr val="FF5050"/>
                    </a:solidFill>
                  </a:rPr>
                  <a:t>P Reduction/Acre Treated</a:t>
                </a:r>
              </a:p>
            </c:rich>
          </c:tx>
          <c:layout/>
          <c:overlay val="0"/>
          <c:spPr>
            <a:noFill/>
            <a:ln>
              <a:noFill/>
            </a:ln>
            <a:effectLst/>
          </c:spPr>
          <c:txPr>
            <a:bodyPr rot="-5400000" spcFirstLastPara="1" vertOverflow="ellipsis" vert="horz" wrap="square" anchor="ctr" anchorCtr="1"/>
            <a:lstStyle/>
            <a:p>
              <a:pPr>
                <a:defRPr sz="1000" b="1" i="0" u="none" strike="noStrike" kern="1200" baseline="0">
                  <a:solidFill>
                    <a:schemeClr val="tx1">
                      <a:lumMod val="65000"/>
                      <a:lumOff val="35000"/>
                    </a:schemeClr>
                  </a:solidFill>
                  <a:latin typeface="+mn-lt"/>
                  <a:ea typeface="+mn-ea"/>
                  <a:cs typeface="+mn-cs"/>
                </a:defRPr>
              </a:pPr>
              <a:endParaRPr lang="en-US"/>
            </a:p>
          </c:txPr>
        </c:title>
        <c:numFmt formatCode="#,##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88130200"/>
        <c:crosses val="autoZero"/>
        <c:crossBetween val="between"/>
      </c:valAx>
      <c:catAx>
        <c:axId val="588130200"/>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1800000" spcFirstLastPara="1" vertOverflow="ellipsis" wrap="square" anchor="ctr" anchorCtr="1"/>
          <a:lstStyle/>
          <a:p>
            <a:pPr>
              <a:defRPr sz="900" b="0" i="0" u="none" strike="noStrike" kern="1200" baseline="0">
                <a:solidFill>
                  <a:schemeClr val="tx1"/>
                </a:solidFill>
                <a:latin typeface="+mn-lt"/>
                <a:ea typeface="+mn-ea"/>
                <a:cs typeface="+mn-cs"/>
              </a:defRPr>
            </a:pPr>
            <a:endParaRPr lang="en-US"/>
          </a:p>
        </c:txPr>
        <c:crossAx val="588129808"/>
        <c:crosses val="autoZero"/>
        <c:auto val="1"/>
        <c:lblAlgn val="ctr"/>
        <c:lblOffset val="100"/>
        <c:noMultiLvlLbl val="0"/>
      </c:catAx>
      <c:valAx>
        <c:axId val="588398256"/>
        <c:scaling>
          <c:orientation val="minMax"/>
        </c:scaling>
        <c:delete val="0"/>
        <c:axPos val="r"/>
        <c:title>
          <c:tx>
            <c:rich>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r>
                  <a:rPr lang="en-US">
                    <a:solidFill>
                      <a:srgbClr val="0070C0"/>
                    </a:solidFill>
                  </a:rPr>
                  <a:t>Cost/Acre Treated</a:t>
                </a:r>
              </a:p>
            </c:rich>
          </c:tx>
          <c:layout/>
          <c:overlay val="0"/>
          <c:spPr>
            <a:noFill/>
            <a:ln>
              <a:noFill/>
            </a:ln>
            <a:effectLst/>
          </c:spPr>
          <c:txPr>
            <a:bodyPr rot="-5400000" spcFirstLastPara="1" vertOverflow="ellipsis" vert="horz" wrap="square" anchor="ctr" anchorCtr="1"/>
            <a:lstStyle/>
            <a:p>
              <a:pPr>
                <a:defRPr sz="1000" b="0" i="0" u="none" strike="noStrike" kern="1200" baseline="0">
                  <a:solidFill>
                    <a:schemeClr val="tx1">
                      <a:lumMod val="65000"/>
                      <a:lumOff val="35000"/>
                    </a:schemeClr>
                  </a:solidFill>
                  <a:latin typeface="+mn-lt"/>
                  <a:ea typeface="+mn-ea"/>
                  <a:cs typeface="+mn-cs"/>
                </a:defRPr>
              </a:pPr>
              <a:endParaRPr lang="en-US"/>
            </a:p>
          </c:txPr>
        </c:title>
        <c:numFmt formatCode="&quot;$&quot;#,##0" sourceLinked="0"/>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crossAx val="588398648"/>
        <c:crosses val="max"/>
        <c:crossBetween val="between"/>
      </c:valAx>
      <c:catAx>
        <c:axId val="588398648"/>
        <c:scaling>
          <c:orientation val="minMax"/>
        </c:scaling>
        <c:delete val="1"/>
        <c:axPos val="b"/>
        <c:numFmt formatCode="General" sourceLinked="1"/>
        <c:majorTickMark val="none"/>
        <c:minorTickMark val="none"/>
        <c:tickLblPos val="nextTo"/>
        <c:crossAx val="588398256"/>
        <c:crosses val="autoZero"/>
        <c:auto val="1"/>
        <c:lblAlgn val="ctr"/>
        <c:lblOffset val="100"/>
        <c:noMultiLvlLbl val="0"/>
      </c:catAx>
      <c:spPr>
        <a:noFill/>
        <a:ln>
          <a:noFill/>
        </a:ln>
        <a:effectLst/>
      </c:spPr>
    </c:plotArea>
    <c:legend>
      <c:legendPos val="b"/>
      <c:layout/>
      <c:overlay val="0"/>
      <c:spPr>
        <a:noFill/>
        <a:ln>
          <a:noFill/>
        </a:ln>
        <a:effectLst/>
      </c:spPr>
      <c:txPr>
        <a:bodyPr rot="0" spcFirstLastPara="1" vertOverflow="ellipsis" vert="horz" wrap="square" anchor="ctr" anchorCtr="1"/>
        <a:lstStyle/>
        <a:p>
          <a:pPr>
            <a:defRPr sz="900" b="0" i="0" u="none" strike="noStrike" kern="1200" baseline="0">
              <a:solidFill>
                <a:schemeClr val="tx1"/>
              </a:solidFill>
              <a:latin typeface="+mn-lt"/>
              <a:ea typeface="+mn-ea"/>
              <a:cs typeface="+mn-cs"/>
            </a:defRPr>
          </a:pPr>
          <a:endParaRPr lang="en-US"/>
        </a:p>
      </c:txPr>
    </c:legend>
    <c:plotVisOnly val="1"/>
    <c:dispBlanksAs val="gap"/>
    <c:showDLblsOverMax val="0"/>
  </c:chart>
  <c:spPr>
    <a:solidFill>
      <a:schemeClr val="bg1"/>
    </a:solidFill>
    <a:ln w="63500" cap="flat" cmpd="sng" algn="ctr">
      <a:solidFill>
        <a:srgbClr val="0070C0"/>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strRef>
          <c:f>Main!$A$288</c:f>
          <c:strCache>
            <c:ptCount val="1"/>
            <c:pt idx="0">
              <c:v>Savings (+) or Costs (-) of Practices to Reduce P Load, Statewide, Average weather</c:v>
            </c:pt>
          </c:strCache>
        </c:strRef>
      </c:tx>
      <c:layout/>
      <c:overlay val="0"/>
      <c:txPr>
        <a:bodyPr/>
        <a:lstStyle/>
        <a:p>
          <a:pPr>
            <a:defRPr sz="1600"/>
          </a:pPr>
          <a:endParaRPr lang="en-US"/>
        </a:p>
      </c:txPr>
    </c:title>
    <c:autoTitleDeleted val="0"/>
    <c:plotArea>
      <c:layout>
        <c:manualLayout>
          <c:layoutTarget val="inner"/>
          <c:xMode val="edge"/>
          <c:yMode val="edge"/>
          <c:x val="0.13839393343114545"/>
          <c:y val="0.14873214260237469"/>
          <c:w val="0.71119771264849008"/>
          <c:h val="0.71252994631105282"/>
        </c:manualLayout>
      </c:layout>
      <c:barChart>
        <c:barDir val="col"/>
        <c:grouping val="clustered"/>
        <c:varyColors val="0"/>
        <c:ser>
          <c:idx val="2"/>
          <c:order val="0"/>
          <c:tx>
            <c:v>Average cost $/lb</c:v>
          </c:tx>
          <c:spPr>
            <a:solidFill>
              <a:srgbClr val="00FF00"/>
            </a:solidFill>
            <a:ln>
              <a:prstDash val="solid"/>
            </a:ln>
          </c:spPr>
          <c:invertIfNegative val="0"/>
          <c:dPt>
            <c:idx val="0"/>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1-1DE0-45C4-91A4-08008BC2808E}"/>
              </c:ext>
            </c:extLst>
          </c:dPt>
          <c:dPt>
            <c:idx val="1"/>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3-1DE0-45C4-91A4-08008BC2808E}"/>
              </c:ext>
            </c:extLst>
          </c:dPt>
          <c:dPt>
            <c:idx val="2"/>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5-1DE0-45C4-91A4-08008BC2808E}"/>
              </c:ext>
            </c:extLst>
          </c:dPt>
          <c:dPt>
            <c:idx val="3"/>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7-1DE0-45C4-91A4-08008BC2808E}"/>
              </c:ext>
            </c:extLst>
          </c:dPt>
          <c:dPt>
            <c:idx val="4"/>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9-1DE0-45C4-91A4-08008BC2808E}"/>
              </c:ext>
            </c:extLst>
          </c:dPt>
          <c:dPt>
            <c:idx val="5"/>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B-1DE0-45C4-91A4-08008BC2808E}"/>
              </c:ext>
            </c:extLst>
          </c:dPt>
          <c:dPt>
            <c:idx val="6"/>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D-1DE0-45C4-91A4-08008BC2808E}"/>
              </c:ext>
            </c:extLst>
          </c:dPt>
          <c:dPt>
            <c:idx val="7"/>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0F-1DE0-45C4-91A4-08008BC2808E}"/>
              </c:ext>
            </c:extLst>
          </c:dPt>
          <c:dPt>
            <c:idx val="8"/>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1-1DE0-45C4-91A4-08008BC2808E}"/>
              </c:ext>
            </c:extLst>
          </c:dPt>
          <c:dPt>
            <c:idx val="9"/>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3-1DE0-45C4-91A4-08008BC2808E}"/>
              </c:ext>
            </c:extLst>
          </c:dPt>
          <c:dPt>
            <c:idx val="10"/>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5-1DE0-45C4-91A4-08008BC2808E}"/>
              </c:ext>
            </c:extLst>
          </c:dPt>
          <c:dPt>
            <c:idx val="11"/>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7-1DE0-45C4-91A4-08008BC2808E}"/>
              </c:ext>
            </c:extLst>
          </c:dPt>
          <c:dPt>
            <c:idx val="12"/>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9-1DE0-45C4-91A4-08008BC2808E}"/>
              </c:ext>
            </c:extLst>
          </c:dPt>
          <c:dPt>
            <c:idx val="13"/>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B-1DE0-45C4-91A4-08008BC2808E}"/>
              </c:ext>
            </c:extLst>
          </c:dPt>
          <c:dPt>
            <c:idx val="14"/>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D-1DE0-45C4-91A4-08008BC2808E}"/>
              </c:ext>
            </c:extLst>
          </c:dPt>
          <c:dPt>
            <c:idx val="15"/>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1F-1DE0-45C4-91A4-08008BC2808E}"/>
              </c:ext>
            </c:extLst>
          </c:dPt>
          <c:dPt>
            <c:idx val="16"/>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1-1DE0-45C4-91A4-08008BC2808E}"/>
              </c:ext>
            </c:extLst>
          </c:dPt>
          <c:dPt>
            <c:idx val="17"/>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3-1DE0-45C4-91A4-08008BC2808E}"/>
              </c:ext>
            </c:extLst>
          </c:dPt>
          <c:dPt>
            <c:idx val="18"/>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5-1DE0-45C4-91A4-08008BC2808E}"/>
              </c:ext>
            </c:extLst>
          </c:dPt>
          <c:dPt>
            <c:idx val="19"/>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7-1DE0-45C4-91A4-08008BC2808E}"/>
              </c:ext>
            </c:extLst>
          </c:dPt>
          <c:dPt>
            <c:idx val="20"/>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9-1DE0-45C4-91A4-08008BC2808E}"/>
              </c:ext>
            </c:extLst>
          </c:dPt>
          <c:dPt>
            <c:idx val="21"/>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B-1DE0-45C4-91A4-08008BC2808E}"/>
              </c:ext>
            </c:extLst>
          </c:dPt>
          <c:dPt>
            <c:idx val="22"/>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D-1DE0-45C4-91A4-08008BC2808E}"/>
              </c:ext>
            </c:extLst>
          </c:dPt>
          <c:dPt>
            <c:idx val="23"/>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2F-1DE0-45C4-91A4-08008BC2808E}"/>
              </c:ext>
            </c:extLst>
          </c:dPt>
          <c:dPt>
            <c:idx val="24"/>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31-1DE0-45C4-91A4-08008BC2808E}"/>
              </c:ext>
            </c:extLst>
          </c:dPt>
          <c:dPt>
            <c:idx val="25"/>
            <c:invertIfNegative val="0"/>
            <c:bubble3D val="0"/>
            <c:spPr>
              <a:solidFill>
                <a:srgbClr val="377EB8"/>
              </a:solidFill>
              <a:ln>
                <a:prstDash val="solid"/>
              </a:ln>
            </c:spPr>
            <c:extLst xmlns:c16r2="http://schemas.microsoft.com/office/drawing/2015/06/chart">
              <c:ext xmlns:c16="http://schemas.microsoft.com/office/drawing/2014/chart" uri="{C3380CC4-5D6E-409C-BE32-E72D297353CC}">
                <c16:uniqueId val="{00000033-1DE0-45C4-91A4-08008BC2808E}"/>
              </c:ext>
            </c:extLst>
          </c:dPt>
          <c:dPt>
            <c:idx val="26"/>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35-1DE0-45C4-91A4-08008BC2808E}"/>
              </c:ext>
            </c:extLst>
          </c:dPt>
          <c:dPt>
            <c:idx val="27"/>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37-1DE0-45C4-91A4-08008BC2808E}"/>
              </c:ext>
            </c:extLst>
          </c:dPt>
          <c:dPt>
            <c:idx val="28"/>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39-1DE0-45C4-91A4-08008BC2808E}"/>
              </c:ext>
            </c:extLst>
          </c:dPt>
          <c:dPt>
            <c:idx val="29"/>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3B-1DE0-45C4-91A4-08008BC2808E}"/>
              </c:ext>
            </c:extLst>
          </c:dPt>
          <c:dPt>
            <c:idx val="30"/>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3D-1DE0-45C4-91A4-08008BC2808E}"/>
              </c:ext>
            </c:extLst>
          </c:dPt>
          <c:dPt>
            <c:idx val="31"/>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3F-1DE0-45C4-91A4-08008BC2808E}"/>
              </c:ext>
            </c:extLst>
          </c:dPt>
          <c:dPt>
            <c:idx val="32"/>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1-1DE0-45C4-91A4-08008BC2808E}"/>
              </c:ext>
            </c:extLst>
          </c:dPt>
          <c:dPt>
            <c:idx val="33"/>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3-1DE0-45C4-91A4-08008BC2808E}"/>
              </c:ext>
            </c:extLst>
          </c:dPt>
          <c:dPt>
            <c:idx val="34"/>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5-1DE0-45C4-91A4-08008BC2808E}"/>
              </c:ext>
            </c:extLst>
          </c:dPt>
          <c:dPt>
            <c:idx val="35"/>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7-1DE0-45C4-91A4-08008BC2808E}"/>
              </c:ext>
            </c:extLst>
          </c:dPt>
          <c:dPt>
            <c:idx val="36"/>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9-1DE0-45C4-91A4-08008BC2808E}"/>
              </c:ext>
            </c:extLst>
          </c:dPt>
          <c:dPt>
            <c:idx val="37"/>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B-1DE0-45C4-91A4-08008BC2808E}"/>
              </c:ext>
            </c:extLst>
          </c:dPt>
          <c:dPt>
            <c:idx val="38"/>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D-1DE0-45C4-91A4-08008BC2808E}"/>
              </c:ext>
            </c:extLst>
          </c:dPt>
          <c:dPt>
            <c:idx val="39"/>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4F-1DE0-45C4-91A4-08008BC2808E}"/>
              </c:ext>
            </c:extLst>
          </c:dPt>
          <c:dPt>
            <c:idx val="40"/>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51-1DE0-45C4-91A4-08008BC2808E}"/>
              </c:ext>
            </c:extLst>
          </c:dPt>
          <c:dPt>
            <c:idx val="41"/>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53-1DE0-45C4-91A4-08008BC2808E}"/>
              </c:ext>
            </c:extLst>
          </c:dPt>
          <c:dPt>
            <c:idx val="42"/>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55-1DE0-45C4-91A4-08008BC2808E}"/>
              </c:ext>
            </c:extLst>
          </c:dPt>
          <c:dPt>
            <c:idx val="43"/>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57-1DE0-45C4-91A4-08008BC2808E}"/>
              </c:ext>
            </c:extLst>
          </c:dPt>
          <c:dPt>
            <c:idx val="44"/>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59-1DE0-45C4-91A4-08008BC2808E}"/>
              </c:ext>
            </c:extLst>
          </c:dPt>
          <c:dPt>
            <c:idx val="45"/>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5B-1DE0-45C4-91A4-08008BC2808E}"/>
              </c:ext>
            </c:extLst>
          </c:dPt>
          <c:dPt>
            <c:idx val="46"/>
            <c:invertIfNegative val="0"/>
            <c:bubble3D val="0"/>
            <c:spPr>
              <a:solidFill>
                <a:srgbClr val="984EA3"/>
              </a:solidFill>
              <a:ln>
                <a:prstDash val="solid"/>
              </a:ln>
            </c:spPr>
            <c:extLst xmlns:c16r2="http://schemas.microsoft.com/office/drawing/2015/06/chart">
              <c:ext xmlns:c16="http://schemas.microsoft.com/office/drawing/2014/chart" uri="{C3380CC4-5D6E-409C-BE32-E72D297353CC}">
                <c16:uniqueId val="{0000005D-1DE0-45C4-91A4-08008BC2808E}"/>
              </c:ext>
            </c:extLst>
          </c:dPt>
          <c:dPt>
            <c:idx val="47"/>
            <c:invertIfNegative val="0"/>
            <c:bubble3D val="0"/>
            <c:spPr>
              <a:solidFill>
                <a:srgbClr val="984EA3"/>
              </a:solidFill>
              <a:ln>
                <a:prstDash val="solid"/>
              </a:ln>
            </c:spPr>
            <c:extLst xmlns:c16r2="http://schemas.microsoft.com/office/drawing/2015/06/chart">
              <c:ext xmlns:c16="http://schemas.microsoft.com/office/drawing/2014/chart" uri="{C3380CC4-5D6E-409C-BE32-E72D297353CC}">
                <c16:uniqueId val="{0000005F-1DE0-45C4-91A4-08008BC2808E}"/>
              </c:ext>
            </c:extLst>
          </c:dPt>
          <c:dPt>
            <c:idx val="48"/>
            <c:invertIfNegative val="0"/>
            <c:bubble3D val="0"/>
            <c:spPr>
              <a:solidFill>
                <a:srgbClr val="984EA3"/>
              </a:solidFill>
              <a:ln>
                <a:prstDash val="solid"/>
              </a:ln>
            </c:spPr>
            <c:extLst xmlns:c16r2="http://schemas.microsoft.com/office/drawing/2015/06/chart">
              <c:ext xmlns:c16="http://schemas.microsoft.com/office/drawing/2014/chart" uri="{C3380CC4-5D6E-409C-BE32-E72D297353CC}">
                <c16:uniqueId val="{00000061-1DE0-45C4-91A4-08008BC2808E}"/>
              </c:ext>
            </c:extLst>
          </c:dPt>
          <c:dPt>
            <c:idx val="49"/>
            <c:invertIfNegative val="0"/>
            <c:bubble3D val="0"/>
            <c:spPr>
              <a:solidFill>
                <a:srgbClr val="984EA3"/>
              </a:solidFill>
              <a:ln>
                <a:prstDash val="solid"/>
              </a:ln>
            </c:spPr>
            <c:extLst xmlns:c16r2="http://schemas.microsoft.com/office/drawing/2015/06/chart">
              <c:ext xmlns:c16="http://schemas.microsoft.com/office/drawing/2014/chart" uri="{C3380CC4-5D6E-409C-BE32-E72D297353CC}">
                <c16:uniqueId val="{00000063-1DE0-45C4-91A4-08008BC2808E}"/>
              </c:ext>
            </c:extLst>
          </c:dPt>
          <c:dPt>
            <c:idx val="50"/>
            <c:invertIfNegative val="0"/>
            <c:bubble3D val="0"/>
            <c:spPr>
              <a:solidFill>
                <a:srgbClr val="984EA3"/>
              </a:solidFill>
              <a:ln>
                <a:prstDash val="solid"/>
              </a:ln>
            </c:spPr>
            <c:extLst xmlns:c16r2="http://schemas.microsoft.com/office/drawing/2015/06/chart">
              <c:ext xmlns:c16="http://schemas.microsoft.com/office/drawing/2014/chart" uri="{C3380CC4-5D6E-409C-BE32-E72D297353CC}">
                <c16:uniqueId val="{00000065-1DE0-45C4-91A4-08008BC2808E}"/>
              </c:ext>
            </c:extLst>
          </c:dPt>
          <c:dPt>
            <c:idx val="51"/>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67-1DE0-45C4-91A4-08008BC2808E}"/>
              </c:ext>
            </c:extLst>
          </c:dPt>
          <c:dPt>
            <c:idx val="52"/>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69-1DE0-45C4-91A4-08008BC2808E}"/>
              </c:ext>
            </c:extLst>
          </c:dPt>
          <c:dPt>
            <c:idx val="53"/>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6B-1DE0-45C4-91A4-08008BC2808E}"/>
              </c:ext>
            </c:extLst>
          </c:dPt>
          <c:dPt>
            <c:idx val="54"/>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6D-1DE0-45C4-91A4-08008BC2808E}"/>
              </c:ext>
            </c:extLst>
          </c:dPt>
          <c:dPt>
            <c:idx val="55"/>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6F-1DE0-45C4-91A4-08008BC2808E}"/>
              </c:ext>
            </c:extLst>
          </c:dPt>
          <c:dPt>
            <c:idx val="56"/>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71-1DE0-45C4-91A4-08008BC2808E}"/>
              </c:ext>
            </c:extLst>
          </c:dPt>
          <c:dPt>
            <c:idx val="57"/>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73-1DE0-45C4-91A4-08008BC2808E}"/>
              </c:ext>
            </c:extLst>
          </c:dPt>
          <c:dPt>
            <c:idx val="58"/>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75-1DE0-45C4-91A4-08008BC2808E}"/>
              </c:ext>
            </c:extLst>
          </c:dPt>
          <c:dPt>
            <c:idx val="59"/>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77-1DE0-45C4-91A4-08008BC2808E}"/>
              </c:ext>
            </c:extLst>
          </c:dPt>
          <c:dPt>
            <c:idx val="60"/>
            <c:invertIfNegative val="0"/>
            <c:bubble3D val="0"/>
            <c:spPr>
              <a:solidFill>
                <a:srgbClr val="A65628"/>
              </a:solidFill>
              <a:ln>
                <a:prstDash val="solid"/>
              </a:ln>
            </c:spPr>
            <c:extLst xmlns:c16r2="http://schemas.microsoft.com/office/drawing/2015/06/chart">
              <c:ext xmlns:c16="http://schemas.microsoft.com/office/drawing/2014/chart" uri="{C3380CC4-5D6E-409C-BE32-E72D297353CC}">
                <c16:uniqueId val="{00000079-1DE0-45C4-91A4-08008BC2808E}"/>
              </c:ext>
            </c:extLst>
          </c:dPt>
          <c:dPt>
            <c:idx val="61"/>
            <c:invertIfNegative val="0"/>
            <c:bubble3D val="0"/>
            <c:spPr>
              <a:solidFill>
                <a:srgbClr val="A65628"/>
              </a:solidFill>
              <a:ln>
                <a:prstDash val="solid"/>
              </a:ln>
            </c:spPr>
            <c:extLst xmlns:c16r2="http://schemas.microsoft.com/office/drawing/2015/06/chart">
              <c:ext xmlns:c16="http://schemas.microsoft.com/office/drawing/2014/chart" uri="{C3380CC4-5D6E-409C-BE32-E72D297353CC}">
                <c16:uniqueId val="{0000007B-1DE0-45C4-91A4-08008BC2808E}"/>
              </c:ext>
            </c:extLst>
          </c:dPt>
          <c:dPt>
            <c:idx val="62"/>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7D-1DE0-45C4-91A4-08008BC2808E}"/>
              </c:ext>
            </c:extLst>
          </c:dPt>
          <c:dPt>
            <c:idx val="63"/>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7F-1DE0-45C4-91A4-08008BC2808E}"/>
              </c:ext>
            </c:extLst>
          </c:dPt>
          <c:dPt>
            <c:idx val="64"/>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81-1DE0-45C4-91A4-08008BC2808E}"/>
              </c:ext>
            </c:extLst>
          </c:dPt>
          <c:dPt>
            <c:idx val="65"/>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83-1DE0-45C4-91A4-08008BC2808E}"/>
              </c:ext>
            </c:extLst>
          </c:dPt>
          <c:dPt>
            <c:idx val="66"/>
            <c:invertIfNegative val="0"/>
            <c:bubble3D val="0"/>
            <c:spPr>
              <a:solidFill>
                <a:srgbClr val="999999"/>
              </a:solidFill>
              <a:ln>
                <a:prstDash val="solid"/>
              </a:ln>
            </c:spPr>
            <c:extLst xmlns:c16r2="http://schemas.microsoft.com/office/drawing/2015/06/chart">
              <c:ext xmlns:c16="http://schemas.microsoft.com/office/drawing/2014/chart" uri="{C3380CC4-5D6E-409C-BE32-E72D297353CC}">
                <c16:uniqueId val="{00000085-1DE0-45C4-91A4-08008BC2808E}"/>
              </c:ext>
            </c:extLst>
          </c:dPt>
          <c:dPt>
            <c:idx val="67"/>
            <c:invertIfNegative val="0"/>
            <c:bubble3D val="0"/>
            <c:spPr>
              <a:solidFill>
                <a:srgbClr val="999999"/>
              </a:solidFill>
              <a:ln>
                <a:prstDash val="solid"/>
              </a:ln>
            </c:spPr>
            <c:extLst xmlns:c16r2="http://schemas.microsoft.com/office/drawing/2015/06/chart">
              <c:ext xmlns:c16="http://schemas.microsoft.com/office/drawing/2014/chart" uri="{C3380CC4-5D6E-409C-BE32-E72D297353CC}">
                <c16:uniqueId val="{00000087-1DE0-45C4-91A4-08008BC2808E}"/>
              </c:ext>
            </c:extLst>
          </c:dPt>
          <c:dPt>
            <c:idx val="68"/>
            <c:invertIfNegative val="0"/>
            <c:bubble3D val="0"/>
            <c:spPr>
              <a:solidFill>
                <a:srgbClr val="999999"/>
              </a:solidFill>
              <a:ln>
                <a:prstDash val="solid"/>
              </a:ln>
            </c:spPr>
            <c:extLst xmlns:c16r2="http://schemas.microsoft.com/office/drawing/2015/06/chart">
              <c:ext xmlns:c16="http://schemas.microsoft.com/office/drawing/2014/chart" uri="{C3380CC4-5D6E-409C-BE32-E72D297353CC}">
                <c16:uniqueId val="{00000089-1DE0-45C4-91A4-08008BC2808E}"/>
              </c:ext>
            </c:extLst>
          </c:dPt>
          <c:dPt>
            <c:idx val="69"/>
            <c:invertIfNegative val="0"/>
            <c:bubble3D val="0"/>
            <c:spPr>
              <a:solidFill>
                <a:srgbClr val="999999"/>
              </a:solidFill>
              <a:ln>
                <a:prstDash val="solid"/>
              </a:ln>
            </c:spPr>
            <c:extLst xmlns:c16r2="http://schemas.microsoft.com/office/drawing/2015/06/chart">
              <c:ext xmlns:c16="http://schemas.microsoft.com/office/drawing/2014/chart" uri="{C3380CC4-5D6E-409C-BE32-E72D297353CC}">
                <c16:uniqueId val="{0000008B-1DE0-45C4-91A4-08008BC2808E}"/>
              </c:ext>
            </c:extLst>
          </c:dPt>
          <c:dPt>
            <c:idx val="70"/>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8D-1DE0-45C4-91A4-08008BC2808E}"/>
              </c:ext>
            </c:extLst>
          </c:dPt>
          <c:dPt>
            <c:idx val="71"/>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8F-1DE0-45C4-91A4-08008BC2808E}"/>
              </c:ext>
            </c:extLst>
          </c:dPt>
          <c:dPt>
            <c:idx val="72"/>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91-1DE0-45C4-91A4-08008BC2808E}"/>
              </c:ext>
            </c:extLst>
          </c:dPt>
          <c:dPt>
            <c:idx val="73"/>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93-1DE0-45C4-91A4-08008BC2808E}"/>
              </c:ext>
            </c:extLst>
          </c:dPt>
          <c:dPt>
            <c:idx val="74"/>
            <c:invertIfNegative val="0"/>
            <c:bubble3D val="0"/>
            <c:spPr>
              <a:solidFill>
                <a:srgbClr val="E41A1C"/>
              </a:solidFill>
              <a:ln>
                <a:prstDash val="solid"/>
              </a:ln>
            </c:spPr>
            <c:extLst xmlns:c16r2="http://schemas.microsoft.com/office/drawing/2015/06/chart">
              <c:ext xmlns:c16="http://schemas.microsoft.com/office/drawing/2014/chart" uri="{C3380CC4-5D6E-409C-BE32-E72D297353CC}">
                <c16:uniqueId val="{00000095-1DE0-45C4-91A4-08008BC2808E}"/>
              </c:ext>
            </c:extLst>
          </c:dPt>
          <c:dPt>
            <c:idx val="75"/>
            <c:invertIfNegative val="0"/>
            <c:bubble3D val="0"/>
            <c:spPr>
              <a:solidFill>
                <a:srgbClr val="377EB8"/>
              </a:solidFill>
              <a:ln>
                <a:prstDash val="solid"/>
              </a:ln>
            </c:spPr>
            <c:extLst xmlns:c16r2="http://schemas.microsoft.com/office/drawing/2015/06/chart">
              <c:ext xmlns:c16="http://schemas.microsoft.com/office/drawing/2014/chart" uri="{C3380CC4-5D6E-409C-BE32-E72D297353CC}">
                <c16:uniqueId val="{00000097-1DE0-45C4-91A4-08008BC2808E}"/>
              </c:ext>
            </c:extLst>
          </c:dPt>
          <c:dPt>
            <c:idx val="76"/>
            <c:invertIfNegative val="0"/>
            <c:bubble3D val="0"/>
            <c:spPr>
              <a:solidFill>
                <a:srgbClr val="377EB8"/>
              </a:solidFill>
              <a:ln>
                <a:prstDash val="solid"/>
              </a:ln>
            </c:spPr>
            <c:extLst xmlns:c16r2="http://schemas.microsoft.com/office/drawing/2015/06/chart">
              <c:ext xmlns:c16="http://schemas.microsoft.com/office/drawing/2014/chart" uri="{C3380CC4-5D6E-409C-BE32-E72D297353CC}">
                <c16:uniqueId val="{00000099-1DE0-45C4-91A4-08008BC2808E}"/>
              </c:ext>
            </c:extLst>
          </c:dPt>
          <c:dPt>
            <c:idx val="77"/>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9B-1DE0-45C4-91A4-08008BC2808E}"/>
              </c:ext>
            </c:extLst>
          </c:dPt>
          <c:dPt>
            <c:idx val="78"/>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9D-1DE0-45C4-91A4-08008BC2808E}"/>
              </c:ext>
            </c:extLst>
          </c:dPt>
          <c:dPt>
            <c:idx val="79"/>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9F-1DE0-45C4-91A4-08008BC2808E}"/>
              </c:ext>
            </c:extLst>
          </c:dPt>
          <c:dPt>
            <c:idx val="80"/>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A1-1DE0-45C4-91A4-08008BC2808E}"/>
              </c:ext>
            </c:extLst>
          </c:dPt>
          <c:dPt>
            <c:idx val="81"/>
            <c:invertIfNegative val="0"/>
            <c:bubble3D val="0"/>
            <c:spPr>
              <a:solidFill>
                <a:srgbClr val="4DAF4A"/>
              </a:solidFill>
              <a:ln>
                <a:prstDash val="solid"/>
              </a:ln>
            </c:spPr>
            <c:extLst xmlns:c16r2="http://schemas.microsoft.com/office/drawing/2015/06/chart">
              <c:ext xmlns:c16="http://schemas.microsoft.com/office/drawing/2014/chart" uri="{C3380CC4-5D6E-409C-BE32-E72D297353CC}">
                <c16:uniqueId val="{000000A3-1DE0-45C4-91A4-08008BC2808E}"/>
              </c:ext>
            </c:extLst>
          </c:dPt>
          <c:dPt>
            <c:idx val="82"/>
            <c:invertIfNegative val="0"/>
            <c:bubble3D val="0"/>
            <c:spPr>
              <a:solidFill>
                <a:srgbClr val="984EA3"/>
              </a:solidFill>
              <a:ln>
                <a:prstDash val="solid"/>
              </a:ln>
            </c:spPr>
            <c:extLst xmlns:c16r2="http://schemas.microsoft.com/office/drawing/2015/06/chart">
              <c:ext xmlns:c16="http://schemas.microsoft.com/office/drawing/2014/chart" uri="{C3380CC4-5D6E-409C-BE32-E72D297353CC}">
                <c16:uniqueId val="{000000A5-1DE0-45C4-91A4-08008BC2808E}"/>
              </c:ext>
            </c:extLst>
          </c:dPt>
          <c:dPt>
            <c:idx val="83"/>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A7-1DE0-45C4-91A4-08008BC2808E}"/>
              </c:ext>
            </c:extLst>
          </c:dPt>
          <c:dPt>
            <c:idx val="84"/>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A9-1DE0-45C4-91A4-08008BC2808E}"/>
              </c:ext>
            </c:extLst>
          </c:dPt>
          <c:dPt>
            <c:idx val="85"/>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AB-1DE0-45C4-91A4-08008BC2808E}"/>
              </c:ext>
            </c:extLst>
          </c:dPt>
          <c:dPt>
            <c:idx val="86"/>
            <c:invertIfNegative val="0"/>
            <c:bubble3D val="0"/>
            <c:spPr>
              <a:solidFill>
                <a:srgbClr val="FF7F00"/>
              </a:solidFill>
              <a:ln>
                <a:prstDash val="solid"/>
              </a:ln>
            </c:spPr>
            <c:extLst xmlns:c16r2="http://schemas.microsoft.com/office/drawing/2015/06/chart">
              <c:ext xmlns:c16="http://schemas.microsoft.com/office/drawing/2014/chart" uri="{C3380CC4-5D6E-409C-BE32-E72D297353CC}">
                <c16:uniqueId val="{000000AD-1DE0-45C4-91A4-08008BC2808E}"/>
              </c:ext>
            </c:extLst>
          </c:dPt>
          <c:dPt>
            <c:idx val="87"/>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AF-1DE0-45C4-91A4-08008BC2808E}"/>
              </c:ext>
            </c:extLst>
          </c:dPt>
          <c:dPt>
            <c:idx val="88"/>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B1-1DE0-45C4-91A4-08008BC2808E}"/>
              </c:ext>
            </c:extLst>
          </c:dPt>
          <c:dPt>
            <c:idx val="89"/>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B3-1DE0-45C4-91A4-08008BC2808E}"/>
              </c:ext>
            </c:extLst>
          </c:dPt>
          <c:dPt>
            <c:idx val="90"/>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B5-1DE0-45C4-91A4-08008BC2808E}"/>
              </c:ext>
            </c:extLst>
          </c:dPt>
          <c:dPt>
            <c:idx val="91"/>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B7-1DE0-45C4-91A4-08008BC2808E}"/>
              </c:ext>
            </c:extLst>
          </c:dPt>
          <c:dPt>
            <c:idx val="92"/>
            <c:invertIfNegative val="0"/>
            <c:bubble3D val="0"/>
            <c:spPr>
              <a:solidFill>
                <a:srgbClr val="FFFF33"/>
              </a:solidFill>
              <a:ln>
                <a:prstDash val="solid"/>
              </a:ln>
            </c:spPr>
            <c:extLst xmlns:c16r2="http://schemas.microsoft.com/office/drawing/2015/06/chart">
              <c:ext xmlns:c16="http://schemas.microsoft.com/office/drawing/2014/chart" uri="{C3380CC4-5D6E-409C-BE32-E72D297353CC}">
                <c16:uniqueId val="{000000B9-1DE0-45C4-91A4-08008BC2808E}"/>
              </c:ext>
            </c:extLst>
          </c:dPt>
          <c:dPt>
            <c:idx val="93"/>
            <c:invertIfNegative val="0"/>
            <c:bubble3D val="0"/>
            <c:spPr>
              <a:solidFill>
                <a:srgbClr val="A65628"/>
              </a:solidFill>
              <a:ln>
                <a:prstDash val="solid"/>
              </a:ln>
            </c:spPr>
            <c:extLst xmlns:c16r2="http://schemas.microsoft.com/office/drawing/2015/06/chart">
              <c:ext xmlns:c16="http://schemas.microsoft.com/office/drawing/2014/chart" uri="{C3380CC4-5D6E-409C-BE32-E72D297353CC}">
                <c16:uniqueId val="{000000BB-1DE0-45C4-91A4-08008BC2808E}"/>
              </c:ext>
            </c:extLst>
          </c:dPt>
          <c:dPt>
            <c:idx val="94"/>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BD-1DE0-45C4-91A4-08008BC2808E}"/>
              </c:ext>
            </c:extLst>
          </c:dPt>
          <c:dPt>
            <c:idx val="95"/>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BF-1DE0-45C4-91A4-08008BC2808E}"/>
              </c:ext>
            </c:extLst>
          </c:dPt>
          <c:dPt>
            <c:idx val="96"/>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C1-1DE0-45C4-91A4-08008BC2808E}"/>
              </c:ext>
            </c:extLst>
          </c:dPt>
          <c:dPt>
            <c:idx val="97"/>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C3-1DE0-45C4-91A4-08008BC2808E}"/>
              </c:ext>
            </c:extLst>
          </c:dPt>
          <c:dPt>
            <c:idx val="98"/>
            <c:invertIfNegative val="0"/>
            <c:bubble3D val="0"/>
            <c:spPr>
              <a:solidFill>
                <a:srgbClr val="F781BF"/>
              </a:solidFill>
              <a:ln>
                <a:prstDash val="solid"/>
              </a:ln>
            </c:spPr>
            <c:extLst xmlns:c16r2="http://schemas.microsoft.com/office/drawing/2015/06/chart">
              <c:ext xmlns:c16="http://schemas.microsoft.com/office/drawing/2014/chart" uri="{C3380CC4-5D6E-409C-BE32-E72D297353CC}">
                <c16:uniqueId val="{000000C5-1DE0-45C4-91A4-08008BC2808E}"/>
              </c:ext>
            </c:extLst>
          </c:dPt>
          <c:dPt>
            <c:idx val="99"/>
            <c:invertIfNegative val="0"/>
            <c:bubble3D val="0"/>
            <c:spPr>
              <a:solidFill>
                <a:srgbClr val="999999"/>
              </a:solidFill>
              <a:ln>
                <a:prstDash val="solid"/>
              </a:ln>
            </c:spPr>
            <c:extLst xmlns:c16r2="http://schemas.microsoft.com/office/drawing/2015/06/chart">
              <c:ext xmlns:c16="http://schemas.microsoft.com/office/drawing/2014/chart" uri="{C3380CC4-5D6E-409C-BE32-E72D297353CC}">
                <c16:uniqueId val="{000000C7-1DE0-45C4-91A4-08008BC2808E}"/>
              </c:ext>
            </c:extLst>
          </c:dPt>
          <c:cat>
            <c:numRef>
              <c:f>Workspace!$L$8:$L$107</c:f>
              <c:numCache>
                <c:formatCode>0.0%</c:formatCode>
                <c:ptCount val="100"/>
              </c:numCache>
            </c:numRef>
          </c:cat>
          <c:val>
            <c:numRef>
              <c:f>Workspace!$K$8:$K$107</c:f>
              <c:numCache>
                <c:formatCode>General</c:formatCode>
                <c:ptCount val="100"/>
              </c:numCache>
            </c:numRef>
          </c:val>
          <c:extLst xmlns:c16r2="http://schemas.microsoft.com/office/drawing/2015/06/chart">
            <c:ext xmlns:c16="http://schemas.microsoft.com/office/drawing/2014/chart" uri="{C3380CC4-5D6E-409C-BE32-E72D297353CC}">
              <c16:uniqueId val="{000000C8-1DE0-45C4-91A4-08008BC2808E}"/>
            </c:ext>
          </c:extLst>
        </c:ser>
        <c:dLbls>
          <c:showLegendKey val="0"/>
          <c:showVal val="0"/>
          <c:showCatName val="0"/>
          <c:showSerName val="0"/>
          <c:showPercent val="0"/>
          <c:showBubbleSize val="0"/>
        </c:dLbls>
        <c:gapWidth val="0"/>
        <c:axId val="588399432"/>
        <c:axId val="588399824"/>
      </c:barChart>
      <c:lineChart>
        <c:grouping val="standard"/>
        <c:varyColors val="0"/>
        <c:ser>
          <c:idx val="0"/>
          <c:order val="1"/>
          <c:tx>
            <c:strRef>
              <c:f>Workspace!$M$7</c:f>
              <c:strCache>
                <c:ptCount val="1"/>
                <c:pt idx="0">
                  <c:v>Average cost/acre</c:v>
                </c:pt>
              </c:strCache>
            </c:strRef>
          </c:tx>
          <c:spPr>
            <a:ln w="28575" cap="rnd" cmpd="sng" algn="ctr">
              <a:noFill/>
              <a:prstDash val="solid"/>
              <a:round/>
            </a:ln>
            <a:effectLst/>
            <a:extLst>
              <a:ext uri="{91240B29-F687-4F45-9708-019B960494DF}">
                <a14:hiddenLine xmlns:a14="http://schemas.microsoft.com/office/drawing/2010/main" w="28575" cap="rnd" cmpd="sng" algn="ctr">
                  <a:solidFill>
                    <a:prstClr val="black"/>
                  </a:solidFill>
                  <a:prstDash val="solid"/>
                  <a:round/>
                </a14:hiddenLine>
              </a:ext>
            </a:extLst>
          </c:spPr>
          <c:marker>
            <c:symbol val="none"/>
          </c:marker>
          <c:val>
            <c:numRef>
              <c:f>Workspace!$M$8:$M$107</c:f>
              <c:numCache>
                <c:formatCode>General</c:formatCode>
                <c:ptCount val="100"/>
              </c:numCache>
            </c:numRef>
          </c:val>
          <c:smooth val="0"/>
          <c:extLst xmlns:c16r2="http://schemas.microsoft.com/office/drawing/2015/06/chart">
            <c:ext xmlns:c16="http://schemas.microsoft.com/office/drawing/2014/chart" uri="{C3380CC4-5D6E-409C-BE32-E72D297353CC}">
              <c16:uniqueId val="{000000C9-1DE0-45C4-91A4-08008BC2808E}"/>
            </c:ext>
          </c:extLst>
        </c:ser>
        <c:dLbls>
          <c:showLegendKey val="0"/>
          <c:showVal val="0"/>
          <c:showCatName val="0"/>
          <c:showSerName val="0"/>
          <c:showPercent val="0"/>
          <c:showBubbleSize val="0"/>
        </c:dLbls>
        <c:marker val="1"/>
        <c:smooth val="0"/>
        <c:axId val="591201760"/>
        <c:axId val="591201368"/>
      </c:lineChart>
      <c:catAx>
        <c:axId val="588399432"/>
        <c:scaling>
          <c:orientation val="minMax"/>
        </c:scaling>
        <c:delete val="0"/>
        <c:axPos val="b"/>
        <c:title>
          <c:tx>
            <c:rich>
              <a:bodyPr/>
              <a:lstStyle/>
              <a:p>
                <a:pPr>
                  <a:defRPr sz="1000"/>
                </a:pPr>
                <a:r>
                  <a:rPr lang="en-US" sz="1000"/>
                  <a:t>P Reduction from</a:t>
                </a:r>
                <a:r>
                  <a:rPr lang="en-US" sz="1000" baseline="0"/>
                  <a:t> Current</a:t>
                </a:r>
                <a:endParaRPr lang="en-US" sz="1000"/>
              </a:p>
            </c:rich>
          </c:tx>
          <c:layout>
            <c:manualLayout>
              <c:xMode val="edge"/>
              <c:yMode val="edge"/>
              <c:x val="0.3504273761195425"/>
              <c:y val="0.9098971009493243"/>
            </c:manualLayout>
          </c:layout>
          <c:overlay val="0"/>
          <c:spPr>
            <a:ln>
              <a:noFill/>
            </a:ln>
          </c:spPr>
        </c:title>
        <c:numFmt formatCode="0%" sourceLinked="0"/>
        <c:majorTickMark val="out"/>
        <c:minorTickMark val="none"/>
        <c:tickLblPos val="nextTo"/>
        <c:txPr>
          <a:bodyPr/>
          <a:lstStyle/>
          <a:p>
            <a:pPr>
              <a:defRPr sz="1100"/>
            </a:pPr>
            <a:endParaRPr lang="en-US"/>
          </a:p>
        </c:txPr>
        <c:crossAx val="588399824"/>
        <c:crossesAt val="0"/>
        <c:auto val="1"/>
        <c:lblAlgn val="ctr"/>
        <c:lblOffset val="100"/>
        <c:tickLblSkip val="10"/>
        <c:noMultiLvlLbl val="0"/>
      </c:catAx>
      <c:valAx>
        <c:axId val="588399824"/>
        <c:scaling>
          <c:orientation val="minMax"/>
        </c:scaling>
        <c:delete val="0"/>
        <c:axPos val="l"/>
        <c:majorGridlines/>
        <c:title>
          <c:tx>
            <c:rich>
              <a:bodyPr rot="-5400000" vert="horz"/>
              <a:lstStyle/>
              <a:p>
                <a:pPr>
                  <a:defRPr sz="1200" b="1">
                    <a:solidFill>
                      <a:schemeClr val="accent3">
                        <a:lumMod val="50000"/>
                      </a:schemeClr>
                    </a:solidFill>
                  </a:defRPr>
                </a:pPr>
                <a:r>
                  <a:rPr lang="en-US" sz="1200" b="1" baseline="0">
                    <a:solidFill>
                      <a:schemeClr val="accent3">
                        <a:lumMod val="50000"/>
                      </a:schemeClr>
                    </a:solidFill>
                  </a:rPr>
                  <a:t>Savings or c</a:t>
                </a:r>
                <a:r>
                  <a:rPr lang="en-US" sz="1200" b="1">
                    <a:solidFill>
                      <a:schemeClr val="accent3">
                        <a:lumMod val="50000"/>
                      </a:schemeClr>
                    </a:solidFill>
                  </a:rPr>
                  <a:t>ost/lb of P reduced</a:t>
                </a:r>
              </a:p>
            </c:rich>
          </c:tx>
          <c:layout>
            <c:manualLayout>
              <c:xMode val="edge"/>
              <c:yMode val="edge"/>
              <c:x val="1.2471148098474499E-2"/>
              <c:y val="0.19716600428543099"/>
            </c:manualLayout>
          </c:layout>
          <c:overlay val="0"/>
          <c:spPr>
            <a:ln>
              <a:noFill/>
            </a:ln>
          </c:spPr>
        </c:title>
        <c:numFmt formatCode="&quot;$&quot;#,##0.00_);\(&quot;$&quot;#,##0.00\)" sourceLinked="0"/>
        <c:majorTickMark val="out"/>
        <c:minorTickMark val="none"/>
        <c:tickLblPos val="nextTo"/>
        <c:txPr>
          <a:bodyPr/>
          <a:lstStyle/>
          <a:p>
            <a:pPr>
              <a:defRPr sz="1000" b="1">
                <a:solidFill>
                  <a:schemeClr val="accent3">
                    <a:lumMod val="50000"/>
                  </a:schemeClr>
                </a:solidFill>
              </a:defRPr>
            </a:pPr>
            <a:endParaRPr lang="en-US"/>
          </a:p>
        </c:txPr>
        <c:crossAx val="588399432"/>
        <c:crosses val="autoZero"/>
        <c:crossBetween val="between"/>
      </c:valAx>
      <c:valAx>
        <c:axId val="591201368"/>
        <c:scaling>
          <c:orientation val="minMax"/>
        </c:scaling>
        <c:delete val="0"/>
        <c:axPos val="r"/>
        <c:title>
          <c:tx>
            <c:rich>
              <a:bodyPr rot="-5400000" vert="horz"/>
              <a:lstStyle/>
              <a:p>
                <a:pPr>
                  <a:defRPr sz="1200">
                    <a:noFill/>
                  </a:defRPr>
                </a:pPr>
                <a:r>
                  <a:rPr lang="en-US" sz="1200">
                    <a:noFill/>
                  </a:rPr>
                  <a:t>Savings</a:t>
                </a:r>
                <a:r>
                  <a:rPr lang="en-US" sz="1200" baseline="0">
                    <a:noFill/>
                  </a:rPr>
                  <a:t> or </a:t>
                </a:r>
                <a:r>
                  <a:rPr lang="en-US" sz="1200">
                    <a:noFill/>
                  </a:rPr>
                  <a:t>cost/acre (see line)</a:t>
                </a:r>
              </a:p>
            </c:rich>
          </c:tx>
          <c:layout/>
          <c:overlay val="0"/>
        </c:title>
        <c:numFmt formatCode="&quot;$&quot;#,##0" sourceLinked="0"/>
        <c:majorTickMark val="out"/>
        <c:minorTickMark val="none"/>
        <c:tickLblPos val="none"/>
        <c:spPr>
          <a:noFill/>
          <a:ln w="9525" cap="flat" cmpd="sng" algn="ctr">
            <a:noFill/>
            <a:prstDash val="solid"/>
            <a:round/>
            <a:headEnd type="none" w="med" len="med"/>
            <a:tailEnd type="none" w="med" len="med"/>
          </a:ln>
          <a:effectLst/>
          <a:extLst>
            <a:ext uri="{91240B29-F687-4F45-9708-019B960494DF}">
              <a14:hiddenLine xmlns:a14="http://schemas.microsoft.com/office/drawing/2010/main" w="9525" cap="flat" cmpd="sng" algn="ctr">
                <a:solidFill>
                  <a:sysClr val="window" lastClr="FFFFFF"/>
                </a:solidFill>
                <a:prstDash val="solid"/>
                <a:round/>
                <a:headEnd type="none" w="med" len="med"/>
                <a:tailEnd type="none" w="med" len="med"/>
              </a14:hiddenLine>
            </a:ext>
          </a:extLst>
        </c:spPr>
        <c:txPr>
          <a:bodyPr/>
          <a:lstStyle/>
          <a:p>
            <a:pPr>
              <a:defRPr>
                <a:solidFill>
                  <a:schemeClr val="accent1">
                    <a:lumMod val="50000"/>
                  </a:schemeClr>
                </a:solidFill>
              </a:defRPr>
            </a:pPr>
            <a:endParaRPr lang="en-US"/>
          </a:p>
        </c:txPr>
        <c:crossAx val="591201760"/>
        <c:crosses val="max"/>
        <c:crossBetween val="between"/>
      </c:valAx>
      <c:catAx>
        <c:axId val="591201760"/>
        <c:scaling>
          <c:orientation val="minMax"/>
        </c:scaling>
        <c:delete val="1"/>
        <c:axPos val="b"/>
        <c:majorTickMark val="out"/>
        <c:minorTickMark val="none"/>
        <c:tickLblPos val="none"/>
        <c:crossAx val="591201368"/>
        <c:crossesAt val="0"/>
        <c:auto val="1"/>
        <c:lblAlgn val="ctr"/>
        <c:lblOffset val="100"/>
        <c:noMultiLvlLbl val="0"/>
      </c:catAx>
    </c:plotArea>
    <c:plotVisOnly val="1"/>
    <c:dispBlanksAs val="gap"/>
    <c:showDLblsOverMax val="0"/>
  </c:chart>
  <c:spPr>
    <a:noFill/>
    <a:ln w="63500">
      <a:solidFill>
        <a:schemeClr val="accent1"/>
      </a:solidFill>
    </a:ln>
  </c:spPr>
  <c:printSettings>
    <c:headerFooter/>
    <c:pageMargins b="0.75000000000000144" l="0.70000000000000095" r="0.70000000000000095" t="0.75000000000000144" header="0.30000000000000021" footer="0.30000000000000021"/>
    <c:pageSetup orientation="portrait"/>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322">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Drop" dropStyle="combo" dx="16" fmlaLink="$AP$275" fmlaRange="$AQ$275:$AQ$277" noThreeD="1" sel="3" val="0"/>
</file>

<file path=xl/ctrlProps/ctrlProp2.xml><?xml version="1.0" encoding="utf-8"?>
<formControlPr xmlns="http://schemas.microsoft.com/office/spreadsheetml/2009/9/main" objectType="Drop" dropStyle="combo" dx="16" fmlaLink="$B$7" fmlaRange="Watersheds!$AT$38:$AT$117" noThreeD="1" sel="1" val="0"/>
</file>

<file path=xl/ctrlProps/ctrlProp3.xml><?xml version="1.0" encoding="utf-8"?>
<formControlPr xmlns="http://schemas.microsoft.com/office/spreadsheetml/2009/9/main" objectType="Drop" dropStyle="combo" dx="16" fmlaLink="$B$21" fmlaRange="$N$253:$N$255" noThreeD="1" sel="1" val="0"/>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Drop" dropStyle="combo" dx="16" fmlaLink="$F$274" fmlaRange="$G$274:$G$276" noThreeD="1" sel="1" val="0"/>
</file>

<file path=xl/ctrlProps/ctrlProp7.xml><?xml version="1.0" encoding="utf-8"?>
<formControlPr xmlns="http://schemas.microsoft.com/office/spreadsheetml/2009/9/main" objectType="Drop" dropStyle="combo" dx="16" fmlaLink="$F$278" fmlaRange="$G$279:$G$280" noThreeD="1" sel="1" val="0"/>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Drop" dropStyle="combo" dx="16" fmlaLink="F282" fmlaRange="G283:G284" noThreeD="1" sel="1" val="0"/>
</file>

<file path=xl/ctrlProps/ctrlProp12.xml><?xml version="1.0" encoding="utf-8"?>
<formControlPr xmlns="http://schemas.microsoft.com/office/spreadsheetml/2009/9/main" objectType="Drop" dropStyle="combo" dx="16" fmlaLink="$B$231" fmlaRange="$A$218:$A$229" noThreeD="1" sel="12" val="4"/>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Drop" dropStyle="combo" dx="16" fmlaLink="'HUC10'!$B$556" fmlaRange="huc10list" noThreeD="1" sel="1" val="0"/>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_rels/drawing3.xml.rels><?xml version="1.0" encoding="UTF-8" standalone="yes"?>
<Relationships xmlns="http://schemas.openxmlformats.org/package/2006/relationships"><Relationship Id="rId1" Type="http://schemas.openxmlformats.org/officeDocument/2006/relationships/image" Target="NULL"/></Relationships>
</file>

<file path=xl/drawings/_rels/drawing12.xml.rels><?xml version="1.0" encoding="UTF-8" standalone="yes"?>
<Relationships xmlns="http://schemas.openxmlformats.org/package/2006/relationships"><Relationship Id="rId1" Type="http://schemas.openxmlformats.org/officeDocument/2006/relationships/image" Target="NUL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0</xdr:col>
          <xdr:colOff>1371600</xdr:colOff>
          <xdr:row>8</xdr:row>
          <xdr:rowOff>561975</xdr:rowOff>
        </xdr:from>
        <xdr:to>
          <xdr:col>1</xdr:col>
          <xdr:colOff>0</xdr:colOff>
          <xdr:row>9</xdr:row>
          <xdr:rowOff>180975</xdr:rowOff>
        </xdr:to>
        <xdr:sp macro="" textlink="">
          <xdr:nvSpPr>
            <xdr:cNvPr id="1028" name="Drop Down 4" hidden="1">
              <a:extLst>
                <a:ext uri="{63B3BB69-23CF-44E3-9099-C40C66FF867C}">
                  <a14:compatExt spid="_x0000_s1028"/>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oneCellAnchor>
    <xdr:from>
      <xdr:col>0</xdr:col>
      <xdr:colOff>2543175</xdr:colOff>
      <xdr:row>33</xdr:row>
      <xdr:rowOff>9525</xdr:rowOff>
    </xdr:from>
    <xdr:ext cx="184731" cy="264560"/>
    <xdr:sp macro="" textlink="">
      <xdr:nvSpPr>
        <xdr:cNvPr id="3" name="TextBox 2"/>
        <xdr:cNvSpPr txBox="1"/>
      </xdr:nvSpPr>
      <xdr:spPr>
        <a:xfrm>
          <a:off x="609600" y="2486025"/>
          <a:ext cx="184731"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endParaRPr lang="en-US" sz="1100"/>
        </a:p>
      </xdr:txBody>
    </xdr:sp>
    <xdr:clientData/>
  </xdr:oneCellAnchor>
  <xdr:oneCellAnchor>
    <xdr:from>
      <xdr:col>0</xdr:col>
      <xdr:colOff>51859</xdr:colOff>
      <xdr:row>31</xdr:row>
      <xdr:rowOff>427567</xdr:rowOff>
    </xdr:from>
    <xdr:ext cx="7471834" cy="609013"/>
    <xdr:sp macro="" textlink="">
      <xdr:nvSpPr>
        <xdr:cNvPr id="4" name="TextBox 3"/>
        <xdr:cNvSpPr txBox="1"/>
      </xdr:nvSpPr>
      <xdr:spPr>
        <a:xfrm>
          <a:off x="51859" y="5875867"/>
          <a:ext cx="7471834" cy="609013"/>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The</a:t>
          </a:r>
          <a:r>
            <a:rPr lang="en-US" sz="1100" baseline="0"/>
            <a:t> STP sheet contains average Bray soil test values for each agroecoregion.  At a soil test value of 20 or more, no P fertilizer is recommended based on U of MN formulas.  If you select choice 2 from the box in cell A5, use the box below to indicate the percentage of the crop removal rate that will be applied:</a:t>
          </a:r>
          <a:endParaRPr lang="en-US" sz="1100"/>
        </a:p>
      </xdr:txBody>
    </xdr:sp>
    <xdr:clientData/>
  </xdr:oneCellAnchor>
  <mc:AlternateContent xmlns:mc="http://schemas.openxmlformats.org/markup-compatibility/2006">
    <mc:Choice xmlns:a14="http://schemas.microsoft.com/office/drawing/2010/main" Requires="a14">
      <xdr:twoCellAnchor editAs="oneCell">
        <xdr:from>
          <xdr:col>0</xdr:col>
          <xdr:colOff>790575</xdr:colOff>
          <xdr:row>6</xdr:row>
          <xdr:rowOff>0</xdr:rowOff>
        </xdr:from>
        <xdr:to>
          <xdr:col>2</xdr:col>
          <xdr:colOff>600075</xdr:colOff>
          <xdr:row>6</xdr:row>
          <xdr:rowOff>238125</xdr:rowOff>
        </xdr:to>
        <xdr:sp macro="" textlink="">
          <xdr:nvSpPr>
            <xdr:cNvPr id="1029" name="Drop Down 5" hidden="1">
              <a:extLst>
                <a:ext uri="{63B3BB69-23CF-44E3-9099-C40C66FF867C}">
                  <a14:compatExt spid="_x0000_s1029"/>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7</xdr:col>
      <xdr:colOff>820882</xdr:colOff>
      <xdr:row>21</xdr:row>
      <xdr:rowOff>187904</xdr:rowOff>
    </xdr:from>
    <xdr:to>
      <xdr:col>12</xdr:col>
      <xdr:colOff>57150</xdr:colOff>
      <xdr:row>38</xdr:row>
      <xdr:rowOff>123826</xdr:rowOff>
    </xdr:to>
    <xdr:graphicFrame macro="">
      <xdr:nvGraphicFramePr>
        <xdr:cNvPr id="5" name="Chart 2"/>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12</xdr:col>
      <xdr:colOff>157595</xdr:colOff>
      <xdr:row>21</xdr:row>
      <xdr:rowOff>186172</xdr:rowOff>
    </xdr:from>
    <xdr:to>
      <xdr:col>16</xdr:col>
      <xdr:colOff>50222</xdr:colOff>
      <xdr:row>38</xdr:row>
      <xdr:rowOff>137588</xdr:rowOff>
    </xdr:to>
    <xdr:graphicFrame macro="">
      <xdr:nvGraphicFramePr>
        <xdr:cNvPr id="8" name="Chart 7"/>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mc:AlternateContent xmlns:mc="http://schemas.openxmlformats.org/markup-compatibility/2006">
    <mc:Choice xmlns:a14="http://schemas.microsoft.com/office/drawing/2010/main" Requires="a14">
      <xdr:twoCellAnchor editAs="oneCell">
        <xdr:from>
          <xdr:col>10</xdr:col>
          <xdr:colOff>104775</xdr:colOff>
          <xdr:row>19</xdr:row>
          <xdr:rowOff>171450</xdr:rowOff>
        </xdr:from>
        <xdr:to>
          <xdr:col>13</xdr:col>
          <xdr:colOff>438150</xdr:colOff>
          <xdr:row>21</xdr:row>
          <xdr:rowOff>0</xdr:rowOff>
        </xdr:to>
        <xdr:sp macro="" textlink="">
          <xdr:nvSpPr>
            <xdr:cNvPr id="1056" name="Drop Down 32" hidden="1">
              <a:extLst>
                <a:ext uri="{63B3BB69-23CF-44E3-9099-C40C66FF867C}">
                  <a14:compatExt spid="_x0000_s105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xdr:col>
          <xdr:colOff>9525</xdr:colOff>
          <xdr:row>20</xdr:row>
          <xdr:rowOff>0</xdr:rowOff>
        </xdr:from>
        <xdr:to>
          <xdr:col>2</xdr:col>
          <xdr:colOff>619125</xdr:colOff>
          <xdr:row>21</xdr:row>
          <xdr:rowOff>19050</xdr:rowOff>
        </xdr:to>
        <xdr:sp macro="" textlink="">
          <xdr:nvSpPr>
            <xdr:cNvPr id="1057" name="Drop Down 33" hidden="1">
              <a:extLst>
                <a:ext uri="{63B3BB69-23CF-44E3-9099-C40C66FF867C}">
                  <a14:compatExt spid="_x0000_s1057"/>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xdr:from>
      <xdr:col>4</xdr:col>
      <xdr:colOff>38100</xdr:colOff>
      <xdr:row>78</xdr:row>
      <xdr:rowOff>9525</xdr:rowOff>
    </xdr:from>
    <xdr:to>
      <xdr:col>10</xdr:col>
      <xdr:colOff>149226</xdr:colOff>
      <xdr:row>100</xdr:row>
      <xdr:rowOff>16037</xdr:rowOff>
    </xdr:to>
    <xdr:graphicFrame macro="">
      <xdr:nvGraphicFramePr>
        <xdr:cNvPr id="11" name="Chart 12"/>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fLocksWithSheet="0"/>
  </xdr:twoCellAnchor>
  <mc:AlternateContent xmlns:mc="http://schemas.openxmlformats.org/markup-compatibility/2006">
    <mc:Choice xmlns:a14="http://schemas.microsoft.com/office/drawing/2010/main" Requires="a14">
      <xdr:twoCellAnchor>
        <xdr:from>
          <xdr:col>0</xdr:col>
          <xdr:colOff>1000125</xdr:colOff>
          <xdr:row>84</xdr:row>
          <xdr:rowOff>171450</xdr:rowOff>
        </xdr:from>
        <xdr:to>
          <xdr:col>2</xdr:col>
          <xdr:colOff>466725</xdr:colOff>
          <xdr:row>86</xdr:row>
          <xdr:rowOff>114300</xdr:rowOff>
        </xdr:to>
        <xdr:sp macro="" textlink="">
          <xdr:nvSpPr>
            <xdr:cNvPr id="55879" name="Button 1607" hidden="1">
              <a:extLst>
                <a:ext uri="{63B3BB69-23CF-44E3-9099-C40C66FF867C}">
                  <a14:compatExt spid="_x0000_s5587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Click to Display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1009650</xdr:colOff>
          <xdr:row>87</xdr:row>
          <xdr:rowOff>114300</xdr:rowOff>
        </xdr:from>
        <xdr:to>
          <xdr:col>2</xdr:col>
          <xdr:colOff>447675</xdr:colOff>
          <xdr:row>89</xdr:row>
          <xdr:rowOff>95250</xdr:rowOff>
        </xdr:to>
        <xdr:sp macro="" textlink="">
          <xdr:nvSpPr>
            <xdr:cNvPr id="55880" name="Button 1608" hidden="1">
              <a:extLst>
                <a:ext uri="{63B3BB69-23CF-44E3-9099-C40C66FF867C}">
                  <a14:compatExt spid="_x0000_s5588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Display/hide costs/acre in bottom graph</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266700</xdr:colOff>
          <xdr:row>29</xdr:row>
          <xdr:rowOff>38100</xdr:rowOff>
        </xdr:from>
        <xdr:to>
          <xdr:col>2</xdr:col>
          <xdr:colOff>504825</xdr:colOff>
          <xdr:row>29</xdr:row>
          <xdr:rowOff>257175</xdr:rowOff>
        </xdr:to>
        <xdr:sp macro="" textlink="">
          <xdr:nvSpPr>
            <xdr:cNvPr id="55883" name="Drop Down 1611" hidden="1">
              <a:extLst>
                <a:ext uri="{63B3BB69-23CF-44E3-9099-C40C66FF867C}">
                  <a14:compatExt spid="_x0000_s55883"/>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276225</xdr:colOff>
          <xdr:row>31</xdr:row>
          <xdr:rowOff>57150</xdr:rowOff>
        </xdr:from>
        <xdr:to>
          <xdr:col>2</xdr:col>
          <xdr:colOff>476250</xdr:colOff>
          <xdr:row>31</xdr:row>
          <xdr:rowOff>257175</xdr:rowOff>
        </xdr:to>
        <xdr:sp macro="" textlink="">
          <xdr:nvSpPr>
            <xdr:cNvPr id="55884" name="Drop Down 1612" hidden="1">
              <a:extLst>
                <a:ext uri="{63B3BB69-23CF-44E3-9099-C40C66FF867C}">
                  <a14:compatExt spid="_x0000_s55884"/>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xdr:from>
          <xdr:col>4</xdr:col>
          <xdr:colOff>171450</xdr:colOff>
          <xdr:row>19</xdr:row>
          <xdr:rowOff>47625</xdr:rowOff>
        </xdr:from>
        <xdr:to>
          <xdr:col>6</xdr:col>
          <xdr:colOff>1352550</xdr:colOff>
          <xdr:row>21</xdr:row>
          <xdr:rowOff>9525</xdr:rowOff>
        </xdr:to>
        <xdr:sp macro="" textlink="">
          <xdr:nvSpPr>
            <xdr:cNvPr id="55888" name="Button 1616" hidden="1">
              <a:extLst>
                <a:ext uri="{63B3BB69-23CF-44E3-9099-C40C66FF867C}">
                  <a14:compatExt spid="_x0000_s5588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Recalculate</a:t>
              </a:r>
            </a:p>
          </xdr:txBody>
        </xdr:sp>
        <xdr:clientData fPrintsWithSheet="0"/>
      </xdr:twoCellAnchor>
    </mc:Choice>
    <mc:Fallback/>
  </mc:AlternateContent>
  <xdr:oneCellAnchor>
    <xdr:from>
      <xdr:col>0</xdr:col>
      <xdr:colOff>114300</xdr:colOff>
      <xdr:row>0</xdr:row>
      <xdr:rowOff>57151</xdr:rowOff>
    </xdr:from>
    <xdr:ext cx="7674240" cy="998007"/>
    <xdr:sp macro="" textlink="">
      <xdr:nvSpPr>
        <xdr:cNvPr id="17" name="TextBox 16"/>
        <xdr:cNvSpPr txBox="1"/>
      </xdr:nvSpPr>
      <xdr:spPr>
        <a:xfrm>
          <a:off x="114300" y="57151"/>
          <a:ext cx="7674240" cy="998007"/>
        </a:xfrm>
        <a:prstGeom prst="rect">
          <a:avLst/>
        </a:prstGeom>
        <a:solidFill>
          <a:schemeClr val="accent3">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100"/>
            <a:t>Step 1.  Select a watershed,</a:t>
          </a:r>
          <a:r>
            <a:rPr lang="en-US" sz="1100" baseline="0"/>
            <a:t> enter adoption rates for each BMP, and view effectiveness and cost in the two top graphs and the table.  Change the weather scenario if desired.</a:t>
          </a:r>
        </a:p>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Note:  The acres shown below for the watershed or state</a:t>
          </a:r>
          <a:r>
            <a:rPr lang="en-US" sz="1100" baseline="0">
              <a:solidFill>
                <a:schemeClr val="tx1"/>
              </a:solidFill>
              <a:effectLst/>
              <a:latin typeface="+mn-lt"/>
              <a:ea typeface="+mn-ea"/>
              <a:cs typeface="+mn-cs"/>
            </a:rPr>
            <a:t> represent cultivated agricultural land</a:t>
          </a:r>
          <a:r>
            <a:rPr lang="en-US" sz="1100">
              <a:solidFill>
                <a:schemeClr val="tx1"/>
              </a:solidFill>
              <a:effectLst/>
              <a:latin typeface="+mn-lt"/>
              <a:ea typeface="+mn-ea"/>
              <a:cs typeface="+mn-cs"/>
            </a:rPr>
            <a:t>.</a:t>
          </a:r>
          <a:r>
            <a:rPr lang="en-US" sz="1100" baseline="0">
              <a:solidFill>
                <a:schemeClr val="tx1"/>
              </a:solidFill>
              <a:effectLst/>
              <a:latin typeface="+mn-lt"/>
              <a:ea typeface="+mn-ea"/>
              <a:cs typeface="+mn-cs"/>
            </a:rPr>
            <a:t>  </a:t>
          </a:r>
          <a:r>
            <a:rPr lang="en-US" sz="1100"/>
            <a:t>See the "Returns_per_A" sheet for crop</a:t>
          </a:r>
          <a:r>
            <a:rPr lang="en-US" sz="1100" baseline="0"/>
            <a:t> and fertilizer prices and other economic variables that can cause large changes in the results.</a:t>
          </a:r>
        </a:p>
        <a:p>
          <a:pPr marL="0" marR="0" indent="0" defTabSz="914400" eaLnBrk="1" fontAlgn="auto" latinLnBrk="0" hangingPunct="1">
            <a:lnSpc>
              <a:spcPct val="100000"/>
            </a:lnSpc>
            <a:spcBef>
              <a:spcPts val="0"/>
            </a:spcBef>
            <a:spcAft>
              <a:spcPts val="0"/>
            </a:spcAft>
            <a:buClrTx/>
            <a:buSzTx/>
            <a:buFontTx/>
            <a:buNone/>
            <a:tabLst/>
            <a:defRPr/>
          </a:pPr>
          <a:r>
            <a:rPr lang="en-US" sz="1100"/>
            <a:t>Data entry cells are formatted in yellow.</a:t>
          </a:r>
        </a:p>
      </xdr:txBody>
    </xdr:sp>
    <xdr:clientData/>
  </xdr:oneCellAnchor>
  <xdr:oneCellAnchor>
    <xdr:from>
      <xdr:col>0</xdr:col>
      <xdr:colOff>209550</xdr:colOff>
      <xdr:row>78</xdr:row>
      <xdr:rowOff>9526</xdr:rowOff>
    </xdr:from>
    <xdr:ext cx="4438650" cy="476250"/>
    <xdr:sp macro="" textlink="">
      <xdr:nvSpPr>
        <xdr:cNvPr id="18" name="TextBox 17"/>
        <xdr:cNvSpPr txBox="1"/>
      </xdr:nvSpPr>
      <xdr:spPr>
        <a:xfrm>
          <a:off x="209550" y="16068676"/>
          <a:ext cx="4438650" cy="476250"/>
        </a:xfrm>
        <a:prstGeom prst="rect">
          <a:avLst/>
        </a:prstGeom>
        <a:solidFill>
          <a:schemeClr val="accent3">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pPr marL="0" marR="0" indent="0" defTabSz="914400" eaLnBrk="1" fontAlgn="auto" latinLnBrk="0" hangingPunct="1">
            <a:lnSpc>
              <a:spcPct val="100000"/>
            </a:lnSpc>
            <a:spcBef>
              <a:spcPts val="0"/>
            </a:spcBef>
            <a:spcAft>
              <a:spcPts val="0"/>
            </a:spcAft>
            <a:buClrTx/>
            <a:buSzTx/>
            <a:buFontTx/>
            <a:buNone/>
            <a:tabLst/>
            <a:defRPr/>
          </a:pPr>
          <a:r>
            <a:rPr lang="en-US" sz="1100">
              <a:solidFill>
                <a:schemeClr val="tx1"/>
              </a:solidFill>
              <a:effectLst/>
              <a:latin typeface="+mn-lt"/>
              <a:ea typeface="+mn-ea"/>
              <a:cs typeface="+mn-cs"/>
            </a:rPr>
            <a:t>Step 2.  View combinations of BMPs that would achieve a given P reduction from the current situation.</a:t>
          </a:r>
          <a:endParaRPr lang="en-US">
            <a:effectLst/>
          </a:endParaRPr>
        </a:p>
        <a:p>
          <a:pPr marL="0" marR="0" indent="0" defTabSz="914400" eaLnBrk="1" fontAlgn="auto" latinLnBrk="0" hangingPunct="1">
            <a:lnSpc>
              <a:spcPct val="100000"/>
            </a:lnSpc>
            <a:spcBef>
              <a:spcPts val="0"/>
            </a:spcBef>
            <a:spcAft>
              <a:spcPts val="0"/>
            </a:spcAft>
            <a:buClrTx/>
            <a:buSzTx/>
            <a:buFontTx/>
            <a:buNone/>
            <a:tabLst/>
            <a:defRPr/>
          </a:pPr>
          <a:endParaRPr lang="en-US" sz="1100"/>
        </a:p>
      </xdr:txBody>
    </xdr:sp>
    <xdr:clientData/>
  </xdr:oneCellAnchor>
  <xdr:oneCellAnchor>
    <xdr:from>
      <xdr:col>0</xdr:col>
      <xdr:colOff>0</xdr:colOff>
      <xdr:row>129</xdr:row>
      <xdr:rowOff>0</xdr:rowOff>
    </xdr:from>
    <xdr:ext cx="7674240" cy="876300"/>
    <xdr:sp macro="" textlink="">
      <xdr:nvSpPr>
        <xdr:cNvPr id="19" name="TextBox 18"/>
        <xdr:cNvSpPr txBox="1"/>
      </xdr:nvSpPr>
      <xdr:spPr>
        <a:xfrm>
          <a:off x="0" y="26727150"/>
          <a:ext cx="7674240" cy="876300"/>
        </a:xfrm>
        <a:prstGeom prst="rect">
          <a:avLst/>
        </a:prstGeom>
        <a:solidFill>
          <a:schemeClr val="accent3">
            <a:lumMod val="40000"/>
            <a:lumOff val="60000"/>
          </a:schemeClr>
        </a:solidFill>
        <a:ln>
          <a:solidFill>
            <a:schemeClr val="tx1"/>
          </a:solidFill>
        </a:ln>
      </xdr:spPr>
      <xdr:style>
        <a:lnRef idx="0">
          <a:scrgbClr r="0" g="0" b="0"/>
        </a:lnRef>
        <a:fillRef idx="0">
          <a:scrgbClr r="0" g="0" b="0"/>
        </a:fillRef>
        <a:effectRef idx="0">
          <a:scrgbClr r="0" g="0" b="0"/>
        </a:effectRef>
        <a:fontRef idx="minor">
          <a:schemeClr val="tx1"/>
        </a:fontRef>
      </xdr:style>
      <xdr:txBody>
        <a:bodyPr vertOverflow="clip" horzOverflow="clip" wrap="square" rtlCol="0" anchor="t">
          <a:noAutofit/>
        </a:bodyPr>
        <a:lstStyle/>
        <a:p>
          <a:r>
            <a:rPr lang="en-US" sz="1100">
              <a:solidFill>
                <a:schemeClr val="tx1"/>
              </a:solidFill>
              <a:effectLst/>
              <a:latin typeface="+mn-lt"/>
              <a:ea typeface="+mn-ea"/>
              <a:cs typeface="+mn-cs"/>
            </a:rPr>
            <a:t>Step 3.  Scroll through</a:t>
          </a:r>
          <a:r>
            <a:rPr lang="en-US" sz="1100" baseline="0">
              <a:solidFill>
                <a:schemeClr val="tx1"/>
              </a:solidFill>
              <a:effectLst/>
              <a:latin typeface="+mn-lt"/>
              <a:ea typeface="+mn-ea"/>
              <a:cs typeface="+mn-cs"/>
            </a:rPr>
            <a:t> the sheets for the individual BMPs (click the tabs at the bottom) and view  the assumptions and parameters involved in the calculations for each one.  It is important to note that the spreadsheet contains data for 137 different scenarios (different combinations of the BMPs).  The BMP sheet and the other sheets named for individual BMPs (such as the Erosion sheet) each display results for only one of those scenarios at one time.  </a:t>
          </a:r>
          <a:endParaRPr lang="en-US">
            <a:effectLst/>
          </a:endParaRPr>
        </a:p>
      </xdr:txBody>
    </xdr:sp>
    <xdr:clientData/>
  </xdr:oneCellAnchor>
  <mc:AlternateContent xmlns:mc="http://schemas.openxmlformats.org/markup-compatibility/2006">
    <mc:Choice xmlns:a14="http://schemas.microsoft.com/office/drawing/2010/main" Requires="a14">
      <xdr:twoCellAnchor>
        <xdr:from>
          <xdr:col>0</xdr:col>
          <xdr:colOff>123825</xdr:colOff>
          <xdr:row>155</xdr:row>
          <xdr:rowOff>0</xdr:rowOff>
        </xdr:from>
        <xdr:to>
          <xdr:col>0</xdr:col>
          <xdr:colOff>2667000</xdr:colOff>
          <xdr:row>157</xdr:row>
          <xdr:rowOff>104775</xdr:rowOff>
        </xdr:to>
        <xdr:sp macro="" textlink="">
          <xdr:nvSpPr>
            <xdr:cNvPr id="55889" name="Button 1617" hidden="1">
              <a:extLst>
                <a:ext uri="{63B3BB69-23CF-44E3-9099-C40C66FF867C}">
                  <a14:compatExt spid="_x0000_s5588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Insert Individual and all combined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152400</xdr:colOff>
          <xdr:row>158</xdr:row>
          <xdr:rowOff>38100</xdr:rowOff>
        </xdr:from>
        <xdr:to>
          <xdr:col>0</xdr:col>
          <xdr:colOff>2667000</xdr:colOff>
          <xdr:row>159</xdr:row>
          <xdr:rowOff>295275</xdr:rowOff>
        </xdr:to>
        <xdr:sp macro="" textlink="">
          <xdr:nvSpPr>
            <xdr:cNvPr id="55890" name="Button 1618" hidden="1">
              <a:extLst>
                <a:ext uri="{63B3BB69-23CF-44E3-9099-C40C66FF867C}">
                  <a14:compatExt spid="_x0000_s5589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Insert Full Scenarios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28575</xdr:colOff>
          <xdr:row>19</xdr:row>
          <xdr:rowOff>38100</xdr:rowOff>
        </xdr:from>
        <xdr:to>
          <xdr:col>4</xdr:col>
          <xdr:colOff>9525</xdr:colOff>
          <xdr:row>21</xdr:row>
          <xdr:rowOff>19050</xdr:rowOff>
        </xdr:to>
        <xdr:sp macro="" textlink="">
          <xdr:nvSpPr>
            <xdr:cNvPr id="55895" name="Button 1623" hidden="1">
              <a:extLst>
                <a:ext uri="{63B3BB69-23CF-44E3-9099-C40C66FF867C}">
                  <a14:compatExt spid="_x0000_s55895"/>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800" b="0" i="0" u="none" strike="noStrike" baseline="0">
                  <a:solidFill>
                    <a:srgbClr val="000000"/>
                  </a:solidFill>
                  <a:latin typeface="Arial"/>
                  <a:cs typeface="Arial"/>
                </a:rPr>
                <a:t>Load default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5</xdr:col>
          <xdr:colOff>219075</xdr:colOff>
          <xdr:row>29</xdr:row>
          <xdr:rowOff>28575</xdr:rowOff>
        </xdr:from>
        <xdr:to>
          <xdr:col>7</xdr:col>
          <xdr:colOff>190500</xdr:colOff>
          <xdr:row>29</xdr:row>
          <xdr:rowOff>247650</xdr:rowOff>
        </xdr:to>
        <xdr:sp macro="" textlink="">
          <xdr:nvSpPr>
            <xdr:cNvPr id="55901" name="Drop Down 1629" hidden="1">
              <a:extLst>
                <a:ext uri="{63B3BB69-23CF-44E3-9099-C40C66FF867C}">
                  <a14:compatExt spid="_x0000_s55901"/>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0</xdr:col>
          <xdr:colOff>2514600</xdr:colOff>
          <xdr:row>7</xdr:row>
          <xdr:rowOff>28575</xdr:rowOff>
        </xdr:from>
        <xdr:to>
          <xdr:col>2</xdr:col>
          <xdr:colOff>609600</xdr:colOff>
          <xdr:row>7</xdr:row>
          <xdr:rowOff>228600</xdr:rowOff>
        </xdr:to>
        <xdr:sp macro="" textlink="">
          <xdr:nvSpPr>
            <xdr:cNvPr id="56076" name="Drop Down 1804" hidden="1">
              <a:extLst>
                <a:ext uri="{63B3BB69-23CF-44E3-9099-C40C66FF867C}">
                  <a14:compatExt spid="_x0000_s56076"/>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oneCellAnchor>
    <xdr:from>
      <xdr:col>0</xdr:col>
      <xdr:colOff>133350</xdr:colOff>
      <xdr:row>1</xdr:row>
      <xdr:rowOff>57150</xdr:rowOff>
    </xdr:from>
    <xdr:ext cx="3952875" cy="436786"/>
    <xdr:sp macro="" textlink="">
      <xdr:nvSpPr>
        <xdr:cNvPr id="2" name="TextBox 1"/>
        <xdr:cNvSpPr txBox="1"/>
      </xdr:nvSpPr>
      <xdr:spPr>
        <a:xfrm>
          <a:off x="133350" y="276225"/>
          <a:ext cx="3952875" cy="436786"/>
        </a:xfrm>
        <a:prstGeom prst="rect">
          <a:avLst/>
        </a:prstGeom>
        <a:solidFill>
          <a:schemeClr val="bg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Note:  The buffer actual width lost to crops,</a:t>
          </a:r>
          <a:r>
            <a:rPr lang="en-US" sz="1100" baseline="0"/>
            <a:t> and the treated width can be changed in cells C85 and C86 of the Returns_Per_A sheet.</a:t>
          </a:r>
          <a:endParaRPr lang="en-US" sz="1100"/>
        </a:p>
      </xdr:txBody>
    </xdr:sp>
    <xdr:clientData/>
  </xdr:oneCellAnchor>
</xdr:wsDr>
</file>

<file path=xl/drawings/drawing3.xml><?xml version="1.0" encoding="utf-8"?>
<xdr:wsDr xmlns:xdr="http://schemas.openxmlformats.org/drawingml/2006/spreadsheetDrawing" xmlns:a="http://schemas.openxmlformats.org/drawingml/2006/main">
  <xdr:oneCellAnchor>
    <xdr:from>
      <xdr:col>0</xdr:col>
      <xdr:colOff>698500</xdr:colOff>
      <xdr:row>0</xdr:row>
      <xdr:rowOff>0</xdr:rowOff>
    </xdr:from>
    <xdr:ext cx="6350" cy="34925"/>
    <xdr:sp macro="" textlink="">
      <xdr:nvSpPr>
        <xdr:cNvPr id="2" name="CommandButton1" hidden="1">
          <a:extLst>
            <a:ext uri="{63B3BB69-23CF-44E3-9099-C40C66FF867C}">
              <a14:compatExt xmlns:a14="http://schemas.microsoft.com/office/drawing/2010/main" spid="_x0000_s1025"/>
            </a:ext>
          </a:extLst>
        </xdr:cNvPr>
        <xdr:cNvSpPr/>
      </xdr:nvSpPr>
      <xdr:spPr>
        <a:xfrm>
          <a:off x="593725" y="0"/>
          <a:ext cx="6350" cy="34925"/>
        </a:xfrm>
        <a:prstGeom prst="rect">
          <a:avLst/>
        </a:prstGeom>
      </xdr:spPr>
    </xdr:sp>
    <xdr:clientData fLocksWithSheet="0"/>
  </xdr:oneCellAnchor>
  <xdr:oneCellAnchor>
    <xdr:from>
      <xdr:col>1</xdr:col>
      <xdr:colOff>571500</xdr:colOff>
      <xdr:row>0</xdr:row>
      <xdr:rowOff>0</xdr:rowOff>
    </xdr:from>
    <xdr:ext cx="1155700" cy="231775"/>
    <xdr:sp macro="" textlink="">
      <xdr:nvSpPr>
        <xdr:cNvPr id="3" name="CommandButton3" hidden="1">
          <a:extLst>
            <a:ext uri="{63B3BB69-23CF-44E3-9099-C40C66FF867C}">
              <a14:compatExt xmlns:a14="http://schemas.microsoft.com/office/drawing/2010/main" spid="_x0000_s1026"/>
            </a:ext>
          </a:extLst>
        </xdr:cNvPr>
        <xdr:cNvSpPr/>
      </xdr:nvSpPr>
      <xdr:spPr>
        <a:xfrm>
          <a:off x="1162050" y="0"/>
          <a:ext cx="1155700" cy="231775"/>
        </a:xfrm>
        <a:prstGeom prst="rect">
          <a:avLst/>
        </a:prstGeom>
      </xdr:spPr>
    </xdr:sp>
    <xdr:clientData fLocksWithSheet="0"/>
  </xdr:oneCellAnchor>
  <xdr:oneCellAnchor>
    <xdr:from>
      <xdr:col>0</xdr:col>
      <xdr:colOff>698500</xdr:colOff>
      <xdr:row>0</xdr:row>
      <xdr:rowOff>0</xdr:rowOff>
    </xdr:from>
    <xdr:ext cx="6350" cy="34925"/>
    <xdr:pic>
      <xdr:nvPicPr>
        <xdr:cNvPr id="4"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593725" y="0"/>
          <a:ext cx="6350" cy="34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1</xdr:col>
      <xdr:colOff>571500</xdr:colOff>
      <xdr:row>0</xdr:row>
      <xdr:rowOff>0</xdr:rowOff>
    </xdr:from>
    <xdr:ext cx="1155700" cy="231775"/>
    <xdr:pic>
      <xdr:nvPicPr>
        <xdr:cNvPr id="5"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62050" y="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3</xdr:col>
      <xdr:colOff>571500</xdr:colOff>
      <xdr:row>0</xdr:row>
      <xdr:rowOff>0</xdr:rowOff>
    </xdr:from>
    <xdr:ext cx="1155700" cy="231775"/>
    <xdr:sp macro="" textlink="">
      <xdr:nvSpPr>
        <xdr:cNvPr id="6" name="CommandButton3" hidden="1">
          <a:extLst>
            <a:ext uri="{63B3BB69-23CF-44E3-9099-C40C66FF867C}">
              <a14:compatExt xmlns:a14="http://schemas.microsoft.com/office/drawing/2010/main" spid="_x0000_s1026"/>
            </a:ext>
          </a:extLst>
        </xdr:cNvPr>
        <xdr:cNvSpPr/>
      </xdr:nvSpPr>
      <xdr:spPr>
        <a:xfrm>
          <a:off x="2343150" y="0"/>
          <a:ext cx="1155700" cy="231775"/>
        </a:xfrm>
        <a:prstGeom prst="rect">
          <a:avLst/>
        </a:prstGeom>
      </xdr:spPr>
    </xdr:sp>
    <xdr:clientData fLocksWithSheet="0"/>
  </xdr:oneCellAnchor>
  <xdr:oneCellAnchor>
    <xdr:from>
      <xdr:col>3</xdr:col>
      <xdr:colOff>571500</xdr:colOff>
      <xdr:row>0</xdr:row>
      <xdr:rowOff>0</xdr:rowOff>
    </xdr:from>
    <xdr:ext cx="1155700" cy="231775"/>
    <xdr:pic>
      <xdr:nvPicPr>
        <xdr:cNvPr id="7"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343150" y="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0</xdr:col>
      <xdr:colOff>57150</xdr:colOff>
      <xdr:row>0</xdr:row>
      <xdr:rowOff>38100</xdr:rowOff>
    </xdr:from>
    <xdr:ext cx="5314950" cy="609013"/>
    <xdr:sp macro="" textlink="">
      <xdr:nvSpPr>
        <xdr:cNvPr id="8" name="TextBox 7"/>
        <xdr:cNvSpPr txBox="1"/>
      </xdr:nvSpPr>
      <xdr:spPr>
        <a:xfrm>
          <a:off x="57150" y="38100"/>
          <a:ext cx="5314950" cy="609013"/>
        </a:xfrm>
        <a:prstGeom prst="rect">
          <a:avLst/>
        </a:prstGeom>
        <a:solidFill>
          <a:schemeClr val="bg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This</a:t>
          </a:r>
          <a:r>
            <a:rPr lang="en-US" sz="1100" baseline="0"/>
            <a:t> sheet is used to calculate the lost crop revenue for cropland converted to riparian buffers in the BMP scenarios, and the cost of establishing switchgrass as vegetative cover on the buffer acres.</a:t>
          </a:r>
          <a:endParaRPr lang="en-US" sz="1100"/>
        </a:p>
      </xdr:txBody>
    </xdr:sp>
    <xdr:clientData/>
  </xdr:oneCellAnchor>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7</xdr:col>
          <xdr:colOff>247650</xdr:colOff>
          <xdr:row>21</xdr:row>
          <xdr:rowOff>66675</xdr:rowOff>
        </xdr:from>
        <xdr:to>
          <xdr:col>11</xdr:col>
          <xdr:colOff>9525</xdr:colOff>
          <xdr:row>24</xdr:row>
          <xdr:rowOff>0</xdr:rowOff>
        </xdr:to>
        <xdr:sp macro="" textlink="">
          <xdr:nvSpPr>
            <xdr:cNvPr id="137217" name="Button 1" hidden="1">
              <a:extLst>
                <a:ext uri="{63B3BB69-23CF-44E3-9099-C40C66FF867C}">
                  <a14:compatExt spid="_x0000_s137217"/>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Solve for adoption rates to minimize costs subject to the P load reduction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238125</xdr:colOff>
          <xdr:row>27</xdr:row>
          <xdr:rowOff>95250</xdr:rowOff>
        </xdr:from>
        <xdr:to>
          <xdr:col>11</xdr:col>
          <xdr:colOff>0</xdr:colOff>
          <xdr:row>30</xdr:row>
          <xdr:rowOff>28575</xdr:rowOff>
        </xdr:to>
        <xdr:sp macro="" textlink="">
          <xdr:nvSpPr>
            <xdr:cNvPr id="137218" name="Button 2" hidden="1">
              <a:extLst>
                <a:ext uri="{63B3BB69-23CF-44E3-9099-C40C66FF867C}">
                  <a14:compatExt spid="_x0000_s137218"/>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Solve for adoption rates to maximize P load reduction subject to the cost constraint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14</xdr:col>
          <xdr:colOff>47625</xdr:colOff>
          <xdr:row>39</xdr:row>
          <xdr:rowOff>57150</xdr:rowOff>
        </xdr:from>
        <xdr:to>
          <xdr:col>15</xdr:col>
          <xdr:colOff>438150</xdr:colOff>
          <xdr:row>41</xdr:row>
          <xdr:rowOff>85725</xdr:rowOff>
        </xdr:to>
        <xdr:sp macro="" textlink="">
          <xdr:nvSpPr>
            <xdr:cNvPr id="137219" name="Button 3" hidden="1">
              <a:extLst>
                <a:ext uri="{63B3BB69-23CF-44E3-9099-C40C66FF867C}">
                  <a14:compatExt spid="_x0000_s137219"/>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Run watershed comparison to minimize cost</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1371600</xdr:colOff>
          <xdr:row>1</xdr:row>
          <xdr:rowOff>28575</xdr:rowOff>
        </xdr:from>
        <xdr:to>
          <xdr:col>3</xdr:col>
          <xdr:colOff>981075</xdr:colOff>
          <xdr:row>2</xdr:row>
          <xdr:rowOff>114300</xdr:rowOff>
        </xdr:to>
        <xdr:sp macro="" textlink="">
          <xdr:nvSpPr>
            <xdr:cNvPr id="118785" name="Button 1" hidden="1">
              <a:extLst>
                <a:ext uri="{63B3BB69-23CF-44E3-9099-C40C66FF867C}">
                  <a14:compatExt spid="_x0000_s118785"/>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Calculate results for the selected watersheds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1371600</xdr:colOff>
          <xdr:row>38</xdr:row>
          <xdr:rowOff>0</xdr:rowOff>
        </xdr:from>
        <xdr:to>
          <xdr:col>1</xdr:col>
          <xdr:colOff>2000250</xdr:colOff>
          <xdr:row>39</xdr:row>
          <xdr:rowOff>171450</xdr:rowOff>
        </xdr:to>
        <xdr:sp macro="" textlink="">
          <xdr:nvSpPr>
            <xdr:cNvPr id="118786" name="Button 2" hidden="1">
              <a:extLst>
                <a:ext uri="{63B3BB69-23CF-44E3-9099-C40C66FF867C}">
                  <a14:compatExt spid="_x0000_s118786"/>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Sort by cost</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142875</xdr:colOff>
      <xdr:row>0</xdr:row>
      <xdr:rowOff>114300</xdr:rowOff>
    </xdr:from>
    <xdr:to>
      <xdr:col>3</xdr:col>
      <xdr:colOff>723900</xdr:colOff>
      <xdr:row>0</xdr:row>
      <xdr:rowOff>352425</xdr:rowOff>
    </xdr:to>
    <xdr:sp macro="" textlink="">
      <xdr:nvSpPr>
        <xdr:cNvPr id="2" name="TextBox 1"/>
        <xdr:cNvSpPr txBox="1"/>
      </xdr:nvSpPr>
      <xdr:spPr>
        <a:xfrm>
          <a:off x="142875" y="114300"/>
          <a:ext cx="4038600" cy="2381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t>Assumptions for the rye</a:t>
          </a:r>
          <a:r>
            <a:rPr lang="en-US" sz="1100" baseline="0"/>
            <a:t> cover crop scenario -</a:t>
          </a:r>
          <a:endParaRPr lang="en-US" sz="1100"/>
        </a:p>
      </xdr:txBody>
    </xdr:sp>
    <xdr:clientData/>
  </xdr:twoCellAnchor>
  <xdr:oneCellAnchor>
    <xdr:from>
      <xdr:col>0</xdr:col>
      <xdr:colOff>133350</xdr:colOff>
      <xdr:row>26</xdr:row>
      <xdr:rowOff>142875</xdr:rowOff>
    </xdr:from>
    <xdr:ext cx="7448550" cy="953466"/>
    <xdr:sp macro="" textlink="">
      <xdr:nvSpPr>
        <xdr:cNvPr id="3" name="TextBox 2"/>
        <xdr:cNvSpPr txBox="1"/>
      </xdr:nvSpPr>
      <xdr:spPr>
        <a:xfrm>
          <a:off x="133350" y="6238875"/>
          <a:ext cx="7448550" cy="953466"/>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Note:  The most important numbers in the next few rows are in row 34, total seeding &amp; termination cost net of forage values.</a:t>
          </a:r>
          <a:r>
            <a:rPr lang="en-US" sz="1100" baseline="0"/>
            <a:t>  </a:t>
          </a:r>
          <a:r>
            <a:rPr lang="en-US" sz="1100"/>
            <a:t>The default forage harvesting costs/ton in row 29 and value of forage as feed/ton in row 30 will only</a:t>
          </a:r>
          <a:r>
            <a:rPr lang="en-US" sz="1100" baseline="0"/>
            <a:t> affect the total cost/acre in row 34 if you enter yields/acre in row 28.  </a:t>
          </a:r>
        </a:p>
        <a:p>
          <a:pPr marL="0" marR="0" indent="0" defTabSz="914400" eaLnBrk="1" fontAlgn="auto" latinLnBrk="0" hangingPunct="1">
            <a:lnSpc>
              <a:spcPct val="100000"/>
            </a:lnSpc>
            <a:spcBef>
              <a:spcPts val="0"/>
            </a:spcBef>
            <a:spcAft>
              <a:spcPts val="0"/>
            </a:spcAft>
            <a:buClrTx/>
            <a:buSzTx/>
            <a:buFontTx/>
            <a:buNone/>
            <a:tabLst/>
            <a:defRPr/>
          </a:pPr>
          <a:r>
            <a:rPr lang="en-US" sz="1100" baseline="0">
              <a:solidFill>
                <a:schemeClr val="tx1"/>
              </a:solidFill>
              <a:effectLst/>
              <a:latin typeface="+mn-lt"/>
              <a:ea typeface="+mn-ea"/>
              <a:cs typeface="+mn-cs"/>
            </a:rPr>
            <a:t>The costs in this sheet are expressed as positive numbers, so I show the</a:t>
          </a:r>
          <a:r>
            <a:rPr lang="en-US" sz="1100" baseline="0"/>
            <a:t> values of the forage in rows 31 and 33 as negative numbers since they offset the costs.</a:t>
          </a:r>
          <a:endParaRPr lang="en-US" sz="1100"/>
        </a:p>
      </xdr:txBody>
    </xdr:sp>
    <xdr:clientData/>
  </xdr:oneCellAnchor>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43</xdr:col>
          <xdr:colOff>285750</xdr:colOff>
          <xdr:row>78</xdr:row>
          <xdr:rowOff>66675</xdr:rowOff>
        </xdr:from>
        <xdr:to>
          <xdr:col>45</xdr:col>
          <xdr:colOff>66675</xdr:colOff>
          <xdr:row>79</xdr:row>
          <xdr:rowOff>114300</xdr:rowOff>
        </xdr:to>
        <xdr:sp macro="" textlink="">
          <xdr:nvSpPr>
            <xdr:cNvPr id="13394" name="Button 82" hidden="1">
              <a:extLst>
                <a:ext uri="{63B3BB69-23CF-44E3-9099-C40C66FF867C}">
                  <a14:compatExt spid="_x0000_s13394"/>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US" sz="1100" b="0" i="0" u="none" strike="noStrike" baseline="0">
                  <a:solidFill>
                    <a:srgbClr val="000000"/>
                  </a:solidFill>
                  <a:latin typeface="Calibri"/>
                </a:rPr>
                <a:t>Reconcile</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oneCellAnchor>
    <xdr:from>
      <xdr:col>0</xdr:col>
      <xdr:colOff>66675</xdr:colOff>
      <xdr:row>0</xdr:row>
      <xdr:rowOff>85725</xdr:rowOff>
    </xdr:from>
    <xdr:ext cx="7905749" cy="436786"/>
    <xdr:sp macro="" textlink="">
      <xdr:nvSpPr>
        <xdr:cNvPr id="2" name="TextBox 1"/>
        <xdr:cNvSpPr txBox="1"/>
      </xdr:nvSpPr>
      <xdr:spPr>
        <a:xfrm>
          <a:off x="66675" y="85725"/>
          <a:ext cx="7905749" cy="436786"/>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It is unlikely that every acre within an agroecoregion will be at the average STP.  To represent the variation</a:t>
          </a:r>
          <a:r>
            <a:rPr lang="en-US" sz="1100" baseline="0"/>
            <a:t> within each region, half of the acres within each region are assumed to be above and half below the average by a user-specified percentage (default 50%).</a:t>
          </a:r>
          <a:endParaRPr lang="en-US" sz="1100"/>
        </a:p>
      </xdr:txBody>
    </xdr:sp>
    <xdr:clientData/>
  </xdr:oneCellAnchor>
</xdr:wsDr>
</file>

<file path=xl/drawings/drawing9.xml><?xml version="1.0" encoding="utf-8"?>
<xdr:wsDr xmlns:xdr="http://schemas.openxmlformats.org/drawingml/2006/spreadsheetDrawing" xmlns:a="http://schemas.openxmlformats.org/drawingml/2006/main">
  <xdr:oneCellAnchor>
    <xdr:from>
      <xdr:col>9</xdr:col>
      <xdr:colOff>0</xdr:colOff>
      <xdr:row>47</xdr:row>
      <xdr:rowOff>133350</xdr:rowOff>
    </xdr:from>
    <xdr:ext cx="6138860" cy="264560"/>
    <xdr:sp macro="" textlink="">
      <xdr:nvSpPr>
        <xdr:cNvPr id="2" name="TextBox 1"/>
        <xdr:cNvSpPr txBox="1"/>
      </xdr:nvSpPr>
      <xdr:spPr>
        <a:xfrm>
          <a:off x="0" y="133350"/>
          <a:ext cx="6138860" cy="264560"/>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This database is used to arrive at C values for the USLE equation,</a:t>
          </a:r>
          <a:r>
            <a:rPr lang="en-US" sz="1100" baseline="0"/>
            <a:t> averaged over the crops in each region.</a:t>
          </a:r>
          <a:endParaRPr lang="en-US" sz="1100"/>
        </a:p>
      </xdr:txBody>
    </xdr:sp>
    <xdr:clientData/>
  </xdr:oneCellAnchor>
</xdr:wsDr>
</file>

<file path=xl/drawings/drawing10.xml><?xml version="1.0" encoding="utf-8"?>
<xdr:wsDr xmlns:xdr="http://schemas.openxmlformats.org/drawingml/2006/spreadsheetDrawing" xmlns:a="http://schemas.openxmlformats.org/drawingml/2006/main">
  <xdr:oneCellAnchor>
    <xdr:from>
      <xdr:col>0</xdr:col>
      <xdr:colOff>66675</xdr:colOff>
      <xdr:row>0</xdr:row>
      <xdr:rowOff>66675</xdr:rowOff>
    </xdr:from>
    <xdr:ext cx="3135923" cy="436786"/>
    <xdr:sp macro="" textlink="">
      <xdr:nvSpPr>
        <xdr:cNvPr id="2" name="TextBox 1"/>
        <xdr:cNvSpPr txBox="1"/>
      </xdr:nvSpPr>
      <xdr:spPr>
        <a:xfrm>
          <a:off x="66675" y="66675"/>
          <a:ext cx="3135923" cy="436786"/>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t>Calculation</a:t>
          </a:r>
          <a:r>
            <a:rPr lang="en-US" sz="1100" baseline="0"/>
            <a:t> of the impact of conservation tillage on </a:t>
          </a:r>
        </a:p>
        <a:p>
          <a:r>
            <a:rPr lang="en-US" sz="1100" baseline="0"/>
            <a:t>tillage equipment costs, and crop residue cover</a:t>
          </a:r>
          <a:endParaRPr lang="en-US" sz="1100"/>
        </a:p>
      </xdr:txBody>
    </xdr:sp>
    <xdr:clientData/>
  </xdr:oneCellAnchor>
  <xdr:oneCellAnchor>
    <xdr:from>
      <xdr:col>13</xdr:col>
      <xdr:colOff>123825</xdr:colOff>
      <xdr:row>39</xdr:row>
      <xdr:rowOff>171450</xdr:rowOff>
    </xdr:from>
    <xdr:ext cx="9477375" cy="436786"/>
    <xdr:sp macro="" textlink="">
      <xdr:nvSpPr>
        <xdr:cNvPr id="3" name="TextBox 2"/>
        <xdr:cNvSpPr txBox="1"/>
      </xdr:nvSpPr>
      <xdr:spPr>
        <a:xfrm>
          <a:off x="1714500" y="171450"/>
          <a:ext cx="9477375" cy="436786"/>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The machinery costs are from the 2014 "Machinery Cost Estimates"</a:t>
          </a:r>
          <a:r>
            <a:rPr lang="en-US" sz="1100" baseline="0"/>
            <a:t> publication and the machdata.xlsm spreadsheet.  The residue percentages are from David Mulla's Powerpoint slides.  This database is accessed by lookup functions to match the implements selected in the "Impl_select" sheet.</a:t>
          </a:r>
          <a:endParaRPr lang="en-US" sz="1100"/>
        </a:p>
      </xdr:txBody>
    </xdr:sp>
    <xdr:clientData/>
  </xdr:oneCellAnchor>
</xdr:wsDr>
</file>

<file path=xl/drawings/drawing11.xml><?xml version="1.0" encoding="utf-8"?>
<xdr:wsDr xmlns:xdr="http://schemas.openxmlformats.org/drawingml/2006/spreadsheetDrawing" xmlns:a="http://schemas.openxmlformats.org/drawingml/2006/main">
  <xdr:oneCellAnchor>
    <xdr:from>
      <xdr:col>0</xdr:col>
      <xdr:colOff>22412</xdr:colOff>
      <xdr:row>0</xdr:row>
      <xdr:rowOff>179294</xdr:rowOff>
    </xdr:from>
    <xdr:ext cx="7541559" cy="468077"/>
    <xdr:sp macro="" textlink="">
      <xdr:nvSpPr>
        <xdr:cNvPr id="2" name="TextBox 1"/>
        <xdr:cNvSpPr txBox="1"/>
      </xdr:nvSpPr>
      <xdr:spPr>
        <a:xfrm>
          <a:off x="22412" y="179294"/>
          <a:ext cx="7541559" cy="468077"/>
        </a:xfrm>
        <a:prstGeom prst="rect">
          <a:avLst/>
        </a:prstGeom>
        <a:solidFill>
          <a:schemeClr val="bg1">
            <a:lumMod val="8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200"/>
            <a:t>The basic idea here is that</a:t>
          </a:r>
          <a:r>
            <a:rPr lang="en-US" sz="1200" baseline="0"/>
            <a:t> the adoption rate entered in the Main screen is adjusted by the percentages in B28:B30.  After that adjustment, the resulting net  percentage is shifted to "injected" from each of the other methods.</a:t>
          </a:r>
          <a:endParaRPr lang="en-US" sz="1200"/>
        </a:p>
      </xdr:txBody>
    </xdr:sp>
    <xdr:clientData/>
  </xdr:oneCellAnchor>
  <xdr:oneCellAnchor>
    <xdr:from>
      <xdr:col>0</xdr:col>
      <xdr:colOff>142875</xdr:colOff>
      <xdr:row>91</xdr:row>
      <xdr:rowOff>142875</xdr:rowOff>
    </xdr:from>
    <xdr:ext cx="8620125" cy="781240"/>
    <xdr:sp macro="" textlink="">
      <xdr:nvSpPr>
        <xdr:cNvPr id="3" name="TextBox 2"/>
        <xdr:cNvSpPr txBox="1"/>
      </xdr:nvSpPr>
      <xdr:spPr>
        <a:xfrm>
          <a:off x="142875" y="9734550"/>
          <a:ext cx="8620125" cy="781240"/>
        </a:xfrm>
        <a:prstGeom prst="rect">
          <a:avLst/>
        </a:prstGeom>
        <a:solidFill>
          <a:schemeClr val="bg1">
            <a:lumMod val="75000"/>
          </a:schemeClr>
        </a:solid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en-US" sz="1100"/>
            <a:t>The liquid</a:t>
          </a:r>
          <a:r>
            <a:rPr lang="en-US" sz="1100" baseline="0"/>
            <a:t> </a:t>
          </a:r>
          <a:r>
            <a:rPr lang="en-US" sz="1100"/>
            <a:t>manure application costs/gallon are from the Wisconsin Custom Rate Guide 2013, published</a:t>
          </a:r>
          <a:r>
            <a:rPr lang="en-US" sz="1100" baseline="0"/>
            <a:t> in March, 2014, and from the gallons/acre rate entered by the user.  For solid manure, an incorporation cost/acre is considered, but the application cost is ignored since the application cost would be incurred regardless of whether it is incorporated or not.  The costs/acre for incorporation are from the Minnesota Machinery Cost Estimates for 2014.</a:t>
          </a:r>
          <a:endParaRPr lang="en-US" sz="1100"/>
        </a:p>
      </xdr:txBody>
    </xdr:sp>
    <xdr:clientData/>
  </xdr:oneCellAnchor>
</xdr:wsDr>
</file>

<file path=xl/drawings/drawing12.xml><?xml version="1.0" encoding="utf-8"?>
<xdr:wsDr xmlns:xdr="http://schemas.openxmlformats.org/drawingml/2006/spreadsheetDrawing" xmlns:a="http://schemas.openxmlformats.org/drawingml/2006/main">
  <xdr:oneCellAnchor>
    <xdr:from>
      <xdr:col>0</xdr:col>
      <xdr:colOff>698500</xdr:colOff>
      <xdr:row>13</xdr:row>
      <xdr:rowOff>127000</xdr:rowOff>
    </xdr:from>
    <xdr:ext cx="6350" cy="34925"/>
    <xdr:sp macro="" textlink="">
      <xdr:nvSpPr>
        <xdr:cNvPr id="2" name="CommandButton1" hidden="1">
          <a:extLst>
            <a:ext uri="{63B3BB69-23CF-44E3-9099-C40C66FF867C}">
              <a14:compatExt xmlns:a14="http://schemas.microsoft.com/office/drawing/2010/main" spid="_x0000_s1025"/>
            </a:ext>
          </a:extLst>
        </xdr:cNvPr>
        <xdr:cNvSpPr/>
      </xdr:nvSpPr>
      <xdr:spPr>
        <a:xfrm>
          <a:off x="612775" y="508000"/>
          <a:ext cx="6350" cy="34925"/>
        </a:xfrm>
        <a:prstGeom prst="rect">
          <a:avLst/>
        </a:prstGeom>
      </xdr:spPr>
    </xdr:sp>
    <xdr:clientData fLocksWithSheet="0"/>
  </xdr:oneCellAnchor>
  <xdr:oneCellAnchor>
    <xdr:from>
      <xdr:col>1</xdr:col>
      <xdr:colOff>571500</xdr:colOff>
      <xdr:row>11</xdr:row>
      <xdr:rowOff>88900</xdr:rowOff>
    </xdr:from>
    <xdr:ext cx="1155700" cy="241300"/>
    <xdr:sp macro="" textlink="">
      <xdr:nvSpPr>
        <xdr:cNvPr id="3" name="CommandButton3" hidden="1">
          <a:extLst>
            <a:ext uri="{63B3BB69-23CF-44E3-9099-C40C66FF867C}">
              <a14:compatExt xmlns:a14="http://schemas.microsoft.com/office/drawing/2010/main" spid="_x0000_s1026"/>
            </a:ext>
          </a:extLst>
        </xdr:cNvPr>
        <xdr:cNvSpPr/>
      </xdr:nvSpPr>
      <xdr:spPr>
        <a:xfrm>
          <a:off x="1181100" y="88900"/>
          <a:ext cx="1155700" cy="241300"/>
        </a:xfrm>
        <a:prstGeom prst="rect">
          <a:avLst/>
        </a:prstGeom>
      </xdr:spPr>
    </xdr:sp>
    <xdr:clientData fLocksWithSheet="0"/>
  </xdr:oneCellAnchor>
  <xdr:oneCellAnchor>
    <xdr:from>
      <xdr:col>0</xdr:col>
      <xdr:colOff>698500</xdr:colOff>
      <xdr:row>13</xdr:row>
      <xdr:rowOff>127000</xdr:rowOff>
    </xdr:from>
    <xdr:ext cx="6350" cy="34925"/>
    <xdr:pic>
      <xdr:nvPicPr>
        <xdr:cNvPr id="4"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2775" y="508000"/>
          <a:ext cx="6350" cy="34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1</xdr:col>
      <xdr:colOff>571500</xdr:colOff>
      <xdr:row>11</xdr:row>
      <xdr:rowOff>88900</xdr:rowOff>
    </xdr:from>
    <xdr:ext cx="1155700" cy="241300"/>
    <xdr:pic>
      <xdr:nvPicPr>
        <xdr:cNvPr id="5"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1100" y="88900"/>
          <a:ext cx="1155700" cy="241300"/>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2</xdr:col>
      <xdr:colOff>571500</xdr:colOff>
      <xdr:row>11</xdr:row>
      <xdr:rowOff>88900</xdr:rowOff>
    </xdr:from>
    <xdr:ext cx="1155700" cy="231775"/>
    <xdr:sp macro="" textlink="">
      <xdr:nvSpPr>
        <xdr:cNvPr id="6" name="CommandButton3" hidden="1">
          <a:extLst>
            <a:ext uri="{63B3BB69-23CF-44E3-9099-C40C66FF867C}">
              <a14:compatExt xmlns:a14="http://schemas.microsoft.com/office/drawing/2010/main" spid="_x0000_s1026"/>
            </a:ext>
          </a:extLst>
        </xdr:cNvPr>
        <xdr:cNvSpPr/>
      </xdr:nvSpPr>
      <xdr:spPr>
        <a:xfrm>
          <a:off x="1790700" y="88900"/>
          <a:ext cx="1155700" cy="231775"/>
        </a:xfrm>
        <a:prstGeom prst="rect">
          <a:avLst/>
        </a:prstGeom>
      </xdr:spPr>
    </xdr:sp>
    <xdr:clientData fLocksWithSheet="0"/>
  </xdr:oneCellAnchor>
  <xdr:oneCellAnchor>
    <xdr:from>
      <xdr:col>2</xdr:col>
      <xdr:colOff>571500</xdr:colOff>
      <xdr:row>11</xdr:row>
      <xdr:rowOff>88900</xdr:rowOff>
    </xdr:from>
    <xdr:ext cx="1155700" cy="231775"/>
    <xdr:pic>
      <xdr:nvPicPr>
        <xdr:cNvPr id="7"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790700" y="88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0</xdr:col>
      <xdr:colOff>698500</xdr:colOff>
      <xdr:row>13</xdr:row>
      <xdr:rowOff>127000</xdr:rowOff>
    </xdr:from>
    <xdr:ext cx="6350" cy="34925"/>
    <xdr:sp macro="" textlink="">
      <xdr:nvSpPr>
        <xdr:cNvPr id="8" name="CommandButton1" hidden="1">
          <a:extLst>
            <a:ext uri="{63B3BB69-23CF-44E3-9099-C40C66FF867C}">
              <a14:compatExt xmlns:a14="http://schemas.microsoft.com/office/drawing/2010/main" spid="_x0000_s1025"/>
            </a:ext>
          </a:extLst>
        </xdr:cNvPr>
        <xdr:cNvSpPr/>
      </xdr:nvSpPr>
      <xdr:spPr>
        <a:xfrm>
          <a:off x="612775" y="508000"/>
          <a:ext cx="6350" cy="34925"/>
        </a:xfrm>
        <a:prstGeom prst="rect">
          <a:avLst/>
        </a:prstGeom>
      </xdr:spPr>
    </xdr:sp>
    <xdr:clientData fLocksWithSheet="0"/>
  </xdr:oneCellAnchor>
  <xdr:oneCellAnchor>
    <xdr:from>
      <xdr:col>1</xdr:col>
      <xdr:colOff>571500</xdr:colOff>
      <xdr:row>11</xdr:row>
      <xdr:rowOff>88900</xdr:rowOff>
    </xdr:from>
    <xdr:ext cx="1155700" cy="231775"/>
    <xdr:sp macro="" textlink="">
      <xdr:nvSpPr>
        <xdr:cNvPr id="9" name="CommandButton3" hidden="1">
          <a:extLst>
            <a:ext uri="{63B3BB69-23CF-44E3-9099-C40C66FF867C}">
              <a14:compatExt xmlns:a14="http://schemas.microsoft.com/office/drawing/2010/main" spid="_x0000_s1026"/>
            </a:ext>
          </a:extLst>
        </xdr:cNvPr>
        <xdr:cNvSpPr/>
      </xdr:nvSpPr>
      <xdr:spPr>
        <a:xfrm>
          <a:off x="1181100" y="88900"/>
          <a:ext cx="1155700" cy="231775"/>
        </a:xfrm>
        <a:prstGeom prst="rect">
          <a:avLst/>
        </a:prstGeom>
      </xdr:spPr>
    </xdr:sp>
    <xdr:clientData fLocksWithSheet="0"/>
  </xdr:oneCellAnchor>
  <xdr:oneCellAnchor>
    <xdr:from>
      <xdr:col>0</xdr:col>
      <xdr:colOff>698500</xdr:colOff>
      <xdr:row>13</xdr:row>
      <xdr:rowOff>127000</xdr:rowOff>
    </xdr:from>
    <xdr:ext cx="6350" cy="34925"/>
    <xdr:pic>
      <xdr:nvPicPr>
        <xdr:cNvPr id="10"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12775" y="508000"/>
          <a:ext cx="6350" cy="34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1</xdr:col>
      <xdr:colOff>571500</xdr:colOff>
      <xdr:row>11</xdr:row>
      <xdr:rowOff>88900</xdr:rowOff>
    </xdr:from>
    <xdr:ext cx="1155700" cy="231775"/>
    <xdr:pic>
      <xdr:nvPicPr>
        <xdr:cNvPr id="11"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181100" y="88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3</xdr:col>
      <xdr:colOff>0</xdr:colOff>
      <xdr:row>11</xdr:row>
      <xdr:rowOff>88900</xdr:rowOff>
    </xdr:from>
    <xdr:ext cx="1155700" cy="231775"/>
    <xdr:sp macro="" textlink="">
      <xdr:nvSpPr>
        <xdr:cNvPr id="12" name="CommandButton3" hidden="1">
          <a:extLst>
            <a:ext uri="{63B3BB69-23CF-44E3-9099-C40C66FF867C}">
              <a14:compatExt xmlns:a14="http://schemas.microsoft.com/office/drawing/2010/main" spid="_x0000_s1026"/>
            </a:ext>
          </a:extLst>
        </xdr:cNvPr>
        <xdr:cNvSpPr/>
      </xdr:nvSpPr>
      <xdr:spPr>
        <a:xfrm>
          <a:off x="1828800" y="88900"/>
          <a:ext cx="1155700" cy="231775"/>
        </a:xfrm>
        <a:prstGeom prst="rect">
          <a:avLst/>
        </a:prstGeom>
      </xdr:spPr>
    </xdr:sp>
    <xdr:clientData fLocksWithSheet="0"/>
  </xdr:oneCellAnchor>
  <xdr:oneCellAnchor>
    <xdr:from>
      <xdr:col>3</xdr:col>
      <xdr:colOff>0</xdr:colOff>
      <xdr:row>11</xdr:row>
      <xdr:rowOff>88900</xdr:rowOff>
    </xdr:from>
    <xdr:ext cx="1155700" cy="231775"/>
    <xdr:pic>
      <xdr:nvPicPr>
        <xdr:cNvPr id="13"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828800" y="88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3</xdr:col>
      <xdr:colOff>571500</xdr:colOff>
      <xdr:row>11</xdr:row>
      <xdr:rowOff>88900</xdr:rowOff>
    </xdr:from>
    <xdr:ext cx="1155700" cy="231775"/>
    <xdr:sp macro="" textlink="">
      <xdr:nvSpPr>
        <xdr:cNvPr id="14" name="CommandButton3" hidden="1">
          <a:extLst>
            <a:ext uri="{63B3BB69-23CF-44E3-9099-C40C66FF867C}">
              <a14:compatExt xmlns:a14="http://schemas.microsoft.com/office/drawing/2010/main" spid="_x0000_s1026"/>
            </a:ext>
          </a:extLst>
        </xdr:cNvPr>
        <xdr:cNvSpPr/>
      </xdr:nvSpPr>
      <xdr:spPr>
        <a:xfrm>
          <a:off x="2400300" y="88900"/>
          <a:ext cx="1155700" cy="231775"/>
        </a:xfrm>
        <a:prstGeom prst="rect">
          <a:avLst/>
        </a:prstGeom>
      </xdr:spPr>
    </xdr:sp>
    <xdr:clientData fLocksWithSheet="0"/>
  </xdr:oneCellAnchor>
  <xdr:oneCellAnchor>
    <xdr:from>
      <xdr:col>3</xdr:col>
      <xdr:colOff>571500</xdr:colOff>
      <xdr:row>11</xdr:row>
      <xdr:rowOff>88900</xdr:rowOff>
    </xdr:from>
    <xdr:ext cx="1155700" cy="231775"/>
    <xdr:pic>
      <xdr:nvPicPr>
        <xdr:cNvPr id="15"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400300" y="88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0</xdr:col>
      <xdr:colOff>698500</xdr:colOff>
      <xdr:row>2</xdr:row>
      <xdr:rowOff>127000</xdr:rowOff>
    </xdr:from>
    <xdr:ext cx="6350" cy="34925"/>
    <xdr:sp macro="" textlink="">
      <xdr:nvSpPr>
        <xdr:cNvPr id="16" name="CommandButton1" hidden="1">
          <a:extLst>
            <a:ext uri="{63B3BB69-23CF-44E3-9099-C40C66FF867C}">
              <a14:compatExt xmlns:a14="http://schemas.microsoft.com/office/drawing/2010/main" spid="_x0000_s1025"/>
            </a:ext>
          </a:extLst>
        </xdr:cNvPr>
        <xdr:cNvSpPr/>
      </xdr:nvSpPr>
      <xdr:spPr>
        <a:xfrm>
          <a:off x="698500" y="889000"/>
          <a:ext cx="6350" cy="34925"/>
        </a:xfrm>
        <a:prstGeom prst="rect">
          <a:avLst/>
        </a:prstGeom>
      </xdr:spPr>
    </xdr:sp>
    <xdr:clientData fLocksWithSheet="0"/>
  </xdr:oneCellAnchor>
  <xdr:oneCellAnchor>
    <xdr:from>
      <xdr:col>1</xdr:col>
      <xdr:colOff>571500</xdr:colOff>
      <xdr:row>0</xdr:row>
      <xdr:rowOff>88900</xdr:rowOff>
    </xdr:from>
    <xdr:ext cx="1155700" cy="231775"/>
    <xdr:sp macro="" textlink="">
      <xdr:nvSpPr>
        <xdr:cNvPr id="17" name="CommandButton3" hidden="1">
          <a:extLst>
            <a:ext uri="{63B3BB69-23CF-44E3-9099-C40C66FF867C}">
              <a14:compatExt xmlns:a14="http://schemas.microsoft.com/office/drawing/2010/main" spid="_x0000_s1026"/>
            </a:ext>
          </a:extLst>
        </xdr:cNvPr>
        <xdr:cNvSpPr/>
      </xdr:nvSpPr>
      <xdr:spPr>
        <a:xfrm>
          <a:off x="3267075" y="469900"/>
          <a:ext cx="1155700" cy="231775"/>
        </a:xfrm>
        <a:prstGeom prst="rect">
          <a:avLst/>
        </a:prstGeom>
      </xdr:spPr>
    </xdr:sp>
    <xdr:clientData fLocksWithSheet="0"/>
  </xdr:oneCellAnchor>
  <xdr:oneCellAnchor>
    <xdr:from>
      <xdr:col>0</xdr:col>
      <xdr:colOff>698500</xdr:colOff>
      <xdr:row>2</xdr:row>
      <xdr:rowOff>127000</xdr:rowOff>
    </xdr:from>
    <xdr:ext cx="6350" cy="34925"/>
    <xdr:pic>
      <xdr:nvPicPr>
        <xdr:cNvPr id="18" name="CommandButton1"/>
        <xdr:cNvPicPr preferRelativeResize="0">
          <a:picLocks noChangeArrowheads="1" noChangeShapeType="1"/>
        </xdr:cNvPicPr>
      </xdr:nvPicPr>
      <xdr:blipFill>
        <a:blip xmlns:r="http://schemas.openxmlformats.org/officeDocument/2006/relationships" r:embed="rId1" cstate="print">
          <a:extLst>
            <a:ext uri="{28A0092B-C50C-407E-A947-70E740481C1C}">
              <a14:useLocalDpi xmlns:a14="http://schemas.microsoft.com/office/drawing/2010/main" val="0"/>
            </a:ext>
          </a:extLst>
        </a:blip>
        <a:srcRect/>
        <a:stretch>
          <a:fillRect/>
        </a:stretch>
      </xdr:blipFill>
      <xdr:spPr bwMode="auto">
        <a:xfrm>
          <a:off x="698500" y="889000"/>
          <a:ext cx="6350" cy="3492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oneCellAnchor>
    <xdr:from>
      <xdr:col>1</xdr:col>
      <xdr:colOff>571500</xdr:colOff>
      <xdr:row>0</xdr:row>
      <xdr:rowOff>88900</xdr:rowOff>
    </xdr:from>
    <xdr:ext cx="1155700" cy="231775"/>
    <xdr:pic>
      <xdr:nvPicPr>
        <xdr:cNvPr id="19" name="CommandButton3" hidden="1"/>
        <xdr:cNvPicPr preferRelativeResize="0">
          <a:picLocks noChangeArrowheads="1" noChangeShapeType="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3267075" y="469900"/>
          <a:ext cx="1155700" cy="231775"/>
        </a:xfrm>
        <a:prstGeom prst="rect">
          <a:avLst/>
        </a:prstGeom>
        <a:noFill/>
        <a:ln>
          <a:noFill/>
        </a:ln>
        <a:extLst>
          <a:ext uri="{91240B29-F687-4F45-9708-019B960494DF}">
            <a14:hiddenLine xmlns:a14="http://schemas.microsoft.com/office/drawing/2010/main" w="9525">
              <a:noFill/>
              <a:miter lim="800000"/>
              <a:headEnd/>
              <a:tailEnd/>
            </a14:hiddenLine>
          </a:ext>
        </a:extLst>
      </xdr:spPr>
    </xdr:pic>
    <xdr:clientData fLocksWithSheet="0"/>
  </xdr:oneCellAnchor>
</xdr:wsDr>
</file>

<file path=xl/externalLinks/_rels/externalLink1.xml.rels><?xml version="1.0" encoding="UTF-8" standalone="yes"?>
<Relationships xmlns="http://schemas.openxmlformats.org/package/2006/relationships"><Relationship Id="rId1" Type="http://schemas.microsoft.com/office/2006/relationships/xlExternalLinkPath/xlPathMissing" Target="Graphdata"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Graphdata"/>
    </sheetNames>
    <sheetDataSet>
      <sheetData sheetId="0" refreshError="1"/>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2.xml.rels><?xml version="1.0" encoding="UTF-8" standalone="yes"?>
<Relationships xmlns="http://schemas.openxmlformats.org/package/2006/relationships"><Relationship Id="rId8" Type="http://schemas.openxmlformats.org/officeDocument/2006/relationships/ctrlProp" Target="../ctrlProps/ctrlProp5.xml"/><Relationship Id="rId13" Type="http://schemas.openxmlformats.org/officeDocument/2006/relationships/ctrlProp" Target="../ctrlProps/ctrlProp10.xml"/><Relationship Id="rId1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ctrlProp" Target="../ctrlProps/ctrlProp4.xml"/><Relationship Id="rId12" Type="http://schemas.openxmlformats.org/officeDocument/2006/relationships/ctrlProp" Target="../ctrlProps/ctrlProp9.xml"/><Relationship Id="rId17" Type="http://schemas.openxmlformats.org/officeDocument/2006/relationships/ctrlProp" Target="../ctrlProps/ctrlProp14.xml"/><Relationship Id="rId2" Type="http://schemas.openxmlformats.org/officeDocument/2006/relationships/drawing" Target="../drawings/drawing1.xml"/><Relationship Id="rId16" Type="http://schemas.openxmlformats.org/officeDocument/2006/relationships/ctrlProp" Target="../ctrlProps/ctrlProp13.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5" Type="http://schemas.openxmlformats.org/officeDocument/2006/relationships/ctrlProp" Target="../ctrlProps/ctrlProp1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 Id="rId14" Type="http://schemas.openxmlformats.org/officeDocument/2006/relationships/ctrlProp" Target="../ctrlProps/ctrlProp11.xml"/></Relationships>
</file>

<file path=xl/worksheets/_rels/sheet4.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3.v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2.xml"/><Relationship Id="rId1" Type="http://schemas.openxmlformats.org/officeDocument/2006/relationships/printerSettings" Target="../printerSettings/printerSettings5.bin"/><Relationship Id="rId4" Type="http://schemas.openxmlformats.org/officeDocument/2006/relationships/comments" Target="../comments5.xml"/></Relationships>
</file>

<file path=xl/worksheets/_rels/sheet8.xml.rels><?xml version="1.0" encoding="UTF-8" standalone="yes"?>
<Relationships xmlns="http://schemas.openxmlformats.org/package/2006/relationships"><Relationship Id="rId3" Type="http://schemas.openxmlformats.org/officeDocument/2006/relationships/drawing" Target="../drawings/drawing3.xml"/><Relationship Id="rId2" Type="http://schemas.openxmlformats.org/officeDocument/2006/relationships/printerSettings" Target="../printerSettings/printerSettings6.bin"/><Relationship Id="rId1" Type="http://schemas.openxmlformats.org/officeDocument/2006/relationships/hyperlink" Target="http://www.apec.umn.edu/faculty/wlazarus/interests-farmmachinery.html" TargetMode="External"/><Relationship Id="rId5" Type="http://schemas.openxmlformats.org/officeDocument/2006/relationships/comments" Target="../comments6.xml"/><Relationship Id="rId4" Type="http://schemas.openxmlformats.org/officeDocument/2006/relationships/vmlDrawing" Target="../drawings/vmlDrawing6.v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5.xml"/><Relationship Id="rId2" Type="http://schemas.openxmlformats.org/officeDocument/2006/relationships/vmlDrawing" Target="../drawings/vmlDrawing7.vml"/><Relationship Id="rId1" Type="http://schemas.openxmlformats.org/officeDocument/2006/relationships/drawing" Target="../drawings/drawing4.xml"/><Relationship Id="rId5" Type="http://schemas.openxmlformats.org/officeDocument/2006/relationships/ctrlProp" Target="../ctrlProps/ctrlProp17.xml"/><Relationship Id="rId4" Type="http://schemas.openxmlformats.org/officeDocument/2006/relationships/ctrlProp" Target="../ctrlProps/ctrlProp16.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8.vml"/><Relationship Id="rId1" Type="http://schemas.openxmlformats.org/officeDocument/2006/relationships/drawing" Target="../drawings/drawing5.xml"/><Relationship Id="rId4" Type="http://schemas.openxmlformats.org/officeDocument/2006/relationships/ctrlProp" Target="../ctrlProps/ctrlProp19.xml"/></Relationships>
</file>

<file path=xl/worksheets/_rels/sheet12.xml.rels><?xml version="1.0" encoding="UTF-8" standalone="yes"?>
<Relationships xmlns="http://schemas.openxmlformats.org/package/2006/relationships"><Relationship Id="rId2" Type="http://schemas.openxmlformats.org/officeDocument/2006/relationships/comments" Target="../comments7.xml"/><Relationship Id="rId1" Type="http://schemas.openxmlformats.org/officeDocument/2006/relationships/vmlDrawing" Target="../drawings/vmlDrawing9.vml"/></Relationships>
</file>

<file path=xl/worksheets/_rels/sheet14.xml.rels><?xml version="1.0" encoding="UTF-8" standalone="yes"?>
<Relationships xmlns="http://schemas.openxmlformats.org/package/2006/relationships"><Relationship Id="rId3" Type="http://schemas.openxmlformats.org/officeDocument/2006/relationships/comments" Target="../comments8.xml"/><Relationship Id="rId2" Type="http://schemas.openxmlformats.org/officeDocument/2006/relationships/vmlDrawing" Target="../drawings/vmlDrawing10.vml"/><Relationship Id="rId1" Type="http://schemas.openxmlformats.org/officeDocument/2006/relationships/drawing" Target="../drawings/drawing6.xml"/></Relationships>
</file>

<file path=xl/worksheets/_rels/sheet15.xml.rels><?xml version="1.0" encoding="UTF-8" standalone="yes"?>
<Relationships xmlns="http://schemas.openxmlformats.org/package/2006/relationships"><Relationship Id="rId3" Type="http://schemas.openxmlformats.org/officeDocument/2006/relationships/comments" Target="../comments9.xml"/><Relationship Id="rId2" Type="http://schemas.openxmlformats.org/officeDocument/2006/relationships/vmlDrawing" Target="../drawings/vmlDrawing11.vml"/><Relationship Id="rId1" Type="http://schemas.openxmlformats.org/officeDocument/2006/relationships/printerSettings" Target="../printerSettings/printerSettings7.bin"/></Relationships>
</file>

<file path=xl/worksheets/_rels/sheet16.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7.xml"/><Relationship Id="rId1" Type="http://schemas.openxmlformats.org/officeDocument/2006/relationships/printerSettings" Target="../printerSettings/printerSettings8.bin"/><Relationship Id="rId5" Type="http://schemas.openxmlformats.org/officeDocument/2006/relationships/comments" Target="../comments10.xml"/><Relationship Id="rId4" Type="http://schemas.openxmlformats.org/officeDocument/2006/relationships/ctrlProp" Target="../ctrlProps/ctrlProp20.xml"/></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2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2" Type="http://schemas.openxmlformats.org/officeDocument/2006/relationships/comments" Target="../comments11.xml"/><Relationship Id="rId1" Type="http://schemas.openxmlformats.org/officeDocument/2006/relationships/vmlDrawing" Target="../drawings/vmlDrawing13.vml"/></Relationships>
</file>

<file path=xl/worksheets/_rels/sheet22.xml.rels><?xml version="1.0" encoding="UTF-8" standalone="yes"?>
<Relationships xmlns="http://schemas.openxmlformats.org/package/2006/relationships"><Relationship Id="rId3" Type="http://schemas.openxmlformats.org/officeDocument/2006/relationships/comments" Target="../comments12.xml"/><Relationship Id="rId2" Type="http://schemas.openxmlformats.org/officeDocument/2006/relationships/vmlDrawing" Target="../drawings/vmlDrawing14.vml"/><Relationship Id="rId1" Type="http://schemas.openxmlformats.org/officeDocument/2006/relationships/printerSettings" Target="../printerSettings/printerSettings11.bin"/></Relationships>
</file>

<file path=xl/worksheets/_rels/sheet23.xml.rels><?xml version="1.0" encoding="UTF-8" standalone="yes"?>
<Relationships xmlns="http://schemas.openxmlformats.org/package/2006/relationships"><Relationship Id="rId3" Type="http://schemas.openxmlformats.org/officeDocument/2006/relationships/drawing" Target="../drawings/drawing11.xml"/><Relationship Id="rId2" Type="http://schemas.openxmlformats.org/officeDocument/2006/relationships/printerSettings" Target="../printerSettings/printerSettings12.bin"/><Relationship Id="rId1" Type="http://schemas.openxmlformats.org/officeDocument/2006/relationships/hyperlink" Target="http://wood.uwex.edu/files/2014/04/custom_rates_2013.pdf" TargetMode="External"/><Relationship Id="rId5" Type="http://schemas.openxmlformats.org/officeDocument/2006/relationships/comments" Target="../comments13.xml"/><Relationship Id="rId4" Type="http://schemas.openxmlformats.org/officeDocument/2006/relationships/vmlDrawing" Target="../drawings/vmlDrawing15.vml"/></Relationships>
</file>

<file path=xl/worksheets/_rels/sheet24.xml.rels><?xml version="1.0" encoding="UTF-8" standalone="yes"?>
<Relationships xmlns="http://schemas.openxmlformats.org/package/2006/relationships"><Relationship Id="rId3" Type="http://schemas.openxmlformats.org/officeDocument/2006/relationships/comments" Target="../comments14.xml"/><Relationship Id="rId2" Type="http://schemas.openxmlformats.org/officeDocument/2006/relationships/vmlDrawing" Target="../drawings/vmlDrawing16.vml"/><Relationship Id="rId1" Type="http://schemas.openxmlformats.org/officeDocument/2006/relationships/printerSettings" Target="../printerSettings/printerSettings13.bin"/></Relationships>
</file>

<file path=xl/worksheets/_rels/sheet25.xml.rels><?xml version="1.0" encoding="UTF-8" standalone="yes"?>
<Relationships xmlns="http://schemas.openxmlformats.org/package/2006/relationships"><Relationship Id="rId3" Type="http://schemas.openxmlformats.org/officeDocument/2006/relationships/comments" Target="../comments15.xml"/><Relationship Id="rId2" Type="http://schemas.openxmlformats.org/officeDocument/2006/relationships/vmlDrawing" Target="../drawings/vmlDrawing17.vml"/><Relationship Id="rId1" Type="http://schemas.openxmlformats.org/officeDocument/2006/relationships/drawing" Target="../drawings/drawing12.xml"/></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dimension ref="A2:A22"/>
  <sheetViews>
    <sheetView workbookViewId="0">
      <selection activeCell="A16" sqref="A16"/>
    </sheetView>
  </sheetViews>
  <sheetFormatPr defaultRowHeight="15" x14ac:dyDescent="0.25"/>
  <cols>
    <col min="1" max="1" width="16.28515625" customWidth="1"/>
    <col min="2" max="2" width="24.5703125" customWidth="1"/>
  </cols>
  <sheetData>
    <row r="2" spans="1:1" x14ac:dyDescent="0.25">
      <c r="A2" t="s">
        <v>1123</v>
      </c>
    </row>
    <row r="3" spans="1:1" x14ac:dyDescent="0.25">
      <c r="A3" s="194" t="s">
        <v>1109</v>
      </c>
    </row>
    <row r="4" spans="1:1" x14ac:dyDescent="0.25">
      <c r="A4" s="194" t="s">
        <v>1110</v>
      </c>
    </row>
    <row r="5" spans="1:1" x14ac:dyDescent="0.25">
      <c r="A5" s="194" t="s">
        <v>1111</v>
      </c>
    </row>
    <row r="6" spans="1:1" x14ac:dyDescent="0.25">
      <c r="A6" s="194" t="s">
        <v>1112</v>
      </c>
    </row>
    <row r="7" spans="1:1" x14ac:dyDescent="0.25">
      <c r="A7" s="194" t="s">
        <v>1113</v>
      </c>
    </row>
    <row r="8" spans="1:1" x14ac:dyDescent="0.25">
      <c r="A8" s="194" t="s">
        <v>1114</v>
      </c>
    </row>
    <row r="9" spans="1:1" x14ac:dyDescent="0.25">
      <c r="A9" s="194" t="s">
        <v>88</v>
      </c>
    </row>
    <row r="10" spans="1:1" x14ac:dyDescent="0.25">
      <c r="A10" s="194" t="s">
        <v>1115</v>
      </c>
    </row>
    <row r="11" spans="1:1" x14ac:dyDescent="0.25">
      <c r="A11" s="194" t="s">
        <v>1116</v>
      </c>
    </row>
    <row r="12" spans="1:1" x14ac:dyDescent="0.25">
      <c r="A12" s="194" t="s">
        <v>901</v>
      </c>
    </row>
    <row r="13" spans="1:1" x14ac:dyDescent="0.25">
      <c r="A13" s="194" t="s">
        <v>1117</v>
      </c>
    </row>
    <row r="14" spans="1:1" x14ac:dyDescent="0.25">
      <c r="A14" s="194" t="s">
        <v>1118</v>
      </c>
    </row>
    <row r="15" spans="1:1" x14ac:dyDescent="0.25">
      <c r="A15" s="194" t="s">
        <v>899</v>
      </c>
    </row>
    <row r="16" spans="1:1" x14ac:dyDescent="0.25">
      <c r="A16" s="194" t="s">
        <v>1945</v>
      </c>
    </row>
    <row r="17" spans="1:1" x14ac:dyDescent="0.25">
      <c r="A17" s="194" t="s">
        <v>1119</v>
      </c>
    </row>
    <row r="18" spans="1:1" x14ac:dyDescent="0.25">
      <c r="A18" s="194" t="s">
        <v>1120</v>
      </c>
    </row>
    <row r="19" spans="1:1" x14ac:dyDescent="0.25">
      <c r="A19" s="194" t="s">
        <v>903</v>
      </c>
    </row>
    <row r="20" spans="1:1" x14ac:dyDescent="0.25">
      <c r="A20" s="194" t="s">
        <v>1121</v>
      </c>
    </row>
    <row r="21" spans="1:1" x14ac:dyDescent="0.25">
      <c r="A21" s="194" t="s">
        <v>1122</v>
      </c>
    </row>
    <row r="22" spans="1:1" x14ac:dyDescent="0.25">
      <c r="A22" s="194" t="s">
        <v>265</v>
      </c>
    </row>
  </sheetData>
  <sheetProtection algorithmName="SHA-512" hashValue="V/ezRvpqxf6myO3LFM0f4rVmX1XnXwXXhX6uBPLKluf5jfBksFAcgVGanXmf5P5vy5mImLUWKvrF/2+2DPPt7g==" saltValue="7UWbtLYI4M8DlGZsPPB0fA==" spinCount="100000" sheet="1" objects="1" scenarios="1"/>
  <hyperlinks>
    <hyperlink ref="A22" location="Runoff!A1" display="Runoff"/>
    <hyperlink ref="A21" location="'Cost data'!A1" display="Cost data"/>
    <hyperlink ref="A20" location="'Manure Rate'!A1" display="Manure Rate"/>
    <hyperlink ref="A19" location="'Manure Method'!A1" display="Manure Method"/>
    <hyperlink ref="A18" location="Inlets!A1" display="Inlets"/>
    <hyperlink ref="A17" location="C_Drain!A1" display="C_Drain"/>
    <hyperlink ref="A16" location="Returns_Per_A!A1" display="Returns_Per_A"/>
    <hyperlink ref="A15" location="Buffer!A1" display="Buffer"/>
    <hyperlink ref="A14" location="Impl_select!A1" display="Impl_select"/>
    <hyperlink ref="A13" location="Crop_codes!A1" display="Crop_codes"/>
    <hyperlink ref="A12" location="STP!A1" display="STP"/>
    <hyperlink ref="A11" location="'Fertilizer Method'!A1" display="Fertilizer Method"/>
    <hyperlink ref="A10" location="'Fertilizer Rate'!A1" display="Fertilizer Rate"/>
    <hyperlink ref="A9" location="Erosion!A1" display="Erosion"/>
    <hyperlink ref="A8" location="Parameters!A1" display="Parameters"/>
    <hyperlink ref="A7" location="'P_Index Scores'!A1" display="P_Index Scores"/>
    <hyperlink ref="A6" location="'P Export'!A1" display="P export"/>
    <hyperlink ref="A5" location="Covercrop!A1" display="Covercrop"/>
    <hyperlink ref="A4" location="Watersheds!A1" display="Watersheds"/>
    <hyperlink ref="A3" location="Main!A1" display="Main"/>
  </hyperlinks>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3">
    <pageSetUpPr fitToPage="1"/>
  </sheetPr>
  <dimension ref="A1:IY328"/>
  <sheetViews>
    <sheetView tabSelected="1" workbookViewId="0">
      <selection activeCell="I1" sqref="I1"/>
    </sheetView>
  </sheetViews>
  <sheetFormatPr defaultRowHeight="15" x14ac:dyDescent="0.25"/>
  <cols>
    <col min="1" max="1" width="47.7109375" customWidth="1"/>
    <col min="2" max="2" width="11.7109375" customWidth="1"/>
    <col min="3" max="3" width="12.5703125" customWidth="1"/>
    <col min="4" max="4" width="12" customWidth="1"/>
    <col min="5" max="5" width="11.85546875" customWidth="1"/>
    <col min="6" max="6" width="13.140625" customWidth="1"/>
    <col min="7" max="7" width="36.5703125" customWidth="1"/>
    <col min="8" max="8" width="14.5703125" customWidth="1"/>
    <col min="9" max="11" width="16" customWidth="1"/>
    <col min="12" max="12" width="17.140625" customWidth="1"/>
    <col min="13" max="13" width="18.42578125" customWidth="1"/>
    <col min="14" max="14" width="16.5703125" customWidth="1"/>
    <col min="15" max="16" width="15.85546875" customWidth="1"/>
    <col min="17" max="17" width="15.42578125" customWidth="1"/>
    <col min="40" max="41" width="9.140625" customWidth="1"/>
    <col min="43" max="43" width="29" customWidth="1"/>
    <col min="140" max="140" width="20.85546875" customWidth="1"/>
  </cols>
  <sheetData>
    <row r="1" spans="1:32" x14ac:dyDescent="0.25">
      <c r="A1" s="209"/>
      <c r="B1" s="209"/>
      <c r="C1" s="209"/>
      <c r="D1" s="209"/>
      <c r="E1" s="209"/>
      <c r="F1" s="209"/>
      <c r="G1" s="209"/>
      <c r="H1" s="547" t="s">
        <v>770</v>
      </c>
      <c r="I1" s="614">
        <v>42675</v>
      </c>
      <c r="J1" s="209"/>
      <c r="K1" s="209"/>
      <c r="L1" s="209"/>
      <c r="M1" s="209"/>
      <c r="N1" s="209"/>
      <c r="O1" s="209"/>
      <c r="P1" s="209"/>
      <c r="Q1" s="209"/>
      <c r="R1" s="209"/>
      <c r="S1" s="209"/>
      <c r="T1" s="209"/>
      <c r="U1" s="209"/>
      <c r="V1" s="209"/>
      <c r="W1" s="209"/>
      <c r="X1" s="209"/>
      <c r="Y1" s="209"/>
      <c r="Z1" s="209"/>
    </row>
    <row r="2" spans="1:32" x14ac:dyDescent="0.25">
      <c r="A2" s="209"/>
      <c r="B2" s="209"/>
      <c r="C2" s="209"/>
      <c r="D2" s="209"/>
      <c r="E2" s="209"/>
      <c r="F2" s="547"/>
      <c r="G2" s="646"/>
      <c r="H2" s="209"/>
      <c r="I2" s="209"/>
      <c r="J2" s="209"/>
      <c r="K2" s="209"/>
      <c r="L2" s="209"/>
      <c r="M2" s="209"/>
      <c r="N2" s="209"/>
      <c r="O2" s="209"/>
      <c r="P2" s="209"/>
      <c r="Q2" s="209"/>
      <c r="R2" s="209"/>
      <c r="S2" s="209"/>
      <c r="T2" s="209"/>
      <c r="U2" s="209"/>
      <c r="V2" s="209"/>
      <c r="W2" s="209"/>
      <c r="X2" s="209"/>
      <c r="Y2" s="209"/>
      <c r="Z2" s="209"/>
    </row>
    <row r="3" spans="1:32" x14ac:dyDescent="0.25">
      <c r="A3" s="209"/>
      <c r="B3" s="209"/>
      <c r="C3" s="209"/>
      <c r="D3" s="209"/>
      <c r="E3" s="209"/>
      <c r="F3" s="547"/>
      <c r="G3" s="646"/>
      <c r="H3" s="209"/>
      <c r="I3" s="209"/>
      <c r="J3" s="209"/>
      <c r="K3" s="209"/>
      <c r="L3" s="209"/>
      <c r="M3" s="209"/>
      <c r="N3" s="209"/>
      <c r="O3" s="209"/>
      <c r="P3" s="209"/>
      <c r="Q3" s="209"/>
      <c r="R3" s="209"/>
      <c r="S3" s="209"/>
      <c r="T3" s="209"/>
      <c r="U3" s="209"/>
      <c r="V3" s="209"/>
      <c r="W3" s="209"/>
      <c r="X3" s="209"/>
      <c r="Y3" s="209"/>
      <c r="Z3" s="209"/>
    </row>
    <row r="4" spans="1:32" x14ac:dyDescent="0.25">
      <c r="A4" s="209"/>
      <c r="B4" s="209"/>
      <c r="C4" s="209"/>
      <c r="D4" s="209"/>
      <c r="E4" s="209"/>
      <c r="F4" s="547"/>
      <c r="G4" s="646"/>
      <c r="H4" s="209"/>
      <c r="I4" s="209"/>
      <c r="J4" s="209"/>
      <c r="K4" s="209"/>
      <c r="L4" s="209"/>
      <c r="M4" s="209"/>
      <c r="N4" s="209"/>
      <c r="O4" s="209"/>
      <c r="P4" s="209"/>
      <c r="Q4" s="209"/>
      <c r="R4" s="209"/>
      <c r="S4" s="209"/>
      <c r="T4" s="209"/>
      <c r="U4" s="209"/>
      <c r="V4" s="209"/>
      <c r="W4" s="209"/>
      <c r="X4" s="209"/>
      <c r="Y4" s="209"/>
      <c r="Z4" s="209"/>
    </row>
    <row r="5" spans="1:32" x14ac:dyDescent="0.25">
      <c r="A5" s="209"/>
      <c r="B5" s="209"/>
      <c r="C5" s="209"/>
      <c r="D5" s="209"/>
      <c r="E5" s="209"/>
      <c r="F5" s="547"/>
      <c r="G5" s="646"/>
      <c r="H5" s="209"/>
      <c r="I5" s="209"/>
      <c r="J5" s="209"/>
      <c r="K5" s="209"/>
      <c r="L5" s="209"/>
      <c r="M5" s="209"/>
      <c r="N5" s="209"/>
      <c r="O5" s="209"/>
      <c r="P5" s="209"/>
      <c r="Q5" s="209"/>
      <c r="R5" s="209"/>
      <c r="S5" s="209"/>
      <c r="T5" s="209"/>
      <c r="U5" s="209"/>
      <c r="V5" s="209"/>
      <c r="W5" s="209"/>
      <c r="X5" s="209"/>
      <c r="Y5" s="209"/>
      <c r="Z5" s="209"/>
    </row>
    <row r="6" spans="1:32" x14ac:dyDescent="0.25">
      <c r="A6" s="209"/>
      <c r="B6" s="209"/>
      <c r="C6" s="209"/>
      <c r="D6" s="209"/>
      <c r="E6" s="209"/>
      <c r="F6" s="209"/>
      <c r="G6" s="209"/>
      <c r="H6" s="209"/>
      <c r="I6" s="209"/>
      <c r="J6" s="209"/>
      <c r="K6" s="209"/>
      <c r="L6" s="209"/>
      <c r="M6" s="209"/>
      <c r="N6" s="209"/>
      <c r="O6" s="209"/>
      <c r="P6" s="209"/>
      <c r="Q6" s="209"/>
      <c r="R6" s="209"/>
      <c r="S6" s="209"/>
      <c r="T6" s="209"/>
      <c r="U6" s="209"/>
      <c r="V6" s="209"/>
      <c r="W6" s="209"/>
      <c r="X6" s="209"/>
      <c r="Y6" s="209"/>
      <c r="Z6" s="209"/>
    </row>
    <row r="7" spans="1:32" ht="19.5" customHeight="1" x14ac:dyDescent="0.25">
      <c r="A7" s="647" t="s">
        <v>16</v>
      </c>
      <c r="B7" s="648">
        <v>1</v>
      </c>
      <c r="C7" s="209"/>
      <c r="D7" s="209"/>
      <c r="E7" s="649">
        <f>watershed_acre</f>
        <v>19.647267033658867</v>
      </c>
      <c r="F7" s="209" t="s">
        <v>1075</v>
      </c>
      <c r="G7" s="209"/>
      <c r="H7" s="209"/>
      <c r="I7" s="209"/>
      <c r="J7" s="209"/>
      <c r="K7" s="209"/>
      <c r="L7" s="209"/>
      <c r="M7" s="209"/>
      <c r="N7" s="209"/>
      <c r="O7" s="209"/>
      <c r="P7" s="209"/>
      <c r="Q7" s="209"/>
      <c r="R7" s="209"/>
      <c r="S7" s="209"/>
      <c r="T7" s="209"/>
      <c r="U7" s="209"/>
      <c r="V7" s="209"/>
      <c r="W7" s="209"/>
      <c r="X7" s="209"/>
      <c r="Y7" s="209"/>
      <c r="Z7" s="209"/>
    </row>
    <row r="8" spans="1:32" ht="19.5" customHeight="1" x14ac:dyDescent="0.25">
      <c r="A8" s="179" t="s">
        <v>1943</v>
      </c>
      <c r="B8" s="648"/>
      <c r="C8" s="209"/>
      <c r="D8" s="209"/>
      <c r="E8" s="649"/>
      <c r="F8" s="209"/>
      <c r="G8" s="209"/>
      <c r="H8" s="209"/>
      <c r="I8" s="209"/>
      <c r="J8" s="209"/>
      <c r="K8" s="209"/>
      <c r="L8" s="209"/>
      <c r="M8" s="209"/>
      <c r="N8" s="209"/>
      <c r="O8" s="209"/>
      <c r="P8" s="209"/>
      <c r="Q8" s="209"/>
      <c r="R8" s="209"/>
      <c r="S8" s="209"/>
      <c r="T8" s="209"/>
      <c r="U8" s="209"/>
      <c r="V8" s="209"/>
      <c r="W8" s="209"/>
      <c r="X8" s="209"/>
      <c r="Y8" s="209"/>
      <c r="Z8" s="209"/>
    </row>
    <row r="9" spans="1:32" ht="45" x14ac:dyDescent="0.25">
      <c r="A9" s="650" t="s">
        <v>15</v>
      </c>
      <c r="B9" s="651" t="s">
        <v>14</v>
      </c>
      <c r="C9" s="651" t="s">
        <v>914</v>
      </c>
      <c r="D9" s="651" t="s">
        <v>13</v>
      </c>
      <c r="E9" s="651" t="s">
        <v>12</v>
      </c>
      <c r="F9" s="651" t="s">
        <v>1200</v>
      </c>
      <c r="G9" s="651"/>
      <c r="H9" s="652" t="s">
        <v>767</v>
      </c>
      <c r="I9" s="652" t="s">
        <v>6</v>
      </c>
      <c r="J9" s="652" t="s">
        <v>8</v>
      </c>
      <c r="K9" s="652" t="s">
        <v>11</v>
      </c>
      <c r="L9" s="652" t="s">
        <v>769</v>
      </c>
      <c r="M9" s="652" t="s">
        <v>7</v>
      </c>
      <c r="N9" s="652" t="s">
        <v>10</v>
      </c>
      <c r="O9" s="652" t="s">
        <v>9</v>
      </c>
      <c r="P9" s="771" t="s">
        <v>1178</v>
      </c>
      <c r="Q9" s="209"/>
      <c r="R9" s="709" t="s">
        <v>1108</v>
      </c>
      <c r="S9" s="209"/>
      <c r="T9" s="209"/>
      <c r="U9" s="209"/>
      <c r="V9" s="209"/>
      <c r="W9" s="209"/>
      <c r="X9" s="218"/>
      <c r="Y9" s="209"/>
      <c r="Z9" s="209"/>
      <c r="AF9" t="s">
        <v>1136</v>
      </c>
    </row>
    <row r="10" spans="1:32" ht="18" customHeight="1" x14ac:dyDescent="0.25">
      <c r="A10" s="653" t="s">
        <v>1954</v>
      </c>
      <c r="B10" s="865" t="s">
        <v>1953</v>
      </c>
      <c r="C10" s="718">
        <f>'Fertilizer Rate'!AO14/'Fertilizer Rate'!AO7</f>
        <v>0.88927615445900521</v>
      </c>
      <c r="D10" s="613">
        <v>0.8</v>
      </c>
      <c r="E10" s="717">
        <f t="shared" ref="E10:E16" si="0">D10*C10</f>
        <v>0.71142092356720421</v>
      </c>
      <c r="F10" s="878">
        <f>E10*watershed_acre*1000</f>
        <v>13977.476858657075</v>
      </c>
      <c r="G10" s="687" t="str">
        <f t="array" ref="G10:Q19">TRANSPOSE(D235:M245)</f>
        <v>Target P rate</v>
      </c>
      <c r="H10" s="688">
        <v>393.04824461863535</v>
      </c>
      <c r="I10" s="689">
        <v>5.5828041027335344E-2</v>
      </c>
      <c r="J10" s="690">
        <v>-169136.67956544325</v>
      </c>
      <c r="K10" s="691">
        <v>-12.100658886849592</v>
      </c>
      <c r="L10" s="692">
        <v>2.8120114137423696E-2</v>
      </c>
      <c r="M10" s="691">
        <v>-8.6086619210542334</v>
      </c>
      <c r="N10" s="691">
        <v>-430.3204043807707</v>
      </c>
      <c r="O10" s="689">
        <v>0.71142092356720421</v>
      </c>
      <c r="P10" s="774">
        <v>0</v>
      </c>
      <c r="Q10" s="775">
        <v>0</v>
      </c>
      <c r="R10" s="209"/>
      <c r="S10" s="209"/>
      <c r="T10" s="209"/>
      <c r="U10" s="209"/>
      <c r="V10" s="209"/>
      <c r="W10" s="209"/>
      <c r="X10" s="209"/>
      <c r="Y10" s="209"/>
      <c r="Z10" s="209"/>
      <c r="AF10" s="520">
        <v>0.8</v>
      </c>
    </row>
    <row r="11" spans="1:32" x14ac:dyDescent="0.25">
      <c r="A11" s="654" t="s">
        <v>1127</v>
      </c>
      <c r="B11" s="718">
        <f>(SUMPRODUCT(Watersheds!B24:AN24,Watersheds!B5:AN5,'Fertilizer Method'!C11:AO11)+SUMPRODUCT(Watersheds!B16:AN16,Watersheds!B5:AN5,'Fertilizer Method'!C19:AO19))/(watershed_acre*1000000)-C11</f>
        <v>0.23749795257585843</v>
      </c>
      <c r="C11" s="717">
        <f>(SUMPRODUCT(Watersheds!B24:AN24,Watersheds!B5:AN5,'Fertilizer Method'!C8:AO8)+SUMPRODUCT(Watersheds!B16:AN16,Watersheds!B5:AN5,'Fertilizer Method'!C16:AO16))/(watershed_acre*1000000)</f>
        <v>7.6966390936586568E-2</v>
      </c>
      <c r="D11" s="613">
        <v>0.5</v>
      </c>
      <c r="E11" s="717">
        <f t="shared" si="0"/>
        <v>3.8483195468293284E-2</v>
      </c>
      <c r="F11" s="878">
        <f>E11*watershed_acre*1000</f>
        <v>756.0896176740489</v>
      </c>
      <c r="G11" s="687" t="str">
        <v>Fall corn fert to preplant/starter</v>
      </c>
      <c r="H11" s="688">
        <v>19.572719019507922</v>
      </c>
      <c r="I11" s="689">
        <v>2.7800825354094131E-3</v>
      </c>
      <c r="J11" s="690">
        <v>29590.353116338487</v>
      </c>
      <c r="K11" s="691">
        <v>39.136039464960518</v>
      </c>
      <c r="L11" s="692">
        <v>2.5886771305919112E-2</v>
      </c>
      <c r="M11" s="691">
        <v>1.5060798565849156</v>
      </c>
      <c r="N11" s="691">
        <v>1511.8161706018514</v>
      </c>
      <c r="O11" s="689">
        <v>3.8483195468293284E-2</v>
      </c>
      <c r="P11" s="774">
        <v>0</v>
      </c>
      <c r="Q11" s="775">
        <v>0</v>
      </c>
      <c r="R11" s="707"/>
      <c r="S11" s="705" t="s">
        <v>1105</v>
      </c>
      <c r="T11" s="209"/>
      <c r="U11" s="209"/>
      <c r="V11" s="209"/>
      <c r="W11" s="209"/>
      <c r="X11" s="209"/>
      <c r="Y11" s="209"/>
      <c r="Z11" s="209"/>
      <c r="AF11" s="520">
        <v>0.5</v>
      </c>
    </row>
    <row r="12" spans="1:32" x14ac:dyDescent="0.25">
      <c r="A12" s="653" t="s">
        <v>1302</v>
      </c>
      <c r="B12" s="719">
        <f>SUMPRODUCT(Erosion!C15:AO15,Erosion!C13:AO13)/Watersheds!AP4</f>
        <v>0.18498009611908611</v>
      </c>
      <c r="C12" s="717">
        <f>Erosion!AP56/Watersheds!AP4</f>
        <v>0.31829260299382689</v>
      </c>
      <c r="D12" s="613">
        <v>0.4</v>
      </c>
      <c r="E12" s="717">
        <f t="shared" si="0"/>
        <v>0.12731704119753076</v>
      </c>
      <c r="F12" s="878">
        <f>E12*Watersheds!AP4/1000</f>
        <v>2501.4319063432335</v>
      </c>
      <c r="G12" s="699" t="str">
        <v>Use reduced tillage</v>
      </c>
      <c r="H12" s="700">
        <v>211.34726245158657</v>
      </c>
      <c r="I12" s="701">
        <v>3.0019479289649428E-2</v>
      </c>
      <c r="J12" s="702">
        <v>-37462.574661362574</v>
      </c>
      <c r="K12" s="703">
        <v>-14.976451913947145</v>
      </c>
      <c r="L12" s="704">
        <v>8.4490511980615399E-2</v>
      </c>
      <c r="M12" s="703">
        <v>-1.9067575453208467</v>
      </c>
      <c r="N12" s="703">
        <v>-177.25602038466971</v>
      </c>
      <c r="O12" s="701">
        <v>0.12731704119753073</v>
      </c>
      <c r="P12" s="774">
        <v>0</v>
      </c>
      <c r="Q12" s="775">
        <v>0</v>
      </c>
      <c r="R12" s="209"/>
      <c r="S12" s="209"/>
      <c r="T12" s="209"/>
      <c r="U12" s="209"/>
      <c r="V12" s="209"/>
      <c r="W12" s="209"/>
      <c r="X12" s="209"/>
      <c r="Y12" s="209"/>
      <c r="Z12" s="209"/>
      <c r="AF12" s="520">
        <v>0.4</v>
      </c>
    </row>
    <row r="13" spans="1:32" ht="15" customHeight="1" x14ac:dyDescent="0.25">
      <c r="A13" s="877" t="str">
        <f>Returns_Per_A!C85&amp;" ft buffers"&amp;IF(F282 = 1,", perm&amp;intermit streams, "," only on perm streams, ")&amp;Returns_Per_A!C86&amp;" ft treated"</f>
        <v>50 ft buffers, perm&amp;intermit streams, 100 ft treated</v>
      </c>
      <c r="B13" s="718">
        <f>Buffer!AP41*E67</f>
        <v>0.13936375201661269</v>
      </c>
      <c r="C13" s="718">
        <f>Buffer!AP56*E67</f>
        <v>3.2976908354419417E-2</v>
      </c>
      <c r="D13" s="613">
        <v>0.25</v>
      </c>
      <c r="E13" s="718">
        <f t="shared" si="0"/>
        <v>8.2442270886048542E-3</v>
      </c>
      <c r="F13" s="878">
        <f>E13*watershed_acre*1000</f>
        <v>161.97653109594356</v>
      </c>
      <c r="G13" s="699" t="str">
        <v>Riparian buffers</v>
      </c>
      <c r="H13" s="700">
        <v>219.15047765781773</v>
      </c>
      <c r="I13" s="701">
        <v>3.1127837422889E-2</v>
      </c>
      <c r="J13" s="702">
        <v>10273.717340928033</v>
      </c>
      <c r="K13" s="703">
        <v>63.427196961284487</v>
      </c>
      <c r="L13" s="704">
        <v>1.35297673172176</v>
      </c>
      <c r="M13" s="703">
        <v>0.52290821534249698</v>
      </c>
      <c r="N13" s="703">
        <v>46.879739668965946</v>
      </c>
      <c r="O13" s="701">
        <v>8.2442270886048542E-3</v>
      </c>
      <c r="P13" s="774">
        <f ca="1"/>
        <v>79.597235246149765</v>
      </c>
      <c r="Q13" s="775">
        <f ca="1"/>
        <v>4.0513133511030901E-3</v>
      </c>
      <c r="R13" s="209"/>
      <c r="S13" s="209"/>
      <c r="T13" s="209"/>
      <c r="U13" s="209"/>
      <c r="V13" s="209"/>
      <c r="W13" s="209"/>
      <c r="X13" s="209"/>
      <c r="Y13" s="209"/>
      <c r="Z13" s="209"/>
      <c r="AF13" s="520">
        <v>0.25</v>
      </c>
    </row>
    <row r="14" spans="1:32" x14ac:dyDescent="0.25">
      <c r="A14" s="655" t="s">
        <v>1206</v>
      </c>
      <c r="B14" s="718">
        <f>Erosion!AQ71</f>
        <v>0</v>
      </c>
      <c r="C14" s="718">
        <f>Watersheds!AP29/(watershed_acre*1000000)</f>
        <v>8.3590842255290704E-2</v>
      </c>
      <c r="D14" s="613">
        <v>0.3</v>
      </c>
      <c r="E14" s="718">
        <f t="shared" si="0"/>
        <v>2.5077252676587211E-2</v>
      </c>
      <c r="F14" s="878">
        <f>E14*watershed_acre*1000</f>
        <v>492.69947980744547</v>
      </c>
      <c r="G14" s="699" t="str">
        <v>Perennial crop % of marginal corn&amp;soy</v>
      </c>
      <c r="H14" s="700">
        <v>87.200974539367635</v>
      </c>
      <c r="I14" s="701">
        <v>1.2385908475258526E-2</v>
      </c>
      <c r="J14" s="702">
        <v>9933.7993208124808</v>
      </c>
      <c r="K14" s="703">
        <v>20.161984592909988</v>
      </c>
      <c r="L14" s="704">
        <v>0.17698613072099673</v>
      </c>
      <c r="M14" s="703">
        <v>0.50560718209786204</v>
      </c>
      <c r="N14" s="703">
        <v>113.91844383949839</v>
      </c>
      <c r="O14" s="701">
        <v>2.5077252676587211E-2</v>
      </c>
      <c r="P14" s="774">
        <v>0</v>
      </c>
      <c r="Q14" s="775">
        <v>0</v>
      </c>
      <c r="R14" s="209"/>
      <c r="S14" s="209"/>
      <c r="T14" s="209"/>
      <c r="U14" s="209"/>
      <c r="V14" s="209"/>
      <c r="W14" s="209"/>
      <c r="X14" s="209"/>
      <c r="Y14" s="209"/>
      <c r="Z14" s="209"/>
      <c r="AF14" s="520">
        <v>0.3</v>
      </c>
    </row>
    <row r="15" spans="1:32" x14ac:dyDescent="0.25">
      <c r="A15" s="656" t="str">
        <f>Covercrop!A65</f>
        <v>Corn grain &amp; soybean acres w/cereal rye cover crop</v>
      </c>
      <c r="B15" s="718">
        <v>0</v>
      </c>
      <c r="C15" s="718">
        <f>Watersheds!AP33/(watershed_acre*1000000)</f>
        <v>0.74797971899493798</v>
      </c>
      <c r="D15" s="613">
        <v>0.1</v>
      </c>
      <c r="E15" s="718">
        <f t="shared" si="0"/>
        <v>7.4797971899493804E-2</v>
      </c>
      <c r="F15" s="878">
        <f>E15*watershed_acre*1000</f>
        <v>1469.5757274854668</v>
      </c>
      <c r="G15" s="699" t="str">
        <v>Cover crop on corn&amp;soy</v>
      </c>
      <c r="H15" s="700">
        <v>33.843947357240026</v>
      </c>
      <c r="I15" s="701">
        <v>4.8071485051924103E-3</v>
      </c>
      <c r="J15" s="702">
        <v>97601.871940947269</v>
      </c>
      <c r="K15" s="703">
        <v>66.414999999999992</v>
      </c>
      <c r="L15" s="704">
        <v>2.3029740301405952E-2</v>
      </c>
      <c r="M15" s="703">
        <v>4.9677073037048807</v>
      </c>
      <c r="N15" s="703">
        <v>2883.8796760528558</v>
      </c>
      <c r="O15" s="701">
        <v>7.4797971899493804E-2</v>
      </c>
      <c r="P15" s="774">
        <v>0</v>
      </c>
      <c r="Q15" s="775">
        <v>0</v>
      </c>
      <c r="R15" s="706"/>
      <c r="S15" s="705" t="s">
        <v>1106</v>
      </c>
      <c r="T15" s="209"/>
      <c r="U15" s="209"/>
      <c r="V15" s="209"/>
      <c r="W15" s="209"/>
      <c r="X15" s="209"/>
      <c r="Y15" s="209"/>
      <c r="Z15" s="209"/>
      <c r="AF15" s="520">
        <v>0.1</v>
      </c>
    </row>
    <row r="16" spans="1:32" x14ac:dyDescent="0.25">
      <c r="A16" s="629" t="s">
        <v>1095</v>
      </c>
      <c r="B16" s="718">
        <v>0</v>
      </c>
      <c r="C16" s="718">
        <f>(Watersheds!AP34+Watersheds!AP35)/(watershed_acre*1000000)</f>
        <v>0.14129643546406728</v>
      </c>
      <c r="D16" s="613">
        <v>0.5</v>
      </c>
      <c r="E16" s="718">
        <f t="shared" si="0"/>
        <v>7.0648217732033641E-2</v>
      </c>
      <c r="F16" s="878">
        <f>E16*watershed_acre*1000</f>
        <v>1388.0443992333385</v>
      </c>
      <c r="G16" s="699" t="str">
        <v>Cover crop on short season cr</v>
      </c>
      <c r="H16" s="700">
        <v>96.949765774892768</v>
      </c>
      <c r="I16" s="701">
        <v>1.3770613596106736E-2</v>
      </c>
      <c r="J16" s="702">
        <v>91617.870571396474</v>
      </c>
      <c r="K16" s="703">
        <v>66.004999999999981</v>
      </c>
      <c r="L16" s="704">
        <v>6.9846300182069998E-2</v>
      </c>
      <c r="M16" s="703">
        <v>4.6631356114028799</v>
      </c>
      <c r="N16" s="703">
        <v>945.0035267142739</v>
      </c>
      <c r="O16" s="701">
        <v>7.0648217732033641E-2</v>
      </c>
      <c r="P16" s="774">
        <v>0</v>
      </c>
      <c r="Q16" s="775">
        <v>0</v>
      </c>
      <c r="R16" s="209"/>
      <c r="S16" s="209"/>
      <c r="T16" s="209"/>
      <c r="U16" s="209"/>
      <c r="V16" s="209"/>
      <c r="W16" s="209"/>
      <c r="X16" s="209"/>
      <c r="Y16" s="209"/>
      <c r="Z16" s="209"/>
      <c r="AF16" s="520">
        <v>0.5</v>
      </c>
    </row>
    <row r="17" spans="1:32" x14ac:dyDescent="0.25">
      <c r="A17" s="654" t="s">
        <v>1018</v>
      </c>
      <c r="B17" s="718">
        <v>0</v>
      </c>
      <c r="C17" s="718">
        <f>SUMPRODUCT(C_Drain!B10:AN10,C_Drain!B12:AN12)/Watersheds!AP4</f>
        <v>0.10155530154737369</v>
      </c>
      <c r="D17" s="613">
        <v>0.2</v>
      </c>
      <c r="E17" s="718">
        <f>C17*D17</f>
        <v>2.031106030947474E-2</v>
      </c>
      <c r="F17" s="878">
        <f>E17*Watersheds!$AP$4/1000</f>
        <v>399.05682563700009</v>
      </c>
      <c r="G17" s="693" t="str">
        <v>Control Drainage</v>
      </c>
      <c r="H17" s="694">
        <v>64.147267512587149</v>
      </c>
      <c r="I17" s="695">
        <v>9.1113911116914754E-3</v>
      </c>
      <c r="J17" s="696">
        <v>4136.5605222073382</v>
      </c>
      <c r="K17" s="697">
        <v>10.365843299646096</v>
      </c>
      <c r="L17" s="698">
        <v>0.1607472003772675</v>
      </c>
      <c r="M17" s="697">
        <v>0.21054126841767648</v>
      </c>
      <c r="N17" s="697">
        <v>64.485373775206412</v>
      </c>
      <c r="O17" s="695">
        <v>2.031106030947474E-2</v>
      </c>
      <c r="P17" s="774">
        <v>0</v>
      </c>
      <c r="Q17" s="775">
        <v>0</v>
      </c>
      <c r="R17" s="209"/>
      <c r="S17" s="209"/>
      <c r="T17" s="209"/>
      <c r="U17" s="209"/>
      <c r="V17" s="209"/>
      <c r="W17" s="209"/>
      <c r="X17" s="209"/>
      <c r="Y17" s="209"/>
      <c r="Z17" s="209"/>
      <c r="AF17" s="520">
        <v>0.2</v>
      </c>
    </row>
    <row r="18" spans="1:32" x14ac:dyDescent="0.25">
      <c r="A18" s="654" t="s">
        <v>2</v>
      </c>
      <c r="B18" s="718">
        <f>MIN(Inlets!AO14/Inlets!AO6,1)</f>
        <v>1.7340598816305192E-2</v>
      </c>
      <c r="C18" s="717">
        <f>MIN(Inlets!AO15/Inlets!AO6,1)</f>
        <v>5.2021796448915567E-2</v>
      </c>
      <c r="D18" s="613">
        <v>0.8</v>
      </c>
      <c r="E18" s="718">
        <f>C18*D18</f>
        <v>4.1617437159132457E-2</v>
      </c>
      <c r="F18" s="878">
        <f ca="1">Inlets!AO33/1000</f>
        <v>2247.2599936141305</v>
      </c>
      <c r="G18" s="693" t="str">
        <v>Alternative tile intakes</v>
      </c>
      <c r="H18" s="694">
        <v>276.49872668782911</v>
      </c>
      <c r="I18" s="695">
        <v>3.9273505145689259E-2</v>
      </c>
      <c r="J18" s="696">
        <v>1567.4479707620578</v>
      </c>
      <c r="K18" s="697">
        <f ca="1"/>
        <v>0.69749293593805639</v>
      </c>
      <c r="L18" s="698">
        <f ca="1"/>
        <v>0.1230381564543198</v>
      </c>
      <c r="M18" s="697">
        <v>7.9779440472650592E-2</v>
      </c>
      <c r="N18" s="697">
        <f ca="1"/>
        <v>5.6689156928079756</v>
      </c>
      <c r="O18" s="695">
        <f ca="1"/>
        <v>0.11438028453342747</v>
      </c>
      <c r="P18" s="774">
        <v>0</v>
      </c>
      <c r="Q18" s="775">
        <v>0</v>
      </c>
      <c r="R18" s="209"/>
      <c r="S18" s="209"/>
      <c r="T18" s="209"/>
      <c r="U18" s="209"/>
      <c r="V18" s="209"/>
      <c r="W18" s="209"/>
      <c r="X18" s="209"/>
      <c r="Y18" s="209"/>
      <c r="Z18" s="209"/>
      <c r="AF18" s="520">
        <v>0.8</v>
      </c>
    </row>
    <row r="19" spans="1:32" x14ac:dyDescent="0.25">
      <c r="A19" s="654" t="s">
        <v>766</v>
      </c>
      <c r="B19" s="718">
        <f>(SUMPRODUCT('Manure Method'!D14:AP14,'Manure Method'!D10:AP10,'Manure Rate'!B9:AN9)+SUMPRODUCT('Manure Method'!D23:AP23,'Manure Method'!D11:AP11,'Manure Rate'!B9:AN9))/(watershed_acre*1000000)*'Manure Rate'!AO12</f>
        <v>6.5456139451273682E-2</v>
      </c>
      <c r="C19" s="717">
        <f>((SUMPRODUCT('Manure Method'!D19:AP19,'Manure Method'!D10:AP10,'Manure Rate'!B9:AN9)+SUMPRODUCT('Manure Method'!D27:AP27,'Manure Method'!D11:AP11,'Manure Rate'!B9:AN9))/(watershed_acre*1000000))*'Manure Rate'!AO12</f>
        <v>4.8204040714286446E-2</v>
      </c>
      <c r="D19" s="613">
        <v>0.5</v>
      </c>
      <c r="E19" s="717">
        <f>D19*C19</f>
        <v>2.4102020357143223E-2</v>
      </c>
      <c r="F19" s="878">
        <f>E19*watershed_acre*1000</f>
        <v>473.53883000747498</v>
      </c>
      <c r="G19" s="687" t="str">
        <v>Inject or incorp manure</v>
      </c>
      <c r="H19" s="688">
        <v>84.752706653247458</v>
      </c>
      <c r="I19" s="689">
        <v>1.2038159816248881E-2</v>
      </c>
      <c r="J19" s="690">
        <v>7101.5360601177817</v>
      </c>
      <c r="K19" s="691">
        <v>14.996734396640042</v>
      </c>
      <c r="L19" s="692">
        <v>0.17897731143169315</v>
      </c>
      <c r="M19" s="691">
        <v>0.36145159771848834</v>
      </c>
      <c r="N19" s="691">
        <v>83.791259778553325</v>
      </c>
      <c r="O19" s="689">
        <v>2.4102020357143223E-2</v>
      </c>
      <c r="P19" s="774">
        <v>0</v>
      </c>
      <c r="Q19" s="775">
        <v>0</v>
      </c>
      <c r="R19" s="708"/>
      <c r="S19" s="705" t="s">
        <v>1107</v>
      </c>
      <c r="T19" s="209"/>
      <c r="U19" s="209"/>
      <c r="V19" s="209"/>
      <c r="W19" s="209"/>
      <c r="X19" s="209"/>
      <c r="Y19" s="209"/>
      <c r="Z19" s="209"/>
      <c r="AF19" s="520">
        <v>0.5</v>
      </c>
    </row>
    <row r="20" spans="1:32" x14ac:dyDescent="0.25">
      <c r="A20" s="657" t="s">
        <v>1</v>
      </c>
      <c r="B20" s="209"/>
      <c r="C20" s="209"/>
      <c r="D20" s="545"/>
      <c r="E20" s="209"/>
      <c r="F20" s="209"/>
      <c r="G20" s="209"/>
      <c r="H20" s="658">
        <f>N173*1000</f>
        <v>1425.3092861433065</v>
      </c>
      <c r="I20" s="659">
        <f>H20*1000/'P Export'!$AO$21</f>
        <v>0.2024490031259584</v>
      </c>
      <c r="J20" s="660">
        <f>N175*1000</f>
        <v>47960.951479284544</v>
      </c>
      <c r="K20" s="209"/>
      <c r="L20" s="209"/>
      <c r="M20" s="209"/>
      <c r="N20" s="661"/>
      <c r="O20" s="209"/>
      <c r="P20" s="209"/>
      <c r="Q20" s="209"/>
      <c r="R20" s="209"/>
      <c r="S20" s="209"/>
      <c r="T20" s="209"/>
      <c r="U20" s="209"/>
      <c r="V20" s="209"/>
      <c r="W20" s="209"/>
      <c r="X20" s="209"/>
      <c r="Y20" s="209"/>
      <c r="Z20" s="209"/>
    </row>
    <row r="21" spans="1:32" x14ac:dyDescent="0.25">
      <c r="A21" s="657" t="s">
        <v>891</v>
      </c>
      <c r="B21" s="648">
        <v>1</v>
      </c>
      <c r="C21" s="209"/>
      <c r="D21" s="545"/>
      <c r="E21" s="209"/>
      <c r="F21" s="209"/>
      <c r="G21" s="658"/>
      <c r="H21" s="659"/>
      <c r="I21" s="660"/>
      <c r="J21" s="547" t="s">
        <v>896</v>
      </c>
      <c r="K21" s="209"/>
      <c r="L21" s="209"/>
      <c r="M21" s="661"/>
      <c r="N21" s="209"/>
      <c r="O21" s="209"/>
      <c r="P21" s="209"/>
      <c r="Q21" s="209"/>
      <c r="R21" s="209"/>
      <c r="S21" s="209"/>
      <c r="T21" s="209"/>
      <c r="U21" s="209"/>
      <c r="V21" s="209"/>
      <c r="W21" s="209"/>
      <c r="X21" s="209"/>
      <c r="Y21" s="209"/>
      <c r="Z21" s="209"/>
    </row>
    <row r="22" spans="1:32" x14ac:dyDescent="0.25">
      <c r="A22" s="544"/>
      <c r="B22" s="209"/>
      <c r="C22" s="209"/>
      <c r="D22" s="545"/>
      <c r="E22" s="209"/>
      <c r="F22" s="209"/>
      <c r="G22" s="658"/>
      <c r="H22" s="659"/>
      <c r="I22" s="660"/>
      <c r="J22" s="209"/>
      <c r="K22" s="209"/>
      <c r="L22" s="209"/>
      <c r="M22" s="661"/>
      <c r="N22" s="209"/>
      <c r="O22" s="209"/>
      <c r="P22" s="209"/>
      <c r="Q22" s="209"/>
      <c r="R22" s="209"/>
      <c r="S22" s="209"/>
      <c r="T22" s="209"/>
      <c r="U22" s="209"/>
      <c r="V22" s="209"/>
      <c r="W22" s="209"/>
      <c r="X22" s="209"/>
      <c r="Y22" s="209"/>
      <c r="Z22" s="209"/>
    </row>
    <row r="23" spans="1:32" x14ac:dyDescent="0.25">
      <c r="A23" s="43"/>
      <c r="B23" s="546" t="s">
        <v>1199</v>
      </c>
      <c r="C23" s="548">
        <f>I20</f>
        <v>0.2024490031259584</v>
      </c>
      <c r="D23" s="543"/>
      <c r="E23" s="209"/>
      <c r="F23" s="209"/>
      <c r="G23" s="658"/>
      <c r="H23" s="659"/>
      <c r="I23" s="660"/>
      <c r="J23" s="209"/>
      <c r="K23" s="209"/>
      <c r="L23" s="209"/>
      <c r="M23" s="661"/>
      <c r="N23" s="209"/>
      <c r="O23" s="209"/>
      <c r="P23" s="209"/>
      <c r="Q23" s="209"/>
      <c r="R23" s="209"/>
      <c r="S23" s="209"/>
      <c r="T23" s="209"/>
      <c r="U23" s="209"/>
      <c r="V23" s="209"/>
      <c r="W23" s="209"/>
      <c r="X23" s="209"/>
      <c r="Y23" s="209"/>
      <c r="Z23" s="209"/>
    </row>
    <row r="24" spans="1:32" x14ac:dyDescent="0.25">
      <c r="A24" s="544"/>
      <c r="B24" s="547" t="s">
        <v>1966</v>
      </c>
      <c r="C24" s="549">
        <f ca="1">C27-C25-C26</f>
        <v>259.28491360676696</v>
      </c>
      <c r="D24" s="545" t="s">
        <v>917</v>
      </c>
      <c r="E24" s="209"/>
      <c r="F24" s="209"/>
      <c r="G24" s="665"/>
      <c r="H24" s="659"/>
      <c r="I24" s="660"/>
      <c r="J24" s="209"/>
      <c r="K24" s="209"/>
      <c r="L24" s="209"/>
      <c r="M24" s="661"/>
      <c r="N24" s="209"/>
      <c r="O24" s="209"/>
      <c r="P24" s="209"/>
      <c r="Q24" s="209"/>
      <c r="R24" s="209"/>
      <c r="S24" s="209"/>
      <c r="T24" s="209"/>
      <c r="U24" s="209"/>
      <c r="V24" s="209"/>
      <c r="W24" s="209"/>
      <c r="X24" s="209"/>
      <c r="Y24" s="209"/>
      <c r="Z24" s="209"/>
    </row>
    <row r="25" spans="1:32" x14ac:dyDescent="0.25">
      <c r="A25" s="544"/>
      <c r="B25" s="547" t="s">
        <v>1267</v>
      </c>
      <c r="C25" s="897">
        <f ca="1">J10/1000-'Manure Method'!AS85/1000000</f>
        <v>-176.59843632870025</v>
      </c>
      <c r="D25" s="545"/>
      <c r="E25" s="209"/>
      <c r="F25" s="209"/>
      <c r="G25" s="658"/>
      <c r="H25" s="659"/>
      <c r="I25" s="660"/>
      <c r="J25" s="209"/>
      <c r="K25" s="209"/>
      <c r="L25" s="209"/>
      <c r="M25" s="661"/>
      <c r="N25" s="209"/>
      <c r="O25" s="209"/>
      <c r="P25" s="209"/>
      <c r="Q25" s="209"/>
      <c r="R25" s="209"/>
      <c r="S25" s="209"/>
      <c r="T25" s="209"/>
      <c r="U25" s="209"/>
      <c r="V25" s="209"/>
      <c r="W25" s="209"/>
      <c r="X25" s="209"/>
      <c r="Y25" s="209"/>
      <c r="Z25" s="209"/>
    </row>
    <row r="26" spans="1:32" ht="17.25" x14ac:dyDescent="0.4">
      <c r="A26" s="544"/>
      <c r="B26" s="547" t="s">
        <v>1967</v>
      </c>
      <c r="C26" s="550">
        <f ca="1">Erosion!AP142/1000000</f>
        <v>-34.725525798782172</v>
      </c>
      <c r="D26" s="545"/>
      <c r="E26" s="209"/>
      <c r="F26" s="209"/>
      <c r="G26" s="658"/>
      <c r="H26" s="659"/>
      <c r="I26" s="660"/>
      <c r="J26" s="209"/>
      <c r="K26" s="209"/>
      <c r="L26" s="209"/>
      <c r="M26" s="661"/>
      <c r="N26" s="209"/>
      <c r="O26" s="209"/>
      <c r="P26" s="209"/>
      <c r="Q26" s="209"/>
      <c r="R26" s="209"/>
      <c r="S26" s="209"/>
      <c r="T26" s="209"/>
      <c r="U26" s="209"/>
      <c r="V26" s="209"/>
      <c r="W26" s="209"/>
      <c r="X26" s="209"/>
      <c r="Y26" s="209"/>
      <c r="Z26" s="209"/>
    </row>
    <row r="27" spans="1:32" x14ac:dyDescent="0.25">
      <c r="A27" s="544"/>
      <c r="B27" s="547" t="s">
        <v>916</v>
      </c>
      <c r="C27" s="549">
        <f>J20/1000</f>
        <v>47.960951479284546</v>
      </c>
      <c r="D27" s="545" t="s">
        <v>917</v>
      </c>
      <c r="E27" s="209"/>
      <c r="F27" s="209"/>
      <c r="G27" s="658"/>
      <c r="H27" s="659"/>
      <c r="I27" s="660"/>
      <c r="J27" s="209"/>
      <c r="K27" s="209"/>
      <c r="L27" s="209"/>
      <c r="M27" s="661"/>
      <c r="N27" s="209"/>
      <c r="O27" s="209"/>
      <c r="P27" s="209"/>
      <c r="Q27" s="209"/>
      <c r="R27" s="209"/>
      <c r="S27" s="209"/>
      <c r="T27" s="209"/>
      <c r="U27" s="209"/>
      <c r="V27" s="209"/>
      <c r="W27" s="209"/>
      <c r="X27" s="209"/>
      <c r="Y27" s="209"/>
      <c r="Z27" s="209"/>
    </row>
    <row r="28" spans="1:32" x14ac:dyDescent="0.25">
      <c r="A28" s="544"/>
      <c r="B28" s="209"/>
      <c r="C28" s="209"/>
      <c r="D28" s="545"/>
      <c r="E28" s="209"/>
      <c r="F28" s="209"/>
      <c r="G28" s="658"/>
      <c r="H28" s="659"/>
      <c r="I28" s="660"/>
      <c r="J28" s="209"/>
      <c r="K28" s="209"/>
      <c r="L28" s="209"/>
      <c r="M28" s="661"/>
      <c r="N28" s="209"/>
      <c r="O28" s="209"/>
      <c r="P28" s="209"/>
      <c r="Q28" s="209"/>
      <c r="R28" s="209"/>
      <c r="S28" s="209"/>
      <c r="T28" s="209"/>
      <c r="U28" s="209"/>
      <c r="V28" s="209"/>
      <c r="W28" s="209"/>
      <c r="X28" s="209"/>
      <c r="Y28" s="209"/>
      <c r="Z28" s="209"/>
    </row>
    <row r="29" spans="1:32" x14ac:dyDescent="0.25">
      <c r="A29" s="196" t="s">
        <v>962</v>
      </c>
      <c r="B29" s="209"/>
      <c r="C29" s="209"/>
      <c r="D29" s="545"/>
      <c r="E29" s="209"/>
      <c r="F29" s="209" t="s">
        <v>1165</v>
      </c>
      <c r="G29" s="658"/>
      <c r="H29" s="659"/>
      <c r="I29" s="660"/>
      <c r="J29" s="209"/>
      <c r="K29" s="209"/>
      <c r="L29" s="209"/>
      <c r="M29" s="661"/>
      <c r="N29" s="209"/>
      <c r="O29" s="209"/>
      <c r="P29" s="209"/>
      <c r="Q29" s="209"/>
      <c r="R29" s="209"/>
      <c r="S29" s="209"/>
      <c r="T29" s="209"/>
      <c r="U29" s="209"/>
      <c r="V29" s="209"/>
      <c r="W29" s="209"/>
      <c r="X29" s="209"/>
      <c r="Y29" s="209"/>
      <c r="Z29" s="209"/>
    </row>
    <row r="30" spans="1:32" ht="23.25" customHeight="1" x14ac:dyDescent="0.25">
      <c r="A30" s="662"/>
      <c r="B30" s="209"/>
      <c r="C30" s="209"/>
      <c r="D30" s="545"/>
      <c r="E30" s="209"/>
      <c r="F30" s="209"/>
      <c r="G30" s="658"/>
      <c r="H30" s="659"/>
      <c r="I30" s="660"/>
      <c r="J30" s="209"/>
      <c r="K30" s="209"/>
      <c r="L30" s="209"/>
      <c r="M30" s="661"/>
      <c r="N30" s="209"/>
      <c r="O30" s="209"/>
      <c r="P30" s="209"/>
      <c r="Q30" s="209"/>
      <c r="R30" s="209"/>
      <c r="S30" s="209"/>
      <c r="T30" s="209"/>
      <c r="U30" s="209"/>
      <c r="V30" s="209"/>
      <c r="W30" s="209"/>
      <c r="X30" s="209"/>
      <c r="Y30" s="209"/>
      <c r="Z30" s="209"/>
    </row>
    <row r="31" spans="1:32" x14ac:dyDescent="0.25">
      <c r="A31" s="196" t="s">
        <v>1016</v>
      </c>
      <c r="B31" s="209"/>
      <c r="C31" s="209"/>
      <c r="D31" s="545"/>
      <c r="E31" s="209"/>
      <c r="F31" s="209"/>
      <c r="G31" s="658"/>
      <c r="H31" s="659"/>
      <c r="I31" s="660"/>
      <c r="J31" s="209"/>
      <c r="K31" s="209"/>
      <c r="L31" s="209"/>
      <c r="M31" s="661"/>
      <c r="N31" s="209"/>
      <c r="O31" s="209"/>
      <c r="P31" s="209"/>
      <c r="Q31" s="209"/>
      <c r="R31" s="209"/>
      <c r="S31" s="209"/>
      <c r="T31" s="209"/>
      <c r="U31" s="209"/>
      <c r="V31" s="209"/>
      <c r="W31" s="209"/>
      <c r="X31" s="209"/>
      <c r="Y31" s="209"/>
      <c r="Z31" s="209"/>
    </row>
    <row r="32" spans="1:32" ht="75.75" customHeight="1" x14ac:dyDescent="0.25">
      <c r="A32" s="544"/>
      <c r="B32" s="209"/>
      <c r="C32" s="209"/>
      <c r="D32" s="545"/>
      <c r="E32" s="209"/>
      <c r="F32" s="209"/>
      <c r="G32" s="209"/>
      <c r="H32" s="209"/>
      <c r="I32" s="209"/>
      <c r="J32" s="209"/>
      <c r="K32" s="209"/>
      <c r="L32" s="209"/>
      <c r="M32" s="209"/>
      <c r="N32" s="209"/>
      <c r="O32" s="209"/>
      <c r="P32" s="209"/>
      <c r="Q32" s="209"/>
      <c r="R32" s="209"/>
      <c r="S32" s="209"/>
      <c r="T32" s="209"/>
      <c r="U32" s="209"/>
      <c r="V32" s="209"/>
      <c r="W32" s="209"/>
      <c r="X32" s="209"/>
      <c r="Y32" s="209"/>
      <c r="Z32" s="209"/>
    </row>
    <row r="33" spans="1:26" ht="24.75" customHeight="1" x14ac:dyDescent="0.25">
      <c r="A33" s="544"/>
      <c r="B33" s="209"/>
      <c r="C33" s="209"/>
      <c r="D33" s="209"/>
      <c r="E33" s="663">
        <f>IF(comflag=1,1,IF(comflag = 2,E34,0))</f>
        <v>0</v>
      </c>
      <c r="F33" s="209" t="s">
        <v>0</v>
      </c>
      <c r="G33" s="209" t="s">
        <v>0</v>
      </c>
      <c r="H33" s="209"/>
      <c r="I33" s="209"/>
      <c r="J33" s="209"/>
      <c r="K33" s="209"/>
      <c r="L33" s="209"/>
      <c r="M33" s="209"/>
      <c r="N33" s="209"/>
      <c r="O33" s="209"/>
      <c r="P33" s="209"/>
      <c r="Q33" s="209"/>
      <c r="R33" s="209"/>
      <c r="S33" s="209"/>
      <c r="T33" s="209"/>
      <c r="U33" s="209"/>
      <c r="V33" s="209"/>
      <c r="W33" s="209"/>
      <c r="X33" s="209"/>
      <c r="Y33" s="209"/>
      <c r="Z33" s="209"/>
    </row>
    <row r="34" spans="1:26" x14ac:dyDescent="0.25">
      <c r="A34" s="209" t="s">
        <v>791</v>
      </c>
      <c r="B34" s="209"/>
      <c r="C34" s="209"/>
      <c r="D34" s="209"/>
      <c r="E34" s="664">
        <v>0.6</v>
      </c>
      <c r="F34" s="209"/>
      <c r="G34" s="209"/>
      <c r="H34" s="209"/>
      <c r="I34" s="209"/>
      <c r="J34" s="209"/>
      <c r="K34" s="209"/>
      <c r="L34" s="209"/>
      <c r="M34" s="209"/>
      <c r="N34" s="209"/>
      <c r="O34" s="209"/>
      <c r="P34" s="209"/>
      <c r="Q34" s="209"/>
      <c r="R34" s="209"/>
      <c r="S34" s="209"/>
      <c r="T34" s="209"/>
      <c r="U34" s="209"/>
      <c r="V34" s="209"/>
      <c r="W34" s="209"/>
      <c r="X34" s="209"/>
      <c r="Y34" s="209"/>
      <c r="Z34" s="209"/>
    </row>
    <row r="35" spans="1:26" x14ac:dyDescent="0.25">
      <c r="A35" s="209"/>
      <c r="B35" s="209"/>
      <c r="C35" s="209"/>
      <c r="D35" s="209"/>
      <c r="E35" s="209"/>
      <c r="F35" s="665"/>
      <c r="G35" s="209"/>
      <c r="H35" s="209"/>
      <c r="I35" s="209"/>
      <c r="J35" s="209"/>
      <c r="K35" s="209"/>
      <c r="L35" s="209"/>
      <c r="M35" s="209"/>
      <c r="N35" s="209"/>
      <c r="O35" s="209"/>
      <c r="P35" s="209"/>
      <c r="Q35" s="209"/>
      <c r="R35" s="209"/>
      <c r="S35" s="209"/>
      <c r="T35" s="209"/>
      <c r="U35" s="209"/>
      <c r="V35" s="209"/>
      <c r="W35" s="209"/>
      <c r="X35" s="209"/>
      <c r="Y35" s="209"/>
      <c r="Z35" s="209"/>
    </row>
    <row r="36" spans="1:26" x14ac:dyDescent="0.25">
      <c r="A36" s="209" t="s">
        <v>792</v>
      </c>
      <c r="B36" s="209"/>
      <c r="C36" s="209"/>
      <c r="D36" s="209"/>
      <c r="E36" s="209"/>
      <c r="F36" s="209"/>
      <c r="G36" s="209"/>
      <c r="H36" s="209"/>
      <c r="I36" s="209"/>
      <c r="J36" s="209"/>
      <c r="K36" s="209"/>
      <c r="L36" s="209"/>
      <c r="M36" s="209"/>
      <c r="N36" s="209"/>
      <c r="O36" s="209"/>
      <c r="P36" s="209"/>
      <c r="Q36" s="209"/>
      <c r="R36" s="209"/>
      <c r="S36" s="209"/>
      <c r="T36" s="209"/>
      <c r="U36" s="209"/>
      <c r="V36" s="209"/>
      <c r="W36" s="209"/>
      <c r="X36" s="209"/>
      <c r="Y36" s="209"/>
      <c r="Z36" s="209"/>
    </row>
    <row r="37" spans="1:26" x14ac:dyDescent="0.25">
      <c r="A37" s="666" t="s">
        <v>580</v>
      </c>
      <c r="B37" s="209"/>
      <c r="C37" s="615">
        <v>0.9</v>
      </c>
      <c r="D37" s="209"/>
      <c r="E37" s="209"/>
      <c r="F37" s="209"/>
      <c r="G37" s="209"/>
      <c r="H37" s="209"/>
      <c r="I37" s="209"/>
      <c r="J37" s="209"/>
      <c r="K37" s="209"/>
      <c r="L37" s="209"/>
      <c r="M37" s="209"/>
      <c r="N37" s="209"/>
      <c r="O37" s="209"/>
      <c r="P37" s="209"/>
      <c r="Q37" s="209"/>
      <c r="R37" s="209"/>
      <c r="S37" s="209"/>
      <c r="T37" s="209"/>
      <c r="U37" s="209"/>
      <c r="V37" s="209"/>
      <c r="W37" s="209"/>
      <c r="X37" s="209"/>
      <c r="Y37" s="209"/>
      <c r="Z37" s="209"/>
    </row>
    <row r="38" spans="1:26" x14ac:dyDescent="0.25">
      <c r="A38" s="666" t="s">
        <v>579</v>
      </c>
      <c r="B38" s="209"/>
      <c r="C38" s="667">
        <f>1-C37</f>
        <v>9.9999999999999978E-2</v>
      </c>
      <c r="D38" s="209"/>
      <c r="E38" s="209"/>
      <c r="F38" s="209"/>
      <c r="G38" s="209"/>
      <c r="H38" s="209"/>
      <c r="I38" s="209"/>
      <c r="J38" s="209"/>
      <c r="K38" s="209"/>
      <c r="L38" s="209"/>
      <c r="M38" s="209"/>
      <c r="N38" s="209"/>
      <c r="O38" s="209"/>
      <c r="P38" s="209"/>
      <c r="Q38" s="209"/>
      <c r="R38" s="209"/>
      <c r="S38" s="209"/>
      <c r="T38" s="209"/>
      <c r="U38" s="209"/>
      <c r="V38" s="209"/>
      <c r="W38" s="209"/>
      <c r="X38" s="209"/>
      <c r="Y38" s="209"/>
      <c r="Z38" s="209"/>
    </row>
    <row r="39" spans="1:26" x14ac:dyDescent="0.25">
      <c r="A39" s="551"/>
      <c r="B39" s="209"/>
      <c r="C39" s="209"/>
      <c r="D39" s="209"/>
      <c r="E39" s="209"/>
      <c r="F39" s="209"/>
      <c r="G39" s="209"/>
      <c r="H39" s="209"/>
      <c r="I39" s="209"/>
      <c r="J39" s="209"/>
      <c r="K39" s="209"/>
      <c r="L39" s="209"/>
      <c r="M39" s="209"/>
      <c r="N39" s="209"/>
      <c r="O39" s="209"/>
      <c r="P39" s="209"/>
      <c r="Q39" s="209"/>
      <c r="R39" s="209"/>
      <c r="S39" s="209"/>
      <c r="T39" s="209"/>
      <c r="U39" s="209"/>
      <c r="V39" s="209"/>
      <c r="W39" s="209"/>
      <c r="X39" s="209"/>
      <c r="Y39" s="209"/>
      <c r="Z39" s="209"/>
    </row>
    <row r="40" spans="1:26" x14ac:dyDescent="0.25">
      <c r="A40" s="668" t="s">
        <v>833</v>
      </c>
      <c r="B40" s="209"/>
      <c r="C40" s="482">
        <v>0</v>
      </c>
      <c r="D40" s="209"/>
      <c r="E40" s="209"/>
      <c r="F40" s="209"/>
      <c r="G40" s="209"/>
      <c r="H40" s="209"/>
      <c r="I40" s="209"/>
      <c r="J40" s="209"/>
      <c r="K40" s="209"/>
      <c r="L40" s="209"/>
      <c r="M40" s="209"/>
      <c r="N40" s="209"/>
      <c r="O40" s="209"/>
      <c r="P40" s="209"/>
      <c r="Q40" s="209"/>
      <c r="R40" s="209"/>
      <c r="S40" s="209"/>
      <c r="T40" s="209"/>
      <c r="U40" s="209"/>
      <c r="V40" s="209"/>
      <c r="W40" s="209"/>
      <c r="X40" s="209"/>
      <c r="Y40" s="209"/>
      <c r="Z40" s="209"/>
    </row>
    <row r="41" spans="1:26" x14ac:dyDescent="0.25">
      <c r="A41" s="209" t="s">
        <v>845</v>
      </c>
      <c r="B41" s="209"/>
      <c r="C41" s="613">
        <v>0.34</v>
      </c>
      <c r="D41" s="209"/>
      <c r="E41" s="209"/>
      <c r="F41" s="209"/>
      <c r="G41" s="209"/>
      <c r="H41" s="209"/>
      <c r="I41" s="209"/>
      <c r="J41" s="209"/>
      <c r="K41" s="209"/>
      <c r="L41" s="209"/>
      <c r="M41" s="209"/>
      <c r="N41" s="209"/>
      <c r="O41" s="209"/>
      <c r="P41" s="209"/>
      <c r="Q41" s="209"/>
      <c r="R41" s="209"/>
      <c r="S41" s="209"/>
      <c r="T41" s="209"/>
      <c r="U41" s="209"/>
      <c r="V41" s="209"/>
      <c r="W41" s="209"/>
      <c r="X41" s="209"/>
      <c r="Y41" s="209"/>
      <c r="Z41" s="209"/>
    </row>
    <row r="42" spans="1:26" x14ac:dyDescent="0.25">
      <c r="A42" s="209" t="s">
        <v>846</v>
      </c>
      <c r="B42" s="209"/>
      <c r="C42" s="613">
        <v>0.5</v>
      </c>
      <c r="D42" s="209"/>
      <c r="E42" s="209"/>
      <c r="F42" s="209"/>
      <c r="G42" s="209"/>
      <c r="H42" s="209"/>
      <c r="I42" s="209"/>
      <c r="J42" s="209"/>
      <c r="K42" s="209"/>
      <c r="L42" s="209"/>
      <c r="M42" s="209"/>
      <c r="N42" s="209"/>
      <c r="O42" s="209"/>
      <c r="P42" s="209"/>
      <c r="Q42" s="209"/>
      <c r="R42" s="209"/>
      <c r="S42" s="209"/>
      <c r="T42" s="209"/>
      <c r="U42" s="209"/>
      <c r="V42" s="209"/>
      <c r="W42" s="209"/>
      <c r="X42" s="209"/>
      <c r="Y42" s="209"/>
      <c r="Z42" s="209"/>
    </row>
    <row r="43" spans="1:26" x14ac:dyDescent="0.25">
      <c r="A43" s="209" t="s">
        <v>847</v>
      </c>
      <c r="B43" s="209"/>
      <c r="C43" s="613">
        <v>0.28999999999999998</v>
      </c>
      <c r="D43" s="209"/>
      <c r="E43" s="209"/>
      <c r="F43" s="209"/>
      <c r="G43" s="209"/>
      <c r="H43" s="209"/>
      <c r="I43" s="209"/>
      <c r="J43" s="209"/>
      <c r="K43" s="209"/>
      <c r="L43" s="209"/>
      <c r="M43" s="209"/>
      <c r="N43" s="209"/>
      <c r="O43" s="209"/>
      <c r="P43" s="209"/>
      <c r="Q43" s="209"/>
      <c r="R43" s="209"/>
      <c r="S43" s="209"/>
      <c r="T43" s="209"/>
      <c r="U43" s="209"/>
      <c r="V43" s="209"/>
      <c r="W43" s="209"/>
      <c r="X43" s="209"/>
      <c r="Y43" s="209"/>
      <c r="Z43" s="209"/>
    </row>
    <row r="44" spans="1:26" x14ac:dyDescent="0.25">
      <c r="A44" s="209"/>
      <c r="B44" s="209"/>
      <c r="C44" s="209"/>
      <c r="D44" s="209"/>
      <c r="E44" s="209"/>
      <c r="F44" s="209"/>
      <c r="G44" s="209"/>
      <c r="H44" s="209"/>
      <c r="I44" s="209"/>
      <c r="J44" s="209"/>
      <c r="K44" s="209"/>
      <c r="L44" s="209"/>
      <c r="M44" s="209"/>
      <c r="N44" s="209"/>
      <c r="O44" s="209"/>
      <c r="P44" s="209"/>
      <c r="Q44" s="209"/>
      <c r="R44" s="209"/>
      <c r="S44" s="209"/>
      <c r="T44" s="209"/>
      <c r="U44" s="209"/>
      <c r="V44" s="209"/>
      <c r="W44" s="209"/>
      <c r="X44" s="209"/>
      <c r="Y44" s="209"/>
      <c r="Z44" s="209"/>
    </row>
    <row r="45" spans="1:26" x14ac:dyDescent="0.25">
      <c r="A45" s="209" t="s">
        <v>856</v>
      </c>
      <c r="B45" s="209"/>
      <c r="C45" s="501">
        <v>0.01</v>
      </c>
      <c r="D45" s="209"/>
      <c r="E45" s="209"/>
      <c r="F45" s="209"/>
      <c r="G45" s="209"/>
      <c r="H45" s="209"/>
      <c r="I45" s="209"/>
      <c r="J45" s="209"/>
      <c r="K45" s="209"/>
      <c r="L45" s="209"/>
      <c r="M45" s="209"/>
      <c r="N45" s="209"/>
      <c r="O45" s="209"/>
      <c r="P45" s="209"/>
      <c r="Q45" s="209"/>
      <c r="R45" s="209"/>
      <c r="S45" s="209"/>
      <c r="T45" s="209"/>
      <c r="U45" s="209"/>
      <c r="V45" s="209"/>
      <c r="W45" s="209"/>
      <c r="X45" s="209"/>
      <c r="Y45" s="209"/>
      <c r="Z45" s="209"/>
    </row>
    <row r="46" spans="1:26" x14ac:dyDescent="0.25">
      <c r="A46" s="209"/>
      <c r="B46" s="209"/>
      <c r="C46" s="209"/>
      <c r="D46" s="209"/>
      <c r="E46" s="209"/>
      <c r="F46" s="209"/>
      <c r="G46" s="209"/>
      <c r="H46" s="209"/>
      <c r="I46" s="209"/>
      <c r="J46" s="209"/>
      <c r="K46" s="209"/>
      <c r="L46" s="209"/>
      <c r="M46" s="209"/>
      <c r="N46" s="209"/>
      <c r="O46" s="209"/>
      <c r="P46" s="209"/>
      <c r="Q46" s="209"/>
      <c r="R46" s="209"/>
      <c r="S46" s="209"/>
      <c r="T46" s="209"/>
      <c r="U46" s="209"/>
      <c r="V46" s="209"/>
      <c r="W46" s="209"/>
      <c r="X46" s="209"/>
      <c r="Y46" s="209"/>
      <c r="Z46" s="209"/>
    </row>
    <row r="47" spans="1:26" x14ac:dyDescent="0.25">
      <c r="A47" s="209"/>
      <c r="B47" s="209"/>
      <c r="C47" s="209"/>
      <c r="D47" s="209"/>
      <c r="E47" s="209"/>
      <c r="F47" s="209"/>
      <c r="G47" s="209"/>
      <c r="H47" s="209"/>
      <c r="I47" s="209"/>
      <c r="J47" s="209"/>
      <c r="K47" s="209"/>
      <c r="L47" s="209"/>
      <c r="M47" s="209"/>
      <c r="N47" s="209"/>
      <c r="O47" s="209"/>
      <c r="P47" s="209"/>
      <c r="Q47" s="209"/>
      <c r="R47" s="209"/>
      <c r="S47" s="209"/>
      <c r="T47" s="209"/>
      <c r="U47" s="209"/>
      <c r="V47" s="209"/>
      <c r="W47" s="209"/>
      <c r="X47" s="209"/>
      <c r="Y47" s="209"/>
      <c r="Z47" s="209"/>
    </row>
    <row r="48" spans="1:26" x14ac:dyDescent="0.25">
      <c r="A48" s="209"/>
      <c r="B48" s="209"/>
      <c r="C48" s="209"/>
      <c r="D48" s="209"/>
      <c r="E48" s="209"/>
      <c r="F48" s="209"/>
      <c r="G48" s="209"/>
      <c r="H48" s="209"/>
      <c r="I48" s="209"/>
      <c r="J48" s="209"/>
      <c r="K48" s="209"/>
      <c r="L48" s="209"/>
      <c r="M48" s="209"/>
      <c r="N48" s="209"/>
      <c r="O48" s="209"/>
      <c r="P48" s="209"/>
      <c r="Q48" s="209"/>
      <c r="R48" s="209"/>
      <c r="S48" s="209"/>
      <c r="T48" s="209"/>
      <c r="U48" s="209"/>
      <c r="V48" s="209"/>
      <c r="W48" s="209"/>
      <c r="X48" s="209"/>
      <c r="Y48" s="209"/>
      <c r="Z48" s="209"/>
    </row>
    <row r="49" spans="1:26" x14ac:dyDescent="0.25">
      <c r="A49" s="662" t="s">
        <v>1202</v>
      </c>
      <c r="B49" s="209"/>
      <c r="C49" s="209"/>
      <c r="D49" s="209"/>
      <c r="E49" s="209"/>
      <c r="F49" s="209"/>
      <c r="G49" s="209"/>
      <c r="H49" s="209"/>
      <c r="I49" s="209"/>
      <c r="J49" s="209"/>
      <c r="K49" s="209"/>
      <c r="L49" s="209"/>
      <c r="M49" s="209"/>
      <c r="N49" s="209"/>
      <c r="O49" s="209"/>
      <c r="P49" s="209"/>
      <c r="Q49" s="209"/>
      <c r="R49" s="209"/>
      <c r="S49" s="209"/>
      <c r="T49" s="209"/>
      <c r="U49" s="209"/>
      <c r="V49" s="209"/>
      <c r="W49" s="209"/>
      <c r="X49" s="209"/>
      <c r="Y49" s="209"/>
      <c r="Z49" s="209"/>
    </row>
    <row r="50" spans="1:26" x14ac:dyDescent="0.25">
      <c r="A50" s="209"/>
      <c r="B50" s="209"/>
      <c r="C50" s="791" t="s">
        <v>1204</v>
      </c>
      <c r="D50" s="792" t="s">
        <v>1203</v>
      </c>
      <c r="E50" s="209"/>
      <c r="F50" s="209"/>
      <c r="G50" s="209"/>
      <c r="H50" s="209"/>
      <c r="I50" s="209"/>
      <c r="J50" s="209"/>
      <c r="K50" s="209"/>
      <c r="L50" s="209"/>
      <c r="M50" s="209"/>
      <c r="N50" s="209"/>
      <c r="O50" s="209"/>
      <c r="P50" s="209"/>
      <c r="Q50" s="209"/>
      <c r="R50" s="209"/>
      <c r="S50" s="209"/>
      <c r="T50" s="209"/>
      <c r="U50" s="209"/>
      <c r="V50" s="209"/>
      <c r="W50" s="209"/>
      <c r="X50" s="209"/>
      <c r="Y50" s="209"/>
      <c r="Z50" s="209"/>
    </row>
    <row r="51" spans="1:26" x14ac:dyDescent="0.25">
      <c r="A51" s="209" t="s">
        <v>72</v>
      </c>
      <c r="B51" s="209"/>
      <c r="C51" s="195" t="s">
        <v>1205</v>
      </c>
      <c r="D51" s="613">
        <v>0.5</v>
      </c>
      <c r="E51" s="209"/>
      <c r="F51" s="209"/>
      <c r="G51" s="209"/>
      <c r="H51" s="209"/>
      <c r="I51" s="209"/>
      <c r="J51" s="209"/>
      <c r="K51" s="209"/>
      <c r="L51" s="209"/>
      <c r="M51" s="209"/>
      <c r="N51" s="209"/>
      <c r="O51" s="209"/>
      <c r="P51" s="209"/>
      <c r="Q51" s="209"/>
      <c r="R51" s="209"/>
      <c r="S51" s="209"/>
      <c r="T51" s="209"/>
      <c r="U51" s="209"/>
      <c r="V51" s="209"/>
      <c r="W51" s="209"/>
      <c r="X51" s="209"/>
      <c r="Y51" s="209"/>
      <c r="Z51" s="209"/>
    </row>
    <row r="52" spans="1:26" x14ac:dyDescent="0.25">
      <c r="A52" s="544" t="s">
        <v>69</v>
      </c>
      <c r="B52" s="209"/>
      <c r="C52" s="613">
        <v>0.5</v>
      </c>
      <c r="D52" s="613">
        <v>1</v>
      </c>
      <c r="E52" s="209"/>
      <c r="F52" s="209"/>
      <c r="G52" s="209"/>
      <c r="H52" s="209"/>
      <c r="I52" s="209"/>
      <c r="J52" s="209"/>
      <c r="K52" s="209"/>
      <c r="L52" s="209"/>
      <c r="M52" s="209"/>
      <c r="N52" s="209"/>
      <c r="O52" s="209"/>
      <c r="P52" s="209"/>
      <c r="Q52" s="209"/>
      <c r="R52" s="209"/>
      <c r="S52" s="209"/>
      <c r="T52" s="209"/>
      <c r="U52" s="209"/>
      <c r="V52" s="209"/>
      <c r="W52" s="209"/>
      <c r="X52" s="209"/>
      <c r="Y52" s="209"/>
      <c r="Z52" s="209"/>
    </row>
    <row r="53" spans="1:26" x14ac:dyDescent="0.25">
      <c r="A53" s="196" t="s">
        <v>68</v>
      </c>
      <c r="B53" s="209"/>
      <c r="C53" s="613">
        <v>0.5</v>
      </c>
      <c r="D53" s="613">
        <v>1</v>
      </c>
      <c r="E53" s="665"/>
      <c r="F53" s="209"/>
      <c r="G53" s="209"/>
      <c r="H53" s="209"/>
      <c r="I53" s="209"/>
      <c r="J53" s="209"/>
      <c r="K53" s="209"/>
      <c r="L53" s="209"/>
      <c r="M53" s="209"/>
      <c r="N53" s="209"/>
      <c r="O53" s="209"/>
      <c r="P53" s="209"/>
      <c r="Q53" s="209"/>
      <c r="R53" s="209"/>
      <c r="S53" s="209"/>
      <c r="T53" s="209"/>
      <c r="U53" s="209"/>
      <c r="V53" s="209"/>
      <c r="W53" s="209"/>
      <c r="X53" s="209"/>
      <c r="Y53" s="209"/>
      <c r="Z53" s="209"/>
    </row>
    <row r="54" spans="1:26" x14ac:dyDescent="0.25">
      <c r="A54" s="196" t="s">
        <v>67</v>
      </c>
      <c r="B54" s="209"/>
      <c r="C54" s="613">
        <v>0.5</v>
      </c>
      <c r="D54" s="613">
        <v>1</v>
      </c>
      <c r="E54" s="209"/>
      <c r="F54" s="209"/>
      <c r="G54" s="209"/>
      <c r="H54" s="209"/>
      <c r="I54" s="209"/>
      <c r="J54" s="209"/>
      <c r="K54" s="209"/>
      <c r="L54" s="209"/>
      <c r="M54" s="209"/>
      <c r="N54" s="209"/>
      <c r="O54" s="209"/>
      <c r="P54" s="209"/>
      <c r="Q54" s="209"/>
      <c r="R54" s="209"/>
      <c r="S54" s="209"/>
      <c r="T54" s="209"/>
      <c r="U54" s="209"/>
      <c r="V54" s="209"/>
      <c r="W54" s="209"/>
      <c r="X54" s="209"/>
      <c r="Y54" s="209"/>
      <c r="Z54" s="209"/>
    </row>
    <row r="55" spans="1:26" x14ac:dyDescent="0.25">
      <c r="A55" s="209" t="s">
        <v>66</v>
      </c>
      <c r="B55" s="209"/>
      <c r="C55" s="613">
        <v>0.5</v>
      </c>
      <c r="D55" s="613">
        <v>1</v>
      </c>
      <c r="E55" s="209"/>
      <c r="F55" s="209"/>
      <c r="G55" s="209"/>
      <c r="H55" s="209"/>
      <c r="I55" s="209"/>
      <c r="J55" s="209"/>
      <c r="K55" s="209"/>
      <c r="L55" s="209"/>
      <c r="M55" s="209"/>
      <c r="N55" s="209"/>
      <c r="O55" s="209"/>
      <c r="P55" s="209"/>
      <c r="Q55" s="209"/>
      <c r="R55" s="209"/>
      <c r="S55" s="209"/>
      <c r="T55" s="209"/>
      <c r="U55" s="209"/>
      <c r="V55" s="209"/>
      <c r="W55" s="209"/>
      <c r="X55" s="209"/>
      <c r="Y55" s="209"/>
      <c r="Z55" s="209"/>
    </row>
    <row r="56" spans="1:26" x14ac:dyDescent="0.25">
      <c r="A56" s="196" t="s">
        <v>65</v>
      </c>
      <c r="B56" s="209"/>
      <c r="C56" s="613">
        <v>0.5</v>
      </c>
      <c r="D56" s="613">
        <v>1</v>
      </c>
      <c r="E56" s="209"/>
      <c r="F56" s="209"/>
      <c r="G56" s="209"/>
      <c r="H56" s="209"/>
      <c r="I56" s="209"/>
      <c r="J56" s="209"/>
      <c r="K56" s="209"/>
      <c r="L56" s="209"/>
      <c r="M56" s="209"/>
      <c r="N56" s="209"/>
      <c r="O56" s="209"/>
      <c r="P56" s="209"/>
      <c r="Q56" s="209"/>
      <c r="R56" s="209"/>
      <c r="S56" s="209"/>
      <c r="T56" s="209"/>
      <c r="U56" s="209"/>
      <c r="V56" s="209"/>
      <c r="W56" s="209"/>
      <c r="X56" s="209"/>
      <c r="Y56" s="209"/>
      <c r="Z56" s="209"/>
    </row>
    <row r="57" spans="1:26" x14ac:dyDescent="0.25">
      <c r="A57" s="209"/>
      <c r="B57" s="209"/>
      <c r="C57" s="209"/>
      <c r="D57" s="209"/>
      <c r="E57" s="209"/>
      <c r="F57" s="209"/>
      <c r="G57" s="209"/>
      <c r="H57" s="209"/>
      <c r="I57" s="209"/>
      <c r="J57" s="209"/>
      <c r="K57" s="209"/>
      <c r="L57" s="209"/>
      <c r="M57" s="209"/>
      <c r="N57" s="209"/>
      <c r="O57" s="209"/>
      <c r="P57" s="209"/>
      <c r="Q57" s="209"/>
      <c r="R57" s="209"/>
      <c r="S57" s="209"/>
      <c r="T57" s="209"/>
      <c r="U57" s="209"/>
      <c r="V57" s="209"/>
      <c r="W57" s="209"/>
      <c r="X57" s="209"/>
      <c r="Y57" s="209"/>
      <c r="Z57" s="209"/>
    </row>
    <row r="58" spans="1:26" x14ac:dyDescent="0.25">
      <c r="A58" s="209"/>
      <c r="B58" s="209"/>
      <c r="C58" s="209"/>
      <c r="D58" s="209"/>
      <c r="E58" s="209"/>
      <c r="F58" s="209"/>
      <c r="G58" s="209"/>
      <c r="H58" s="209"/>
      <c r="I58" s="209"/>
      <c r="J58" s="209"/>
      <c r="K58" s="209"/>
      <c r="L58" s="209"/>
      <c r="M58" s="209"/>
      <c r="N58" s="209"/>
      <c r="O58" s="209"/>
      <c r="P58" s="209"/>
      <c r="Q58" s="209"/>
      <c r="R58" s="209"/>
      <c r="S58" s="209"/>
      <c r="T58" s="209"/>
      <c r="U58" s="209"/>
      <c r="V58" s="209"/>
      <c r="W58" s="209"/>
      <c r="X58" s="209"/>
      <c r="Y58" s="209"/>
      <c r="Z58" s="209"/>
    </row>
    <row r="59" spans="1:26" x14ac:dyDescent="0.25">
      <c r="A59" s="209"/>
      <c r="B59" s="209"/>
      <c r="C59" s="209"/>
      <c r="D59" s="209"/>
      <c r="E59" s="209"/>
      <c r="F59" s="209"/>
      <c r="G59" s="209"/>
      <c r="H59" s="209"/>
      <c r="I59" s="209"/>
      <c r="J59" s="209"/>
      <c r="K59" s="209"/>
      <c r="L59" s="209"/>
      <c r="M59" s="209"/>
      <c r="N59" s="209"/>
      <c r="O59" s="209"/>
      <c r="P59" s="209"/>
      <c r="Q59" s="209"/>
      <c r="R59" s="209"/>
      <c r="S59" s="209"/>
      <c r="T59" s="209"/>
      <c r="U59" s="209"/>
      <c r="V59" s="209"/>
      <c r="W59" s="209"/>
      <c r="X59" s="209"/>
      <c r="Y59" s="209"/>
      <c r="Z59" s="209"/>
    </row>
    <row r="60" spans="1:26" x14ac:dyDescent="0.25">
      <c r="A60" s="209"/>
      <c r="B60" s="209"/>
      <c r="C60" s="209"/>
      <c r="D60" s="209"/>
      <c r="E60" s="209"/>
      <c r="F60" s="209"/>
      <c r="G60" s="209"/>
      <c r="H60" s="209"/>
      <c r="I60" s="209"/>
      <c r="J60" s="209"/>
      <c r="K60" s="209"/>
      <c r="L60" s="209"/>
      <c r="M60" s="209"/>
      <c r="N60" s="209"/>
      <c r="O60" s="209"/>
      <c r="P60" s="209"/>
      <c r="Q60" s="209"/>
      <c r="R60" s="209"/>
      <c r="S60" s="209"/>
      <c r="T60" s="209"/>
      <c r="U60" s="209"/>
      <c r="V60" s="209"/>
      <c r="W60" s="209"/>
      <c r="X60" s="209"/>
      <c r="Y60" s="209"/>
      <c r="Z60" s="209"/>
    </row>
    <row r="61" spans="1:26" x14ac:dyDescent="0.25">
      <c r="A61" s="209"/>
      <c r="B61" s="209"/>
      <c r="C61" s="209"/>
      <c r="D61" s="209"/>
      <c r="E61" s="209"/>
      <c r="F61" s="209"/>
      <c r="G61" s="209"/>
      <c r="H61" s="209"/>
      <c r="I61" s="209"/>
      <c r="J61" s="209"/>
      <c r="K61" s="209"/>
      <c r="L61" s="209"/>
      <c r="M61" s="209"/>
      <c r="N61" s="209"/>
      <c r="O61" s="209"/>
      <c r="P61" s="209"/>
      <c r="Q61" s="209"/>
      <c r="R61" s="209"/>
      <c r="S61" s="209"/>
      <c r="T61" s="209"/>
      <c r="U61" s="209"/>
      <c r="V61" s="209"/>
      <c r="W61" s="209"/>
      <c r="X61" s="209"/>
      <c r="Y61" s="209"/>
      <c r="Z61" s="209"/>
    </row>
    <row r="62" spans="1:26" x14ac:dyDescent="0.25">
      <c r="A62" s="209"/>
      <c r="B62" s="209"/>
      <c r="C62" s="209"/>
      <c r="D62" s="209"/>
      <c r="E62" s="209"/>
      <c r="F62" s="209"/>
      <c r="G62" s="209"/>
      <c r="H62" s="209"/>
      <c r="I62" s="209"/>
      <c r="J62" s="209"/>
      <c r="K62" s="209"/>
      <c r="L62" s="209"/>
      <c r="M62" s="209"/>
      <c r="N62" s="209"/>
      <c r="O62" s="209"/>
      <c r="P62" s="209"/>
      <c r="Q62" s="209"/>
      <c r="R62" s="209"/>
      <c r="S62" s="209"/>
      <c r="T62" s="209"/>
      <c r="U62" s="209"/>
      <c r="V62" s="209"/>
      <c r="W62" s="209"/>
      <c r="X62" s="209"/>
      <c r="Y62" s="209"/>
      <c r="Z62" s="209"/>
    </row>
    <row r="63" spans="1:26" x14ac:dyDescent="0.25">
      <c r="A63" s="209"/>
      <c r="B63" s="209"/>
      <c r="C63" s="209"/>
      <c r="D63" s="209"/>
      <c r="E63" s="209"/>
      <c r="F63" s="209"/>
      <c r="G63" s="209"/>
      <c r="H63" s="209"/>
      <c r="I63" s="209"/>
      <c r="J63" s="209"/>
      <c r="K63" s="209"/>
      <c r="L63" s="209"/>
      <c r="M63" s="209"/>
      <c r="N63" s="209"/>
      <c r="O63" s="209"/>
      <c r="P63" s="209"/>
      <c r="Q63" s="209"/>
      <c r="R63" s="209"/>
      <c r="S63" s="209"/>
      <c r="T63" s="209"/>
      <c r="U63" s="209"/>
      <c r="V63" s="209"/>
      <c r="W63" s="209"/>
      <c r="X63" s="209"/>
      <c r="Y63" s="209"/>
      <c r="Z63" s="209"/>
    </row>
    <row r="64" spans="1:26" x14ac:dyDescent="0.25">
      <c r="A64" s="196" t="s">
        <v>1184</v>
      </c>
      <c r="B64" s="209"/>
      <c r="C64" s="209"/>
      <c r="D64" s="209"/>
      <c r="E64" s="669">
        <f>Buffer!AO5/1000000</f>
        <v>19.647267033658867</v>
      </c>
      <c r="F64" s="209"/>
      <c r="G64" s="209"/>
      <c r="H64" s="209"/>
      <c r="I64" s="209"/>
      <c r="J64" s="209"/>
      <c r="K64" s="209"/>
      <c r="L64" s="209"/>
      <c r="M64" s="209"/>
      <c r="N64" s="209"/>
      <c r="O64" s="209"/>
      <c r="P64" s="209"/>
      <c r="Q64" s="209"/>
      <c r="R64" s="209"/>
      <c r="S64" s="209"/>
      <c r="T64" s="209"/>
      <c r="U64" s="209"/>
      <c r="V64" s="209"/>
      <c r="W64" s="209"/>
      <c r="X64" s="209"/>
      <c r="Y64" s="209"/>
      <c r="Z64" s="209"/>
    </row>
    <row r="65" spans="1:26" x14ac:dyDescent="0.25">
      <c r="A65" s="196" t="s">
        <v>1076</v>
      </c>
      <c r="B65" s="209"/>
      <c r="C65" s="209"/>
      <c r="D65" s="209"/>
      <c r="E65" s="649">
        <f>(SUMPRODUCT(Watersheds!B12:AN12,Watersheds!B5:AN5))/1000000</f>
        <v>19.647267033658867</v>
      </c>
      <c r="F65" s="209"/>
      <c r="G65" s="209"/>
      <c r="H65" s="209"/>
      <c r="I65" s="209"/>
      <c r="J65" s="209"/>
      <c r="K65" s="209"/>
      <c r="L65" s="209"/>
      <c r="M65" s="209"/>
      <c r="N65" s="209"/>
      <c r="O65" s="209"/>
      <c r="P65" s="209"/>
      <c r="Q65" s="209"/>
      <c r="R65" s="209"/>
      <c r="S65" s="209"/>
      <c r="T65" s="209"/>
      <c r="U65" s="209"/>
      <c r="V65" s="209"/>
      <c r="W65" s="209"/>
      <c r="X65" s="209"/>
      <c r="Y65" s="209"/>
      <c r="Z65" s="209"/>
    </row>
    <row r="66" spans="1:26" x14ac:dyDescent="0.25">
      <c r="A66" s="544" t="s">
        <v>952</v>
      </c>
      <c r="B66" s="209"/>
      <c r="C66" s="209"/>
      <c r="D66" s="209"/>
      <c r="E66" s="669">
        <f>'P Export'!AO21/(watershed_acre*1000000)</f>
        <v>0.35833672832378094</v>
      </c>
      <c r="F66" s="209"/>
      <c r="G66" s="209"/>
      <c r="H66" s="209"/>
      <c r="I66" s="209"/>
      <c r="J66" s="209"/>
      <c r="K66" s="209"/>
      <c r="L66" s="209"/>
      <c r="M66" s="209"/>
      <c r="N66" s="209"/>
      <c r="O66" s="209"/>
      <c r="P66" s="209"/>
      <c r="Q66" s="209"/>
      <c r="R66" s="209"/>
      <c r="S66" s="209"/>
      <c r="T66" s="209"/>
      <c r="U66" s="209"/>
      <c r="V66" s="209"/>
      <c r="W66" s="209"/>
      <c r="X66" s="209"/>
      <c r="Y66" s="209"/>
      <c r="Z66" s="209"/>
    </row>
    <row r="67" spans="1:26" x14ac:dyDescent="0.25">
      <c r="A67" s="196" t="s">
        <v>915</v>
      </c>
      <c r="B67" s="209"/>
      <c r="C67" s="209"/>
      <c r="D67" s="209"/>
      <c r="E67" s="665">
        <f>E64/watershed_acre</f>
        <v>1</v>
      </c>
      <c r="F67" s="209"/>
      <c r="G67" s="209"/>
      <c r="H67" s="209"/>
      <c r="I67" s="209"/>
      <c r="J67" s="209"/>
      <c r="K67" s="209"/>
      <c r="L67" s="209"/>
      <c r="M67" s="209"/>
      <c r="N67" s="209"/>
      <c r="O67" s="209"/>
      <c r="P67" s="209"/>
      <c r="Q67" s="209"/>
      <c r="R67" s="209"/>
      <c r="S67" s="209"/>
      <c r="T67" s="209"/>
      <c r="U67" s="209"/>
      <c r="V67" s="209"/>
      <c r="W67" s="209"/>
      <c r="X67" s="209"/>
      <c r="Y67" s="209"/>
      <c r="Z67" s="209"/>
    </row>
    <row r="68" spans="1:26" x14ac:dyDescent="0.25">
      <c r="A68" s="196" t="s">
        <v>1198</v>
      </c>
      <c r="B68" s="209"/>
      <c r="C68" s="209"/>
      <c r="D68" s="209"/>
      <c r="E68" s="670">
        <f>C27/watershed_acre</f>
        <v>2.4411004032835648</v>
      </c>
      <c r="F68" s="209"/>
      <c r="G68" s="209"/>
      <c r="H68" s="209"/>
      <c r="I68" s="209"/>
      <c r="J68" s="209"/>
      <c r="K68" s="209"/>
      <c r="L68" s="209"/>
      <c r="M68" s="209"/>
      <c r="N68" s="209"/>
      <c r="O68" s="209"/>
      <c r="P68" s="209"/>
      <c r="Q68" s="209"/>
      <c r="R68" s="209"/>
      <c r="S68" s="209"/>
      <c r="T68" s="209"/>
      <c r="U68" s="209"/>
      <c r="V68" s="209"/>
      <c r="W68" s="209"/>
      <c r="X68" s="209"/>
      <c r="Y68" s="209"/>
      <c r="Z68" s="209"/>
    </row>
    <row r="69" spans="1:26" x14ac:dyDescent="0.25">
      <c r="A69" s="209"/>
      <c r="B69" s="209"/>
      <c r="C69" s="209"/>
      <c r="D69" s="209"/>
      <c r="E69" s="209"/>
      <c r="F69" s="209"/>
      <c r="G69" s="209"/>
      <c r="H69" s="209"/>
      <c r="I69" s="209"/>
      <c r="J69" s="209"/>
      <c r="K69" s="209"/>
      <c r="L69" s="209"/>
      <c r="M69" s="209"/>
      <c r="N69" s="209"/>
      <c r="O69" s="209"/>
      <c r="P69" s="209"/>
      <c r="Q69" s="209"/>
      <c r="R69" s="209"/>
      <c r="S69" s="209"/>
      <c r="T69" s="209"/>
      <c r="U69" s="209"/>
      <c r="V69" s="209"/>
      <c r="W69" s="209"/>
      <c r="X69" s="209"/>
      <c r="Y69" s="209"/>
      <c r="Z69" s="209"/>
    </row>
    <row r="70" spans="1:26" x14ac:dyDescent="0.25">
      <c r="A70" s="209"/>
      <c r="B70" s="209"/>
      <c r="C70" s="209"/>
      <c r="D70" s="209"/>
      <c r="E70" s="209"/>
      <c r="F70" s="209"/>
      <c r="G70" s="209"/>
      <c r="H70" s="209"/>
      <c r="I70" s="209"/>
      <c r="J70" s="209"/>
      <c r="K70" s="209"/>
      <c r="L70" s="209"/>
      <c r="M70" s="209"/>
      <c r="N70" s="209"/>
      <c r="O70" s="209"/>
      <c r="P70" s="209"/>
      <c r="Q70" s="209"/>
      <c r="R70" s="209"/>
      <c r="S70" s="209"/>
      <c r="T70" s="209"/>
      <c r="U70" s="209"/>
      <c r="V70" s="209"/>
      <c r="W70" s="209"/>
      <c r="X70" s="209"/>
      <c r="Y70" s="209"/>
      <c r="Z70" s="209"/>
    </row>
    <row r="71" spans="1:26" x14ac:dyDescent="0.25">
      <c r="A71" s="209"/>
      <c r="B71" s="209"/>
      <c r="C71" s="209"/>
      <c r="D71" s="209"/>
      <c r="E71" s="209"/>
      <c r="F71" s="209"/>
      <c r="G71" s="209"/>
      <c r="H71" s="209"/>
      <c r="I71" s="209"/>
      <c r="J71" s="209"/>
      <c r="K71" s="209"/>
      <c r="L71" s="209"/>
      <c r="M71" s="209"/>
      <c r="N71" s="209"/>
      <c r="O71" s="209"/>
      <c r="P71" s="209"/>
      <c r="Q71" s="209"/>
      <c r="R71" s="209"/>
      <c r="S71" s="209"/>
      <c r="T71" s="209"/>
      <c r="U71" s="209"/>
      <c r="V71" s="209"/>
      <c r="W71" s="209"/>
      <c r="X71" s="209"/>
      <c r="Y71" s="209"/>
      <c r="Z71" s="209"/>
    </row>
    <row r="72" spans="1:26" x14ac:dyDescent="0.25">
      <c r="A72" s="209"/>
      <c r="B72" s="209"/>
      <c r="C72" s="209"/>
      <c r="D72" s="209"/>
      <c r="E72" s="209"/>
      <c r="F72" s="209"/>
      <c r="G72" s="209"/>
      <c r="H72" s="209"/>
      <c r="I72" s="209"/>
      <c r="J72" s="209"/>
      <c r="K72" s="209"/>
      <c r="L72" s="209"/>
      <c r="M72" s="209"/>
      <c r="N72" s="209"/>
      <c r="O72" s="209"/>
      <c r="P72" s="209"/>
      <c r="Q72" s="209"/>
      <c r="R72" s="209"/>
      <c r="S72" s="209"/>
      <c r="T72" s="209"/>
      <c r="U72" s="209"/>
      <c r="V72" s="209"/>
      <c r="W72" s="209"/>
      <c r="X72" s="209"/>
      <c r="Y72" s="209"/>
      <c r="Z72" s="209"/>
    </row>
    <row r="73" spans="1:26" x14ac:dyDescent="0.25">
      <c r="A73" s="209"/>
      <c r="B73" s="209"/>
      <c r="C73" s="209"/>
      <c r="D73" s="209"/>
      <c r="E73" s="209"/>
      <c r="F73" s="209"/>
      <c r="G73" s="209"/>
      <c r="H73" s="209"/>
      <c r="I73" s="209"/>
      <c r="J73" s="209"/>
      <c r="K73" s="209"/>
      <c r="L73" s="209"/>
      <c r="M73" s="209"/>
      <c r="N73" s="209"/>
      <c r="O73" s="209"/>
      <c r="P73" s="209"/>
      <c r="Q73" s="209"/>
      <c r="R73" s="209"/>
      <c r="S73" s="209"/>
      <c r="T73" s="209"/>
      <c r="U73" s="209"/>
      <c r="V73" s="209"/>
      <c r="W73" s="209"/>
      <c r="X73" s="209"/>
      <c r="Y73" s="209"/>
      <c r="Z73" s="209"/>
    </row>
    <row r="74" spans="1:26" x14ac:dyDescent="0.25">
      <c r="A74" s="209"/>
      <c r="B74" s="209"/>
      <c r="C74" s="209"/>
      <c r="D74" s="209"/>
      <c r="E74" s="209"/>
      <c r="F74" s="209"/>
      <c r="G74" s="209"/>
      <c r="H74" s="209"/>
      <c r="I74" s="209"/>
      <c r="J74" s="209"/>
      <c r="K74" s="209"/>
      <c r="L74" s="209"/>
      <c r="M74" s="209"/>
      <c r="N74" s="209"/>
      <c r="O74" s="209"/>
      <c r="P74" s="209"/>
      <c r="Q74" s="209"/>
      <c r="R74" s="209"/>
      <c r="S74" s="209"/>
      <c r="T74" s="209"/>
      <c r="U74" s="209"/>
      <c r="V74" s="209"/>
      <c r="W74" s="209"/>
      <c r="X74" s="209"/>
      <c r="Y74" s="209"/>
      <c r="Z74" s="209"/>
    </row>
    <row r="75" spans="1:26" x14ac:dyDescent="0.25">
      <c r="A75" s="209"/>
      <c r="B75" s="209"/>
      <c r="C75" s="209"/>
      <c r="D75" s="209"/>
      <c r="E75" s="209"/>
      <c r="F75" s="209"/>
      <c r="G75" s="209"/>
      <c r="H75" s="209"/>
      <c r="I75" s="209"/>
      <c r="J75" s="209"/>
      <c r="K75" s="209"/>
      <c r="L75" s="209"/>
      <c r="M75" s="209"/>
      <c r="N75" s="209"/>
      <c r="O75" s="209"/>
      <c r="P75" s="209"/>
      <c r="Q75" s="209"/>
      <c r="R75" s="209"/>
      <c r="S75" s="209"/>
      <c r="T75" s="209"/>
      <c r="U75" s="209"/>
      <c r="V75" s="209"/>
      <c r="W75" s="209"/>
      <c r="X75" s="209"/>
      <c r="Y75" s="209"/>
      <c r="Z75" s="209"/>
    </row>
    <row r="76" spans="1:26" x14ac:dyDescent="0.25">
      <c r="A76" s="209"/>
      <c r="B76" s="209"/>
      <c r="C76" s="209"/>
      <c r="D76" s="209"/>
      <c r="E76" s="209"/>
      <c r="F76" s="209"/>
      <c r="G76" s="209"/>
      <c r="H76" s="209"/>
      <c r="I76" s="209"/>
      <c r="J76" s="209"/>
      <c r="K76" s="209"/>
      <c r="L76" s="209"/>
      <c r="M76" s="209"/>
      <c r="N76" s="209"/>
      <c r="O76" s="209"/>
      <c r="P76" s="209"/>
      <c r="Q76" s="209"/>
      <c r="R76" s="209"/>
      <c r="S76" s="209"/>
      <c r="T76" s="209"/>
      <c r="U76" s="209"/>
      <c r="V76" s="209"/>
      <c r="W76" s="209"/>
      <c r="X76" s="209"/>
      <c r="Y76" s="209"/>
      <c r="Z76" s="209"/>
    </row>
    <row r="77" spans="1:26" x14ac:dyDescent="0.25">
      <c r="A77" s="209"/>
      <c r="B77" s="209"/>
      <c r="C77" s="209"/>
      <c r="D77" s="209"/>
      <c r="E77" s="209"/>
      <c r="F77" s="209"/>
      <c r="G77" s="209"/>
      <c r="H77" s="209"/>
      <c r="I77" s="209"/>
      <c r="J77" s="209"/>
      <c r="K77" s="209"/>
      <c r="L77" s="209"/>
      <c r="M77" s="209"/>
      <c r="N77" s="209"/>
      <c r="O77" s="209"/>
      <c r="P77" s="209"/>
      <c r="Q77" s="209"/>
      <c r="R77" s="209"/>
      <c r="S77" s="209"/>
      <c r="T77" s="209"/>
      <c r="U77" s="209"/>
      <c r="V77" s="209"/>
      <c r="W77" s="209"/>
      <c r="X77" s="209"/>
      <c r="Y77" s="209"/>
      <c r="Z77" s="209"/>
    </row>
    <row r="78" spans="1:26" x14ac:dyDescent="0.25">
      <c r="A78" s="209"/>
      <c r="B78" s="209"/>
      <c r="C78" s="209"/>
      <c r="D78" s="209"/>
      <c r="E78" s="209"/>
      <c r="F78" s="209"/>
      <c r="G78" s="209"/>
      <c r="H78" s="209"/>
      <c r="I78" s="209"/>
      <c r="J78" s="209"/>
      <c r="K78" s="209"/>
      <c r="L78" s="209"/>
      <c r="M78" s="209"/>
      <c r="N78" s="209"/>
      <c r="O78" s="209"/>
      <c r="P78" s="209"/>
      <c r="Q78" s="209"/>
      <c r="R78" s="209"/>
      <c r="S78" s="209"/>
      <c r="T78" s="209"/>
      <c r="U78" s="209"/>
      <c r="V78" s="209"/>
      <c r="W78" s="209"/>
      <c r="X78" s="209"/>
      <c r="Y78" s="209"/>
      <c r="Z78" s="209"/>
    </row>
    <row r="79" spans="1:26" x14ac:dyDescent="0.25">
      <c r="A79" s="209"/>
      <c r="B79" s="209"/>
      <c r="C79" s="209"/>
      <c r="D79" s="209"/>
      <c r="E79" s="209"/>
      <c r="F79" s="209"/>
      <c r="G79" s="209"/>
      <c r="H79" s="209"/>
      <c r="I79" s="209"/>
      <c r="J79" s="209"/>
      <c r="K79" s="209"/>
      <c r="L79" s="209"/>
      <c r="M79" s="209"/>
      <c r="N79" s="209"/>
      <c r="O79" s="209"/>
      <c r="P79" s="209"/>
      <c r="Q79" s="209"/>
      <c r="R79" s="209"/>
      <c r="S79" s="209"/>
      <c r="T79" s="209"/>
      <c r="U79" s="209"/>
      <c r="V79" s="209"/>
      <c r="W79" s="209"/>
      <c r="X79" s="209"/>
      <c r="Y79" s="209"/>
      <c r="Z79" s="209"/>
    </row>
    <row r="80" spans="1:26" x14ac:dyDescent="0.25">
      <c r="A80" s="209"/>
      <c r="B80" s="209"/>
      <c r="C80" s="209"/>
      <c r="D80" s="209"/>
      <c r="E80" s="209"/>
      <c r="F80" s="209"/>
      <c r="G80" s="209"/>
      <c r="H80" s="209"/>
      <c r="I80" s="209"/>
      <c r="J80" s="209"/>
      <c r="K80" s="209"/>
      <c r="L80" s="209"/>
      <c r="M80" s="209"/>
      <c r="N80" s="209"/>
      <c r="O80" s="209"/>
      <c r="P80" s="209"/>
      <c r="Q80" s="209"/>
      <c r="R80" s="209"/>
      <c r="S80" s="209"/>
      <c r="T80" s="209"/>
      <c r="U80" s="209"/>
      <c r="V80" s="209"/>
      <c r="W80" s="209"/>
      <c r="X80" s="209"/>
      <c r="Y80" s="209"/>
      <c r="Z80" s="209"/>
    </row>
    <row r="81" spans="1:26" x14ac:dyDescent="0.25">
      <c r="A81" s="209"/>
      <c r="B81" s="209"/>
      <c r="C81" s="209"/>
      <c r="D81" s="209"/>
      <c r="E81" s="209"/>
      <c r="F81" s="209"/>
      <c r="G81" s="209"/>
      <c r="H81" s="209"/>
      <c r="I81" s="209"/>
      <c r="J81" s="209"/>
      <c r="K81" s="209"/>
      <c r="L81" s="209"/>
      <c r="M81" s="209"/>
      <c r="N81" s="209"/>
      <c r="O81" s="209"/>
      <c r="P81" s="209"/>
      <c r="Q81" s="209"/>
      <c r="R81" s="209"/>
      <c r="S81" s="209"/>
      <c r="T81" s="209"/>
      <c r="U81" s="209"/>
      <c r="V81" s="209"/>
      <c r="W81" s="209"/>
      <c r="X81" s="209"/>
      <c r="Y81" s="209"/>
      <c r="Z81" s="209"/>
    </row>
    <row r="82" spans="1:26" x14ac:dyDescent="0.25">
      <c r="A82" s="209"/>
      <c r="B82" s="209"/>
      <c r="C82" s="209"/>
      <c r="D82" s="209"/>
      <c r="E82" s="209"/>
      <c r="F82" s="209"/>
      <c r="G82" s="209"/>
      <c r="H82" s="209"/>
      <c r="I82" s="209"/>
      <c r="J82" s="209"/>
      <c r="K82" s="209"/>
      <c r="L82" s="209"/>
      <c r="M82" s="209"/>
      <c r="N82" s="209"/>
      <c r="O82" s="209"/>
      <c r="P82" s="209"/>
      <c r="Q82" s="209"/>
      <c r="R82" s="209"/>
      <c r="S82" s="209"/>
      <c r="T82" s="209"/>
      <c r="U82" s="209"/>
      <c r="V82" s="209"/>
      <c r="W82" s="209"/>
      <c r="X82" s="209"/>
      <c r="Y82" s="209"/>
      <c r="Z82" s="209"/>
    </row>
    <row r="83" spans="1:26" x14ac:dyDescent="0.25">
      <c r="A83" s="547" t="s">
        <v>951</v>
      </c>
      <c r="B83" s="583">
        <f>N173*1000000/'P Export'!AO21</f>
        <v>0.20244900312595843</v>
      </c>
      <c r="C83" s="209"/>
      <c r="D83" s="209"/>
      <c r="E83" s="209"/>
      <c r="F83" s="209"/>
      <c r="G83" s="209"/>
      <c r="H83" s="209"/>
      <c r="I83" s="209"/>
      <c r="J83" s="209"/>
      <c r="K83" s="209"/>
      <c r="L83" s="209"/>
      <c r="M83" s="209"/>
      <c r="N83" s="209"/>
      <c r="O83" s="209"/>
      <c r="P83" s="209"/>
      <c r="Q83" s="209"/>
      <c r="R83" s="209"/>
      <c r="S83" s="209"/>
      <c r="T83" s="209"/>
      <c r="U83" s="209"/>
      <c r="V83" s="209"/>
      <c r="W83" s="209"/>
      <c r="X83" s="209"/>
      <c r="Y83" s="209"/>
      <c r="Z83" s="209"/>
    </row>
    <row r="84" spans="1:26" x14ac:dyDescent="0.25">
      <c r="A84" s="547" t="s">
        <v>950</v>
      </c>
      <c r="B84" s="191">
        <v>0</v>
      </c>
      <c r="C84" s="209"/>
      <c r="D84" s="209"/>
      <c r="E84" s="209"/>
      <c r="F84" s="209"/>
      <c r="G84" s="209"/>
      <c r="H84" s="209"/>
      <c r="I84" s="209"/>
      <c r="J84" s="209"/>
      <c r="K84" s="209"/>
      <c r="L84" s="209"/>
      <c r="M84" s="209"/>
      <c r="N84" s="209"/>
      <c r="O84" s="209"/>
      <c r="P84" s="209"/>
      <c r="Q84" s="209"/>
      <c r="R84" s="209"/>
      <c r="S84" s="209"/>
      <c r="T84" s="209"/>
      <c r="U84" s="209"/>
      <c r="V84" s="209"/>
      <c r="W84" s="209"/>
      <c r="X84" s="209"/>
      <c r="Y84" s="209"/>
      <c r="Z84" s="209"/>
    </row>
    <row r="85" spans="1:26" x14ac:dyDescent="0.25">
      <c r="A85" s="209"/>
      <c r="B85" s="209"/>
      <c r="C85" s="209"/>
      <c r="D85" s="209"/>
      <c r="E85" s="209"/>
      <c r="F85" s="209"/>
      <c r="G85" s="209"/>
      <c r="H85" s="209"/>
      <c r="I85" s="209"/>
      <c r="J85" s="209"/>
      <c r="K85" s="209"/>
      <c r="L85" s="209"/>
      <c r="M85" s="209"/>
      <c r="N85" s="209"/>
      <c r="O85" s="209"/>
      <c r="P85" s="209"/>
      <c r="Q85" s="209"/>
      <c r="R85" s="209"/>
      <c r="S85" s="209"/>
      <c r="T85" s="209"/>
      <c r="U85" s="209"/>
      <c r="V85" s="209"/>
      <c r="W85" s="209"/>
      <c r="X85" s="209"/>
      <c r="Y85" s="209"/>
      <c r="Z85" s="209"/>
    </row>
    <row r="86" spans="1:26" x14ac:dyDescent="0.25">
      <c r="A86" s="209"/>
      <c r="B86" s="209"/>
      <c r="C86" s="209"/>
      <c r="D86" s="209"/>
      <c r="E86" s="209"/>
      <c r="F86" s="209"/>
      <c r="G86" s="209"/>
      <c r="H86" s="209"/>
      <c r="I86" s="209"/>
      <c r="J86" s="209"/>
      <c r="K86" s="209"/>
      <c r="L86" s="209"/>
      <c r="M86" s="209"/>
      <c r="N86" s="209"/>
      <c r="O86" s="209"/>
      <c r="P86" s="209"/>
      <c r="Q86" s="209"/>
      <c r="R86" s="209"/>
      <c r="S86" s="209"/>
      <c r="T86" s="209"/>
      <c r="U86" s="209"/>
      <c r="V86" s="209"/>
      <c r="W86" s="209"/>
      <c r="X86" s="209"/>
      <c r="Y86" s="209"/>
      <c r="Z86" s="209"/>
    </row>
    <row r="87" spans="1:26" x14ac:dyDescent="0.25">
      <c r="A87" s="209"/>
      <c r="B87" s="209"/>
      <c r="C87" s="209"/>
      <c r="D87" s="209"/>
      <c r="E87" s="209"/>
      <c r="F87" s="209"/>
      <c r="G87" s="209"/>
      <c r="H87" s="209"/>
      <c r="I87" s="209"/>
      <c r="J87" s="209"/>
      <c r="K87" s="209"/>
      <c r="L87" s="209"/>
      <c r="M87" s="209"/>
      <c r="N87" s="209"/>
      <c r="O87" s="209"/>
      <c r="P87" s="209"/>
      <c r="Q87" s="209"/>
      <c r="R87" s="209"/>
      <c r="S87" s="209"/>
      <c r="T87" s="209"/>
      <c r="U87" s="209"/>
      <c r="V87" s="209"/>
      <c r="W87" s="209"/>
      <c r="X87" s="209"/>
      <c r="Y87" s="209"/>
      <c r="Z87" s="209"/>
    </row>
    <row r="88" spans="1:26" x14ac:dyDescent="0.25">
      <c r="A88" s="209"/>
      <c r="B88" s="209"/>
      <c r="C88" s="209"/>
      <c r="D88" s="209"/>
      <c r="E88" s="209"/>
      <c r="F88" s="209"/>
      <c r="G88" s="209"/>
      <c r="H88" s="209"/>
      <c r="I88" s="209"/>
      <c r="J88" s="209"/>
      <c r="K88" s="209"/>
      <c r="L88" s="209"/>
      <c r="M88" s="209"/>
      <c r="N88" s="209"/>
      <c r="O88" s="209"/>
      <c r="P88" s="209"/>
      <c r="Q88" s="209"/>
      <c r="R88" s="209"/>
      <c r="S88" s="209"/>
      <c r="T88" s="209"/>
      <c r="U88" s="209"/>
      <c r="V88" s="209"/>
      <c r="W88" s="209"/>
      <c r="X88" s="209"/>
      <c r="Y88" s="209"/>
      <c r="Z88" s="209"/>
    </row>
    <row r="89" spans="1:26" x14ac:dyDescent="0.25">
      <c r="A89" s="209"/>
      <c r="B89" s="209"/>
      <c r="C89" s="209"/>
      <c r="D89" s="209"/>
      <c r="E89" s="209"/>
      <c r="F89" s="209"/>
      <c r="G89" s="209"/>
      <c r="H89" s="209"/>
      <c r="I89" s="209"/>
      <c r="J89" s="209"/>
      <c r="K89" s="209"/>
      <c r="L89" s="209"/>
      <c r="M89" s="209"/>
      <c r="N89" s="209"/>
      <c r="O89" s="209"/>
      <c r="P89" s="209"/>
      <c r="Q89" s="209"/>
      <c r="R89" s="209"/>
      <c r="S89" s="209"/>
      <c r="T89" s="209"/>
      <c r="U89" s="209"/>
      <c r="V89" s="209"/>
      <c r="W89" s="209"/>
      <c r="X89" s="209"/>
      <c r="Y89" s="209"/>
      <c r="Z89" s="209"/>
    </row>
    <row r="90" spans="1:26" x14ac:dyDescent="0.25">
      <c r="A90" s="209"/>
      <c r="B90" s="209"/>
      <c r="C90" s="209"/>
      <c r="D90" s="209"/>
      <c r="E90" s="209"/>
      <c r="F90" s="209"/>
      <c r="G90" s="209"/>
      <c r="H90" s="209"/>
      <c r="I90" s="209"/>
      <c r="J90" s="209"/>
      <c r="K90" s="209"/>
      <c r="L90" s="209"/>
      <c r="M90" s="209"/>
      <c r="N90" s="209"/>
      <c r="O90" s="209"/>
      <c r="P90" s="209"/>
      <c r="Q90" s="209"/>
      <c r="R90" s="209"/>
      <c r="S90" s="209"/>
      <c r="T90" s="209"/>
      <c r="U90" s="209"/>
      <c r="V90" s="209"/>
      <c r="W90" s="209"/>
      <c r="X90" s="209"/>
      <c r="Y90" s="209"/>
      <c r="Z90" s="209"/>
    </row>
    <row r="91" spans="1:26" x14ac:dyDescent="0.25">
      <c r="A91" s="209"/>
      <c r="B91" s="209"/>
      <c r="C91" s="209"/>
      <c r="D91" s="209"/>
      <c r="E91" s="209"/>
      <c r="F91" s="209"/>
      <c r="G91" s="209"/>
      <c r="H91" s="209"/>
      <c r="I91" s="209"/>
      <c r="J91" s="209"/>
      <c r="K91" s="209"/>
      <c r="L91" s="209"/>
      <c r="M91" s="209"/>
      <c r="N91" s="209"/>
      <c r="O91" s="209"/>
      <c r="P91" s="209"/>
      <c r="Q91" s="209"/>
      <c r="R91" s="209"/>
      <c r="S91" s="209"/>
      <c r="T91" s="209"/>
      <c r="U91" s="209"/>
      <c r="V91" s="209"/>
      <c r="W91" s="209"/>
      <c r="X91" s="209"/>
      <c r="Y91" s="209"/>
      <c r="Z91" s="209"/>
    </row>
    <row r="92" spans="1:26" x14ac:dyDescent="0.25">
      <c r="A92" s="209"/>
      <c r="B92" s="209"/>
      <c r="C92" s="209"/>
      <c r="D92" s="209"/>
      <c r="E92" s="209"/>
      <c r="F92" s="209"/>
      <c r="G92" s="209"/>
      <c r="H92" s="209"/>
      <c r="I92" s="209"/>
      <c r="J92" s="209"/>
      <c r="K92" s="209"/>
      <c r="L92" s="209"/>
      <c r="M92" s="209"/>
      <c r="N92" s="209"/>
      <c r="O92" s="209"/>
      <c r="P92" s="209"/>
      <c r="Q92" s="209"/>
      <c r="R92" s="209"/>
      <c r="S92" s="209"/>
      <c r="T92" s="209"/>
      <c r="U92" s="209"/>
      <c r="V92" s="209"/>
      <c r="W92" s="209"/>
      <c r="X92" s="209"/>
      <c r="Y92" s="209"/>
      <c r="Z92" s="209"/>
    </row>
    <row r="93" spans="1:26" x14ac:dyDescent="0.25">
      <c r="A93" s="209"/>
      <c r="B93" s="209"/>
      <c r="C93" s="209"/>
      <c r="D93" s="209"/>
      <c r="E93" s="209"/>
      <c r="F93" s="209"/>
      <c r="G93" s="209"/>
      <c r="H93" s="209"/>
      <c r="I93" s="209"/>
      <c r="J93" s="209"/>
      <c r="K93" s="209"/>
      <c r="L93" s="209"/>
      <c r="M93" s="209"/>
      <c r="N93" s="209"/>
      <c r="O93" s="209"/>
      <c r="P93" s="209"/>
      <c r="Q93" s="209"/>
      <c r="R93" s="209"/>
      <c r="S93" s="209"/>
      <c r="T93" s="209"/>
      <c r="U93" s="209"/>
      <c r="V93" s="209"/>
      <c r="W93" s="209"/>
      <c r="X93" s="209"/>
      <c r="Y93" s="209"/>
      <c r="Z93" s="209"/>
    </row>
    <row r="94" spans="1:26" x14ac:dyDescent="0.25">
      <c r="A94" s="209"/>
      <c r="B94" s="209"/>
      <c r="C94" s="209"/>
      <c r="D94" s="209"/>
      <c r="E94" s="209"/>
      <c r="F94" s="209"/>
      <c r="G94" s="209"/>
      <c r="H94" s="209"/>
      <c r="I94" s="209"/>
      <c r="J94" s="209"/>
      <c r="K94" s="209"/>
      <c r="L94" s="209"/>
      <c r="M94" s="209"/>
      <c r="N94" s="209"/>
      <c r="O94" s="209"/>
      <c r="P94" s="209"/>
      <c r="Q94" s="209"/>
      <c r="R94" s="209"/>
      <c r="S94" s="209"/>
      <c r="T94" s="209"/>
      <c r="U94" s="209"/>
      <c r="V94" s="209"/>
      <c r="W94" s="209"/>
      <c r="X94" s="209"/>
      <c r="Y94" s="209"/>
      <c r="Z94" s="209"/>
    </row>
    <row r="95" spans="1:26" x14ac:dyDescent="0.25">
      <c r="A95" s="209"/>
      <c r="B95" s="209"/>
      <c r="C95" s="209"/>
      <c r="D95" s="209"/>
      <c r="E95" s="209"/>
      <c r="F95" s="209"/>
      <c r="G95" s="209"/>
      <c r="H95" s="209"/>
      <c r="I95" s="209"/>
      <c r="J95" s="209"/>
      <c r="K95" s="209"/>
      <c r="L95" s="209"/>
      <c r="M95" s="209"/>
      <c r="N95" s="209"/>
      <c r="O95" s="209"/>
      <c r="P95" s="209"/>
      <c r="Q95" s="209"/>
      <c r="R95" s="209"/>
      <c r="S95" s="209"/>
      <c r="T95" s="209"/>
      <c r="U95" s="209"/>
      <c r="V95" s="209"/>
      <c r="W95" s="209"/>
      <c r="X95" s="209"/>
      <c r="Y95" s="209"/>
      <c r="Z95" s="209"/>
    </row>
    <row r="96" spans="1:26" x14ac:dyDescent="0.25">
      <c r="A96" s="209"/>
      <c r="B96" s="209"/>
      <c r="C96" s="209"/>
      <c r="D96" s="209"/>
      <c r="E96" s="209"/>
      <c r="F96" s="209"/>
      <c r="G96" s="209"/>
      <c r="H96" s="209"/>
      <c r="I96" s="209"/>
      <c r="J96" s="209"/>
      <c r="K96" s="209"/>
      <c r="L96" s="209"/>
      <c r="M96" s="209"/>
      <c r="N96" s="209"/>
      <c r="O96" s="209"/>
      <c r="P96" s="209"/>
      <c r="Q96" s="209"/>
      <c r="R96" s="209"/>
      <c r="S96" s="209"/>
      <c r="T96" s="209"/>
      <c r="U96" s="209"/>
      <c r="V96" s="209"/>
      <c r="W96" s="209"/>
      <c r="X96" s="209"/>
      <c r="Y96" s="209"/>
      <c r="Z96" s="209"/>
    </row>
    <row r="97" spans="1:26" x14ac:dyDescent="0.25">
      <c r="A97" s="209"/>
      <c r="B97" s="209"/>
      <c r="C97" s="209"/>
      <c r="D97" s="209"/>
      <c r="E97" s="209"/>
      <c r="F97" s="209"/>
      <c r="G97" s="209"/>
      <c r="H97" s="209"/>
      <c r="I97" s="209"/>
      <c r="J97" s="209"/>
      <c r="K97" s="209"/>
      <c r="L97" s="209"/>
      <c r="M97" s="209"/>
      <c r="N97" s="209"/>
      <c r="O97" s="209"/>
      <c r="P97" s="209"/>
      <c r="Q97" s="209"/>
      <c r="R97" s="209"/>
      <c r="S97" s="209"/>
      <c r="T97" s="209"/>
      <c r="U97" s="209"/>
      <c r="V97" s="209"/>
      <c r="W97" s="209"/>
      <c r="X97" s="209"/>
      <c r="Y97" s="209"/>
      <c r="Z97" s="209"/>
    </row>
    <row r="98" spans="1:26" x14ac:dyDescent="0.25">
      <c r="A98" s="209"/>
      <c r="B98" s="209"/>
      <c r="C98" s="209"/>
      <c r="D98" s="209"/>
      <c r="E98" s="209"/>
      <c r="F98" s="209"/>
      <c r="G98" s="209"/>
      <c r="H98" s="209"/>
      <c r="I98" s="209"/>
      <c r="J98" s="209"/>
      <c r="K98" s="209"/>
      <c r="L98" s="209"/>
      <c r="M98" s="209"/>
      <c r="N98" s="209"/>
      <c r="O98" s="209"/>
      <c r="P98" s="209"/>
      <c r="Q98" s="209"/>
      <c r="R98" s="209"/>
      <c r="S98" s="209"/>
      <c r="T98" s="209"/>
      <c r="U98" s="209"/>
      <c r="V98" s="209"/>
      <c r="W98" s="209"/>
      <c r="X98" s="209"/>
      <c r="Y98" s="209"/>
      <c r="Z98" s="209"/>
    </row>
    <row r="99" spans="1:26" x14ac:dyDescent="0.25">
      <c r="A99" s="209"/>
      <c r="B99" s="209"/>
      <c r="C99" s="209"/>
      <c r="D99" s="209"/>
      <c r="E99" s="209"/>
      <c r="F99" s="209"/>
      <c r="G99" s="209"/>
      <c r="H99" s="209"/>
      <c r="I99" s="209"/>
      <c r="J99" s="209"/>
      <c r="K99" s="209"/>
      <c r="L99" s="209"/>
      <c r="M99" s="209"/>
      <c r="N99" s="209"/>
      <c r="O99" s="209"/>
      <c r="P99" s="209"/>
      <c r="Q99" s="209"/>
      <c r="R99" s="209"/>
      <c r="S99" s="209"/>
      <c r="T99" s="209"/>
      <c r="U99" s="209"/>
      <c r="V99" s="209"/>
      <c r="W99" s="209"/>
      <c r="X99" s="209"/>
      <c r="Y99" s="209"/>
      <c r="Z99" s="209"/>
    </row>
    <row r="100" spans="1:26" x14ac:dyDescent="0.25">
      <c r="A100" s="209"/>
      <c r="B100" s="209"/>
      <c r="C100" s="209"/>
      <c r="D100" s="209"/>
      <c r="E100" s="209"/>
      <c r="F100" s="209"/>
      <c r="G100" s="209"/>
      <c r="H100" s="209"/>
      <c r="I100" s="209"/>
      <c r="J100" s="209"/>
      <c r="K100" s="209"/>
      <c r="L100" s="209"/>
      <c r="M100" s="209"/>
      <c r="N100" s="209"/>
      <c r="O100" s="209"/>
      <c r="P100" s="209"/>
      <c r="Q100" s="209"/>
      <c r="R100" s="209"/>
      <c r="S100" s="209"/>
      <c r="T100" s="209"/>
      <c r="U100" s="209"/>
      <c r="V100" s="209"/>
      <c r="W100" s="209"/>
      <c r="X100" s="209"/>
      <c r="Y100" s="209"/>
      <c r="Z100" s="209"/>
    </row>
    <row r="101" spans="1:26" x14ac:dyDescent="0.25">
      <c r="A101" s="209"/>
      <c r="B101" s="209"/>
      <c r="C101" s="209"/>
      <c r="D101" s="209"/>
      <c r="E101" s="209"/>
      <c r="F101" s="209"/>
      <c r="G101" s="209"/>
      <c r="H101" s="209"/>
      <c r="I101" s="209"/>
      <c r="J101" s="209"/>
      <c r="K101" s="209"/>
      <c r="L101" s="209"/>
      <c r="M101" s="209"/>
      <c r="N101" s="209"/>
      <c r="O101" s="209"/>
      <c r="P101" s="209"/>
      <c r="Q101" s="209"/>
      <c r="R101" s="209"/>
      <c r="S101" s="209"/>
      <c r="T101" s="209"/>
      <c r="U101" s="209"/>
      <c r="V101" s="209"/>
      <c r="W101" s="209"/>
      <c r="X101" s="209"/>
      <c r="Y101" s="209"/>
      <c r="Z101" s="209"/>
    </row>
    <row r="102" spans="1:26" x14ac:dyDescent="0.25">
      <c r="A102" s="209"/>
      <c r="B102" s="209"/>
      <c r="C102" s="209"/>
      <c r="D102" s="209"/>
      <c r="E102" s="209"/>
      <c r="F102" s="559" t="s">
        <v>954</v>
      </c>
      <c r="G102" s="209"/>
      <c r="H102" s="209"/>
      <c r="I102" s="209"/>
      <c r="J102" s="209"/>
      <c r="K102" s="209"/>
      <c r="L102" s="209"/>
      <c r="M102" s="209"/>
      <c r="N102" s="209"/>
      <c r="O102" s="209"/>
      <c r="P102" s="209"/>
      <c r="Q102" s="209"/>
      <c r="R102" s="209"/>
      <c r="S102" s="209"/>
      <c r="T102" s="209"/>
      <c r="U102" s="209"/>
      <c r="V102" s="209"/>
      <c r="W102" s="209"/>
      <c r="X102" s="209"/>
      <c r="Y102" s="209"/>
      <c r="Z102" s="209"/>
    </row>
    <row r="103" spans="1:26" ht="15" customHeight="1" x14ac:dyDescent="0.25">
      <c r="A103" s="209"/>
      <c r="B103" s="209"/>
      <c r="C103" s="209"/>
      <c r="D103" s="209"/>
      <c r="E103" s="832"/>
      <c r="F103" s="881" t="str">
        <f>IF(Workspace!F586&lt;&gt;"",Workspace!F586,"")</f>
        <v>Target P rate 35%</v>
      </c>
      <c r="G103" s="881"/>
      <c r="H103" s="881"/>
      <c r="I103" s="881"/>
      <c r="J103" s="881"/>
      <c r="K103" s="881"/>
      <c r="L103" s="881"/>
      <c r="M103" s="209"/>
      <c r="N103" s="209"/>
      <c r="O103" s="209"/>
      <c r="P103" s="209"/>
      <c r="Q103" s="209"/>
      <c r="R103" s="209"/>
      <c r="S103" s="209"/>
      <c r="T103" s="209"/>
      <c r="U103" s="209"/>
      <c r="V103" s="209"/>
      <c r="W103" s="209"/>
      <c r="X103" s="209"/>
      <c r="Y103" s="209"/>
      <c r="Z103" s="209"/>
    </row>
    <row r="104" spans="1:26" ht="15" customHeight="1" x14ac:dyDescent="0.25">
      <c r="A104" s="209"/>
      <c r="B104" s="209"/>
      <c r="C104" s="209"/>
      <c r="D104" s="209"/>
      <c r="E104" s="833"/>
      <c r="F104" s="881" t="str">
        <f>IF(Workspace!F587&lt;&gt;"",Workspace!F587,"")</f>
        <v>Target P rate 35%,Preplant/starter 5.1%</v>
      </c>
      <c r="G104" s="881"/>
      <c r="H104" s="881"/>
      <c r="I104" s="881"/>
      <c r="J104" s="881"/>
      <c r="K104" s="881"/>
      <c r="L104" s="881"/>
      <c r="M104" s="209"/>
      <c r="N104" s="209"/>
      <c r="O104" s="209"/>
      <c r="P104" s="209"/>
      <c r="Q104" s="209"/>
      <c r="R104" s="209"/>
      <c r="S104" s="209"/>
      <c r="T104" s="209"/>
      <c r="U104" s="209"/>
      <c r="V104" s="209"/>
      <c r="W104" s="209"/>
      <c r="X104" s="209"/>
      <c r="Y104" s="209"/>
      <c r="Z104" s="209"/>
    </row>
    <row r="105" spans="1:26" ht="15" customHeight="1" x14ac:dyDescent="0.25">
      <c r="A105" s="209"/>
      <c r="B105" s="209"/>
      <c r="C105" s="209"/>
      <c r="D105" s="209"/>
      <c r="E105" s="834"/>
      <c r="F105" s="881" t="str">
        <f>IF(Workspace!F588&lt;&gt;"",Workspace!F588,"")</f>
        <v>Target P rate 35%,Use reduced tillage 15%</v>
      </c>
      <c r="G105" s="881"/>
      <c r="H105" s="881"/>
      <c r="I105" s="881"/>
      <c r="J105" s="881"/>
      <c r="K105" s="881"/>
      <c r="L105" s="881"/>
      <c r="M105" s="209"/>
      <c r="N105" s="209"/>
      <c r="O105" s="209"/>
      <c r="P105" s="209"/>
      <c r="Q105" s="209"/>
      <c r="R105" s="209"/>
      <c r="S105" s="209"/>
      <c r="T105" s="209"/>
      <c r="U105" s="209"/>
      <c r="V105" s="209"/>
      <c r="W105" s="209"/>
      <c r="X105" s="209"/>
      <c r="Y105" s="209"/>
      <c r="Z105" s="209"/>
    </row>
    <row r="106" spans="1:26" ht="15" customHeight="1" x14ac:dyDescent="0.25">
      <c r="A106" s="209"/>
      <c r="B106" s="209"/>
      <c r="C106" s="209"/>
      <c r="D106" s="209"/>
      <c r="E106" s="835"/>
      <c r="F106" s="881" t="str">
        <f>IF(Workspace!F589&lt;&gt;"",Workspace!F589,"")</f>
        <v>Target P rate 35%, Inj &amp; inc manure 0.7%,Use reduced tillage 15%</v>
      </c>
      <c r="G106" s="881"/>
      <c r="H106" s="881"/>
      <c r="I106" s="881"/>
      <c r="J106" s="881"/>
      <c r="K106" s="881"/>
      <c r="L106" s="881"/>
      <c r="M106" s="209"/>
      <c r="N106" s="209"/>
      <c r="O106" s="209"/>
      <c r="P106" s="209"/>
      <c r="Q106" s="209"/>
      <c r="R106" s="209"/>
      <c r="S106" s="209"/>
      <c r="T106" s="209"/>
      <c r="U106" s="209"/>
      <c r="V106" s="209"/>
      <c r="W106" s="209"/>
      <c r="X106" s="209"/>
      <c r="Y106" s="209"/>
      <c r="Z106" s="209"/>
    </row>
    <row r="107" spans="1:26" ht="15" customHeight="1" x14ac:dyDescent="0.25">
      <c r="A107" s="209"/>
      <c r="B107" s="209"/>
      <c r="C107" s="209"/>
      <c r="D107" s="209"/>
      <c r="E107" s="836"/>
      <c r="F107" s="881" t="str">
        <f>IF(Workspace!F590&lt;&gt;"",Workspace!F590,"")</f>
        <v>Target P rate 35%,Control Drainage2.0%Tile intakes4.2%,Use reduced tillage 15%</v>
      </c>
      <c r="G107" s="881"/>
      <c r="H107" s="881"/>
      <c r="I107" s="881"/>
      <c r="J107" s="881"/>
      <c r="K107" s="881"/>
      <c r="L107" s="881"/>
      <c r="M107" s="209"/>
      <c r="N107" s="209"/>
      <c r="O107" s="209"/>
      <c r="P107" s="209"/>
      <c r="Q107" s="209"/>
      <c r="R107" s="209"/>
      <c r="S107" s="209"/>
      <c r="T107" s="209"/>
      <c r="U107" s="209"/>
      <c r="V107" s="209"/>
      <c r="W107" s="209"/>
      <c r="X107" s="209"/>
      <c r="Y107" s="209"/>
      <c r="Z107" s="209"/>
    </row>
    <row r="108" spans="1:26" ht="15" customHeight="1" x14ac:dyDescent="0.25">
      <c r="A108" s="209"/>
      <c r="B108" s="209"/>
      <c r="C108" s="209"/>
      <c r="D108" s="209"/>
      <c r="E108" s="837"/>
      <c r="F108" s="881" t="str">
        <f>IF(Workspace!F591&lt;&gt;"",Workspace!F591,"")</f>
        <v>Target P rate 35%,Use reduced tillage 15%,Riparian buffers 0.8%</v>
      </c>
      <c r="G108" s="881"/>
      <c r="H108" s="881"/>
      <c r="I108" s="881"/>
      <c r="J108" s="881"/>
      <c r="K108" s="881"/>
      <c r="L108" s="881"/>
      <c r="M108" s="209"/>
      <c r="N108" s="209"/>
      <c r="O108" s="209"/>
      <c r="P108" s="209"/>
      <c r="Q108" s="209"/>
      <c r="R108" s="209"/>
      <c r="S108" s="209"/>
      <c r="T108" s="209"/>
      <c r="U108" s="209"/>
      <c r="V108" s="209"/>
      <c r="W108" s="209"/>
      <c r="X108" s="209"/>
      <c r="Y108" s="209"/>
      <c r="Z108" s="209"/>
    </row>
    <row r="109" spans="1:26" ht="30" customHeight="1" x14ac:dyDescent="0.25">
      <c r="A109" s="209"/>
      <c r="B109" s="209"/>
      <c r="C109" s="209"/>
      <c r="D109" s="209"/>
      <c r="E109" s="838"/>
      <c r="F109" s="881" t="str">
        <f>IF(Workspace!F592&lt;&gt;"",Workspace!F592,"")</f>
        <v>Target P rate 35%,Control Drainage2.0%Tile intakes4.2%,Use reduced tillage 15%,Perennial crop 2.5%</v>
      </c>
      <c r="G109" s="881"/>
      <c r="H109" s="881"/>
      <c r="I109" s="881"/>
      <c r="J109" s="881"/>
      <c r="K109" s="881"/>
      <c r="L109" s="881"/>
      <c r="M109" s="209"/>
      <c r="N109" s="209"/>
      <c r="O109" s="209"/>
      <c r="P109" s="209"/>
      <c r="Q109" s="209"/>
      <c r="R109" s="209"/>
      <c r="S109" s="209"/>
      <c r="T109" s="209"/>
      <c r="U109" s="209"/>
      <c r="V109" s="209"/>
      <c r="W109" s="209"/>
      <c r="X109" s="209"/>
      <c r="Y109" s="209"/>
      <c r="Z109" s="209"/>
    </row>
    <row r="110" spans="1:26" ht="15" customHeight="1" x14ac:dyDescent="0.25">
      <c r="A110" s="209"/>
      <c r="B110" s="209"/>
      <c r="C110" s="209"/>
      <c r="D110" s="209"/>
      <c r="E110" s="839"/>
      <c r="F110" s="881" t="str">
        <f>IF(Workspace!F593&lt;&gt;"",Workspace!F593,"")</f>
        <v>Target P rate 35%, Inj &amp; inc manure 0.7%,Use reduced tillage 15%,Riparian buffers 0.8%</v>
      </c>
      <c r="G110" s="881"/>
      <c r="H110" s="881"/>
      <c r="I110" s="881"/>
      <c r="J110" s="881"/>
      <c r="K110" s="881"/>
      <c r="L110" s="881"/>
      <c r="M110" s="209"/>
      <c r="N110" s="209"/>
      <c r="O110" s="209"/>
      <c r="P110" s="209"/>
      <c r="Q110" s="209"/>
      <c r="R110" s="209"/>
      <c r="S110" s="209"/>
      <c r="T110" s="209"/>
      <c r="U110" s="209"/>
      <c r="V110" s="209"/>
      <c r="W110" s="209"/>
      <c r="X110" s="209"/>
      <c r="Y110" s="209"/>
      <c r="Z110" s="209"/>
    </row>
    <row r="111" spans="1:26" ht="30" customHeight="1" x14ac:dyDescent="0.25">
      <c r="A111" s="209"/>
      <c r="B111" s="209"/>
      <c r="C111" s="209"/>
      <c r="D111" s="209"/>
      <c r="E111" s="840"/>
      <c r="F111" s="881" t="str">
        <f>IF(Workspace!F594&lt;&gt;"",Workspace!F594,"")</f>
        <v>Target P rate 35%,Control Drainage2.0%Tile intakes4.2%,Use reduced tillage 15%,Riparian buffers 0.8%</v>
      </c>
      <c r="G111" s="881"/>
      <c r="H111" s="881"/>
      <c r="I111" s="881"/>
      <c r="J111" s="881"/>
      <c r="K111" s="881"/>
      <c r="L111" s="881"/>
      <c r="M111" s="209"/>
      <c r="N111" s="209"/>
      <c r="O111" s="209"/>
      <c r="P111" s="209"/>
      <c r="Q111" s="209"/>
      <c r="R111" s="209"/>
      <c r="S111" s="209"/>
      <c r="T111" s="209"/>
      <c r="U111" s="209"/>
      <c r="V111" s="209"/>
      <c r="W111" s="209"/>
      <c r="X111" s="209"/>
      <c r="Y111" s="209"/>
      <c r="Z111" s="209"/>
    </row>
    <row r="112" spans="1:26" ht="30" customHeight="1" x14ac:dyDescent="0.25">
      <c r="A112" s="209"/>
      <c r="B112" s="209"/>
      <c r="C112" s="209"/>
      <c r="D112" s="209"/>
      <c r="E112" s="834"/>
      <c r="F112" s="881" t="str">
        <f>IF(Workspace!F595&lt;&gt;"",Workspace!F595,"")</f>
        <v>Target P rate 35%,Control Drainage2.0%Tile intakes4.2%, Inj &amp; inc manure 0.7%,Use reduced tillage 15%,Riparian buffers 0.8%</v>
      </c>
      <c r="G112" s="881"/>
      <c r="H112" s="881"/>
      <c r="I112" s="881"/>
      <c r="J112" s="881"/>
      <c r="K112" s="881"/>
      <c r="L112" s="881"/>
      <c r="M112" s="209"/>
      <c r="N112" s="209"/>
      <c r="O112" s="209"/>
      <c r="P112" s="209"/>
      <c r="Q112" s="209"/>
      <c r="R112" s="209"/>
      <c r="S112" s="209"/>
      <c r="T112" s="209"/>
      <c r="U112" s="209"/>
      <c r="V112" s="209"/>
      <c r="W112" s="209"/>
      <c r="X112" s="209"/>
      <c r="Y112" s="209"/>
      <c r="Z112" s="209"/>
    </row>
    <row r="113" spans="1:140" ht="30" customHeight="1" x14ac:dyDescent="0.25">
      <c r="A113" s="209"/>
      <c r="B113" s="209"/>
      <c r="C113" s="209"/>
      <c r="D113" s="209"/>
      <c r="E113" s="833"/>
      <c r="F113" s="881" t="str">
        <f>IF(Workspace!F596&lt;&gt;"",Workspace!F596,"")</f>
        <v>Target P rate 35%,Control Drainage2.0%Tile intakes4.2%,Use reduced tillage 15%,Riparian buffers 0.8%,Perennial crop 2.5%</v>
      </c>
      <c r="G113" s="881"/>
      <c r="H113" s="881"/>
      <c r="I113" s="881"/>
      <c r="J113" s="881"/>
      <c r="K113" s="881"/>
      <c r="L113" s="881"/>
      <c r="M113" s="209"/>
      <c r="N113" s="209"/>
      <c r="O113" s="209"/>
      <c r="P113" s="209"/>
      <c r="Q113" s="209"/>
      <c r="R113" s="209"/>
      <c r="S113" s="209"/>
      <c r="T113" s="209"/>
      <c r="U113" s="209"/>
      <c r="V113" s="209"/>
      <c r="W113" s="209"/>
      <c r="X113" s="209"/>
      <c r="Y113" s="209"/>
      <c r="Z113" s="209"/>
    </row>
    <row r="114" spans="1:140" ht="30" customHeight="1" x14ac:dyDescent="0.25">
      <c r="A114" s="209"/>
      <c r="B114" s="209"/>
      <c r="C114" s="209"/>
      <c r="D114" s="209"/>
      <c r="E114" s="832"/>
      <c r="F114" s="881" t="str">
        <f>IF(Workspace!F597&lt;&gt;"",Workspace!F597,"")</f>
        <v>Target P rate 35%,Control Drainage2.0%Tile intakes4.2%, Inj &amp; inc manure 0.7%,Use reduced tillage 15%,Riparian buffers 0.8%,Perennial crop 2.5%</v>
      </c>
      <c r="G114" s="881"/>
      <c r="H114" s="881"/>
      <c r="I114" s="881"/>
      <c r="J114" s="881"/>
      <c r="K114" s="881"/>
      <c r="L114" s="881"/>
      <c r="M114" s="209"/>
      <c r="N114" s="209"/>
      <c r="O114" s="209"/>
      <c r="P114" s="209"/>
      <c r="Q114" s="209"/>
      <c r="R114" s="209"/>
      <c r="S114" s="209"/>
      <c r="T114" s="209"/>
      <c r="U114" s="209"/>
      <c r="V114" s="209"/>
      <c r="W114" s="209"/>
      <c r="X114" s="209"/>
      <c r="Y114" s="209"/>
      <c r="Z114" s="209"/>
    </row>
    <row r="115" spans="1:140" ht="30" customHeight="1" x14ac:dyDescent="0.25">
      <c r="A115" s="209"/>
      <c r="B115" s="209"/>
      <c r="C115" s="209"/>
      <c r="D115" s="209"/>
      <c r="E115" s="835"/>
      <c r="F115" s="881" t="str">
        <f>IF(Workspace!F598&lt;&gt;"",Workspace!F598,"")</f>
        <v>Target P rate 35%,Control Drainage2.0%Tile intakes4.2%, Inj &amp; inc manure 0.7%,Preplant/starter 5.1%,Use reduced tillage 15%,Riparian buffers 0.8%,Perennial crop 2.5%</v>
      </c>
      <c r="G115" s="881"/>
      <c r="H115" s="881"/>
      <c r="I115" s="881"/>
      <c r="J115" s="881"/>
      <c r="K115" s="881"/>
      <c r="L115" s="881"/>
      <c r="M115" s="209"/>
      <c r="N115" s="209"/>
      <c r="O115" s="209"/>
      <c r="P115" s="209"/>
      <c r="Q115" s="209"/>
      <c r="R115" s="209"/>
      <c r="S115" s="209"/>
      <c r="T115" s="209"/>
      <c r="U115" s="209"/>
      <c r="V115" s="209"/>
      <c r="W115" s="209"/>
      <c r="X115" s="209"/>
      <c r="Y115" s="209"/>
      <c r="Z115" s="209"/>
    </row>
    <row r="116" spans="1:140" ht="30" customHeight="1" x14ac:dyDescent="0.25">
      <c r="A116" s="209"/>
      <c r="B116" s="209"/>
      <c r="C116" s="209"/>
      <c r="D116" s="209"/>
      <c r="E116" s="836"/>
      <c r="F116" s="881" t="str">
        <f>IF(Workspace!F599&lt;&gt;"",Workspace!F599,"")</f>
        <v>Target P rate 35%,Control Drainage2.0%Tile intakes4.2%,Cover crop cs7.5%Cover crop ss 7.1%,Use reduced tillage 15%,Riparian buffers 0.8%</v>
      </c>
      <c r="G116" s="881"/>
      <c r="H116" s="881"/>
      <c r="I116" s="881"/>
      <c r="J116" s="881"/>
      <c r="K116" s="881"/>
      <c r="L116" s="881"/>
      <c r="M116" s="209"/>
      <c r="N116" s="209"/>
      <c r="O116" s="209"/>
      <c r="P116" s="209"/>
      <c r="Q116" s="209"/>
      <c r="R116" s="209"/>
      <c r="S116" s="209"/>
      <c r="T116" s="209"/>
      <c r="U116" s="209"/>
      <c r="V116" s="209"/>
      <c r="W116" s="209"/>
      <c r="X116" s="209"/>
      <c r="Y116" s="209"/>
      <c r="Z116" s="209"/>
    </row>
    <row r="117" spans="1:140" ht="30" customHeight="1" x14ac:dyDescent="0.25">
      <c r="A117" s="209"/>
      <c r="B117" s="209"/>
      <c r="C117" s="209"/>
      <c r="D117" s="209"/>
      <c r="E117" s="837"/>
      <c r="F117" s="881" t="str">
        <f>IF(Workspace!F600&lt;&gt;"",Workspace!F600,"")</f>
        <v>Target P rate 35%,Control Drainage2.0%Tile intakes4.2%, Inj &amp; inc manure 0.7%,Cover crop cs7.5%Cover crop ss 7.1%,Use reduced tillage 15%,Riparian buffers 0.8%</v>
      </c>
      <c r="G117" s="881"/>
      <c r="H117" s="881"/>
      <c r="I117" s="881"/>
      <c r="J117" s="881"/>
      <c r="K117" s="881"/>
      <c r="L117" s="881"/>
      <c r="M117" s="209"/>
      <c r="N117" s="209"/>
      <c r="O117" s="209"/>
      <c r="P117" s="209"/>
      <c r="Q117" s="209"/>
      <c r="R117" s="209"/>
      <c r="S117" s="209"/>
      <c r="T117" s="209"/>
      <c r="U117" s="209"/>
      <c r="V117" s="209"/>
      <c r="W117" s="209"/>
      <c r="X117" s="209"/>
      <c r="Y117" s="209"/>
      <c r="Z117" s="209"/>
    </row>
    <row r="118" spans="1:140" ht="30" customHeight="1" x14ac:dyDescent="0.25">
      <c r="A118" s="209"/>
      <c r="B118" s="209"/>
      <c r="C118" s="209"/>
      <c r="D118" s="209"/>
      <c r="E118" s="838"/>
      <c r="F118" s="881" t="str">
        <f>IF(Workspace!F601&lt;&gt;"",Workspace!F601,"")</f>
        <v>Target P rate 35%,Control Drainage2.0%Tile intakes4.2%,Cover crop cs7.5%Cover crop ss 7.1%,Use reduced tillage 15%,Riparian buffers 0.8%,Perennial crop 2.5%</v>
      </c>
      <c r="G118" s="881"/>
      <c r="H118" s="881"/>
      <c r="I118" s="881"/>
      <c r="J118" s="881"/>
      <c r="K118" s="881"/>
      <c r="L118" s="881"/>
      <c r="M118" s="209"/>
      <c r="N118" s="209"/>
      <c r="O118" s="209"/>
      <c r="P118" s="209"/>
      <c r="Q118" s="209"/>
      <c r="R118" s="209"/>
      <c r="S118" s="209"/>
      <c r="T118" s="209"/>
      <c r="U118" s="209"/>
      <c r="V118" s="209"/>
      <c r="W118" s="209"/>
      <c r="X118" s="209"/>
      <c r="Y118" s="209"/>
      <c r="Z118" s="209"/>
    </row>
    <row r="119" spans="1:140" ht="30" customHeight="1" x14ac:dyDescent="0.25">
      <c r="A119" s="209"/>
      <c r="B119" s="209"/>
      <c r="C119" s="209"/>
      <c r="D119" s="209"/>
      <c r="E119" s="839"/>
      <c r="F119" s="881" t="str">
        <f>IF(Workspace!F602&lt;&gt;"",Workspace!F602,"")</f>
        <v>Target P rate 35%,Control Drainage2.0%Tile intakes4.2%, Inj &amp; inc manure 0.7%,Cover crop cs7.5%Cover crop ss 7.1%,Use reduced tillage 15%,Riparian buffers 0.8%,Perennial crop 2.5%</v>
      </c>
      <c r="G119" s="881"/>
      <c r="H119" s="881"/>
      <c r="I119" s="881"/>
      <c r="J119" s="881"/>
      <c r="K119" s="881"/>
      <c r="L119" s="881"/>
      <c r="M119" s="209"/>
      <c r="N119" s="209"/>
      <c r="O119" s="209"/>
      <c r="P119" s="209"/>
      <c r="Q119" s="209"/>
      <c r="R119" s="209"/>
      <c r="S119" s="209"/>
      <c r="T119" s="209"/>
      <c r="U119" s="209"/>
      <c r="V119" s="209"/>
      <c r="W119" s="209"/>
      <c r="X119" s="209"/>
      <c r="Y119" s="209"/>
      <c r="Z119" s="209"/>
    </row>
    <row r="120" spans="1:140" ht="45" customHeight="1" x14ac:dyDescent="0.25">
      <c r="A120" s="209"/>
      <c r="B120" s="209"/>
      <c r="C120" s="209"/>
      <c r="D120" s="209"/>
      <c r="E120" s="840"/>
      <c r="F120" s="881" t="str">
        <f>IF(Workspace!F603&lt;&gt;"",Workspace!F603,"")</f>
        <v>Target P rate 35%,Control Drainage 2.0%,Tile intakes 4.2%, Inj &amp; inc manure 0.7%,Preplant/starter 5.1%,Cover crop cs 7.5%,Cover crop ss 7.1%,Use reduced tillage 15%,Riparian buffers 0.8%,Perennial crop 2.5%</v>
      </c>
      <c r="G120" s="881"/>
      <c r="H120" s="881"/>
      <c r="I120" s="881"/>
      <c r="J120" s="881"/>
      <c r="K120" s="881"/>
      <c r="L120" s="881"/>
      <c r="M120" s="209"/>
      <c r="N120" s="209"/>
      <c r="O120" s="209"/>
      <c r="P120" s="209"/>
      <c r="Q120" s="209"/>
      <c r="R120" s="209"/>
      <c r="S120" s="209"/>
      <c r="T120" s="209"/>
      <c r="U120" s="209"/>
      <c r="V120" s="209"/>
      <c r="W120" s="209"/>
      <c r="X120" s="209"/>
      <c r="Y120" s="209"/>
      <c r="Z120" s="209"/>
    </row>
    <row r="121" spans="1:140" ht="15" customHeight="1" x14ac:dyDescent="0.25">
      <c r="A121" s="209"/>
      <c r="B121" s="209"/>
      <c r="C121" s="209"/>
      <c r="D121" s="209"/>
      <c r="E121" s="831"/>
      <c r="F121" s="881" t="str">
        <f>IF(Workspace!F604&lt;&gt;"",Workspace!F604,"")</f>
        <v/>
      </c>
      <c r="G121" s="881"/>
      <c r="H121" s="881"/>
      <c r="I121" s="881"/>
      <c r="J121" s="881"/>
      <c r="K121" s="881"/>
      <c r="L121" s="881"/>
      <c r="M121" s="209"/>
      <c r="N121" s="209"/>
      <c r="O121" s="209"/>
      <c r="P121" s="209"/>
      <c r="Q121" s="209"/>
      <c r="R121" s="209"/>
      <c r="S121" s="209"/>
      <c r="T121" s="209"/>
      <c r="U121" s="209"/>
      <c r="V121" s="209"/>
      <c r="W121" s="209"/>
      <c r="X121" s="209"/>
      <c r="Y121" s="209"/>
      <c r="Z121" s="209"/>
    </row>
    <row r="122" spans="1:140" s="112" customFormat="1" ht="15" customHeight="1" x14ac:dyDescent="0.25">
      <c r="A122" s="209"/>
      <c r="B122" s="209"/>
      <c r="C122" s="209"/>
      <c r="D122" s="209"/>
      <c r="E122" s="831"/>
      <c r="F122" s="881" t="str">
        <f>IF(Workspace!F605&lt;&gt;"",Workspace!F605,"")</f>
        <v/>
      </c>
      <c r="G122" s="881"/>
      <c r="H122" s="881"/>
      <c r="I122" s="881"/>
      <c r="J122" s="881"/>
      <c r="K122" s="881"/>
      <c r="L122" s="881"/>
      <c r="M122" s="209"/>
      <c r="N122" s="666"/>
      <c r="O122" s="666"/>
      <c r="P122" s="666"/>
      <c r="Q122" s="666"/>
      <c r="R122" s="666"/>
      <c r="S122" s="666"/>
      <c r="T122" s="666"/>
      <c r="U122" s="666"/>
      <c r="V122" s="666"/>
      <c r="W122" s="666"/>
      <c r="X122" s="666"/>
      <c r="Y122" s="666"/>
      <c r="Z122" s="666"/>
      <c r="AA122" s="163"/>
      <c r="AB122" s="163"/>
      <c r="AC122" s="163"/>
      <c r="AD122" s="163"/>
      <c r="AE122" s="163"/>
      <c r="AF122" s="163"/>
      <c r="AG122" s="163"/>
      <c r="AH122" s="163"/>
      <c r="AI122" s="163"/>
      <c r="AJ122" s="163"/>
      <c r="AK122" s="163"/>
      <c r="AL122" s="163"/>
      <c r="AM122" s="163"/>
      <c r="AN122" s="163"/>
      <c r="AO122" s="163"/>
      <c r="AP122" s="163"/>
      <c r="AQ122" s="163"/>
      <c r="AR122" s="163"/>
      <c r="AS122" s="163"/>
      <c r="AT122" s="163"/>
      <c r="AU122" s="163"/>
      <c r="AV122" s="163"/>
      <c r="AW122" s="163"/>
      <c r="AX122" s="163"/>
      <c r="AY122" s="163"/>
      <c r="AZ122" s="163"/>
      <c r="BA122" s="163"/>
      <c r="BB122" s="163"/>
      <c r="BC122" s="163"/>
      <c r="BD122" s="163"/>
      <c r="BE122" s="163"/>
      <c r="BF122" s="163"/>
      <c r="BG122" s="163"/>
      <c r="BH122" s="163"/>
      <c r="BI122" s="163"/>
      <c r="BJ122" s="163"/>
      <c r="BK122" s="163"/>
      <c r="BL122" s="163"/>
      <c r="BM122" s="163"/>
      <c r="BN122" s="163"/>
      <c r="BO122" s="163"/>
      <c r="BP122" s="163"/>
      <c r="BQ122" s="163"/>
      <c r="BR122" s="163"/>
      <c r="BS122" s="163"/>
      <c r="BT122" s="163"/>
      <c r="BU122" s="163"/>
      <c r="BV122" s="163"/>
      <c r="BW122" s="163"/>
      <c r="BX122" s="163"/>
      <c r="BY122" s="163"/>
      <c r="BZ122" s="163"/>
      <c r="CA122" s="163"/>
      <c r="CB122" s="163"/>
      <c r="CC122" s="163"/>
      <c r="CD122" s="163"/>
      <c r="CE122" s="163"/>
      <c r="CF122" s="163"/>
      <c r="CG122" s="163"/>
      <c r="CH122" s="163"/>
      <c r="CI122" s="163"/>
      <c r="CJ122" s="163"/>
      <c r="CK122" s="163"/>
      <c r="CL122" s="163"/>
      <c r="CM122" s="163"/>
      <c r="CN122" s="163"/>
      <c r="CO122" s="163"/>
      <c r="CP122" s="163"/>
      <c r="CQ122" s="163"/>
      <c r="CR122" s="163"/>
      <c r="CS122" s="163"/>
      <c r="CT122" s="163"/>
      <c r="CU122" s="163"/>
      <c r="CV122" s="163"/>
      <c r="CW122" s="163"/>
      <c r="CX122" s="163"/>
      <c r="CY122" s="163"/>
      <c r="CZ122" s="163"/>
      <c r="DA122" s="163"/>
      <c r="DB122" s="163"/>
      <c r="DC122" s="163"/>
      <c r="DD122" s="163"/>
      <c r="DE122" s="163"/>
      <c r="DF122" s="163"/>
      <c r="DG122" s="163"/>
      <c r="DH122" s="163"/>
      <c r="DI122" s="163"/>
      <c r="DJ122" s="163"/>
      <c r="DK122" s="163"/>
      <c r="DL122" s="163"/>
      <c r="DM122" s="163"/>
      <c r="DN122" s="163"/>
      <c r="DO122" s="163"/>
      <c r="DP122" s="163"/>
      <c r="DQ122" s="163"/>
      <c r="DR122" s="163"/>
      <c r="DS122" s="163"/>
      <c r="DT122" s="163"/>
      <c r="DU122" s="163"/>
      <c r="DV122" s="163"/>
      <c r="DW122" s="163"/>
      <c r="DX122" s="163"/>
      <c r="DY122" s="163"/>
      <c r="DZ122" s="163"/>
      <c r="EA122" s="163"/>
      <c r="EB122" s="163"/>
      <c r="EC122" s="163"/>
      <c r="ED122" s="163"/>
      <c r="EE122" s="163"/>
      <c r="EF122" s="163"/>
      <c r="EG122" s="163"/>
      <c r="EH122" s="163"/>
      <c r="EI122" s="163"/>
      <c r="EJ122" s="163"/>
    </row>
    <row r="123" spans="1:140" s="112" customFormat="1" ht="15" customHeight="1" x14ac:dyDescent="0.25">
      <c r="A123" s="209"/>
      <c r="B123" s="209"/>
      <c r="C123" s="209"/>
      <c r="D123" s="209"/>
      <c r="E123" s="831"/>
      <c r="F123" s="881" t="str">
        <f>IF(Workspace!F606&lt;&gt;"",Workspace!F606,"")</f>
        <v/>
      </c>
      <c r="G123" s="881"/>
      <c r="H123" s="881"/>
      <c r="I123" s="881"/>
      <c r="J123" s="881"/>
      <c r="K123" s="881"/>
      <c r="L123" s="881"/>
      <c r="M123" s="209"/>
      <c r="N123" s="666"/>
      <c r="O123" s="666"/>
      <c r="P123" s="666"/>
      <c r="Q123" s="666"/>
      <c r="R123" s="666"/>
      <c r="S123" s="666"/>
      <c r="T123" s="666"/>
      <c r="U123" s="666"/>
      <c r="V123" s="666"/>
      <c r="W123" s="666"/>
      <c r="X123" s="666"/>
      <c r="Y123" s="666"/>
      <c r="Z123" s="666"/>
      <c r="AA123" s="163"/>
      <c r="AB123" s="163"/>
      <c r="AC123" s="163"/>
      <c r="AD123" s="163"/>
      <c r="AE123" s="163"/>
      <c r="AF123" s="163"/>
      <c r="AG123" s="163"/>
      <c r="AH123" s="163"/>
      <c r="AI123" s="163"/>
      <c r="AJ123" s="163"/>
      <c r="AK123" s="163"/>
      <c r="AL123" s="163"/>
      <c r="AM123" s="163"/>
      <c r="AN123" s="163"/>
      <c r="AO123" s="163"/>
      <c r="AP123" s="163"/>
      <c r="AQ123" s="163"/>
      <c r="AR123" s="163"/>
      <c r="AS123" s="163"/>
      <c r="AT123" s="163"/>
      <c r="AU123" s="163"/>
      <c r="AV123" s="163"/>
      <c r="AW123" s="163"/>
      <c r="AX123" s="163"/>
      <c r="AY123" s="163"/>
      <c r="AZ123" s="163"/>
      <c r="BA123" s="163"/>
      <c r="BB123" s="163"/>
      <c r="BC123" s="163"/>
      <c r="BD123" s="163"/>
      <c r="BE123" s="163"/>
      <c r="BF123" s="163"/>
      <c r="BG123" s="163"/>
      <c r="BH123" s="163"/>
      <c r="BI123" s="163"/>
      <c r="BJ123" s="163"/>
      <c r="BK123" s="163"/>
      <c r="BL123" s="163"/>
      <c r="BM123" s="163"/>
      <c r="BN123" s="163"/>
      <c r="BO123" s="163"/>
      <c r="BP123" s="163"/>
      <c r="BQ123" s="163"/>
      <c r="BR123" s="163"/>
      <c r="BS123" s="163"/>
      <c r="BT123" s="163"/>
      <c r="BU123" s="163"/>
      <c r="BV123" s="163"/>
      <c r="BW123" s="163"/>
      <c r="BX123" s="163"/>
      <c r="BY123" s="163"/>
      <c r="BZ123" s="163"/>
      <c r="CA123" s="163"/>
      <c r="CB123" s="163"/>
      <c r="CC123" s="163"/>
      <c r="CD123" s="163"/>
      <c r="CE123" s="163"/>
      <c r="CF123" s="163"/>
      <c r="CG123" s="163"/>
      <c r="CH123" s="163"/>
      <c r="CI123" s="163"/>
      <c r="CJ123" s="163"/>
      <c r="CK123" s="163"/>
      <c r="CL123" s="163"/>
      <c r="CM123" s="163"/>
      <c r="CN123" s="163"/>
      <c r="CO123" s="163"/>
      <c r="CP123" s="163"/>
      <c r="CQ123" s="163"/>
      <c r="CR123" s="163"/>
      <c r="CS123" s="163"/>
      <c r="CT123" s="163"/>
      <c r="CU123" s="163"/>
      <c r="CV123" s="163"/>
      <c r="CW123" s="163"/>
      <c r="CX123" s="163"/>
      <c r="CY123" s="163"/>
      <c r="CZ123" s="163"/>
      <c r="DA123" s="163"/>
      <c r="DB123" s="163"/>
      <c r="DC123" s="163"/>
      <c r="DD123" s="163"/>
      <c r="DE123" s="163"/>
      <c r="DF123" s="163"/>
      <c r="DG123" s="163"/>
      <c r="DH123" s="163"/>
      <c r="DI123" s="163"/>
      <c r="DJ123" s="163"/>
      <c r="DK123" s="163"/>
      <c r="DL123" s="163"/>
      <c r="DM123" s="163"/>
      <c r="DN123" s="163"/>
      <c r="DO123" s="163"/>
      <c r="DP123" s="163"/>
      <c r="DQ123" s="163"/>
      <c r="DR123" s="163"/>
      <c r="DS123" s="163"/>
      <c r="DT123" s="163"/>
      <c r="DU123" s="163"/>
      <c r="DV123" s="163"/>
      <c r="DW123" s="163"/>
      <c r="DX123" s="163"/>
      <c r="DY123" s="163"/>
      <c r="DZ123" s="163"/>
      <c r="EA123" s="163"/>
      <c r="EB123" s="163"/>
      <c r="EC123" s="163"/>
      <c r="ED123" s="163"/>
      <c r="EE123" s="163"/>
      <c r="EF123" s="163"/>
      <c r="EG123" s="163"/>
      <c r="EH123" s="163"/>
      <c r="EI123" s="163"/>
      <c r="EJ123" s="163"/>
    </row>
    <row r="124" spans="1:140" s="112" customFormat="1" ht="15" customHeight="1" x14ac:dyDescent="0.25">
      <c r="A124" s="209"/>
      <c r="B124" s="209"/>
      <c r="C124" s="209"/>
      <c r="D124" s="209"/>
      <c r="E124" s="831"/>
      <c r="F124" s="881" t="str">
        <f>IF(Workspace!F607&lt;&gt;"",Workspace!F607,"")</f>
        <v/>
      </c>
      <c r="G124" s="881"/>
      <c r="H124" s="881"/>
      <c r="I124" s="881"/>
      <c r="J124" s="881"/>
      <c r="K124" s="881"/>
      <c r="L124" s="881"/>
      <c r="M124" s="209"/>
      <c r="N124" s="666"/>
      <c r="O124" s="666"/>
      <c r="P124" s="666"/>
      <c r="Q124" s="666"/>
      <c r="R124" s="666"/>
      <c r="S124" s="666"/>
      <c r="T124" s="666"/>
      <c r="U124" s="666"/>
      <c r="V124" s="666"/>
      <c r="W124" s="666"/>
      <c r="X124" s="666"/>
      <c r="Y124" s="666"/>
      <c r="Z124" s="666"/>
      <c r="AA124" s="163"/>
      <c r="AB124" s="163"/>
      <c r="AC124" s="163"/>
      <c r="AD124" s="163"/>
      <c r="AE124" s="163"/>
      <c r="AF124" s="163"/>
      <c r="AG124" s="163"/>
      <c r="AH124" s="163"/>
      <c r="AI124" s="163"/>
      <c r="AJ124" s="163"/>
      <c r="AK124" s="163"/>
      <c r="AL124" s="163"/>
      <c r="AM124" s="163"/>
      <c r="AN124" s="163"/>
      <c r="AO124" s="163"/>
      <c r="AP124" s="163"/>
      <c r="AQ124" s="163"/>
      <c r="AR124" s="163"/>
      <c r="AS124" s="163"/>
      <c r="AT124" s="163"/>
      <c r="AU124" s="163"/>
      <c r="AV124" s="163"/>
      <c r="AW124" s="163"/>
      <c r="AX124" s="163"/>
      <c r="AY124" s="163"/>
      <c r="AZ124" s="163"/>
      <c r="BA124" s="163"/>
      <c r="BB124" s="163"/>
      <c r="BC124" s="163"/>
      <c r="BD124" s="163"/>
      <c r="BE124" s="163"/>
      <c r="BF124" s="163"/>
      <c r="BG124" s="163"/>
      <c r="BH124" s="163"/>
      <c r="BI124" s="163"/>
      <c r="BJ124" s="163"/>
      <c r="BK124" s="163"/>
      <c r="BL124" s="163"/>
      <c r="BM124" s="163"/>
      <c r="BN124" s="163"/>
      <c r="BO124" s="163"/>
      <c r="BP124" s="163"/>
      <c r="BQ124" s="163"/>
      <c r="BR124" s="163"/>
      <c r="BS124" s="163"/>
      <c r="BT124" s="163"/>
      <c r="BU124" s="163"/>
      <c r="BV124" s="163"/>
      <c r="BW124" s="163"/>
      <c r="BX124" s="163"/>
      <c r="BY124" s="163"/>
      <c r="BZ124" s="163"/>
      <c r="CA124" s="163"/>
      <c r="CB124" s="163"/>
      <c r="CC124" s="163"/>
      <c r="CD124" s="163"/>
      <c r="CE124" s="163"/>
      <c r="CF124" s="163"/>
      <c r="CG124" s="163"/>
      <c r="CH124" s="163"/>
      <c r="CI124" s="163"/>
      <c r="CJ124" s="163"/>
      <c r="CK124" s="163"/>
      <c r="CL124" s="163"/>
      <c r="CM124" s="163"/>
      <c r="CN124" s="163"/>
      <c r="CO124" s="163"/>
      <c r="CP124" s="163"/>
      <c r="CQ124" s="163"/>
      <c r="CR124" s="163"/>
      <c r="CS124" s="163"/>
      <c r="CT124" s="163"/>
      <c r="CU124" s="163"/>
      <c r="CV124" s="163"/>
      <c r="CW124" s="163"/>
      <c r="CX124" s="163"/>
      <c r="CY124" s="163"/>
      <c r="CZ124" s="163"/>
      <c r="DA124" s="163"/>
      <c r="DB124" s="163"/>
      <c r="DC124" s="163"/>
      <c r="DD124" s="163"/>
      <c r="DE124" s="163"/>
      <c r="DF124" s="163"/>
      <c r="DG124" s="163"/>
      <c r="DH124" s="163"/>
      <c r="DI124" s="163"/>
      <c r="DJ124" s="163"/>
      <c r="DK124" s="163"/>
      <c r="DL124" s="163"/>
      <c r="DM124" s="163"/>
      <c r="DN124" s="163"/>
      <c r="DO124" s="163"/>
      <c r="DP124" s="163"/>
      <c r="DQ124" s="163"/>
      <c r="DR124" s="163"/>
      <c r="DS124" s="163"/>
      <c r="DT124" s="163"/>
      <c r="DU124" s="163"/>
      <c r="DV124" s="163"/>
      <c r="DW124" s="163"/>
      <c r="DX124" s="163"/>
      <c r="DY124" s="163"/>
      <c r="DZ124" s="163"/>
      <c r="EA124" s="163"/>
      <c r="EB124" s="163"/>
      <c r="EC124" s="163"/>
      <c r="ED124" s="163"/>
      <c r="EE124" s="163"/>
      <c r="EF124" s="163"/>
      <c r="EG124" s="163"/>
      <c r="EH124" s="163"/>
      <c r="EI124" s="163"/>
      <c r="EJ124" s="163"/>
    </row>
    <row r="125" spans="1:140" s="112" customFormat="1" ht="15" customHeight="1" x14ac:dyDescent="0.25">
      <c r="A125" s="209"/>
      <c r="B125" s="209"/>
      <c r="C125" s="209"/>
      <c r="D125" s="209"/>
      <c r="E125" s="831"/>
      <c r="F125" s="881" t="str">
        <f>IF(Workspace!F608&lt;&gt;"",Workspace!F608,"")</f>
        <v/>
      </c>
      <c r="G125" s="881"/>
      <c r="H125" s="881"/>
      <c r="I125" s="881"/>
      <c r="J125" s="881"/>
      <c r="K125" s="881"/>
      <c r="L125" s="881"/>
      <c r="M125" s="209"/>
      <c r="N125" s="666"/>
      <c r="O125" s="666"/>
      <c r="P125" s="666"/>
      <c r="Q125" s="666"/>
      <c r="R125" s="666"/>
      <c r="S125" s="666"/>
      <c r="T125" s="666"/>
      <c r="U125" s="666"/>
      <c r="V125" s="666"/>
      <c r="W125" s="666"/>
      <c r="X125" s="666"/>
      <c r="Y125" s="666"/>
      <c r="Z125" s="666"/>
      <c r="AA125" s="163"/>
      <c r="AB125" s="163"/>
      <c r="AC125" s="163"/>
      <c r="AD125" s="163"/>
      <c r="AE125" s="163"/>
      <c r="AF125" s="163"/>
      <c r="AG125" s="163"/>
      <c r="AH125" s="163"/>
      <c r="AI125" s="163"/>
      <c r="AJ125" s="163"/>
      <c r="AK125" s="163"/>
      <c r="AL125" s="163"/>
      <c r="AM125" s="163"/>
      <c r="AN125" s="163"/>
      <c r="AO125" s="163"/>
      <c r="AP125" s="163"/>
      <c r="AQ125" s="163"/>
      <c r="AR125" s="163"/>
      <c r="AS125" s="163"/>
      <c r="AT125" s="163"/>
      <c r="AU125" s="163"/>
      <c r="AV125" s="163"/>
      <c r="AW125" s="163"/>
      <c r="AX125" s="163"/>
      <c r="AY125" s="163"/>
      <c r="AZ125" s="163"/>
      <c r="BA125" s="163"/>
      <c r="BB125" s="163"/>
      <c r="BC125" s="163"/>
      <c r="BD125" s="163"/>
      <c r="BE125" s="163"/>
      <c r="BF125" s="163"/>
      <c r="BG125" s="163"/>
      <c r="BH125" s="163"/>
      <c r="BI125" s="163"/>
      <c r="BJ125" s="163"/>
      <c r="BK125" s="163"/>
      <c r="BL125" s="163"/>
      <c r="BM125" s="163"/>
      <c r="BN125" s="163"/>
      <c r="BO125" s="163"/>
      <c r="BP125" s="163"/>
      <c r="BQ125" s="163"/>
      <c r="BR125" s="163"/>
      <c r="BS125" s="163"/>
      <c r="BT125" s="163"/>
      <c r="BU125" s="163"/>
      <c r="BV125" s="163"/>
      <c r="BW125" s="163"/>
      <c r="BX125" s="163"/>
      <c r="BY125" s="163"/>
      <c r="BZ125" s="163"/>
      <c r="CA125" s="163"/>
      <c r="CB125" s="163"/>
      <c r="CC125" s="163"/>
      <c r="CD125" s="163"/>
      <c r="CE125" s="163"/>
      <c r="CF125" s="163"/>
      <c r="CG125" s="163"/>
      <c r="CH125" s="163"/>
      <c r="CI125" s="163"/>
      <c r="CJ125" s="163"/>
      <c r="CK125" s="163"/>
      <c r="CL125" s="163"/>
      <c r="CM125" s="163"/>
      <c r="CN125" s="163"/>
      <c r="CO125" s="163"/>
      <c r="CP125" s="163"/>
      <c r="CQ125" s="163"/>
      <c r="CR125" s="163"/>
      <c r="CS125" s="163"/>
      <c r="CT125" s="163"/>
      <c r="CU125" s="163"/>
      <c r="CV125" s="163"/>
      <c r="CW125" s="163"/>
      <c r="CX125" s="163"/>
      <c r="CY125" s="163"/>
      <c r="CZ125" s="163"/>
      <c r="DA125" s="163"/>
      <c r="DB125" s="163"/>
      <c r="DC125" s="163"/>
      <c r="DD125" s="163"/>
      <c r="DE125" s="163"/>
      <c r="DF125" s="163"/>
      <c r="DG125" s="163"/>
      <c r="DH125" s="163"/>
      <c r="DI125" s="163"/>
      <c r="DJ125" s="163"/>
      <c r="DK125" s="163"/>
      <c r="DL125" s="163"/>
      <c r="DM125" s="163"/>
      <c r="DN125" s="163"/>
      <c r="DO125" s="163"/>
      <c r="DP125" s="163"/>
      <c r="DQ125" s="163"/>
      <c r="DR125" s="163"/>
      <c r="DS125" s="163"/>
      <c r="DT125" s="163"/>
      <c r="DU125" s="163"/>
      <c r="DV125" s="163"/>
      <c r="DW125" s="163"/>
      <c r="DX125" s="163"/>
      <c r="DY125" s="163"/>
      <c r="DZ125" s="163"/>
      <c r="EA125" s="163"/>
      <c r="EB125" s="163"/>
      <c r="EC125" s="163"/>
      <c r="ED125" s="163"/>
      <c r="EE125" s="163"/>
      <c r="EF125" s="163"/>
      <c r="EG125" s="163"/>
      <c r="EH125" s="163"/>
      <c r="EI125" s="163"/>
      <c r="EJ125" s="163"/>
    </row>
    <row r="126" spans="1:140" s="112" customFormat="1" ht="15" customHeight="1" x14ac:dyDescent="0.25">
      <c r="A126" s="209"/>
      <c r="B126" s="209"/>
      <c r="C126" s="209"/>
      <c r="D126" s="209"/>
      <c r="E126" s="831"/>
      <c r="F126" s="881" t="str">
        <f>IF(Workspace!F609&lt;&gt;"",Workspace!F609,"")</f>
        <v/>
      </c>
      <c r="G126" s="881"/>
      <c r="H126" s="881"/>
      <c r="I126" s="881"/>
      <c r="J126" s="881"/>
      <c r="K126" s="881"/>
      <c r="L126" s="881"/>
      <c r="M126" s="209"/>
      <c r="N126" s="666"/>
      <c r="O126" s="666"/>
      <c r="P126" s="666"/>
      <c r="Q126" s="666"/>
      <c r="R126" s="666"/>
      <c r="S126" s="666"/>
      <c r="T126" s="666"/>
      <c r="U126" s="666"/>
      <c r="V126" s="666"/>
      <c r="W126" s="666"/>
      <c r="X126" s="666"/>
      <c r="Y126" s="666"/>
      <c r="Z126" s="666"/>
      <c r="AA126" s="163"/>
      <c r="AB126" s="163"/>
      <c r="AC126" s="163"/>
      <c r="AD126" s="163"/>
      <c r="AE126" s="163"/>
      <c r="AF126" s="163"/>
      <c r="AG126" s="163"/>
      <c r="AH126" s="163"/>
      <c r="AI126" s="163"/>
      <c r="AJ126" s="163"/>
      <c r="AK126" s="163"/>
      <c r="AL126" s="163"/>
      <c r="AM126" s="163"/>
      <c r="AN126" s="163"/>
      <c r="AO126" s="163"/>
      <c r="AP126" s="163"/>
      <c r="AQ126" s="163"/>
      <c r="AR126" s="163"/>
      <c r="AS126" s="163"/>
      <c r="AT126" s="163"/>
      <c r="AU126" s="163"/>
      <c r="AV126" s="163"/>
      <c r="AW126" s="163"/>
      <c r="AX126" s="163"/>
      <c r="AY126" s="163"/>
      <c r="AZ126" s="163"/>
      <c r="BA126" s="163"/>
      <c r="BB126" s="163"/>
      <c r="BC126" s="163"/>
      <c r="BD126" s="163"/>
      <c r="BE126" s="163"/>
      <c r="BF126" s="163"/>
      <c r="BG126" s="163"/>
      <c r="BH126" s="163"/>
      <c r="BI126" s="163"/>
      <c r="BJ126" s="163"/>
      <c r="BK126" s="163"/>
      <c r="BL126" s="163"/>
      <c r="BM126" s="163"/>
      <c r="BN126" s="163"/>
      <c r="BO126" s="163"/>
      <c r="BP126" s="163"/>
      <c r="BQ126" s="163"/>
      <c r="BR126" s="163"/>
      <c r="BS126" s="163"/>
      <c r="BT126" s="163"/>
      <c r="BU126" s="163"/>
      <c r="BV126" s="163"/>
      <c r="BW126" s="163"/>
      <c r="BX126" s="163"/>
      <c r="BY126" s="163"/>
      <c r="BZ126" s="163"/>
      <c r="CA126" s="163"/>
      <c r="CB126" s="163"/>
      <c r="CC126" s="163"/>
      <c r="CD126" s="163"/>
      <c r="CE126" s="163"/>
      <c r="CF126" s="163"/>
      <c r="CG126" s="163"/>
      <c r="CH126" s="163"/>
      <c r="CI126" s="163"/>
      <c r="CJ126" s="163"/>
      <c r="CK126" s="163"/>
      <c r="CL126" s="163"/>
      <c r="CM126" s="163"/>
      <c r="CN126" s="163"/>
      <c r="CO126" s="163"/>
      <c r="CP126" s="163"/>
      <c r="CQ126" s="163"/>
      <c r="CR126" s="163"/>
      <c r="CS126" s="163"/>
      <c r="CT126" s="163"/>
      <c r="CU126" s="163"/>
      <c r="CV126" s="163"/>
      <c r="CW126" s="163"/>
      <c r="CX126" s="163"/>
      <c r="CY126" s="163"/>
      <c r="CZ126" s="163"/>
      <c r="DA126" s="163"/>
      <c r="DB126" s="163"/>
      <c r="DC126" s="163"/>
      <c r="DD126" s="163"/>
      <c r="DE126" s="163"/>
      <c r="DF126" s="163"/>
      <c r="DG126" s="163"/>
      <c r="DH126" s="163"/>
      <c r="DI126" s="163"/>
      <c r="DJ126" s="163"/>
      <c r="DK126" s="163"/>
      <c r="DL126" s="163"/>
      <c r="DM126" s="163"/>
      <c r="DN126" s="163"/>
      <c r="DO126" s="163"/>
      <c r="DP126" s="163"/>
      <c r="DQ126" s="163"/>
      <c r="DR126" s="163"/>
      <c r="DS126" s="163"/>
      <c r="DT126" s="163"/>
      <c r="DU126" s="163"/>
      <c r="DV126" s="163"/>
      <c r="DW126" s="163"/>
      <c r="DX126" s="163"/>
      <c r="DY126" s="163"/>
      <c r="DZ126" s="163"/>
      <c r="EA126" s="163"/>
      <c r="EB126" s="163"/>
      <c r="EC126" s="163"/>
      <c r="ED126" s="163"/>
      <c r="EE126" s="163"/>
      <c r="EF126" s="163"/>
      <c r="EG126" s="163"/>
      <c r="EH126" s="163"/>
      <c r="EI126" s="163"/>
      <c r="EJ126" s="163"/>
    </row>
    <row r="127" spans="1:140" s="112" customFormat="1" ht="15" customHeight="1" x14ac:dyDescent="0.25">
      <c r="A127" s="209"/>
      <c r="B127" s="209"/>
      <c r="C127" s="209"/>
      <c r="D127" s="209"/>
      <c r="E127" s="831"/>
      <c r="F127" s="881" t="str">
        <f>IF(Workspace!F610&lt;&gt;"",Workspace!F610,"")</f>
        <v/>
      </c>
      <c r="G127" s="881"/>
      <c r="H127" s="881"/>
      <c r="I127" s="881"/>
      <c r="J127" s="881"/>
      <c r="K127" s="881"/>
      <c r="L127" s="881"/>
      <c r="M127" s="209"/>
      <c r="N127" s="666"/>
      <c r="O127" s="666"/>
      <c r="P127" s="666"/>
      <c r="Q127" s="666"/>
      <c r="R127" s="666"/>
      <c r="S127" s="666"/>
      <c r="T127" s="666"/>
      <c r="U127" s="666"/>
      <c r="V127" s="666"/>
      <c r="W127" s="666"/>
      <c r="X127" s="666"/>
      <c r="Y127" s="666"/>
      <c r="Z127" s="666"/>
      <c r="AA127" s="163"/>
      <c r="AB127" s="163"/>
      <c r="AC127" s="163"/>
      <c r="AD127" s="163"/>
      <c r="AE127" s="163"/>
      <c r="AF127" s="163"/>
      <c r="AG127" s="163"/>
      <c r="AH127" s="163"/>
      <c r="AI127" s="163"/>
      <c r="AJ127" s="163"/>
      <c r="AK127" s="163"/>
      <c r="AL127" s="163"/>
      <c r="AM127" s="163"/>
      <c r="AN127" s="163"/>
      <c r="AO127" s="163"/>
      <c r="AP127" s="163"/>
      <c r="AQ127" s="163"/>
      <c r="AR127" s="163"/>
      <c r="AS127" s="163"/>
      <c r="AT127" s="163"/>
      <c r="AU127" s="163"/>
      <c r="AV127" s="163"/>
      <c r="AW127" s="163"/>
      <c r="AX127" s="163"/>
      <c r="AY127" s="163"/>
      <c r="AZ127" s="163"/>
      <c r="BA127" s="163"/>
      <c r="BB127" s="163"/>
      <c r="BC127" s="163"/>
      <c r="BD127" s="163"/>
      <c r="BE127" s="163"/>
      <c r="BF127" s="163"/>
      <c r="BG127" s="163"/>
      <c r="BH127" s="163"/>
      <c r="BI127" s="163"/>
      <c r="BJ127" s="163"/>
      <c r="BK127" s="163"/>
      <c r="BL127" s="163"/>
      <c r="BM127" s="163"/>
      <c r="BN127" s="163"/>
      <c r="BO127" s="163"/>
      <c r="BP127" s="163"/>
      <c r="BQ127" s="163"/>
      <c r="BR127" s="163"/>
      <c r="BS127" s="163"/>
      <c r="BT127" s="163"/>
      <c r="BU127" s="163"/>
      <c r="BV127" s="163"/>
      <c r="BW127" s="163"/>
      <c r="BX127" s="163"/>
      <c r="BY127" s="163"/>
      <c r="BZ127" s="163"/>
      <c r="CA127" s="163"/>
      <c r="CB127" s="163"/>
      <c r="CC127" s="163"/>
      <c r="CD127" s="163"/>
      <c r="CE127" s="163"/>
      <c r="CF127" s="163"/>
      <c r="CG127" s="163"/>
      <c r="CH127" s="163"/>
      <c r="CI127" s="163"/>
      <c r="CJ127" s="163"/>
      <c r="CK127" s="163"/>
      <c r="CL127" s="163"/>
      <c r="CM127" s="163"/>
      <c r="CN127" s="163"/>
      <c r="CO127" s="163"/>
      <c r="CP127" s="163"/>
      <c r="CQ127" s="163"/>
      <c r="CR127" s="163"/>
      <c r="CS127" s="163"/>
      <c r="CT127" s="163"/>
      <c r="CU127" s="163"/>
      <c r="CV127" s="163"/>
      <c r="CW127" s="163"/>
      <c r="CX127" s="163"/>
      <c r="CY127" s="163"/>
      <c r="CZ127" s="163"/>
      <c r="DA127" s="163"/>
      <c r="DB127" s="163"/>
      <c r="DC127" s="163"/>
      <c r="DD127" s="163"/>
      <c r="DE127" s="163"/>
      <c r="DF127" s="163"/>
      <c r="DG127" s="163"/>
      <c r="DH127" s="163"/>
      <c r="DI127" s="163"/>
      <c r="DJ127" s="163"/>
      <c r="DK127" s="163"/>
      <c r="DL127" s="163"/>
      <c r="DM127" s="163"/>
      <c r="DN127" s="163"/>
      <c r="DO127" s="163"/>
      <c r="DP127" s="163"/>
      <c r="DQ127" s="163"/>
      <c r="DR127" s="163"/>
      <c r="DS127" s="163"/>
      <c r="DT127" s="163"/>
      <c r="DU127" s="163"/>
      <c r="DV127" s="163"/>
      <c r="DW127" s="163"/>
      <c r="DX127" s="163"/>
      <c r="DY127" s="163"/>
      <c r="DZ127" s="163"/>
      <c r="EA127" s="163"/>
      <c r="EB127" s="163"/>
      <c r="EC127" s="163"/>
      <c r="ED127" s="163"/>
      <c r="EE127" s="163"/>
      <c r="EF127" s="163"/>
      <c r="EG127" s="163"/>
      <c r="EH127" s="163"/>
      <c r="EI127" s="163"/>
      <c r="EJ127" s="163"/>
    </row>
    <row r="128" spans="1:140" s="112" customFormat="1" ht="15" customHeight="1" x14ac:dyDescent="0.25">
      <c r="A128" s="209"/>
      <c r="B128" s="209"/>
      <c r="C128" s="209"/>
      <c r="D128" s="209"/>
      <c r="E128" s="831"/>
      <c r="F128" s="881" t="str">
        <f>IF(Workspace!F611&lt;&gt;"",Workspace!F611,"")</f>
        <v/>
      </c>
      <c r="G128" s="881"/>
      <c r="H128" s="881"/>
      <c r="I128" s="881"/>
      <c r="J128" s="881"/>
      <c r="K128" s="881"/>
      <c r="L128" s="881"/>
      <c r="M128" s="209"/>
      <c r="N128" s="666"/>
      <c r="O128" s="666"/>
      <c r="P128" s="666"/>
      <c r="Q128" s="666"/>
      <c r="R128" s="666"/>
      <c r="S128" s="666"/>
      <c r="T128" s="666"/>
      <c r="U128" s="666"/>
      <c r="V128" s="666"/>
      <c r="W128" s="666"/>
      <c r="X128" s="666"/>
      <c r="Y128" s="666"/>
      <c r="Z128" s="666"/>
      <c r="AA128" s="163"/>
      <c r="AB128" s="163"/>
      <c r="AC128" s="163"/>
      <c r="AD128" s="163"/>
      <c r="AE128" s="163"/>
      <c r="AF128" s="163"/>
      <c r="AG128" s="163"/>
      <c r="AH128" s="163"/>
      <c r="AI128" s="163"/>
      <c r="AJ128" s="163"/>
      <c r="AK128" s="163"/>
      <c r="AL128" s="163"/>
      <c r="AM128" s="163"/>
      <c r="AN128" s="163"/>
      <c r="AO128" s="163"/>
      <c r="AP128" s="163"/>
      <c r="AQ128" s="163"/>
      <c r="AR128" s="163"/>
      <c r="AS128" s="163"/>
      <c r="AT128" s="163"/>
      <c r="AU128" s="163"/>
      <c r="AV128" s="163"/>
      <c r="AW128" s="163"/>
      <c r="AX128" s="163"/>
      <c r="AY128" s="163"/>
      <c r="AZ128" s="163"/>
      <c r="BA128" s="163"/>
      <c r="BB128" s="163"/>
      <c r="BC128" s="163"/>
      <c r="BD128" s="163"/>
      <c r="BE128" s="163"/>
      <c r="BF128" s="163"/>
      <c r="BG128" s="163"/>
      <c r="BH128" s="163"/>
      <c r="BI128" s="163"/>
      <c r="BJ128" s="163"/>
      <c r="BK128" s="163"/>
      <c r="BL128" s="163"/>
      <c r="BM128" s="163"/>
      <c r="BN128" s="163"/>
      <c r="BO128" s="163"/>
      <c r="BP128" s="163"/>
      <c r="BQ128" s="163"/>
      <c r="BR128" s="163"/>
      <c r="BS128" s="163"/>
      <c r="BT128" s="163"/>
      <c r="BU128" s="163"/>
      <c r="BV128" s="163"/>
      <c r="BW128" s="163"/>
      <c r="BX128" s="163"/>
      <c r="BY128" s="163"/>
      <c r="BZ128" s="163"/>
      <c r="CA128" s="163"/>
      <c r="CB128" s="163"/>
      <c r="CC128" s="163"/>
      <c r="CD128" s="163"/>
      <c r="CE128" s="163"/>
      <c r="CF128" s="163"/>
      <c r="CG128" s="163"/>
      <c r="CH128" s="163"/>
      <c r="CI128" s="163"/>
      <c r="CJ128" s="163"/>
      <c r="CK128" s="163"/>
      <c r="CL128" s="163"/>
      <c r="CM128" s="163"/>
      <c r="CN128" s="163"/>
      <c r="CO128" s="163"/>
      <c r="CP128" s="163"/>
      <c r="CQ128" s="163"/>
      <c r="CR128" s="163"/>
      <c r="CS128" s="163"/>
      <c r="CT128" s="163"/>
      <c r="CU128" s="163"/>
      <c r="CV128" s="163"/>
      <c r="CW128" s="163"/>
      <c r="CX128" s="163"/>
      <c r="CY128" s="163"/>
      <c r="CZ128" s="163"/>
      <c r="DA128" s="163"/>
      <c r="DB128" s="163"/>
      <c r="DC128" s="163"/>
      <c r="DD128" s="163"/>
      <c r="DE128" s="163"/>
      <c r="DF128" s="163"/>
      <c r="DG128" s="163"/>
      <c r="DH128" s="163"/>
      <c r="DI128" s="163"/>
      <c r="DJ128" s="163"/>
      <c r="DK128" s="163"/>
      <c r="DL128" s="163"/>
      <c r="DM128" s="163"/>
      <c r="DN128" s="163"/>
      <c r="DO128" s="163"/>
      <c r="DP128" s="163"/>
      <c r="DQ128" s="163"/>
      <c r="DR128" s="163"/>
      <c r="DS128" s="163"/>
      <c r="DT128" s="163"/>
      <c r="DU128" s="163"/>
      <c r="DV128" s="163"/>
      <c r="DW128" s="163"/>
      <c r="DX128" s="163"/>
      <c r="DY128" s="163"/>
      <c r="DZ128" s="163"/>
      <c r="EA128" s="163"/>
      <c r="EB128" s="163"/>
      <c r="EC128" s="163"/>
      <c r="ED128" s="163"/>
      <c r="EE128" s="163"/>
      <c r="EF128" s="163"/>
      <c r="EG128" s="163"/>
      <c r="EH128" s="163"/>
      <c r="EI128" s="163"/>
      <c r="EJ128" s="163"/>
    </row>
    <row r="129" spans="1:259" s="112" customFormat="1" x14ac:dyDescent="0.25">
      <c r="A129" s="209"/>
      <c r="B129" s="209"/>
      <c r="C129" s="209"/>
      <c r="D129" s="209"/>
      <c r="E129" s="209"/>
      <c r="F129" s="209"/>
      <c r="G129" s="209"/>
      <c r="H129" s="209"/>
      <c r="I129" s="209"/>
      <c r="J129" s="209"/>
      <c r="K129" s="209"/>
      <c r="L129" s="209"/>
      <c r="M129" s="209"/>
      <c r="N129" s="666"/>
      <c r="O129" s="666"/>
      <c r="P129" s="666"/>
      <c r="Q129" s="666"/>
      <c r="R129" s="666"/>
      <c r="S129" s="666"/>
      <c r="T129" s="666"/>
      <c r="U129" s="666"/>
      <c r="V129" s="666"/>
      <c r="W129" s="666"/>
      <c r="X129" s="666"/>
      <c r="Y129" s="666"/>
      <c r="Z129" s="666"/>
      <c r="AA129" s="163"/>
      <c r="AB129" s="163"/>
      <c r="AC129" s="163"/>
      <c r="AD129" s="163"/>
      <c r="AE129" s="163"/>
      <c r="AF129" s="163"/>
      <c r="AG129" s="163"/>
      <c r="AH129" s="163"/>
      <c r="AI129" s="163"/>
      <c r="AJ129" s="163"/>
      <c r="AK129" s="163"/>
      <c r="AL129" s="163"/>
      <c r="AM129" s="163"/>
      <c r="AN129" s="163"/>
      <c r="AO129" s="163"/>
      <c r="AP129" s="163"/>
      <c r="AQ129" s="163"/>
      <c r="AR129" s="163"/>
      <c r="AS129" s="163"/>
      <c r="AT129" s="163"/>
      <c r="AU129" s="163"/>
      <c r="AV129" s="163"/>
      <c r="AW129" s="163"/>
      <c r="AX129" s="163"/>
      <c r="AY129" s="163"/>
      <c r="AZ129" s="163"/>
      <c r="BA129" s="163"/>
      <c r="BB129" s="163"/>
      <c r="BC129" s="163"/>
      <c r="BD129" s="163"/>
      <c r="BE129" s="163"/>
      <c r="BF129" s="163"/>
      <c r="BG129" s="163"/>
      <c r="BH129" s="163"/>
      <c r="BI129" s="163"/>
      <c r="BJ129" s="163"/>
      <c r="BK129" s="163"/>
      <c r="BL129" s="163"/>
      <c r="BM129" s="163"/>
      <c r="BN129" s="163"/>
      <c r="BO129" s="163"/>
      <c r="BP129" s="163"/>
      <c r="BQ129" s="163"/>
      <c r="BR129" s="163"/>
      <c r="BS129" s="163"/>
      <c r="BT129" s="163"/>
      <c r="BU129" s="163"/>
      <c r="BV129" s="163"/>
      <c r="BW129" s="163"/>
      <c r="BX129" s="163"/>
      <c r="BY129" s="163"/>
      <c r="BZ129" s="163"/>
      <c r="CA129" s="163"/>
      <c r="CB129" s="163"/>
      <c r="CC129" s="163"/>
      <c r="CD129" s="163"/>
      <c r="CE129" s="163"/>
      <c r="CF129" s="163"/>
      <c r="CG129" s="163"/>
      <c r="CH129" s="163"/>
      <c r="CI129" s="163"/>
      <c r="CJ129" s="163"/>
      <c r="CK129" s="163"/>
      <c r="CL129" s="163"/>
      <c r="CM129" s="163"/>
      <c r="CN129" s="163"/>
      <c r="CO129" s="163"/>
      <c r="CP129" s="163"/>
      <c r="CQ129" s="163"/>
      <c r="CR129" s="163"/>
      <c r="CS129" s="163"/>
      <c r="CT129" s="163"/>
      <c r="CU129" s="163"/>
      <c r="CV129" s="163"/>
      <c r="CW129" s="163"/>
      <c r="CX129" s="163"/>
      <c r="CY129" s="163"/>
      <c r="CZ129" s="163"/>
      <c r="DA129" s="163"/>
      <c r="DB129" s="163"/>
      <c r="DC129" s="163"/>
      <c r="DD129" s="163"/>
      <c r="DE129" s="163"/>
      <c r="DF129" s="163"/>
      <c r="DG129" s="163"/>
      <c r="DH129" s="163"/>
      <c r="DI129" s="163"/>
      <c r="DJ129" s="163"/>
      <c r="DK129" s="163"/>
      <c r="DL129" s="163"/>
      <c r="DM129" s="163"/>
      <c r="DN129" s="163"/>
      <c r="DO129" s="163"/>
      <c r="DP129" s="163"/>
      <c r="DQ129" s="163"/>
      <c r="DR129" s="163"/>
      <c r="DS129" s="163"/>
      <c r="DT129" s="163"/>
      <c r="DU129" s="163"/>
      <c r="DV129" s="163"/>
      <c r="DW129" s="163"/>
      <c r="DX129" s="163"/>
      <c r="DY129" s="163"/>
      <c r="DZ129" s="163"/>
      <c r="EA129" s="163"/>
      <c r="EB129" s="163"/>
      <c r="EC129" s="163"/>
      <c r="ED129" s="163"/>
      <c r="EE129" s="163"/>
      <c r="EF129" s="163"/>
      <c r="EG129" s="163"/>
      <c r="EH129" s="163"/>
      <c r="EI129" s="163"/>
      <c r="EJ129" s="163"/>
    </row>
    <row r="130" spans="1:259" s="112" customFormat="1" x14ac:dyDescent="0.25">
      <c r="A130" s="209"/>
      <c r="B130" s="209"/>
      <c r="C130" s="209"/>
      <c r="D130" s="209"/>
      <c r="E130" s="209"/>
      <c r="F130" s="209"/>
      <c r="G130" s="209"/>
      <c r="H130" s="209"/>
      <c r="I130" s="209"/>
      <c r="J130" s="209"/>
      <c r="K130" s="209"/>
      <c r="L130" s="209"/>
      <c r="M130" s="209"/>
      <c r="N130" s="666"/>
      <c r="O130" s="666"/>
      <c r="P130" s="666"/>
      <c r="Q130" s="666"/>
      <c r="R130" s="666"/>
      <c r="S130" s="666"/>
      <c r="T130" s="666"/>
      <c r="U130" s="666"/>
      <c r="V130" s="666"/>
      <c r="W130" s="666"/>
      <c r="X130" s="666"/>
      <c r="Y130" s="666"/>
      <c r="Z130" s="666"/>
      <c r="AA130" s="163"/>
      <c r="AB130" s="163"/>
      <c r="AC130" s="163"/>
      <c r="AD130" s="163"/>
      <c r="AE130" s="163"/>
      <c r="AF130" s="163"/>
      <c r="AG130" s="163"/>
      <c r="AH130" s="163"/>
      <c r="AI130" s="163"/>
      <c r="AJ130" s="163"/>
      <c r="AK130" s="163"/>
      <c r="AL130" s="163"/>
      <c r="AM130" s="163"/>
      <c r="AN130" s="163"/>
      <c r="AO130" s="163"/>
      <c r="AP130" s="163"/>
      <c r="AQ130" s="163"/>
      <c r="AR130" s="163"/>
      <c r="AS130" s="163"/>
      <c r="AT130" s="163"/>
      <c r="AU130" s="163"/>
      <c r="AV130" s="163"/>
      <c r="AW130" s="163"/>
      <c r="AX130" s="163"/>
      <c r="AY130" s="163"/>
      <c r="AZ130" s="163"/>
      <c r="BA130" s="163"/>
      <c r="BB130" s="163"/>
      <c r="BC130" s="163"/>
      <c r="BD130" s="163"/>
      <c r="BE130" s="163"/>
      <c r="BF130" s="163"/>
      <c r="BG130" s="163"/>
      <c r="BH130" s="163"/>
      <c r="BI130" s="163"/>
      <c r="BJ130" s="163"/>
      <c r="BK130" s="163"/>
      <c r="BL130" s="163"/>
      <c r="BM130" s="163"/>
      <c r="BN130" s="163"/>
      <c r="BO130" s="163"/>
      <c r="BP130" s="163"/>
      <c r="BQ130" s="163"/>
      <c r="BR130" s="163"/>
      <c r="BS130" s="163"/>
      <c r="BT130" s="163"/>
      <c r="BU130" s="163"/>
      <c r="BV130" s="163"/>
      <c r="BW130" s="163"/>
      <c r="BX130" s="163"/>
      <c r="BY130" s="163"/>
      <c r="BZ130" s="163"/>
      <c r="CA130" s="163"/>
      <c r="CB130" s="163"/>
      <c r="CC130" s="163"/>
      <c r="CD130" s="163"/>
      <c r="CE130" s="163"/>
      <c r="CF130" s="163"/>
      <c r="CG130" s="163"/>
      <c r="CH130" s="163"/>
      <c r="CI130" s="163"/>
      <c r="CJ130" s="163"/>
      <c r="CK130" s="163"/>
      <c r="CL130" s="163"/>
      <c r="CM130" s="163"/>
      <c r="CN130" s="163"/>
      <c r="CO130" s="163"/>
      <c r="CP130" s="163"/>
      <c r="CQ130" s="163"/>
      <c r="CR130" s="163"/>
      <c r="CS130" s="163"/>
      <c r="CT130" s="163"/>
      <c r="CU130" s="163"/>
      <c r="CV130" s="163"/>
      <c r="CW130" s="163"/>
      <c r="CX130" s="163"/>
      <c r="CY130" s="163"/>
      <c r="CZ130" s="163"/>
      <c r="DA130" s="163"/>
      <c r="DB130" s="163"/>
      <c r="DC130" s="163"/>
      <c r="DD130" s="163"/>
      <c r="DE130" s="163"/>
      <c r="DF130" s="163"/>
      <c r="DG130" s="163"/>
      <c r="DH130" s="163"/>
      <c r="DI130" s="163"/>
      <c r="DJ130" s="163"/>
      <c r="DK130" s="163"/>
      <c r="DL130" s="163"/>
      <c r="DM130" s="163"/>
      <c r="DN130" s="163"/>
      <c r="DO130" s="163"/>
      <c r="DP130" s="163"/>
      <c r="DQ130" s="163"/>
      <c r="DR130" s="163"/>
      <c r="DS130" s="163"/>
      <c r="DT130" s="163"/>
      <c r="DU130" s="163"/>
      <c r="DV130" s="163"/>
      <c r="DW130" s="163"/>
      <c r="DX130" s="163"/>
      <c r="DY130" s="163"/>
      <c r="DZ130" s="163"/>
      <c r="EA130" s="163"/>
      <c r="EB130" s="163"/>
      <c r="EC130" s="163"/>
      <c r="ED130" s="163"/>
      <c r="EE130" s="163"/>
      <c r="EF130" s="163"/>
      <c r="EG130" s="163"/>
      <c r="EH130" s="163"/>
      <c r="EI130" s="163"/>
      <c r="EJ130" s="163"/>
    </row>
    <row r="131" spans="1:259" s="112" customFormat="1" x14ac:dyDescent="0.25">
      <c r="A131" s="209"/>
      <c r="B131" s="209"/>
      <c r="C131" s="209"/>
      <c r="D131" s="209"/>
      <c r="E131" s="209"/>
      <c r="F131" s="209"/>
      <c r="G131" s="209"/>
      <c r="H131" s="209"/>
      <c r="I131" s="209"/>
      <c r="J131" s="209"/>
      <c r="K131" s="209"/>
      <c r="L131" s="209"/>
      <c r="M131" s="209"/>
      <c r="N131" s="666"/>
      <c r="O131" s="666"/>
      <c r="P131" s="666"/>
      <c r="Q131" s="666"/>
      <c r="R131" s="666"/>
      <c r="S131" s="666"/>
      <c r="T131" s="666"/>
      <c r="U131" s="666"/>
      <c r="V131" s="666"/>
      <c r="W131" s="666"/>
      <c r="X131" s="666"/>
      <c r="Y131" s="666"/>
      <c r="Z131" s="666"/>
      <c r="AA131" s="163"/>
      <c r="AB131" s="163"/>
      <c r="AC131" s="163"/>
      <c r="AD131" s="163"/>
      <c r="AE131" s="163"/>
      <c r="AF131" s="163"/>
      <c r="AG131" s="163"/>
      <c r="AH131" s="163"/>
      <c r="AI131" s="163"/>
      <c r="AJ131" s="163"/>
      <c r="AK131" s="163"/>
      <c r="AL131" s="163"/>
      <c r="AM131" s="163"/>
      <c r="AN131" s="163"/>
      <c r="AO131" s="163"/>
      <c r="AP131" s="163"/>
      <c r="AQ131" s="163"/>
      <c r="AR131" s="163"/>
      <c r="AS131" s="163"/>
      <c r="AT131" s="163"/>
      <c r="AU131" s="163"/>
      <c r="AV131" s="163"/>
      <c r="AW131" s="163"/>
      <c r="AX131" s="163"/>
      <c r="AY131" s="163"/>
      <c r="AZ131" s="163"/>
      <c r="BA131" s="163"/>
      <c r="BB131" s="163"/>
      <c r="BC131" s="163"/>
      <c r="BD131" s="163"/>
      <c r="BE131" s="163"/>
      <c r="BF131" s="163"/>
      <c r="BG131" s="163"/>
      <c r="BH131" s="163"/>
      <c r="BI131" s="163"/>
      <c r="BJ131" s="163"/>
      <c r="BK131" s="163"/>
      <c r="BL131" s="163"/>
      <c r="BM131" s="163"/>
      <c r="BN131" s="163"/>
      <c r="BO131" s="163"/>
      <c r="BP131" s="163"/>
      <c r="BQ131" s="163"/>
      <c r="BR131" s="163"/>
      <c r="BS131" s="163"/>
      <c r="BT131" s="163"/>
      <c r="BU131" s="163"/>
      <c r="BV131" s="163"/>
      <c r="BW131" s="163"/>
      <c r="BX131" s="163"/>
      <c r="BY131" s="163"/>
      <c r="BZ131" s="163"/>
      <c r="CA131" s="163"/>
      <c r="CB131" s="163"/>
      <c r="CC131" s="163"/>
      <c r="CD131" s="163"/>
      <c r="CE131" s="163"/>
      <c r="CF131" s="163"/>
      <c r="CG131" s="163"/>
      <c r="CH131" s="163"/>
      <c r="CI131" s="163"/>
      <c r="CJ131" s="163"/>
      <c r="CK131" s="163"/>
      <c r="CL131" s="163"/>
      <c r="CM131" s="163"/>
      <c r="CN131" s="163"/>
      <c r="CO131" s="163"/>
      <c r="CP131" s="163"/>
      <c r="CQ131" s="163"/>
      <c r="CR131" s="163"/>
      <c r="CS131" s="163"/>
      <c r="CT131" s="163"/>
      <c r="CU131" s="163"/>
      <c r="CV131" s="163"/>
      <c r="CW131" s="163"/>
      <c r="CX131" s="163"/>
      <c r="CY131" s="163"/>
      <c r="CZ131" s="163"/>
      <c r="DA131" s="163"/>
      <c r="DB131" s="163"/>
      <c r="DC131" s="163"/>
      <c r="DD131" s="163"/>
      <c r="DE131" s="163"/>
      <c r="DF131" s="163"/>
      <c r="DG131" s="163"/>
      <c r="DH131" s="163"/>
      <c r="DI131" s="163"/>
      <c r="DJ131" s="163"/>
      <c r="DK131" s="163"/>
      <c r="DL131" s="163"/>
      <c r="DM131" s="163"/>
      <c r="DN131" s="163"/>
      <c r="DO131" s="163"/>
      <c r="DP131" s="163"/>
      <c r="DQ131" s="163"/>
      <c r="DR131" s="163"/>
      <c r="DS131" s="163"/>
      <c r="DT131" s="163"/>
      <c r="DU131" s="163"/>
      <c r="DV131" s="163"/>
      <c r="DW131" s="163"/>
      <c r="DX131" s="163"/>
      <c r="DY131" s="163"/>
      <c r="DZ131" s="163"/>
      <c r="EA131" s="163"/>
      <c r="EB131" s="163"/>
      <c r="EC131" s="163"/>
      <c r="ED131" s="163"/>
      <c r="EE131" s="163"/>
      <c r="EF131" s="163"/>
      <c r="EG131" s="163"/>
      <c r="EH131" s="163"/>
      <c r="EI131" s="163"/>
      <c r="EJ131" s="163"/>
    </row>
    <row r="132" spans="1:259" s="112" customFormat="1" x14ac:dyDescent="0.25">
      <c r="A132" s="209"/>
      <c r="B132" s="209"/>
      <c r="C132" s="209"/>
      <c r="D132" s="209"/>
      <c r="E132" s="209"/>
      <c r="F132" s="209"/>
      <c r="G132" s="209"/>
      <c r="H132" s="209"/>
      <c r="I132" s="209"/>
      <c r="J132" s="209"/>
      <c r="K132" s="209"/>
      <c r="L132" s="209"/>
      <c r="M132" s="209"/>
      <c r="N132" s="666"/>
      <c r="O132" s="666"/>
      <c r="P132" s="666"/>
      <c r="Q132" s="666"/>
      <c r="R132" s="666"/>
      <c r="S132" s="666"/>
      <c r="T132" s="666"/>
      <c r="U132" s="666"/>
      <c r="V132" s="666"/>
      <c r="W132" s="666"/>
      <c r="X132" s="666"/>
      <c r="Y132" s="666"/>
      <c r="Z132" s="666"/>
      <c r="AA132" s="163"/>
      <c r="AB132" s="163"/>
      <c r="AC132" s="163"/>
      <c r="AD132" s="163"/>
      <c r="AE132" s="163"/>
      <c r="AF132" s="163"/>
      <c r="AG132" s="163"/>
      <c r="AH132" s="163"/>
      <c r="AI132" s="163"/>
      <c r="AJ132" s="163"/>
      <c r="AK132" s="163"/>
      <c r="AL132" s="163"/>
      <c r="AM132" s="163"/>
      <c r="AN132" s="163"/>
      <c r="AO132" s="163"/>
      <c r="AP132" s="163"/>
      <c r="AQ132" s="163"/>
      <c r="AR132" s="163"/>
      <c r="AS132" s="163"/>
      <c r="AT132" s="163"/>
      <c r="AU132" s="163"/>
      <c r="AV132" s="163"/>
      <c r="AW132" s="163"/>
      <c r="AX132" s="163"/>
      <c r="AY132" s="163"/>
      <c r="AZ132" s="163"/>
      <c r="BA132" s="163"/>
      <c r="BB132" s="163"/>
      <c r="BC132" s="163"/>
      <c r="BD132" s="163"/>
      <c r="BE132" s="163"/>
      <c r="BF132" s="163"/>
      <c r="BG132" s="163"/>
      <c r="BH132" s="163"/>
      <c r="BI132" s="163"/>
      <c r="BJ132" s="163"/>
      <c r="BK132" s="163"/>
      <c r="BL132" s="163"/>
      <c r="BM132" s="163"/>
      <c r="BN132" s="163"/>
      <c r="BO132" s="163"/>
      <c r="BP132" s="163"/>
      <c r="BQ132" s="163"/>
      <c r="BR132" s="163"/>
      <c r="BS132" s="163"/>
      <c r="BT132" s="163"/>
      <c r="BU132" s="163"/>
      <c r="BV132" s="163"/>
      <c r="BW132" s="163"/>
      <c r="BX132" s="163"/>
      <c r="BY132" s="163"/>
      <c r="BZ132" s="163"/>
      <c r="CA132" s="163"/>
      <c r="CB132" s="163"/>
      <c r="CC132" s="163"/>
      <c r="CD132" s="163"/>
      <c r="CE132" s="163"/>
      <c r="CF132" s="163"/>
      <c r="CG132" s="163"/>
      <c r="CH132" s="163"/>
      <c r="CI132" s="163"/>
      <c r="CJ132" s="163"/>
      <c r="CK132" s="163"/>
      <c r="CL132" s="163"/>
      <c r="CM132" s="163"/>
      <c r="CN132" s="163"/>
      <c r="CO132" s="163"/>
      <c r="CP132" s="163"/>
      <c r="CQ132" s="163"/>
      <c r="CR132" s="163"/>
      <c r="CS132" s="163"/>
      <c r="CT132" s="163"/>
      <c r="CU132" s="163"/>
      <c r="CV132" s="163"/>
      <c r="CW132" s="163"/>
      <c r="CX132" s="163"/>
      <c r="CY132" s="163"/>
      <c r="CZ132" s="163"/>
      <c r="DA132" s="163"/>
      <c r="DB132" s="163"/>
      <c r="DC132" s="163"/>
      <c r="DD132" s="163"/>
      <c r="DE132" s="163"/>
      <c r="DF132" s="163"/>
      <c r="DG132" s="163"/>
      <c r="DH132" s="163"/>
      <c r="DI132" s="163"/>
      <c r="DJ132" s="163"/>
      <c r="DK132" s="163"/>
      <c r="DL132" s="163"/>
      <c r="DM132" s="163"/>
      <c r="DN132" s="163"/>
      <c r="DO132" s="163"/>
      <c r="DP132" s="163"/>
      <c r="DQ132" s="163"/>
      <c r="DR132" s="163"/>
      <c r="DS132" s="163"/>
      <c r="DT132" s="163"/>
      <c r="DU132" s="163"/>
      <c r="DV132" s="163"/>
      <c r="DW132" s="163"/>
      <c r="DX132" s="163"/>
      <c r="DY132" s="163"/>
      <c r="DZ132" s="163"/>
      <c r="EA132" s="163"/>
      <c r="EB132" s="163"/>
      <c r="EC132" s="163"/>
      <c r="ED132" s="163"/>
      <c r="EE132" s="163"/>
      <c r="EF132" s="163"/>
      <c r="EG132" s="163"/>
      <c r="EH132" s="163"/>
      <c r="EI132" s="163"/>
      <c r="EJ132" s="163"/>
    </row>
    <row r="133" spans="1:259" s="112" customFormat="1" x14ac:dyDescent="0.25">
      <c r="A133" s="209"/>
      <c r="B133" s="209"/>
      <c r="C133" s="209"/>
      <c r="D133" s="209"/>
      <c r="E133" s="209"/>
      <c r="F133" s="209"/>
      <c r="G133" s="209"/>
      <c r="H133" s="209"/>
      <c r="I133" s="209"/>
      <c r="J133" s="209"/>
      <c r="K133" s="209"/>
      <c r="L133" s="209"/>
      <c r="M133" s="209"/>
      <c r="N133" s="666"/>
      <c r="O133" s="666"/>
      <c r="P133" s="666"/>
      <c r="Q133" s="666"/>
      <c r="R133" s="666"/>
      <c r="S133" s="666"/>
      <c r="T133" s="666"/>
      <c r="U133" s="666"/>
      <c r="V133" s="666"/>
      <c r="W133" s="666"/>
      <c r="X133" s="666"/>
      <c r="Y133" s="666"/>
      <c r="Z133" s="666"/>
      <c r="AA133" s="163"/>
      <c r="AB133" s="163"/>
      <c r="AC133" s="163"/>
      <c r="AD133" s="163"/>
      <c r="AE133" s="163"/>
      <c r="AF133" s="163"/>
      <c r="AG133" s="163"/>
      <c r="AH133" s="163"/>
      <c r="AI133" s="163"/>
      <c r="AJ133" s="163"/>
      <c r="AK133" s="163"/>
      <c r="AL133" s="163"/>
      <c r="AM133" s="163"/>
      <c r="AN133" s="163"/>
      <c r="AO133" s="163"/>
      <c r="AP133" s="163"/>
      <c r="AQ133" s="163"/>
      <c r="AR133" s="163"/>
      <c r="AS133" s="163"/>
      <c r="AT133" s="163"/>
      <c r="AU133" s="163"/>
      <c r="AV133" s="163"/>
      <c r="AW133" s="163"/>
      <c r="AX133" s="163"/>
      <c r="AY133" s="163"/>
      <c r="AZ133" s="163"/>
      <c r="BA133" s="163"/>
      <c r="BB133" s="163"/>
      <c r="BC133" s="163"/>
      <c r="BD133" s="163"/>
      <c r="BE133" s="163"/>
      <c r="BF133" s="163"/>
      <c r="BG133" s="163"/>
      <c r="BH133" s="163"/>
      <c r="BI133" s="163"/>
      <c r="BJ133" s="163"/>
      <c r="BK133" s="163"/>
      <c r="BL133" s="163"/>
      <c r="BM133" s="163"/>
      <c r="BN133" s="163"/>
      <c r="BO133" s="163"/>
      <c r="BP133" s="163"/>
      <c r="BQ133" s="163"/>
      <c r="BR133" s="163"/>
      <c r="BS133" s="163"/>
      <c r="BT133" s="163"/>
      <c r="BU133" s="163"/>
      <c r="BV133" s="163"/>
      <c r="BW133" s="163"/>
      <c r="BX133" s="163"/>
      <c r="BY133" s="163"/>
      <c r="BZ133" s="163"/>
      <c r="CA133" s="163"/>
      <c r="CB133" s="163"/>
      <c r="CC133" s="163"/>
      <c r="CD133" s="163"/>
      <c r="CE133" s="163"/>
      <c r="CF133" s="163"/>
      <c r="CG133" s="163"/>
      <c r="CH133" s="163"/>
      <c r="CI133" s="163"/>
      <c r="CJ133" s="163"/>
      <c r="CK133" s="163"/>
      <c r="CL133" s="163"/>
      <c r="CM133" s="163"/>
      <c r="CN133" s="163"/>
      <c r="CO133" s="163"/>
      <c r="CP133" s="163"/>
      <c r="CQ133" s="163"/>
      <c r="CR133" s="163"/>
      <c r="CS133" s="163"/>
      <c r="CT133" s="163"/>
      <c r="CU133" s="163"/>
      <c r="CV133" s="163"/>
      <c r="CW133" s="163"/>
      <c r="CX133" s="163"/>
      <c r="CY133" s="163"/>
      <c r="CZ133" s="163"/>
      <c r="DA133" s="163"/>
      <c r="DB133" s="163"/>
      <c r="DC133" s="163"/>
      <c r="DD133" s="163"/>
      <c r="DE133" s="163"/>
      <c r="DF133" s="163"/>
      <c r="DG133" s="163"/>
      <c r="DH133" s="163"/>
      <c r="DI133" s="163"/>
      <c r="DJ133" s="163"/>
      <c r="DK133" s="163"/>
      <c r="DL133" s="163"/>
      <c r="DM133" s="163"/>
      <c r="DN133" s="163"/>
      <c r="DO133" s="163"/>
      <c r="DP133" s="163"/>
      <c r="DQ133" s="163"/>
      <c r="DR133" s="163"/>
      <c r="DS133" s="163"/>
      <c r="DT133" s="163"/>
      <c r="DU133" s="163"/>
      <c r="DV133" s="163"/>
      <c r="DW133" s="163"/>
      <c r="DX133" s="163"/>
      <c r="DY133" s="163"/>
      <c r="DZ133" s="163"/>
      <c r="EA133" s="163"/>
      <c r="EB133" s="163"/>
      <c r="EC133" s="163"/>
      <c r="ED133" s="163"/>
      <c r="EE133" s="163"/>
      <c r="EF133" s="163"/>
      <c r="EG133" s="163"/>
      <c r="EH133" s="163"/>
      <c r="EI133" s="163"/>
      <c r="EJ133" s="163"/>
    </row>
    <row r="134" spans="1:259" s="112" customFormat="1" x14ac:dyDescent="0.25">
      <c r="A134" s="209"/>
      <c r="B134" s="209"/>
      <c r="C134" s="209"/>
      <c r="D134" s="209"/>
      <c r="E134" s="209"/>
      <c r="F134" s="209"/>
      <c r="G134" s="209"/>
      <c r="H134" s="209"/>
      <c r="I134" s="209"/>
      <c r="J134" s="209"/>
      <c r="K134" s="209"/>
      <c r="L134" s="209"/>
      <c r="M134" s="209"/>
      <c r="N134" s="666"/>
      <c r="O134" s="666"/>
      <c r="P134" s="666"/>
      <c r="Q134" s="666"/>
      <c r="R134" s="666"/>
      <c r="S134" s="666"/>
      <c r="T134" s="666"/>
      <c r="U134" s="666"/>
      <c r="V134" s="666"/>
      <c r="W134" s="666"/>
      <c r="X134" s="666"/>
      <c r="Y134" s="666"/>
      <c r="Z134" s="666"/>
      <c r="AA134" s="163"/>
      <c r="AB134" s="163"/>
      <c r="AC134" s="163"/>
      <c r="AD134" s="163"/>
      <c r="AE134" s="163"/>
      <c r="AF134" s="163"/>
      <c r="AG134" s="163"/>
      <c r="AH134" s="163"/>
      <c r="AI134" s="163"/>
      <c r="AJ134" s="163"/>
      <c r="AK134" s="163"/>
      <c r="AL134" s="163"/>
      <c r="AM134" s="163"/>
      <c r="AN134" s="163"/>
      <c r="AO134" s="163"/>
      <c r="AP134" s="163"/>
      <c r="AQ134" s="163"/>
      <c r="AR134" s="163"/>
      <c r="AS134" s="163"/>
      <c r="AT134" s="163"/>
      <c r="AU134" s="163"/>
      <c r="AV134" s="163"/>
      <c r="AW134" s="163"/>
      <c r="AX134" s="163"/>
      <c r="AY134" s="163"/>
      <c r="AZ134" s="163"/>
      <c r="BA134" s="163"/>
      <c r="BB134" s="163"/>
      <c r="BC134" s="163"/>
      <c r="BD134" s="163"/>
      <c r="BE134" s="163"/>
      <c r="BF134" s="163"/>
      <c r="BG134" s="163"/>
      <c r="BH134" s="163"/>
      <c r="BI134" s="163"/>
      <c r="BJ134" s="163"/>
      <c r="BK134" s="163"/>
      <c r="BL134" s="163"/>
      <c r="BM134" s="163"/>
      <c r="BN134" s="163"/>
      <c r="BO134" s="163"/>
      <c r="BP134" s="163"/>
      <c r="BQ134" s="163"/>
      <c r="BR134" s="163"/>
      <c r="BS134" s="163"/>
      <c r="BT134" s="163"/>
      <c r="BU134" s="163"/>
      <c r="BV134" s="163"/>
      <c r="BW134" s="163"/>
      <c r="BX134" s="163"/>
      <c r="BY134" s="163"/>
      <c r="BZ134" s="163"/>
      <c r="CA134" s="163"/>
      <c r="CB134" s="163"/>
      <c r="CC134" s="163"/>
      <c r="CD134" s="163"/>
      <c r="CE134" s="163"/>
      <c r="CF134" s="163"/>
      <c r="CG134" s="163"/>
      <c r="CH134" s="163"/>
      <c r="CI134" s="163"/>
      <c r="CJ134" s="163"/>
      <c r="CK134" s="163"/>
      <c r="CL134" s="163"/>
      <c r="CM134" s="163"/>
      <c r="CN134" s="163"/>
      <c r="CO134" s="163"/>
      <c r="CP134" s="163"/>
      <c r="CQ134" s="163"/>
      <c r="CR134" s="163"/>
      <c r="CS134" s="163"/>
      <c r="CT134" s="163"/>
      <c r="CU134" s="163"/>
      <c r="CV134" s="163"/>
      <c r="CW134" s="163"/>
      <c r="CX134" s="163"/>
      <c r="CY134" s="163"/>
      <c r="CZ134" s="163"/>
      <c r="DA134" s="163"/>
      <c r="DB134" s="163"/>
      <c r="DC134" s="163"/>
      <c r="DD134" s="163"/>
      <c r="DE134" s="163"/>
      <c r="DF134" s="163"/>
      <c r="DG134" s="163"/>
      <c r="DH134" s="163"/>
      <c r="DI134" s="163"/>
      <c r="DJ134" s="163"/>
      <c r="DK134" s="163"/>
      <c r="DL134" s="163"/>
      <c r="DM134" s="163"/>
      <c r="DN134" s="163"/>
      <c r="DO134" s="163"/>
      <c r="DP134" s="163"/>
      <c r="DQ134" s="163"/>
      <c r="DR134" s="163"/>
      <c r="DS134" s="163"/>
      <c r="DT134" s="163"/>
      <c r="DU134" s="163"/>
      <c r="DV134" s="163"/>
      <c r="DW134" s="163"/>
      <c r="DX134" s="163"/>
      <c r="DY134" s="163"/>
      <c r="DZ134" s="163"/>
      <c r="EA134" s="163"/>
      <c r="EB134" s="163"/>
      <c r="EC134" s="163"/>
      <c r="ED134" s="163"/>
      <c r="EE134" s="163"/>
      <c r="EF134" s="163"/>
      <c r="EG134" s="163"/>
      <c r="EH134" s="163"/>
      <c r="EI134" s="163"/>
      <c r="EJ134" s="163"/>
    </row>
    <row r="135" spans="1:259" s="112" customFormat="1" x14ac:dyDescent="0.25">
      <c r="A135" s="209"/>
      <c r="B135" s="209"/>
      <c r="C135" s="209"/>
      <c r="D135" s="209"/>
      <c r="E135" s="209"/>
      <c r="F135" s="209"/>
      <c r="G135" s="209"/>
      <c r="H135" s="209"/>
      <c r="I135" s="209"/>
      <c r="J135" s="209"/>
      <c r="K135" s="209"/>
      <c r="L135" s="209"/>
      <c r="M135" s="209"/>
      <c r="N135" s="666"/>
      <c r="O135" s="666"/>
      <c r="P135" s="666"/>
      <c r="Q135" s="666"/>
      <c r="R135" s="666"/>
      <c r="S135" s="666"/>
      <c r="T135" s="666"/>
      <c r="U135" s="666"/>
      <c r="V135" s="666"/>
      <c r="W135" s="666"/>
      <c r="X135" s="666"/>
      <c r="Y135" s="666"/>
      <c r="Z135" s="666"/>
      <c r="AA135" s="163"/>
      <c r="AB135" s="163"/>
      <c r="AC135" s="163"/>
      <c r="AD135" s="163"/>
      <c r="AE135" s="163"/>
      <c r="AF135" s="163"/>
      <c r="AG135" s="163"/>
      <c r="AH135" s="163"/>
      <c r="AI135" s="163"/>
      <c r="AJ135" s="163"/>
      <c r="AK135" s="163"/>
      <c r="AL135" s="163"/>
      <c r="AM135" s="163"/>
      <c r="AN135" s="163"/>
      <c r="AO135" s="163"/>
      <c r="AP135" s="163"/>
      <c r="AQ135" s="163"/>
      <c r="AR135" s="163"/>
      <c r="AS135" s="163"/>
      <c r="AT135" s="163"/>
      <c r="AU135" s="163"/>
      <c r="AV135" s="163"/>
      <c r="AW135" s="163"/>
      <c r="AX135" s="163"/>
      <c r="AY135" s="163"/>
      <c r="AZ135" s="163"/>
      <c r="BA135" s="163"/>
      <c r="BB135" s="163"/>
      <c r="BC135" s="163"/>
      <c r="BD135" s="163"/>
      <c r="BE135" s="163"/>
      <c r="BF135" s="163"/>
      <c r="BG135" s="163"/>
      <c r="BH135" s="163"/>
      <c r="BI135" s="163"/>
      <c r="BJ135" s="163"/>
      <c r="BK135" s="163"/>
      <c r="BL135" s="163"/>
      <c r="BM135" s="163"/>
      <c r="BN135" s="163"/>
      <c r="BO135" s="163"/>
      <c r="BP135" s="163"/>
      <c r="BQ135" s="163"/>
      <c r="BR135" s="163"/>
      <c r="BS135" s="163"/>
      <c r="BT135" s="163"/>
      <c r="BU135" s="163"/>
      <c r="BV135" s="163"/>
      <c r="BW135" s="163"/>
      <c r="BX135" s="163"/>
      <c r="BY135" s="163"/>
      <c r="BZ135" s="163"/>
      <c r="CA135" s="163"/>
      <c r="CB135" s="163"/>
      <c r="CC135" s="163"/>
      <c r="CD135" s="163"/>
      <c r="CE135" s="163"/>
      <c r="CF135" s="163"/>
      <c r="CG135" s="163"/>
      <c r="CH135" s="163"/>
      <c r="CI135" s="163"/>
      <c r="CJ135" s="163"/>
      <c r="CK135" s="163"/>
      <c r="CL135" s="163"/>
      <c r="CM135" s="163"/>
      <c r="CN135" s="163"/>
      <c r="CO135" s="163"/>
      <c r="CP135" s="163"/>
      <c r="CQ135" s="163"/>
      <c r="CR135" s="163"/>
      <c r="CS135" s="163"/>
      <c r="CT135" s="163"/>
      <c r="CU135" s="163"/>
      <c r="CV135" s="163"/>
      <c r="CW135" s="163"/>
      <c r="CX135" s="163"/>
      <c r="CY135" s="163"/>
      <c r="CZ135" s="163"/>
      <c r="DA135" s="163"/>
      <c r="DB135" s="163"/>
      <c r="DC135" s="163"/>
      <c r="DD135" s="163"/>
      <c r="DE135" s="163"/>
      <c r="DF135" s="163"/>
      <c r="DG135" s="163"/>
      <c r="DH135" s="163"/>
      <c r="DI135" s="163"/>
      <c r="DJ135" s="163"/>
      <c r="DK135" s="163"/>
      <c r="DL135" s="163"/>
      <c r="DM135" s="163"/>
      <c r="DN135" s="163"/>
      <c r="DO135" s="163"/>
      <c r="DP135" s="163"/>
      <c r="DQ135" s="163"/>
      <c r="DR135" s="163"/>
      <c r="DS135" s="163"/>
      <c r="DT135" s="163"/>
      <c r="DU135" s="163"/>
      <c r="DV135" s="163"/>
      <c r="DW135" s="163"/>
      <c r="DX135" s="163"/>
      <c r="DY135" s="163"/>
      <c r="DZ135" s="163"/>
      <c r="EA135" s="163"/>
      <c r="EB135" s="163"/>
      <c r="EC135" s="163"/>
      <c r="ED135" s="163"/>
      <c r="EE135" s="163"/>
      <c r="EF135" s="163"/>
      <c r="EG135" s="163"/>
      <c r="EH135" s="163"/>
      <c r="EI135" s="163"/>
      <c r="EJ135" s="163"/>
    </row>
    <row r="136" spans="1:259" s="112" customFormat="1" x14ac:dyDescent="0.25">
      <c r="A136" s="209"/>
      <c r="B136" s="209"/>
      <c r="C136" s="209"/>
      <c r="D136" s="209"/>
      <c r="E136" s="209"/>
      <c r="F136" s="209"/>
      <c r="G136" s="209"/>
      <c r="H136" s="209"/>
      <c r="I136" s="209"/>
      <c r="J136" s="209"/>
      <c r="K136" s="209"/>
      <c r="L136" s="209"/>
      <c r="M136" s="209"/>
      <c r="N136" s="666"/>
      <c r="O136" s="666"/>
      <c r="P136" s="666"/>
      <c r="Q136" s="666"/>
      <c r="R136" s="666"/>
      <c r="S136" s="666"/>
      <c r="T136" s="666"/>
      <c r="U136" s="666"/>
      <c r="V136" s="666"/>
      <c r="W136" s="666"/>
      <c r="X136" s="666"/>
      <c r="Y136" s="666"/>
      <c r="Z136" s="666"/>
      <c r="AA136" s="163"/>
      <c r="AB136" s="163"/>
      <c r="AC136" s="163"/>
      <c r="AD136" s="163"/>
      <c r="AE136" s="163"/>
      <c r="AF136" s="163"/>
      <c r="AG136" s="163"/>
      <c r="AH136" s="163"/>
      <c r="AI136" s="163"/>
      <c r="AJ136" s="163"/>
      <c r="AK136" s="163"/>
      <c r="AL136" s="163"/>
      <c r="AM136" s="163"/>
      <c r="AN136" s="163"/>
      <c r="AO136" s="163"/>
      <c r="AP136" s="163"/>
      <c r="AQ136" s="163"/>
      <c r="AR136" s="163"/>
      <c r="AS136" s="163"/>
      <c r="AT136" s="163"/>
      <c r="AU136" s="163"/>
      <c r="AV136" s="163"/>
      <c r="AW136" s="163"/>
      <c r="AX136" s="163"/>
      <c r="AY136" s="163"/>
      <c r="AZ136" s="163"/>
      <c r="BA136" s="163"/>
      <c r="BB136" s="163"/>
      <c r="BC136" s="163"/>
      <c r="BD136" s="163"/>
      <c r="BE136" s="163"/>
      <c r="BF136" s="163"/>
      <c r="BG136" s="163"/>
      <c r="BH136" s="163"/>
      <c r="BI136" s="163"/>
      <c r="BJ136" s="163"/>
      <c r="BK136" s="163"/>
      <c r="BL136" s="163"/>
      <c r="BM136" s="163"/>
      <c r="BN136" s="163"/>
      <c r="BO136" s="163"/>
      <c r="BP136" s="163"/>
      <c r="BQ136" s="163"/>
      <c r="BR136" s="163"/>
      <c r="BS136" s="163"/>
      <c r="BT136" s="163"/>
      <c r="BU136" s="163"/>
      <c r="BV136" s="163"/>
      <c r="BW136" s="163"/>
      <c r="BX136" s="163"/>
      <c r="BY136" s="163"/>
      <c r="BZ136" s="163"/>
      <c r="CA136" s="163"/>
      <c r="CB136" s="163"/>
      <c r="CC136" s="163"/>
      <c r="CD136" s="163"/>
      <c r="CE136" s="163"/>
      <c r="CF136" s="163"/>
      <c r="CG136" s="163"/>
      <c r="CH136" s="163"/>
      <c r="CI136" s="163"/>
      <c r="CJ136" s="163"/>
      <c r="CK136" s="163"/>
      <c r="CL136" s="163"/>
      <c r="CM136" s="163"/>
      <c r="CN136" s="163"/>
      <c r="CO136" s="163"/>
      <c r="CP136" s="163"/>
      <c r="CQ136" s="163"/>
      <c r="CR136" s="163"/>
      <c r="CS136" s="163"/>
      <c r="CT136" s="163"/>
      <c r="CU136" s="163"/>
      <c r="CV136" s="163"/>
      <c r="CW136" s="163"/>
      <c r="CX136" s="163"/>
      <c r="CY136" s="163"/>
      <c r="CZ136" s="163"/>
      <c r="DA136" s="163"/>
      <c r="DB136" s="163"/>
      <c r="DC136" s="163"/>
      <c r="DD136" s="163"/>
      <c r="DE136" s="163"/>
      <c r="DF136" s="163"/>
      <c r="DG136" s="163"/>
      <c r="DH136" s="163"/>
      <c r="DI136" s="163"/>
      <c r="DJ136" s="163"/>
      <c r="DK136" s="163"/>
      <c r="DL136" s="163"/>
      <c r="DM136" s="163"/>
      <c r="DN136" s="163"/>
      <c r="DO136" s="163"/>
      <c r="DP136" s="163"/>
      <c r="DQ136" s="163"/>
      <c r="DR136" s="163"/>
      <c r="DS136" s="163"/>
      <c r="DT136" s="163"/>
      <c r="DU136" s="163"/>
      <c r="DV136" s="163"/>
      <c r="DW136" s="163"/>
      <c r="DX136" s="163"/>
      <c r="DY136" s="163"/>
      <c r="DZ136" s="163"/>
      <c r="EA136" s="163"/>
      <c r="EB136" s="163"/>
      <c r="EC136" s="163"/>
      <c r="ED136" s="163"/>
      <c r="EE136" s="163"/>
      <c r="EF136" s="163"/>
      <c r="EG136" s="163"/>
      <c r="EH136" s="163"/>
      <c r="EI136" s="163"/>
      <c r="EJ136" s="163"/>
    </row>
    <row r="137" spans="1:259" s="112" customFormat="1" x14ac:dyDescent="0.25">
      <c r="A137" s="209"/>
      <c r="B137" s="209"/>
      <c r="C137" s="209"/>
      <c r="D137" s="209"/>
      <c r="E137" s="209"/>
      <c r="F137" s="209"/>
      <c r="G137" s="209"/>
      <c r="H137" s="209"/>
      <c r="I137" s="209"/>
      <c r="J137" s="209"/>
      <c r="K137" s="209"/>
      <c r="L137" s="209"/>
      <c r="M137" s="209"/>
      <c r="N137" s="666"/>
      <c r="O137" s="666"/>
      <c r="P137" s="666"/>
      <c r="Q137" s="666"/>
      <c r="R137" s="666"/>
      <c r="S137" s="666"/>
      <c r="T137" s="666"/>
      <c r="U137" s="666"/>
      <c r="V137" s="666"/>
      <c r="W137" s="666"/>
      <c r="X137" s="666"/>
      <c r="Y137" s="666"/>
      <c r="Z137" s="666"/>
      <c r="AA137" s="163"/>
      <c r="AB137" s="163"/>
      <c r="AC137" s="163"/>
      <c r="AD137" s="163"/>
      <c r="AE137" s="163"/>
      <c r="AF137" s="163"/>
      <c r="AG137" s="163"/>
      <c r="AH137" s="163"/>
      <c r="AI137" s="163"/>
      <c r="AJ137" s="163"/>
      <c r="AK137" s="163"/>
      <c r="AL137" s="163"/>
      <c r="AM137" s="163"/>
      <c r="AN137" s="163"/>
      <c r="AO137" s="163"/>
      <c r="AP137" s="163"/>
      <c r="AQ137" s="163"/>
      <c r="AR137" s="163"/>
      <c r="AS137" s="163"/>
      <c r="AT137" s="163"/>
      <c r="AU137" s="163"/>
      <c r="AV137" s="163"/>
      <c r="AW137" s="163"/>
      <c r="AX137" s="163"/>
      <c r="AY137" s="163"/>
      <c r="AZ137" s="163"/>
      <c r="BA137" s="163"/>
      <c r="BB137" s="163"/>
      <c r="BC137" s="163"/>
      <c r="BD137" s="163"/>
      <c r="BE137" s="163"/>
      <c r="BF137" s="163"/>
      <c r="BG137" s="163"/>
      <c r="BH137" s="163"/>
      <c r="BI137" s="163"/>
      <c r="BJ137" s="163"/>
      <c r="BK137" s="163"/>
      <c r="BL137" s="163"/>
      <c r="BM137" s="163"/>
      <c r="BN137" s="163"/>
      <c r="BO137" s="163"/>
      <c r="BP137" s="163"/>
      <c r="BQ137" s="163"/>
      <c r="BR137" s="163"/>
      <c r="BS137" s="163"/>
      <c r="BT137" s="163"/>
      <c r="BU137" s="163"/>
      <c r="BV137" s="163"/>
      <c r="BW137" s="163"/>
      <c r="BX137" s="163"/>
      <c r="BY137" s="163"/>
      <c r="BZ137" s="163"/>
      <c r="CA137" s="163"/>
      <c r="CB137" s="163"/>
      <c r="CC137" s="163"/>
      <c r="CD137" s="163"/>
      <c r="CE137" s="163"/>
      <c r="CF137" s="163"/>
      <c r="CG137" s="163"/>
      <c r="CH137" s="163"/>
      <c r="CI137" s="163"/>
      <c r="CJ137" s="163"/>
      <c r="CK137" s="163"/>
      <c r="CL137" s="163"/>
      <c r="CM137" s="163"/>
      <c r="CN137" s="163"/>
      <c r="CO137" s="163"/>
      <c r="CP137" s="163"/>
      <c r="CQ137" s="163"/>
      <c r="CR137" s="163"/>
      <c r="CS137" s="163"/>
      <c r="CT137" s="163"/>
      <c r="CU137" s="163"/>
      <c r="CV137" s="163"/>
      <c r="CW137" s="163"/>
      <c r="CX137" s="163"/>
      <c r="CY137" s="163"/>
      <c r="CZ137" s="163"/>
      <c r="DA137" s="163"/>
      <c r="DB137" s="163"/>
      <c r="DC137" s="163"/>
      <c r="DD137" s="163"/>
      <c r="DE137" s="163"/>
      <c r="DF137" s="163"/>
      <c r="DG137" s="163"/>
      <c r="DH137" s="163"/>
      <c r="DI137" s="163"/>
      <c r="DJ137" s="163"/>
      <c r="DK137" s="163"/>
      <c r="DL137" s="163"/>
      <c r="DM137" s="163"/>
      <c r="DN137" s="163"/>
      <c r="DO137" s="163"/>
      <c r="DP137" s="163"/>
      <c r="DQ137" s="163"/>
      <c r="DR137" s="163"/>
      <c r="DS137" s="163"/>
      <c r="DT137" s="163"/>
      <c r="DU137" s="163"/>
      <c r="DV137" s="163"/>
      <c r="DW137" s="163"/>
      <c r="DX137" s="163"/>
      <c r="DY137" s="163"/>
      <c r="DZ137" s="163"/>
      <c r="EA137" s="163"/>
      <c r="EB137" s="163"/>
      <c r="EC137" s="163"/>
      <c r="ED137" s="163"/>
      <c r="EE137" s="163"/>
      <c r="EF137" s="163"/>
      <c r="EG137" s="163"/>
      <c r="EH137" s="163"/>
      <c r="EI137" s="163"/>
      <c r="EJ137" s="163"/>
    </row>
    <row r="138" spans="1:259" s="112" customFormat="1" x14ac:dyDescent="0.25">
      <c r="A138" s="209"/>
      <c r="B138" s="209"/>
      <c r="C138" s="209"/>
      <c r="D138" s="209"/>
      <c r="E138" s="209"/>
      <c r="F138" s="209"/>
      <c r="G138" s="209"/>
      <c r="H138" s="209"/>
      <c r="I138" s="209"/>
      <c r="J138" s="209"/>
      <c r="K138" s="209"/>
      <c r="L138" s="209"/>
      <c r="M138" s="209"/>
      <c r="N138" s="666"/>
      <c r="O138" s="666"/>
      <c r="P138" s="666"/>
      <c r="Q138" s="666"/>
      <c r="R138" s="666"/>
      <c r="S138" s="666"/>
      <c r="T138" s="666"/>
      <c r="U138" s="666"/>
      <c r="V138" s="666"/>
      <c r="W138" s="666"/>
      <c r="X138" s="666"/>
      <c r="Y138" s="666"/>
      <c r="Z138" s="666"/>
      <c r="AA138" s="163"/>
      <c r="AB138" s="163"/>
      <c r="AC138" s="163"/>
      <c r="AD138" s="163"/>
      <c r="AE138" s="163"/>
      <c r="AF138" s="163"/>
      <c r="AG138" s="163"/>
      <c r="AH138" s="163"/>
      <c r="AI138" s="163"/>
      <c r="AJ138" s="163"/>
      <c r="AK138" s="163"/>
      <c r="AL138" s="163"/>
      <c r="AM138" s="163"/>
      <c r="AN138" s="163"/>
      <c r="AO138" s="163"/>
      <c r="AP138" s="163"/>
      <c r="AQ138" s="163"/>
      <c r="AR138" s="163"/>
      <c r="AS138" s="163"/>
      <c r="AT138" s="163"/>
      <c r="AU138" s="163"/>
      <c r="AV138" s="163"/>
      <c r="AW138" s="163"/>
      <c r="AX138" s="163"/>
      <c r="AY138" s="163"/>
      <c r="AZ138" s="163"/>
      <c r="BA138" s="163"/>
      <c r="BB138" s="163"/>
      <c r="BC138" s="163"/>
      <c r="BD138" s="163"/>
      <c r="BE138" s="163"/>
      <c r="BF138" s="163"/>
      <c r="BG138" s="163"/>
      <c r="BH138" s="163"/>
      <c r="BI138" s="163"/>
      <c r="BJ138" s="163"/>
      <c r="BK138" s="163"/>
      <c r="BL138" s="163"/>
      <c r="BM138" s="163"/>
      <c r="BN138" s="163"/>
      <c r="BO138" s="163"/>
      <c r="BP138" s="163"/>
      <c r="BQ138" s="163"/>
      <c r="BR138" s="163"/>
      <c r="BS138" s="163"/>
      <c r="BT138" s="163"/>
      <c r="BU138" s="163"/>
      <c r="BV138" s="163"/>
      <c r="BW138" s="163"/>
      <c r="BX138" s="163"/>
      <c r="BY138" s="163"/>
      <c r="BZ138" s="163"/>
      <c r="CA138" s="163"/>
      <c r="CB138" s="163"/>
      <c r="CC138" s="163"/>
      <c r="CD138" s="163"/>
      <c r="CE138" s="163"/>
      <c r="CF138" s="163"/>
      <c r="CG138" s="163"/>
      <c r="CH138" s="163"/>
      <c r="CI138" s="163"/>
      <c r="CJ138" s="163"/>
      <c r="CK138" s="163"/>
      <c r="CL138" s="163"/>
      <c r="CM138" s="163"/>
      <c r="CN138" s="163"/>
      <c r="CO138" s="163"/>
      <c r="CP138" s="163"/>
      <c r="CQ138" s="163"/>
      <c r="CR138" s="163"/>
      <c r="CS138" s="163"/>
      <c r="CT138" s="163"/>
      <c r="CU138" s="163"/>
      <c r="CV138" s="163"/>
      <c r="CW138" s="163"/>
      <c r="CX138" s="163"/>
      <c r="CY138" s="163"/>
      <c r="CZ138" s="163"/>
      <c r="DA138" s="163"/>
      <c r="DB138" s="163"/>
      <c r="DC138" s="163"/>
      <c r="DD138" s="163"/>
      <c r="DE138" s="163"/>
      <c r="DF138" s="163"/>
      <c r="DG138" s="163"/>
      <c r="DH138" s="163"/>
      <c r="DI138" s="163"/>
      <c r="DJ138" s="163"/>
      <c r="DK138" s="163"/>
      <c r="DL138" s="163"/>
      <c r="DM138" s="163"/>
      <c r="DN138" s="163"/>
      <c r="DO138" s="163"/>
      <c r="DP138" s="163"/>
      <c r="DQ138" s="163"/>
      <c r="DR138" s="163"/>
      <c r="DS138" s="163"/>
      <c r="DT138" s="163"/>
      <c r="DU138" s="163"/>
      <c r="DV138" s="163"/>
      <c r="DW138" s="163"/>
      <c r="DX138" s="163"/>
      <c r="DY138" s="163"/>
      <c r="DZ138" s="163"/>
      <c r="EA138" s="163"/>
      <c r="EB138" s="163"/>
      <c r="EC138" s="163"/>
      <c r="ED138" s="163"/>
      <c r="EE138" s="163"/>
      <c r="EF138" s="163"/>
      <c r="EG138" s="163"/>
      <c r="EH138" s="163"/>
      <c r="EI138" s="163"/>
      <c r="EJ138" s="163"/>
    </row>
    <row r="139" spans="1:259" s="112" customFormat="1" x14ac:dyDescent="0.25">
      <c r="A139" s="209"/>
      <c r="B139" s="209"/>
      <c r="C139" s="209"/>
      <c r="D139" s="209"/>
      <c r="E139" s="209"/>
      <c r="F139" s="209"/>
      <c r="G139" s="209"/>
      <c r="H139" s="209"/>
      <c r="I139" s="209"/>
      <c r="J139" s="209"/>
      <c r="K139" s="209"/>
      <c r="L139" s="209"/>
      <c r="M139" s="209"/>
      <c r="N139" s="666"/>
      <c r="O139" s="666"/>
      <c r="P139" s="666"/>
      <c r="Q139" s="666"/>
      <c r="R139" s="666"/>
      <c r="S139" s="666"/>
      <c r="T139" s="666"/>
      <c r="U139" s="666"/>
      <c r="V139" s="666"/>
      <c r="W139" s="666"/>
      <c r="X139" s="666"/>
      <c r="Y139" s="666"/>
      <c r="Z139" s="666"/>
      <c r="AA139" s="163"/>
      <c r="AB139" s="163"/>
      <c r="AC139" s="163"/>
      <c r="AD139" s="163"/>
      <c r="AE139" s="163"/>
      <c r="AF139" s="163"/>
      <c r="AG139" s="163"/>
      <c r="AH139" s="163"/>
      <c r="AI139" s="163"/>
      <c r="AJ139" s="163"/>
      <c r="AK139" s="163"/>
      <c r="AL139" s="163"/>
      <c r="AM139" s="163"/>
      <c r="AN139" s="163"/>
      <c r="AO139" s="163"/>
      <c r="AP139" s="163"/>
      <c r="AQ139" s="163"/>
      <c r="AR139" s="163"/>
      <c r="AS139" s="163"/>
      <c r="AT139" s="163"/>
      <c r="AU139" s="163"/>
      <c r="AV139" s="163"/>
      <c r="AW139" s="163"/>
      <c r="AX139" s="163"/>
      <c r="AY139" s="163"/>
      <c r="AZ139" s="163"/>
      <c r="BA139" s="163"/>
      <c r="BB139" s="163"/>
      <c r="BC139" s="163"/>
      <c r="BD139" s="163"/>
      <c r="BE139" s="163"/>
      <c r="BF139" s="163"/>
      <c r="BG139" s="163"/>
      <c r="BH139" s="163"/>
      <c r="BI139" s="163"/>
      <c r="BJ139" s="163"/>
      <c r="BK139" s="163"/>
      <c r="BL139" s="163"/>
      <c r="BM139" s="163"/>
      <c r="BN139" s="163"/>
      <c r="BO139" s="163"/>
      <c r="BP139" s="163"/>
      <c r="BQ139" s="163"/>
      <c r="BR139" s="163"/>
      <c r="BS139" s="163"/>
      <c r="BT139" s="163"/>
      <c r="BU139" s="163"/>
      <c r="BV139" s="163"/>
      <c r="BW139" s="163"/>
      <c r="BX139" s="163"/>
      <c r="BY139" s="163"/>
      <c r="BZ139" s="163"/>
      <c r="CA139" s="163"/>
      <c r="CB139" s="163"/>
      <c r="CC139" s="163"/>
      <c r="CD139" s="163"/>
      <c r="CE139" s="163"/>
      <c r="CF139" s="163"/>
      <c r="CG139" s="163"/>
      <c r="CH139" s="163"/>
      <c r="CI139" s="163"/>
      <c r="CJ139" s="163"/>
      <c r="CK139" s="163"/>
      <c r="CL139" s="163"/>
      <c r="CM139" s="163"/>
      <c r="CN139" s="163"/>
      <c r="CO139" s="163"/>
      <c r="CP139" s="163"/>
      <c r="CQ139" s="163"/>
      <c r="CR139" s="163"/>
      <c r="CS139" s="163"/>
      <c r="CT139" s="163"/>
      <c r="CU139" s="163"/>
      <c r="CV139" s="163"/>
      <c r="CW139" s="163"/>
      <c r="CX139" s="163"/>
      <c r="CY139" s="163"/>
      <c r="CZ139" s="163"/>
      <c r="DA139" s="163"/>
      <c r="DB139" s="163"/>
      <c r="DC139" s="163"/>
      <c r="DD139" s="163"/>
      <c r="DE139" s="163"/>
      <c r="DF139" s="163"/>
      <c r="DG139" s="163"/>
      <c r="DH139" s="163"/>
      <c r="DI139" s="163"/>
      <c r="DJ139" s="163"/>
      <c r="DK139" s="163"/>
      <c r="DL139" s="163"/>
      <c r="DM139" s="163"/>
      <c r="DN139" s="163"/>
      <c r="DO139" s="163"/>
      <c r="DP139" s="163"/>
      <c r="DQ139" s="163"/>
      <c r="DR139" s="163"/>
      <c r="DS139" s="163"/>
      <c r="DT139" s="163"/>
      <c r="DU139" s="163"/>
      <c r="DV139" s="163"/>
      <c r="DW139" s="163"/>
      <c r="DX139" s="163"/>
      <c r="DY139" s="163"/>
      <c r="DZ139" s="163"/>
      <c r="EA139" s="163"/>
      <c r="EB139" s="163"/>
      <c r="EC139" s="163"/>
      <c r="ED139" s="163"/>
      <c r="EE139" s="163"/>
      <c r="EF139" s="163"/>
      <c r="EG139" s="163"/>
      <c r="EH139" s="163"/>
      <c r="EI139" s="163"/>
      <c r="EJ139" s="163"/>
    </row>
    <row r="140" spans="1:259" s="112" customFormat="1" x14ac:dyDescent="0.25">
      <c r="A140" s="209"/>
      <c r="B140" s="209"/>
      <c r="C140" s="209"/>
      <c r="D140" s="209"/>
      <c r="E140" s="209"/>
      <c r="F140" s="209"/>
      <c r="G140" s="209"/>
      <c r="H140" s="209"/>
      <c r="I140" s="209"/>
      <c r="J140" s="209"/>
      <c r="K140" s="209"/>
      <c r="L140" s="209"/>
      <c r="M140" s="209"/>
      <c r="N140" s="666"/>
      <c r="O140" s="666"/>
      <c r="P140" s="666"/>
      <c r="Q140" s="666"/>
      <c r="R140" s="666"/>
      <c r="S140" s="666"/>
      <c r="T140" s="666"/>
      <c r="U140" s="666"/>
      <c r="V140" s="666"/>
      <c r="W140" s="666"/>
      <c r="X140" s="666"/>
      <c r="Y140" s="666"/>
      <c r="Z140" s="666"/>
      <c r="AA140" s="163"/>
      <c r="AB140" s="163"/>
      <c r="AC140" s="163"/>
      <c r="AD140" s="163"/>
      <c r="AE140" s="163"/>
      <c r="AF140" s="163"/>
      <c r="AG140" s="163"/>
      <c r="AH140" s="163"/>
      <c r="AI140" s="163"/>
      <c r="AJ140" s="163"/>
      <c r="AK140" s="163"/>
      <c r="AL140" s="163"/>
      <c r="AM140" s="163"/>
      <c r="AN140" s="163"/>
      <c r="AO140" s="163"/>
      <c r="AP140" s="163"/>
      <c r="AQ140" s="163"/>
      <c r="AR140" s="163"/>
      <c r="AS140" s="163"/>
      <c r="AT140" s="163"/>
      <c r="AU140" s="163"/>
      <c r="AV140" s="163"/>
      <c r="AW140" s="163"/>
      <c r="AX140" s="163"/>
      <c r="AY140" s="163"/>
      <c r="AZ140" s="163"/>
      <c r="BA140" s="163"/>
      <c r="BB140" s="163"/>
      <c r="BC140" s="163"/>
      <c r="BD140" s="163"/>
      <c r="BE140" s="163"/>
      <c r="BF140" s="163"/>
      <c r="BG140" s="163"/>
      <c r="BH140" s="163"/>
      <c r="BI140" s="163"/>
      <c r="BJ140" s="163"/>
      <c r="BK140" s="163"/>
      <c r="BL140" s="163"/>
      <c r="BM140" s="163"/>
      <c r="BN140" s="163"/>
      <c r="BO140" s="163"/>
      <c r="BP140" s="163"/>
      <c r="BQ140" s="163"/>
      <c r="BR140" s="163"/>
      <c r="BS140" s="163"/>
      <c r="BT140" s="163"/>
      <c r="BU140" s="163"/>
      <c r="BV140" s="163"/>
      <c r="BW140" s="163"/>
      <c r="BX140" s="163"/>
      <c r="BY140" s="163"/>
      <c r="BZ140" s="163"/>
      <c r="CA140" s="163"/>
      <c r="CB140" s="163"/>
      <c r="CC140" s="163"/>
      <c r="CD140" s="163"/>
      <c r="CE140" s="163"/>
      <c r="CF140" s="163"/>
      <c r="CG140" s="163"/>
      <c r="CH140" s="163"/>
      <c r="CI140" s="163"/>
      <c r="CJ140" s="163"/>
      <c r="CK140" s="163"/>
      <c r="CL140" s="163"/>
      <c r="CM140" s="163"/>
      <c r="CN140" s="163"/>
      <c r="CO140" s="163"/>
      <c r="CP140" s="163"/>
      <c r="CQ140" s="163"/>
      <c r="CR140" s="163"/>
      <c r="CS140" s="163"/>
      <c r="CT140" s="163"/>
      <c r="CU140" s="163"/>
      <c r="CV140" s="163"/>
      <c r="CW140" s="163"/>
      <c r="CX140" s="163"/>
      <c r="CY140" s="163"/>
      <c r="CZ140" s="163"/>
      <c r="DA140" s="163"/>
      <c r="DB140" s="163"/>
      <c r="DC140" s="163"/>
      <c r="DD140" s="163"/>
      <c r="DE140" s="163"/>
      <c r="DF140" s="163"/>
      <c r="DG140" s="163"/>
      <c r="DH140" s="163"/>
      <c r="DI140" s="163"/>
      <c r="DJ140" s="163"/>
      <c r="DK140" s="163"/>
      <c r="DL140" s="163"/>
      <c r="DM140" s="163"/>
      <c r="DN140" s="163"/>
      <c r="DO140" s="163"/>
      <c r="DP140" s="163"/>
      <c r="DQ140" s="163"/>
      <c r="DR140" s="163"/>
      <c r="DS140" s="163"/>
      <c r="DT140" s="163"/>
      <c r="DU140" s="163"/>
      <c r="DV140" s="163"/>
      <c r="DW140" s="163"/>
      <c r="DX140" s="163"/>
      <c r="DY140" s="163"/>
      <c r="DZ140" s="163"/>
      <c r="EA140" s="163"/>
      <c r="EB140" s="163"/>
      <c r="EC140" s="163"/>
      <c r="ED140" s="163"/>
      <c r="EE140" s="163"/>
      <c r="EF140" s="163"/>
      <c r="EG140" s="163"/>
      <c r="EH140" s="163"/>
      <c r="EI140" s="163"/>
      <c r="EJ140" s="163"/>
    </row>
    <row r="141" spans="1:259" s="112" customFormat="1" x14ac:dyDescent="0.25">
      <c r="A141" s="209"/>
      <c r="B141" s="209"/>
      <c r="C141" s="209"/>
      <c r="D141" s="209"/>
      <c r="E141" s="209"/>
      <c r="F141" s="209"/>
      <c r="G141" s="209"/>
      <c r="H141" s="209"/>
      <c r="I141" s="209"/>
      <c r="J141" s="209"/>
      <c r="K141" s="209"/>
      <c r="L141" s="209"/>
      <c r="M141" s="209"/>
      <c r="N141" s="666"/>
      <c r="O141" s="666"/>
      <c r="P141" s="666"/>
      <c r="Q141" s="666"/>
      <c r="R141" s="666"/>
      <c r="S141" s="666"/>
      <c r="T141" s="666"/>
      <c r="U141" s="666"/>
      <c r="V141" s="666"/>
      <c r="W141" s="666"/>
      <c r="X141" s="666"/>
      <c r="Y141" s="666"/>
      <c r="Z141" s="666"/>
      <c r="AA141" s="163"/>
      <c r="AB141" s="163"/>
      <c r="AC141" s="163"/>
      <c r="AD141" s="163"/>
      <c r="AE141" s="163"/>
      <c r="AF141" s="163"/>
      <c r="AG141" s="163"/>
      <c r="AH141" s="163"/>
      <c r="AI141" s="163"/>
      <c r="AJ141" s="163"/>
      <c r="AK141" s="163"/>
      <c r="AL141" s="163"/>
      <c r="AM141" s="163"/>
      <c r="AN141" s="163"/>
      <c r="AO141" s="163"/>
      <c r="AP141" s="163"/>
      <c r="AQ141" s="163"/>
      <c r="AR141" s="163"/>
      <c r="AS141" s="163"/>
      <c r="AT141" s="163"/>
      <c r="AU141" s="163"/>
      <c r="AV141" s="163"/>
      <c r="AW141" s="163"/>
      <c r="AX141" s="163"/>
      <c r="AY141" s="163"/>
      <c r="AZ141" s="163"/>
      <c r="BA141" s="163"/>
      <c r="BB141" s="163"/>
      <c r="BC141" s="163"/>
      <c r="BD141" s="163"/>
      <c r="BE141" s="163"/>
      <c r="BF141" s="163"/>
      <c r="BG141" s="163"/>
      <c r="BH141" s="163"/>
      <c r="BI141" s="163"/>
      <c r="BJ141" s="163"/>
      <c r="BK141" s="163"/>
      <c r="BL141" s="163"/>
      <c r="BM141" s="163"/>
      <c r="BN141" s="163"/>
      <c r="BO141" s="163"/>
      <c r="BP141" s="163"/>
      <c r="BQ141" s="163"/>
      <c r="BR141" s="163"/>
      <c r="BS141" s="163"/>
      <c r="BT141" s="163"/>
      <c r="BU141" s="163"/>
      <c r="BV141" s="163"/>
      <c r="BW141" s="163"/>
      <c r="BX141" s="163"/>
      <c r="BY141" s="163"/>
      <c r="BZ141" s="163"/>
      <c r="CA141" s="163"/>
      <c r="CB141" s="163"/>
      <c r="CC141" s="163"/>
      <c r="CD141" s="163"/>
      <c r="CE141" s="163"/>
      <c r="CF141" s="163"/>
      <c r="CG141" s="163"/>
      <c r="CH141" s="163"/>
      <c r="CI141" s="163"/>
      <c r="CJ141" s="163"/>
      <c r="CK141" s="163"/>
      <c r="CL141" s="163"/>
      <c r="CM141" s="163"/>
      <c r="CN141" s="163"/>
      <c r="CO141" s="163"/>
      <c r="CP141" s="163"/>
      <c r="CQ141" s="163"/>
      <c r="CR141" s="163"/>
      <c r="CS141" s="163"/>
      <c r="CT141" s="163"/>
      <c r="CU141" s="163"/>
      <c r="CV141" s="163"/>
      <c r="CW141" s="163"/>
      <c r="CX141" s="163"/>
      <c r="CY141" s="163"/>
      <c r="CZ141" s="163"/>
      <c r="DA141" s="163"/>
      <c r="DB141" s="163"/>
      <c r="DC141" s="163"/>
      <c r="DD141" s="163"/>
      <c r="DE141" s="163"/>
      <c r="DF141" s="163"/>
      <c r="DG141" s="163"/>
      <c r="DH141" s="163"/>
      <c r="DI141" s="163"/>
      <c r="DJ141" s="163"/>
      <c r="DK141" s="163"/>
      <c r="DL141" s="163"/>
      <c r="DM141" s="163"/>
      <c r="DN141" s="163"/>
      <c r="DO141" s="163"/>
      <c r="DP141" s="163"/>
      <c r="DQ141" s="163"/>
      <c r="DR141" s="163"/>
      <c r="DS141" s="163"/>
      <c r="DT141" s="163"/>
      <c r="DU141" s="163"/>
      <c r="DV141" s="163"/>
      <c r="DW141" s="163"/>
      <c r="DX141" s="163"/>
      <c r="DY141" s="163"/>
      <c r="DZ141" s="163"/>
      <c r="EA141" s="163"/>
      <c r="EB141" s="163"/>
      <c r="EC141" s="163"/>
      <c r="ED141" s="163"/>
      <c r="EE141" s="163"/>
      <c r="EF141" s="163"/>
      <c r="EG141" s="163"/>
      <c r="EH141" s="163"/>
      <c r="EI141" s="163"/>
      <c r="EJ141" s="163"/>
    </row>
    <row r="142" spans="1:259" x14ac:dyDescent="0.25">
      <c r="A142" s="209"/>
      <c r="B142" s="209"/>
      <c r="C142" s="209"/>
      <c r="D142" s="209"/>
      <c r="E142" s="209"/>
      <c r="F142" s="209"/>
      <c r="G142" s="209"/>
      <c r="H142" s="209"/>
      <c r="I142" s="209"/>
      <c r="J142" s="209"/>
      <c r="K142" s="209"/>
      <c r="L142" s="209"/>
      <c r="M142" s="209"/>
      <c r="N142" s="666" t="str">
        <f>IFERROR(INDEX($J$152:$J$159,N152)&amp;" "&amp;IF(INDEX($K$152:$K$159,N152)&lt;0.1,FIXED(INDEX($K$152:$K$159,N152)*100,1),FIXED(INDEX($K$152:$K$159,N152)*100,0))&amp;"%","")</f>
        <v>Target P rate 71%</v>
      </c>
      <c r="O142" s="671" t="str">
        <f t="shared" ref="O142:AT142" si="1">IFERROR(INDEX($J$152:$J$159,O152)&amp;" "&amp;IF(INDEX($K$152:$K$159,O152)&lt;0.1,FIXED(INDEX($K$152:$K$159,O152)*100,1),FIXED(INDEX($K$152:$K$159,O152)*100,0))&amp;"%","")</f>
        <v>Target P rate 71%</v>
      </c>
      <c r="P142" s="671" t="str">
        <f t="shared" si="1"/>
        <v>Target P rate 71%</v>
      </c>
      <c r="Q142" s="671" t="str">
        <f t="shared" si="1"/>
        <v>Target P rate 71%</v>
      </c>
      <c r="R142" s="671" t="str">
        <f t="shared" si="1"/>
        <v>Target P rate 71%</v>
      </c>
      <c r="S142" s="671" t="str">
        <f t="shared" si="1"/>
        <v>Target P rate 71%</v>
      </c>
      <c r="T142" s="671" t="str">
        <f t="shared" si="1"/>
        <v>Target P rate 71%</v>
      </c>
      <c r="U142" s="671" t="str">
        <f t="shared" si="1"/>
        <v>Target P rate 71%</v>
      </c>
      <c r="V142" s="671" t="str">
        <f t="shared" si="1"/>
        <v/>
      </c>
      <c r="W142" s="671" t="str">
        <f t="shared" si="1"/>
        <v/>
      </c>
      <c r="X142" s="671" t="str">
        <f t="shared" si="1"/>
        <v/>
      </c>
      <c r="Y142" s="671" t="str">
        <f t="shared" si="1"/>
        <v/>
      </c>
      <c r="Z142" s="671" t="str">
        <f t="shared" si="1"/>
        <v/>
      </c>
      <c r="AA142" s="609" t="str">
        <f t="shared" si="1"/>
        <v/>
      </c>
      <c r="AB142" s="609" t="str">
        <f t="shared" si="1"/>
        <v/>
      </c>
      <c r="AC142" s="609" t="str">
        <f t="shared" si="1"/>
        <v/>
      </c>
      <c r="AD142" s="609" t="str">
        <f t="shared" si="1"/>
        <v/>
      </c>
      <c r="AE142" s="609" t="str">
        <f t="shared" si="1"/>
        <v/>
      </c>
      <c r="AF142" s="609" t="str">
        <f t="shared" si="1"/>
        <v/>
      </c>
      <c r="AG142" s="609" t="str">
        <f t="shared" si="1"/>
        <v/>
      </c>
      <c r="AH142" s="609" t="str">
        <f t="shared" si="1"/>
        <v/>
      </c>
      <c r="AI142" s="609" t="str">
        <f t="shared" si="1"/>
        <v/>
      </c>
      <c r="AJ142" s="609" t="str">
        <f t="shared" si="1"/>
        <v/>
      </c>
      <c r="AK142" s="609" t="str">
        <f t="shared" si="1"/>
        <v/>
      </c>
      <c r="AL142" s="609" t="str">
        <f t="shared" si="1"/>
        <v/>
      </c>
      <c r="AM142" s="609" t="str">
        <f t="shared" si="1"/>
        <v/>
      </c>
      <c r="AN142" s="609" t="str">
        <f t="shared" si="1"/>
        <v/>
      </c>
      <c r="AO142" s="609" t="str">
        <f t="shared" si="1"/>
        <v/>
      </c>
      <c r="AP142" s="609" t="str">
        <f t="shared" si="1"/>
        <v/>
      </c>
      <c r="AQ142" s="609" t="str">
        <f t="shared" si="1"/>
        <v>Target P rate 71%</v>
      </c>
      <c r="AR142" s="609" t="str">
        <f t="shared" si="1"/>
        <v>Target P rate 71%</v>
      </c>
      <c r="AS142" s="609" t="str">
        <f t="shared" si="1"/>
        <v>Target P rate 71%</v>
      </c>
      <c r="AT142" s="609" t="str">
        <f t="shared" si="1"/>
        <v>Target P rate 71%</v>
      </c>
      <c r="AU142" s="609" t="str">
        <f t="shared" ref="AU142:BZ142" si="2">IFERROR(INDEX($J$152:$J$159,AU152)&amp;" "&amp;IF(INDEX($K$152:$K$159,AU152)&lt;0.1,FIXED(INDEX($K$152:$K$159,AU152)*100,1),FIXED(INDEX($K$152:$K$159,AU152)*100,0))&amp;"%","")</f>
        <v>Target P rate 71%</v>
      </c>
      <c r="AV142" s="609" t="str">
        <f t="shared" si="2"/>
        <v>Target P rate 71%</v>
      </c>
      <c r="AW142" s="609" t="str">
        <f t="shared" si="2"/>
        <v>Target P rate 71%</v>
      </c>
      <c r="AX142" s="609" t="str">
        <f t="shared" si="2"/>
        <v>Target P rate 71%</v>
      </c>
      <c r="AY142" s="609" t="str">
        <f t="shared" si="2"/>
        <v>Target P rate 71%</v>
      </c>
      <c r="AZ142" s="609" t="str">
        <f t="shared" si="2"/>
        <v>Target P rate 71%</v>
      </c>
      <c r="BA142" s="609" t="str">
        <f t="shared" si="2"/>
        <v>Target P rate 71%</v>
      </c>
      <c r="BB142" s="609" t="str">
        <f t="shared" si="2"/>
        <v>Target P rate 71%</v>
      </c>
      <c r="BC142" s="609" t="str">
        <f t="shared" si="2"/>
        <v>Target P rate 71%</v>
      </c>
      <c r="BD142" s="609" t="str">
        <f t="shared" si="2"/>
        <v>Target P rate 71%</v>
      </c>
      <c r="BE142" s="609" t="str">
        <f t="shared" si="2"/>
        <v>Target P rate 71%</v>
      </c>
      <c r="BF142" s="609" t="str">
        <f t="shared" si="2"/>
        <v>Target P rate 71%</v>
      </c>
      <c r="BG142" s="609" t="str">
        <f t="shared" si="2"/>
        <v>Target P rate 71%</v>
      </c>
      <c r="BH142" s="609" t="str">
        <f t="shared" si="2"/>
        <v>Target P rate 71%</v>
      </c>
      <c r="BI142" s="609" t="str">
        <f t="shared" si="2"/>
        <v>Target P rate 71%</v>
      </c>
      <c r="BJ142" s="609" t="str">
        <f t="shared" si="2"/>
        <v>Target P rate 71%</v>
      </c>
      <c r="BK142" s="609" t="str">
        <f t="shared" si="2"/>
        <v>Target P rate 71%</v>
      </c>
      <c r="BL142" s="609" t="str">
        <f t="shared" si="2"/>
        <v/>
      </c>
      <c r="BM142" s="609" t="str">
        <f t="shared" si="2"/>
        <v/>
      </c>
      <c r="BN142" s="609" t="str">
        <f t="shared" si="2"/>
        <v/>
      </c>
      <c r="BO142" s="609" t="str">
        <f t="shared" si="2"/>
        <v/>
      </c>
      <c r="BP142" s="609" t="str">
        <f t="shared" si="2"/>
        <v/>
      </c>
      <c r="BQ142" s="609" t="str">
        <f t="shared" si="2"/>
        <v/>
      </c>
      <c r="BR142" s="609" t="str">
        <f t="shared" si="2"/>
        <v/>
      </c>
      <c r="BS142" s="609" t="str">
        <f t="shared" si="2"/>
        <v/>
      </c>
      <c r="BT142" s="609" t="str">
        <f t="shared" si="2"/>
        <v/>
      </c>
      <c r="BU142" s="609" t="str">
        <f t="shared" si="2"/>
        <v/>
      </c>
      <c r="BV142" s="609" t="str">
        <f t="shared" si="2"/>
        <v/>
      </c>
      <c r="BW142" s="609" t="str">
        <f t="shared" si="2"/>
        <v/>
      </c>
      <c r="BX142" s="609" t="str">
        <f t="shared" si="2"/>
        <v/>
      </c>
      <c r="BY142" s="609" t="str">
        <f t="shared" si="2"/>
        <v/>
      </c>
      <c r="BZ142" s="609" t="str">
        <f t="shared" si="2"/>
        <v/>
      </c>
      <c r="CA142" s="609" t="str">
        <f t="shared" ref="CA142:DF142" si="3">IFERROR(INDEX($J$152:$J$159,CA152)&amp;" "&amp;IF(INDEX($K$152:$K$159,CA152)&lt;0.1,FIXED(INDEX($K$152:$K$159,CA152)*100,1),FIXED(INDEX($K$152:$K$159,CA152)*100,0))&amp;"%","")</f>
        <v/>
      </c>
      <c r="CB142" s="609" t="str">
        <f t="shared" si="3"/>
        <v/>
      </c>
      <c r="CC142" s="609" t="str">
        <f t="shared" si="3"/>
        <v/>
      </c>
      <c r="CD142" s="609" t="str">
        <f t="shared" si="3"/>
        <v/>
      </c>
      <c r="CE142" s="609" t="str">
        <f t="shared" si="3"/>
        <v/>
      </c>
      <c r="CF142" s="609" t="str">
        <f t="shared" si="3"/>
        <v/>
      </c>
      <c r="CG142" s="609" t="str">
        <f t="shared" si="3"/>
        <v/>
      </c>
      <c r="CH142" s="609" t="str">
        <f t="shared" si="3"/>
        <v/>
      </c>
      <c r="CI142" s="609" t="str">
        <f t="shared" si="3"/>
        <v/>
      </c>
      <c r="CJ142" s="609" t="str">
        <f t="shared" si="3"/>
        <v/>
      </c>
      <c r="CK142" s="609" t="str">
        <f t="shared" si="3"/>
        <v/>
      </c>
      <c r="CL142" s="609" t="str">
        <f t="shared" si="3"/>
        <v/>
      </c>
      <c r="CM142" s="609" t="str">
        <f t="shared" si="3"/>
        <v/>
      </c>
      <c r="CN142" s="609" t="str">
        <f t="shared" si="3"/>
        <v/>
      </c>
      <c r="CO142" s="609" t="str">
        <f t="shared" si="3"/>
        <v/>
      </c>
      <c r="CP142" s="609" t="str">
        <f t="shared" si="3"/>
        <v/>
      </c>
      <c r="CQ142" s="609" t="str">
        <f t="shared" si="3"/>
        <v/>
      </c>
      <c r="CR142" s="609" t="str">
        <f t="shared" si="3"/>
        <v/>
      </c>
      <c r="CS142" s="609" t="str">
        <f t="shared" si="3"/>
        <v/>
      </c>
      <c r="CT142" s="609" t="str">
        <f t="shared" si="3"/>
        <v/>
      </c>
      <c r="CU142" s="609" t="str">
        <f t="shared" si="3"/>
        <v>Target P rate 71%</v>
      </c>
      <c r="CV142" s="609" t="str">
        <f t="shared" si="3"/>
        <v>Target P rate 71%</v>
      </c>
      <c r="CW142" s="609" t="str">
        <f t="shared" si="3"/>
        <v>Target P rate 71%</v>
      </c>
      <c r="CX142" s="609" t="str">
        <f t="shared" si="3"/>
        <v>Target P rate 71%</v>
      </c>
      <c r="CY142" s="609" t="str">
        <f t="shared" si="3"/>
        <v>Target P rate 71%</v>
      </c>
      <c r="CZ142" s="609" t="str">
        <f t="shared" si="3"/>
        <v>Target P rate 71%</v>
      </c>
      <c r="DA142" s="609" t="str">
        <f t="shared" si="3"/>
        <v>Target P rate 71%</v>
      </c>
      <c r="DB142" s="609" t="str">
        <f t="shared" si="3"/>
        <v>Target P rate 71%</v>
      </c>
      <c r="DC142" s="609" t="str">
        <f t="shared" si="3"/>
        <v>Target P rate 71%</v>
      </c>
      <c r="DD142" s="609" t="str">
        <f t="shared" si="3"/>
        <v>Target P rate 71%</v>
      </c>
      <c r="DE142" s="609" t="str">
        <f t="shared" si="3"/>
        <v>Target P rate 71%</v>
      </c>
      <c r="DF142" s="609" t="str">
        <f t="shared" si="3"/>
        <v>Target P rate 71%</v>
      </c>
      <c r="DG142" s="609" t="str">
        <f t="shared" ref="DG142:EK142" si="4">IFERROR(INDEX($J$152:$J$159,DG152)&amp;" "&amp;IF(INDEX($K$152:$K$159,DG152)&lt;0.1,FIXED(INDEX($K$152:$K$159,DG152)*100,1),FIXED(INDEX($K$152:$K$159,DG152)*100,0))&amp;"%","")</f>
        <v>Target P rate 71%</v>
      </c>
      <c r="DH142" s="609" t="str">
        <f t="shared" si="4"/>
        <v>Target P rate 71%</v>
      </c>
      <c r="DI142" s="609" t="str">
        <f t="shared" si="4"/>
        <v>Target P rate 71%</v>
      </c>
      <c r="DJ142" s="609" t="str">
        <f t="shared" si="4"/>
        <v>Target P rate 71%</v>
      </c>
      <c r="DK142" s="609" t="str">
        <f t="shared" si="4"/>
        <v>Target P rate 71%</v>
      </c>
      <c r="DL142" s="609" t="str">
        <f t="shared" si="4"/>
        <v>Target P rate 71%</v>
      </c>
      <c r="DM142" s="609" t="str">
        <f t="shared" si="4"/>
        <v>Target P rate 71%</v>
      </c>
      <c r="DN142" s="609" t="str">
        <f t="shared" si="4"/>
        <v>Target P rate 71%</v>
      </c>
      <c r="DO142" s="609" t="str">
        <f t="shared" si="4"/>
        <v>Target P rate 71%</v>
      </c>
      <c r="DP142" s="609" t="str">
        <f t="shared" si="4"/>
        <v>Target P rate 71%</v>
      </c>
      <c r="DQ142" s="609" t="str">
        <f t="shared" si="4"/>
        <v>Target P rate 71%</v>
      </c>
      <c r="DR142" s="609" t="str">
        <f t="shared" si="4"/>
        <v>Target P rate 71%</v>
      </c>
      <c r="DS142" s="609" t="str">
        <f t="shared" si="4"/>
        <v>Target P rate 71%</v>
      </c>
      <c r="DT142" s="609" t="str">
        <f t="shared" si="4"/>
        <v>Target P rate 71%</v>
      </c>
      <c r="DU142" s="609" t="str">
        <f t="shared" si="4"/>
        <v>Target P rate 71%</v>
      </c>
      <c r="DV142" s="609" t="str">
        <f t="shared" si="4"/>
        <v>Target P rate 71%</v>
      </c>
      <c r="DW142" s="609" t="str">
        <f t="shared" si="4"/>
        <v>Target P rate 71%</v>
      </c>
      <c r="DX142" s="609" t="str">
        <f t="shared" si="4"/>
        <v>Target P rate 71%</v>
      </c>
      <c r="DY142" s="609" t="str">
        <f t="shared" si="4"/>
        <v>Target P rate 71%</v>
      </c>
      <c r="DZ142" s="609" t="str">
        <f t="shared" si="4"/>
        <v>Target P rate 71%</v>
      </c>
      <c r="EA142" s="609" t="str">
        <f t="shared" si="4"/>
        <v>Target P rate 71%</v>
      </c>
      <c r="EB142" s="609" t="str">
        <f t="shared" si="4"/>
        <v>Target P rate 71%</v>
      </c>
      <c r="EC142" s="609" t="str">
        <f t="shared" si="4"/>
        <v>Target P rate 71%</v>
      </c>
      <c r="ED142" s="609" t="str">
        <f t="shared" si="4"/>
        <v/>
      </c>
      <c r="EE142" s="609" t="str">
        <f t="shared" si="4"/>
        <v/>
      </c>
      <c r="EF142" s="609" t="str">
        <f t="shared" si="4"/>
        <v/>
      </c>
      <c r="EG142" s="609" t="str">
        <f t="shared" si="4"/>
        <v/>
      </c>
      <c r="EH142" s="609" t="str">
        <f t="shared" si="4"/>
        <v/>
      </c>
      <c r="EI142" s="609" t="str">
        <f t="shared" si="4"/>
        <v/>
      </c>
      <c r="EJ142" s="609" t="str">
        <f t="shared" si="4"/>
        <v/>
      </c>
      <c r="EK142" s="609" t="str">
        <f t="shared" si="4"/>
        <v/>
      </c>
      <c r="EL142" s="609" t="str">
        <f t="shared" ref="EL142:GW142" si="5">IFERROR(INDEX($J$152:$J$159,EL152)&amp;" "&amp;IF(INDEX($K$152:$K$159,EL152)&lt;0.1,FIXED(INDEX($K$152:$K$159,EL152)*100,1),FIXED(INDEX($K$152:$K$159,EL152)*100,0))&amp;"%","")</f>
        <v/>
      </c>
      <c r="EM142" s="609" t="str">
        <f t="shared" si="5"/>
        <v/>
      </c>
      <c r="EN142" s="609" t="str">
        <f t="shared" si="5"/>
        <v/>
      </c>
      <c r="EO142" s="609" t="str">
        <f t="shared" si="5"/>
        <v/>
      </c>
      <c r="EP142" s="609" t="str">
        <f t="shared" si="5"/>
        <v/>
      </c>
      <c r="EQ142" s="609" t="str">
        <f t="shared" si="5"/>
        <v/>
      </c>
      <c r="ER142" s="609" t="str">
        <f t="shared" si="5"/>
        <v/>
      </c>
      <c r="ES142" s="609" t="str">
        <f t="shared" si="5"/>
        <v/>
      </c>
      <c r="ET142" s="609" t="str">
        <f t="shared" si="5"/>
        <v/>
      </c>
      <c r="EU142" s="609" t="str">
        <f t="shared" si="5"/>
        <v/>
      </c>
      <c r="EV142" s="609" t="str">
        <f t="shared" si="5"/>
        <v/>
      </c>
      <c r="EW142" s="609" t="str">
        <f t="shared" si="5"/>
        <v/>
      </c>
      <c r="EX142" s="609" t="str">
        <f t="shared" si="5"/>
        <v/>
      </c>
      <c r="EY142" s="609" t="str">
        <f t="shared" si="5"/>
        <v/>
      </c>
      <c r="EZ142" s="609" t="str">
        <f t="shared" si="5"/>
        <v/>
      </c>
      <c r="FA142" s="609" t="str">
        <f t="shared" si="5"/>
        <v/>
      </c>
      <c r="FB142" s="609" t="str">
        <f t="shared" si="5"/>
        <v/>
      </c>
      <c r="FC142" s="609" t="str">
        <f t="shared" si="5"/>
        <v/>
      </c>
      <c r="FD142" s="609" t="str">
        <f t="shared" si="5"/>
        <v/>
      </c>
      <c r="FE142" s="609" t="str">
        <f t="shared" si="5"/>
        <v/>
      </c>
      <c r="FF142" s="609" t="str">
        <f t="shared" si="5"/>
        <v/>
      </c>
      <c r="FG142" s="609" t="str">
        <f t="shared" si="5"/>
        <v/>
      </c>
      <c r="FH142" s="609" t="str">
        <f t="shared" si="5"/>
        <v/>
      </c>
      <c r="FI142" s="609" t="str">
        <f t="shared" si="5"/>
        <v/>
      </c>
      <c r="FJ142" s="609" t="str">
        <f t="shared" si="5"/>
        <v/>
      </c>
      <c r="FK142" s="609" t="str">
        <f t="shared" si="5"/>
        <v/>
      </c>
      <c r="FL142" s="609" t="str">
        <f t="shared" si="5"/>
        <v/>
      </c>
      <c r="FM142" s="609" t="str">
        <f t="shared" si="5"/>
        <v>Target P rate 71%</v>
      </c>
      <c r="FN142" s="609" t="str">
        <f t="shared" si="5"/>
        <v>Target P rate 71%</v>
      </c>
      <c r="FO142" s="609" t="str">
        <f t="shared" si="5"/>
        <v>Target P rate 71%</v>
      </c>
      <c r="FP142" s="609" t="str">
        <f t="shared" si="5"/>
        <v>Target P rate 71%</v>
      </c>
      <c r="FQ142" s="609" t="str">
        <f t="shared" si="5"/>
        <v>Target P rate 71%</v>
      </c>
      <c r="FR142" s="609" t="str">
        <f t="shared" si="5"/>
        <v>Target P rate 71%</v>
      </c>
      <c r="FS142" s="609" t="str">
        <f t="shared" si="5"/>
        <v>Target P rate 71%</v>
      </c>
      <c r="FT142" s="609" t="str">
        <f t="shared" si="5"/>
        <v>Target P rate 71%</v>
      </c>
      <c r="FU142" s="609" t="str">
        <f t="shared" si="5"/>
        <v>Target P rate 71%</v>
      </c>
      <c r="FV142" s="609" t="str">
        <f t="shared" si="5"/>
        <v>Target P rate 71%</v>
      </c>
      <c r="FW142" s="609" t="str">
        <f t="shared" si="5"/>
        <v>Target P rate 71%</v>
      </c>
      <c r="FX142" s="609" t="str">
        <f t="shared" si="5"/>
        <v>Target P rate 71%</v>
      </c>
      <c r="FY142" s="609" t="str">
        <f t="shared" si="5"/>
        <v>Target P rate 71%</v>
      </c>
      <c r="FZ142" s="609" t="str">
        <f t="shared" si="5"/>
        <v>Target P rate 71%</v>
      </c>
      <c r="GA142" s="609" t="str">
        <f t="shared" si="5"/>
        <v>Target P rate 71%</v>
      </c>
      <c r="GB142" s="609" t="str">
        <f t="shared" si="5"/>
        <v>Target P rate 71%</v>
      </c>
      <c r="GC142" s="609" t="str">
        <f t="shared" si="5"/>
        <v>Target P rate 71%</v>
      </c>
      <c r="GD142" s="609" t="str">
        <f t="shared" si="5"/>
        <v>Target P rate 71%</v>
      </c>
      <c r="GE142" s="609" t="str">
        <f t="shared" si="5"/>
        <v>Target P rate 71%</v>
      </c>
      <c r="GF142" s="609" t="str">
        <f t="shared" si="5"/>
        <v>Target P rate 71%</v>
      </c>
      <c r="GG142" s="609" t="str">
        <f t="shared" si="5"/>
        <v>Target P rate 71%</v>
      </c>
      <c r="GH142" s="609" t="str">
        <f t="shared" si="5"/>
        <v>Target P rate 71%</v>
      </c>
      <c r="GI142" s="609" t="str">
        <f t="shared" si="5"/>
        <v>Target P rate 71%</v>
      </c>
      <c r="GJ142" s="609" t="str">
        <f t="shared" si="5"/>
        <v>Target P rate 71%</v>
      </c>
      <c r="GK142" s="609" t="str">
        <f t="shared" si="5"/>
        <v>Target P rate 71%</v>
      </c>
      <c r="GL142" s="609" t="str">
        <f t="shared" si="5"/>
        <v>Target P rate 71%</v>
      </c>
      <c r="GM142" s="609" t="str">
        <f t="shared" si="5"/>
        <v>Target P rate 71%</v>
      </c>
      <c r="GN142" s="609" t="str">
        <f t="shared" si="5"/>
        <v>Target P rate 71%</v>
      </c>
      <c r="GO142" s="609" t="str">
        <f t="shared" si="5"/>
        <v>Target P rate 71%</v>
      </c>
      <c r="GP142" s="609" t="str">
        <f t="shared" si="5"/>
        <v>Target P rate 71%</v>
      </c>
      <c r="GQ142" s="609" t="str">
        <f t="shared" si="5"/>
        <v>Target P rate 71%</v>
      </c>
      <c r="GR142" s="609" t="str">
        <f t="shared" si="5"/>
        <v>Target P rate 71%</v>
      </c>
      <c r="GS142" s="609" t="str">
        <f t="shared" si="5"/>
        <v>Target P rate 71%</v>
      </c>
      <c r="GT142" s="609" t="str">
        <f t="shared" si="5"/>
        <v>Target P rate 71%</v>
      </c>
      <c r="GU142" s="609" t="str">
        <f t="shared" si="5"/>
        <v>Target P rate 71%</v>
      </c>
      <c r="GV142" s="609" t="str">
        <f t="shared" si="5"/>
        <v/>
      </c>
      <c r="GW142" s="609" t="str">
        <f t="shared" si="5"/>
        <v/>
      </c>
      <c r="GX142" s="609" t="str">
        <f t="shared" ref="GX142:IY142" si="6">IFERROR(INDEX($J$152:$J$159,GX152)&amp;" "&amp;IF(INDEX($K$152:$K$159,GX152)&lt;0.1,FIXED(INDEX($K$152:$K$159,GX152)*100,1),FIXED(INDEX($K$152:$K$159,GX152)*100,0))&amp;"%","")</f>
        <v/>
      </c>
      <c r="GY142" s="609" t="str">
        <f t="shared" si="6"/>
        <v/>
      </c>
      <c r="GZ142" s="609" t="str">
        <f t="shared" si="6"/>
        <v/>
      </c>
      <c r="HA142" s="609" t="str">
        <f t="shared" si="6"/>
        <v/>
      </c>
      <c r="HB142" s="609" t="str">
        <f t="shared" si="6"/>
        <v/>
      </c>
      <c r="HC142" s="609" t="str">
        <f t="shared" si="6"/>
        <v/>
      </c>
      <c r="HD142" s="609" t="str">
        <f t="shared" si="6"/>
        <v/>
      </c>
      <c r="HE142" s="609" t="str">
        <f t="shared" si="6"/>
        <v/>
      </c>
      <c r="HF142" s="609" t="str">
        <f t="shared" si="6"/>
        <v/>
      </c>
      <c r="HG142" s="609" t="str">
        <f t="shared" si="6"/>
        <v/>
      </c>
      <c r="HH142" s="609" t="str">
        <f t="shared" si="6"/>
        <v/>
      </c>
      <c r="HI142" s="609" t="str">
        <f t="shared" si="6"/>
        <v/>
      </c>
      <c r="HJ142" s="609" t="str">
        <f t="shared" si="6"/>
        <v/>
      </c>
      <c r="HK142" s="609" t="str">
        <f t="shared" si="6"/>
        <v/>
      </c>
      <c r="HL142" s="609" t="str">
        <f t="shared" si="6"/>
        <v/>
      </c>
      <c r="HM142" s="609" t="str">
        <f t="shared" si="6"/>
        <v/>
      </c>
      <c r="HN142" s="609" t="str">
        <f t="shared" si="6"/>
        <v/>
      </c>
      <c r="HO142" s="609" t="str">
        <f t="shared" si="6"/>
        <v/>
      </c>
      <c r="HP142" s="609" t="str">
        <f t="shared" si="6"/>
        <v/>
      </c>
      <c r="HQ142" s="609" t="str">
        <f t="shared" si="6"/>
        <v>Target P rate 71%</v>
      </c>
      <c r="HR142" s="609" t="str">
        <f t="shared" si="6"/>
        <v>Target P rate 71%</v>
      </c>
      <c r="HS142" s="609" t="str">
        <f t="shared" si="6"/>
        <v>Target P rate 71%</v>
      </c>
      <c r="HT142" s="609" t="str">
        <f t="shared" si="6"/>
        <v>Target P rate 71%</v>
      </c>
      <c r="HU142" s="609" t="str">
        <f t="shared" si="6"/>
        <v>Target P rate 71%</v>
      </c>
      <c r="HV142" s="609" t="str">
        <f t="shared" si="6"/>
        <v>Target P rate 71%</v>
      </c>
      <c r="HW142" s="609" t="str">
        <f t="shared" si="6"/>
        <v>Target P rate 71%</v>
      </c>
      <c r="HX142" s="609" t="str">
        <f t="shared" si="6"/>
        <v>Target P rate 71%</v>
      </c>
      <c r="HY142" s="609" t="str">
        <f t="shared" si="6"/>
        <v>Target P rate 71%</v>
      </c>
      <c r="HZ142" s="609" t="str">
        <f t="shared" si="6"/>
        <v>Target P rate 71%</v>
      </c>
      <c r="IA142" s="609" t="str">
        <f t="shared" si="6"/>
        <v>Target P rate 71%</v>
      </c>
      <c r="IB142" s="609" t="str">
        <f t="shared" si="6"/>
        <v>Target P rate 71%</v>
      </c>
      <c r="IC142" s="609" t="str">
        <f t="shared" si="6"/>
        <v>Target P rate 71%</v>
      </c>
      <c r="ID142" s="609" t="str">
        <f t="shared" si="6"/>
        <v>Target P rate 71%</v>
      </c>
      <c r="IE142" s="609" t="str">
        <f t="shared" si="6"/>
        <v>Target P rate 71%</v>
      </c>
      <c r="IF142" s="609" t="str">
        <f t="shared" si="6"/>
        <v>Target P rate 71%</v>
      </c>
      <c r="IG142" s="609" t="str">
        <f t="shared" si="6"/>
        <v>Target P rate 71%</v>
      </c>
      <c r="IH142" s="609" t="str">
        <f t="shared" si="6"/>
        <v>Target P rate 71%</v>
      </c>
      <c r="II142" s="609" t="str">
        <f t="shared" si="6"/>
        <v>Target P rate 71%</v>
      </c>
      <c r="IJ142" s="609" t="str">
        <f t="shared" si="6"/>
        <v>Target P rate 71%</v>
      </c>
      <c r="IK142" s="609" t="str">
        <f t="shared" si="6"/>
        <v>Target P rate 71%</v>
      </c>
      <c r="IL142" s="609" t="str">
        <f t="shared" si="6"/>
        <v/>
      </c>
      <c r="IM142" s="609" t="str">
        <f t="shared" si="6"/>
        <v/>
      </c>
      <c r="IN142" s="609" t="str">
        <f t="shared" si="6"/>
        <v/>
      </c>
      <c r="IO142" s="609" t="str">
        <f t="shared" si="6"/>
        <v/>
      </c>
      <c r="IP142" s="609" t="str">
        <f t="shared" si="6"/>
        <v/>
      </c>
      <c r="IQ142" s="609" t="str">
        <f t="shared" si="6"/>
        <v/>
      </c>
      <c r="IR142" s="609" t="str">
        <f t="shared" si="6"/>
        <v/>
      </c>
      <c r="IS142" s="609" t="str">
        <f t="shared" si="6"/>
        <v>Target P rate 71%</v>
      </c>
      <c r="IT142" s="609" t="str">
        <f t="shared" si="6"/>
        <v>Target P rate 71%</v>
      </c>
      <c r="IU142" s="609" t="str">
        <f t="shared" si="6"/>
        <v>Target P rate 71%</v>
      </c>
      <c r="IV142" s="609" t="str">
        <f t="shared" si="6"/>
        <v>Target P rate 71%</v>
      </c>
      <c r="IW142" s="609" t="str">
        <f t="shared" si="6"/>
        <v>Target P rate 71%</v>
      </c>
      <c r="IX142" s="609" t="str">
        <f t="shared" si="6"/>
        <v>Target P rate 71%</v>
      </c>
      <c r="IY142" s="609" t="str">
        <f t="shared" si="6"/>
        <v>Target P rate 71%</v>
      </c>
    </row>
    <row r="143" spans="1:259" x14ac:dyDescent="0.25">
      <c r="A143" s="209"/>
      <c r="B143" s="209"/>
      <c r="C143" s="209"/>
      <c r="D143" s="209"/>
      <c r="E143" s="209"/>
      <c r="F143" s="209"/>
      <c r="G143" s="209"/>
      <c r="H143" s="209"/>
      <c r="I143" s="209"/>
      <c r="J143" s="209"/>
      <c r="K143" s="209"/>
      <c r="L143" s="209"/>
      <c r="M143" s="209"/>
      <c r="N143" s="666" t="str">
        <f ca="1">IFERROR(INDEX($J$152:$J$159,N153)&amp;" "&amp;IF(INDEX($K$152:$K$159,N153)&lt;0.1,FIXED(INDEX($K$152:$K$159,N153)*100,1),FIXED(INDEX($K$152:$K$159,N153)*100,0))&amp;"%","")&amp;","&amp;IFERROR(OFFSET(INDEX($J$152:$J$159,N153),0,2)&amp;" "&amp;IF(INDEX($M$152:$M$159,N153)&lt;0.1,FIXED(INDEX($M$152:$M$159,N153)*100,1),FIXED(INDEX($M$152:$M$159,N153)*100,0))&amp;"%","")</f>
        <v>Control Drainage 2.0%,Tile intakes 4.2%</v>
      </c>
      <c r="O143" s="671" t="str">
        <f ca="1">IFERROR(INDEX($J$152:$J$159,O153)&amp;""&amp;IF(INDEX($K$152:$K$159,O153)&lt;0.1,FIXED(INDEX($K$152:$K$159,O153)*100,1),FIXED(INDEX($K$152:$K$159,O153)*100,0))&amp;"%","")&amp;","&amp;IFERROR(OFFSET(INDEX($J$152:$J$159,O153),0,2)&amp;" "&amp;IF(INDEX($M$152:$M$159,O153)&lt;0.1,FIXED(INDEX($M$152:$M$159,O153)*100,1),FIXED(INDEX($M$152:$M$159,O153)*100,0))&amp;"%","")</f>
        <v>Control Drainage2.0%,Tile intakes 4.2%</v>
      </c>
      <c r="P143" s="671" t="str">
        <f ca="1">IFERROR(INDEX($J$152:$J$159,P153)&amp;""&amp;IF(INDEX($K$152:$K$159,P153)&lt;0.1,FIXED(INDEX($K$152:$K$159,P153)*100,1),FIXED(INDEX($K$152:$K$159,P153)*100,0))&amp;"%","")&amp;""&amp;IFERROR(OFFSET(INDEX($J$152:$J$159,P153),0,2)&amp;""&amp;IF(INDEX($M$152:$M$159,P153)&lt;0.1,FIXED(INDEX($M$152:$M$159,P153)*100,1),FIXED(INDEX($M$152:$M$159,P153)*100,0))&amp;"%","")</f>
        <v/>
      </c>
      <c r="Q143" s="671" t="str">
        <f ca="1">IFERROR(INDEX($J$152:$J$159,Q153)&amp;""&amp;IF(INDEX($K$152:$K$159,Q153)&lt;0.1,FIXED(INDEX($K$152:$K$159,Q153)*100,1),FIXED(INDEX($K$152:$K$159,Q153)*100,0))&amp;"%","")&amp;""&amp;IFERROR(OFFSET(INDEX($J$152:$J$159,Q153),0,2)&amp;""&amp;IF(INDEX($M$152:$M$159,Q153)&lt;0.1,FIXED(INDEX($M$152:$M$159,Q153)*100,1),FIXED(INDEX($M$152:$M$159,Q153)*100,0))&amp;"%","")</f>
        <v/>
      </c>
      <c r="R143" s="671" t="str">
        <f ca="1">IFERROR(INDEX($J$152:$J$159,R153)&amp;""&amp;IF(INDEX($K$152:$K$159,R153)&lt;0.1,FIXED(INDEX($K$152:$K$159,R153)*100,1),FIXED(INDEX($K$152:$K$159,R153)*100,0))&amp;"%","")&amp;""&amp;IFERROR(OFFSET(INDEX($J$152:$J$159,R153),0,2)&amp;""&amp;IF(INDEX($M$152:$M$159,R153)&lt;0.1,FIXED(INDEX($M$152:$M$159,R153)*100,1),FIXED(INDEX($M$152:$M$159,R153)*100,0))&amp;"%","")</f>
        <v/>
      </c>
      <c r="S143" s="671" t="str">
        <f t="shared" ref="S143:CD143" ca="1" si="7">IFERROR(INDEX($J$152:$J$159,S153)&amp;""&amp;IF(INDEX($K$152:$K$159,S153)&lt;0.1,FIXED(INDEX($K$152:$K$159,S153)*100,1),FIXED(INDEX($K$152:$K$159,S153)*100,0))&amp;"%","")&amp;""&amp;IFERROR(OFFSET(INDEX($J$152:$J$159,S153),0,2)&amp;""&amp;IF(INDEX($M$152:$M$159,S153)&lt;0.1,FIXED(INDEX($M$152:$M$159,S153)*100,1),FIXED(INDEX($M$152:$M$159,S153)*100,0))&amp;"%","")</f>
        <v/>
      </c>
      <c r="T143" s="671" t="str">
        <f t="shared" ca="1" si="7"/>
        <v/>
      </c>
      <c r="U143" s="671" t="str">
        <f t="shared" ca="1" si="7"/>
        <v/>
      </c>
      <c r="V143" s="671" t="str">
        <f t="shared" ca="1" si="7"/>
        <v>Control Drainage2.0%Tile intakes4.2%</v>
      </c>
      <c r="W143" s="671" t="str">
        <f t="shared" ca="1" si="7"/>
        <v>Control Drainage2.0%Tile intakes4.2%</v>
      </c>
      <c r="X143" s="671" t="str">
        <f t="shared" ca="1" si="7"/>
        <v>Control Drainage2.0%Tile intakes4.2%</v>
      </c>
      <c r="Y143" s="671" t="str">
        <f t="shared" ca="1" si="7"/>
        <v>Control Drainage2.0%Tile intakes4.2%</v>
      </c>
      <c r="Z143" s="671" t="str">
        <f t="shared" ca="1" si="7"/>
        <v>Control Drainage2.0%Tile intakes4.2%</v>
      </c>
      <c r="AA143" s="609" t="str">
        <f t="shared" ca="1" si="7"/>
        <v>Control Drainage2.0%Tile intakes4.2%</v>
      </c>
      <c r="AB143" s="609" t="str">
        <f t="shared" ca="1" si="7"/>
        <v/>
      </c>
      <c r="AC143" s="609" t="str">
        <f t="shared" ca="1" si="7"/>
        <v/>
      </c>
      <c r="AD143" s="609" t="str">
        <f t="shared" ca="1" si="7"/>
        <v/>
      </c>
      <c r="AE143" s="609" t="str">
        <f t="shared" ca="1" si="7"/>
        <v/>
      </c>
      <c r="AF143" s="609" t="str">
        <f t="shared" ca="1" si="7"/>
        <v/>
      </c>
      <c r="AG143" s="609" t="str">
        <f t="shared" ca="1" si="7"/>
        <v/>
      </c>
      <c r="AH143" s="609" t="str">
        <f t="shared" ca="1" si="7"/>
        <v/>
      </c>
      <c r="AI143" s="609" t="str">
        <f t="shared" ca="1" si="7"/>
        <v/>
      </c>
      <c r="AJ143" s="609" t="str">
        <f t="shared" ca="1" si="7"/>
        <v/>
      </c>
      <c r="AK143" s="609" t="str">
        <f t="shared" ca="1" si="7"/>
        <v/>
      </c>
      <c r="AL143" s="609" t="str">
        <f t="shared" ca="1" si="7"/>
        <v/>
      </c>
      <c r="AM143" s="609" t="str">
        <f t="shared" ca="1" si="7"/>
        <v/>
      </c>
      <c r="AN143" s="609" t="str">
        <f t="shared" ca="1" si="7"/>
        <v/>
      </c>
      <c r="AO143" s="609" t="str">
        <f t="shared" ca="1" si="7"/>
        <v/>
      </c>
      <c r="AP143" s="609" t="str">
        <f t="shared" ca="1" si="7"/>
        <v/>
      </c>
      <c r="AQ143" s="609" t="str">
        <f t="shared" ca="1" si="7"/>
        <v>Control Drainage2.0%Tile intakes4.2%</v>
      </c>
      <c r="AR143" s="609" t="str">
        <f t="shared" ca="1" si="7"/>
        <v>Control Drainage2.0%Tile intakes4.2%</v>
      </c>
      <c r="AS143" s="609" t="str">
        <f t="shared" ca="1" si="7"/>
        <v>Control Drainage2.0%Tile intakes4.2%</v>
      </c>
      <c r="AT143" s="609" t="str">
        <f t="shared" ca="1" si="7"/>
        <v>Control Drainage2.0%Tile intakes4.2%</v>
      </c>
      <c r="AU143" s="609" t="str">
        <f t="shared" ca="1" si="7"/>
        <v>Control Drainage2.0%Tile intakes4.2%</v>
      </c>
      <c r="AV143" s="609" t="str">
        <f t="shared" ca="1" si="7"/>
        <v>Control Drainage2.0%Tile intakes4.2%</v>
      </c>
      <c r="AW143" s="609" t="str">
        <f t="shared" ca="1" si="7"/>
        <v/>
      </c>
      <c r="AX143" s="609" t="str">
        <f t="shared" ca="1" si="7"/>
        <v/>
      </c>
      <c r="AY143" s="609" t="str">
        <f t="shared" ca="1" si="7"/>
        <v/>
      </c>
      <c r="AZ143" s="609" t="str">
        <f t="shared" ca="1" si="7"/>
        <v/>
      </c>
      <c r="BA143" s="609" t="str">
        <f t="shared" ca="1" si="7"/>
        <v/>
      </c>
      <c r="BB143" s="609" t="str">
        <f t="shared" ca="1" si="7"/>
        <v/>
      </c>
      <c r="BC143" s="609" t="str">
        <f t="shared" ca="1" si="7"/>
        <v/>
      </c>
      <c r="BD143" s="609" t="str">
        <f t="shared" ca="1" si="7"/>
        <v/>
      </c>
      <c r="BE143" s="609" t="str">
        <f t="shared" ca="1" si="7"/>
        <v/>
      </c>
      <c r="BF143" s="609" t="str">
        <f t="shared" ca="1" si="7"/>
        <v/>
      </c>
      <c r="BG143" s="609" t="str">
        <f t="shared" ca="1" si="7"/>
        <v/>
      </c>
      <c r="BH143" s="609" t="str">
        <f t="shared" ca="1" si="7"/>
        <v/>
      </c>
      <c r="BI143" s="609" t="str">
        <f t="shared" ca="1" si="7"/>
        <v/>
      </c>
      <c r="BJ143" s="609" t="str">
        <f t="shared" ca="1" si="7"/>
        <v/>
      </c>
      <c r="BK143" s="609" t="str">
        <f t="shared" ca="1" si="7"/>
        <v/>
      </c>
      <c r="BL143" s="609" t="str">
        <f t="shared" ca="1" si="7"/>
        <v>Control Drainage2.0%Tile intakes4.2%</v>
      </c>
      <c r="BM143" s="609" t="str">
        <f t="shared" ca="1" si="7"/>
        <v>Control Drainage2.0%Tile intakes4.2%</v>
      </c>
      <c r="BN143" s="609" t="str">
        <f t="shared" ca="1" si="7"/>
        <v>Control Drainage2.0%Tile intakes4.2%</v>
      </c>
      <c r="BO143" s="609" t="str">
        <f t="shared" ca="1" si="7"/>
        <v>Control Drainage2.0%Tile intakes4.2%</v>
      </c>
      <c r="BP143" s="609" t="str">
        <f t="shared" ca="1" si="7"/>
        <v>Control Drainage2.0%Tile intakes4.2%</v>
      </c>
      <c r="BQ143" s="609" t="str">
        <f t="shared" ca="1" si="7"/>
        <v>Control Drainage2.0%Tile intakes4.2%</v>
      </c>
      <c r="BR143" s="609" t="str">
        <f t="shared" ca="1" si="7"/>
        <v>Control Drainage2.0%Tile intakes4.2%</v>
      </c>
      <c r="BS143" s="609" t="str">
        <f t="shared" ca="1" si="7"/>
        <v>Control Drainage2.0%Tile intakes4.2%</v>
      </c>
      <c r="BT143" s="609" t="str">
        <f t="shared" ca="1" si="7"/>
        <v>Control Drainage2.0%Tile intakes4.2%</v>
      </c>
      <c r="BU143" s="609" t="str">
        <f t="shared" ca="1" si="7"/>
        <v>Control Drainage2.0%Tile intakes4.2%</v>
      </c>
      <c r="BV143" s="609" t="str">
        <f t="shared" ca="1" si="7"/>
        <v>Control Drainage2.0%Tile intakes4.2%</v>
      </c>
      <c r="BW143" s="609" t="str">
        <f t="shared" ca="1" si="7"/>
        <v>Control Drainage2.0%Tile intakes4.2%</v>
      </c>
      <c r="BX143" s="609" t="str">
        <f t="shared" ca="1" si="7"/>
        <v>Control Drainage2.0%Tile intakes4.2%</v>
      </c>
      <c r="BY143" s="609" t="str">
        <f t="shared" ca="1" si="7"/>
        <v>Control Drainage2.0%Tile intakes4.2%</v>
      </c>
      <c r="BZ143" s="609" t="str">
        <f t="shared" ca="1" si="7"/>
        <v>Control Drainage2.0%Tile intakes4.2%</v>
      </c>
      <c r="CA143" s="609" t="str">
        <f t="shared" ca="1" si="7"/>
        <v/>
      </c>
      <c r="CB143" s="609" t="str">
        <f t="shared" ca="1" si="7"/>
        <v/>
      </c>
      <c r="CC143" s="609" t="str">
        <f t="shared" ca="1" si="7"/>
        <v/>
      </c>
      <c r="CD143" s="609" t="str">
        <f t="shared" ca="1" si="7"/>
        <v/>
      </c>
      <c r="CE143" s="609" t="str">
        <f t="shared" ref="CE143:EP143" ca="1" si="8">IFERROR(INDEX($J$152:$J$159,CE153)&amp;""&amp;IF(INDEX($K$152:$K$159,CE153)&lt;0.1,FIXED(INDEX($K$152:$K$159,CE153)*100,1),FIXED(INDEX($K$152:$K$159,CE153)*100,0))&amp;"%","")&amp;""&amp;IFERROR(OFFSET(INDEX($J$152:$J$159,CE153),0,2)&amp;""&amp;IF(INDEX($M$152:$M$159,CE153)&lt;0.1,FIXED(INDEX($M$152:$M$159,CE153)*100,1),FIXED(INDEX($M$152:$M$159,CE153)*100,0))&amp;"%","")</f>
        <v/>
      </c>
      <c r="CF143" s="609" t="str">
        <f t="shared" ca="1" si="8"/>
        <v/>
      </c>
      <c r="CG143" s="609" t="str">
        <f t="shared" ca="1" si="8"/>
        <v/>
      </c>
      <c r="CH143" s="609" t="str">
        <f t="shared" ca="1" si="8"/>
        <v/>
      </c>
      <c r="CI143" s="609" t="str">
        <f t="shared" ca="1" si="8"/>
        <v/>
      </c>
      <c r="CJ143" s="609" t="str">
        <f t="shared" ca="1" si="8"/>
        <v/>
      </c>
      <c r="CK143" s="609" t="str">
        <f t="shared" ca="1" si="8"/>
        <v/>
      </c>
      <c r="CL143" s="609" t="str">
        <f t="shared" ca="1" si="8"/>
        <v/>
      </c>
      <c r="CM143" s="609" t="str">
        <f t="shared" ca="1" si="8"/>
        <v/>
      </c>
      <c r="CN143" s="609" t="str">
        <f t="shared" ca="1" si="8"/>
        <v/>
      </c>
      <c r="CO143" s="609" t="str">
        <f t="shared" ca="1" si="8"/>
        <v/>
      </c>
      <c r="CP143" s="609" t="str">
        <f t="shared" ca="1" si="8"/>
        <v/>
      </c>
      <c r="CQ143" s="609" t="str">
        <f t="shared" ca="1" si="8"/>
        <v/>
      </c>
      <c r="CR143" s="609" t="str">
        <f t="shared" ca="1" si="8"/>
        <v/>
      </c>
      <c r="CS143" s="609" t="str">
        <f t="shared" ca="1" si="8"/>
        <v/>
      </c>
      <c r="CT143" s="609" t="str">
        <f t="shared" ca="1" si="8"/>
        <v/>
      </c>
      <c r="CU143" s="609" t="str">
        <f t="shared" ca="1" si="8"/>
        <v>Control Drainage2.0%Tile intakes4.2%</v>
      </c>
      <c r="CV143" s="609" t="str">
        <f t="shared" ca="1" si="8"/>
        <v>Control Drainage2.0%Tile intakes4.2%</v>
      </c>
      <c r="CW143" s="609" t="str">
        <f t="shared" ca="1" si="8"/>
        <v>Control Drainage2.0%Tile intakes4.2%</v>
      </c>
      <c r="CX143" s="609" t="str">
        <f t="shared" ca="1" si="8"/>
        <v>Control Drainage2.0%Tile intakes4.2%</v>
      </c>
      <c r="CY143" s="609" t="str">
        <f t="shared" ca="1" si="8"/>
        <v>Control Drainage2.0%Tile intakes4.2%</v>
      </c>
      <c r="CZ143" s="609" t="str">
        <f t="shared" ca="1" si="8"/>
        <v>Control Drainage2.0%Tile intakes4.2%</v>
      </c>
      <c r="DA143" s="609" t="str">
        <f t="shared" ca="1" si="8"/>
        <v>Control Drainage2.0%Tile intakes4.2%</v>
      </c>
      <c r="DB143" s="609" t="str">
        <f t="shared" ca="1" si="8"/>
        <v>Control Drainage2.0%Tile intakes4.2%</v>
      </c>
      <c r="DC143" s="609" t="str">
        <f t="shared" ca="1" si="8"/>
        <v>Control Drainage2.0%Tile intakes4.2%</v>
      </c>
      <c r="DD143" s="609" t="str">
        <f t="shared" ca="1" si="8"/>
        <v>Control Drainage2.0%Tile intakes4.2%</v>
      </c>
      <c r="DE143" s="609" t="str">
        <f t="shared" ca="1" si="8"/>
        <v>Control Drainage2.0%Tile intakes4.2%</v>
      </c>
      <c r="DF143" s="609" t="str">
        <f t="shared" ca="1" si="8"/>
        <v>Control Drainage2.0%Tile intakes4.2%</v>
      </c>
      <c r="DG143" s="609" t="str">
        <f t="shared" ca="1" si="8"/>
        <v>Control Drainage2.0%Tile intakes4.2%</v>
      </c>
      <c r="DH143" s="609" t="str">
        <f t="shared" ca="1" si="8"/>
        <v>Control Drainage2.0%Tile intakes4.2%</v>
      </c>
      <c r="DI143" s="609" t="str">
        <f t="shared" ca="1" si="8"/>
        <v>Control Drainage2.0%Tile intakes4.2%</v>
      </c>
      <c r="DJ143" s="609" t="str">
        <f t="shared" ca="1" si="8"/>
        <v/>
      </c>
      <c r="DK143" s="609" t="str">
        <f t="shared" ca="1" si="8"/>
        <v/>
      </c>
      <c r="DL143" s="609" t="str">
        <f t="shared" ca="1" si="8"/>
        <v/>
      </c>
      <c r="DM143" s="609" t="str">
        <f t="shared" ca="1" si="8"/>
        <v/>
      </c>
      <c r="DN143" s="609" t="str">
        <f t="shared" ca="1" si="8"/>
        <v/>
      </c>
      <c r="DO143" s="609" t="str">
        <f t="shared" ca="1" si="8"/>
        <v/>
      </c>
      <c r="DP143" s="609" t="str">
        <f t="shared" ca="1" si="8"/>
        <v/>
      </c>
      <c r="DQ143" s="609" t="str">
        <f t="shared" ca="1" si="8"/>
        <v/>
      </c>
      <c r="DR143" s="609" t="str">
        <f t="shared" ca="1" si="8"/>
        <v/>
      </c>
      <c r="DS143" s="609" t="str">
        <f t="shared" ca="1" si="8"/>
        <v/>
      </c>
      <c r="DT143" s="609" t="str">
        <f t="shared" ca="1" si="8"/>
        <v/>
      </c>
      <c r="DU143" s="609" t="str">
        <f t="shared" ca="1" si="8"/>
        <v/>
      </c>
      <c r="DV143" s="609" t="str">
        <f t="shared" ca="1" si="8"/>
        <v/>
      </c>
      <c r="DW143" s="609" t="str">
        <f t="shared" ca="1" si="8"/>
        <v/>
      </c>
      <c r="DX143" s="609" t="str">
        <f t="shared" ca="1" si="8"/>
        <v/>
      </c>
      <c r="DY143" s="609" t="str">
        <f t="shared" ca="1" si="8"/>
        <v/>
      </c>
      <c r="DZ143" s="609" t="str">
        <f t="shared" ca="1" si="8"/>
        <v/>
      </c>
      <c r="EA143" s="609" t="str">
        <f t="shared" ca="1" si="8"/>
        <v/>
      </c>
      <c r="EB143" s="609" t="str">
        <f t="shared" ca="1" si="8"/>
        <v/>
      </c>
      <c r="EC143" s="609" t="str">
        <f t="shared" ca="1" si="8"/>
        <v/>
      </c>
      <c r="ED143" s="609" t="str">
        <f t="shared" ca="1" si="8"/>
        <v>Control Drainage2.0%Tile intakes4.2%</v>
      </c>
      <c r="EE143" s="609" t="str">
        <f t="shared" ca="1" si="8"/>
        <v>Control Drainage2.0%Tile intakes4.2%</v>
      </c>
      <c r="EF143" s="609" t="str">
        <f t="shared" ca="1" si="8"/>
        <v>Control Drainage2.0%Tile intakes4.2%</v>
      </c>
      <c r="EG143" s="609" t="str">
        <f t="shared" ca="1" si="8"/>
        <v>Control Drainage2.0%Tile intakes4.2%</v>
      </c>
      <c r="EH143" s="609" t="str">
        <f t="shared" ca="1" si="8"/>
        <v>Control Drainage2.0%Tile intakes4.2%</v>
      </c>
      <c r="EI143" s="609" t="str">
        <f t="shared" ca="1" si="8"/>
        <v>Control Drainage2.0%Tile intakes4.2%</v>
      </c>
      <c r="EJ143" s="609" t="str">
        <f t="shared" ca="1" si="8"/>
        <v>Control Drainage2.0%Tile intakes4.2%</v>
      </c>
      <c r="EK143" s="609" t="str">
        <f t="shared" ca="1" si="8"/>
        <v>Control Drainage2.0%Tile intakes4.2%</v>
      </c>
      <c r="EL143" s="609" t="str">
        <f t="shared" ca="1" si="8"/>
        <v>Control Drainage2.0%Tile intakes4.2%</v>
      </c>
      <c r="EM143" s="609" t="str">
        <f t="shared" ca="1" si="8"/>
        <v>Control Drainage2.0%Tile intakes4.2%</v>
      </c>
      <c r="EN143" s="609" t="str">
        <f t="shared" ca="1" si="8"/>
        <v>Control Drainage2.0%Tile intakes4.2%</v>
      </c>
      <c r="EO143" s="609" t="str">
        <f t="shared" ca="1" si="8"/>
        <v>Control Drainage2.0%Tile intakes4.2%</v>
      </c>
      <c r="EP143" s="609" t="str">
        <f t="shared" ca="1" si="8"/>
        <v>Control Drainage2.0%Tile intakes4.2%</v>
      </c>
      <c r="EQ143" s="609" t="str">
        <f t="shared" ref="EQ143:HB143" ca="1" si="9">IFERROR(INDEX($J$152:$J$159,EQ153)&amp;""&amp;IF(INDEX($K$152:$K$159,EQ153)&lt;0.1,FIXED(INDEX($K$152:$K$159,EQ153)*100,1),FIXED(INDEX($K$152:$K$159,EQ153)*100,0))&amp;"%","")&amp;""&amp;IFERROR(OFFSET(INDEX($J$152:$J$159,EQ153),0,2)&amp;""&amp;IF(INDEX($M$152:$M$159,EQ153)&lt;0.1,FIXED(INDEX($M$152:$M$159,EQ153)*100,1),FIXED(INDEX($M$152:$M$159,EQ153)*100,0))&amp;"%","")</f>
        <v>Control Drainage2.0%Tile intakes4.2%</v>
      </c>
      <c r="ER143" s="609" t="str">
        <f t="shared" ca="1" si="9"/>
        <v>Control Drainage2.0%Tile intakes4.2%</v>
      </c>
      <c r="ES143" s="609" t="str">
        <f t="shared" ca="1" si="9"/>
        <v>Control Drainage2.0%Tile intakes4.2%</v>
      </c>
      <c r="ET143" s="609" t="str">
        <f t="shared" ca="1" si="9"/>
        <v>Control Drainage2.0%Tile intakes4.2%</v>
      </c>
      <c r="EU143" s="609" t="str">
        <f t="shared" ca="1" si="9"/>
        <v>Control Drainage2.0%Tile intakes4.2%</v>
      </c>
      <c r="EV143" s="609" t="str">
        <f t="shared" ca="1" si="9"/>
        <v>Control Drainage2.0%Tile intakes4.2%</v>
      </c>
      <c r="EW143" s="609" t="str">
        <f t="shared" ca="1" si="9"/>
        <v>Control Drainage2.0%Tile intakes4.2%</v>
      </c>
      <c r="EX143" s="609" t="str">
        <f t="shared" ca="1" si="9"/>
        <v/>
      </c>
      <c r="EY143" s="609" t="str">
        <f t="shared" ca="1" si="9"/>
        <v/>
      </c>
      <c r="EZ143" s="609" t="str">
        <f t="shared" ca="1" si="9"/>
        <v/>
      </c>
      <c r="FA143" s="609" t="str">
        <f t="shared" ca="1" si="9"/>
        <v/>
      </c>
      <c r="FB143" s="609" t="str">
        <f t="shared" ca="1" si="9"/>
        <v/>
      </c>
      <c r="FC143" s="609" t="str">
        <f t="shared" ca="1" si="9"/>
        <v/>
      </c>
      <c r="FD143" s="609" t="str">
        <f t="shared" ca="1" si="9"/>
        <v/>
      </c>
      <c r="FE143" s="609" t="str">
        <f t="shared" ca="1" si="9"/>
        <v/>
      </c>
      <c r="FF143" s="609" t="str">
        <f t="shared" ca="1" si="9"/>
        <v/>
      </c>
      <c r="FG143" s="609" t="str">
        <f t="shared" ca="1" si="9"/>
        <v/>
      </c>
      <c r="FH143" s="609" t="str">
        <f t="shared" ca="1" si="9"/>
        <v/>
      </c>
      <c r="FI143" s="609" t="str">
        <f t="shared" ca="1" si="9"/>
        <v/>
      </c>
      <c r="FJ143" s="609" t="str">
        <f t="shared" ca="1" si="9"/>
        <v/>
      </c>
      <c r="FK143" s="609" t="str">
        <f t="shared" ca="1" si="9"/>
        <v/>
      </c>
      <c r="FL143" s="609" t="str">
        <f t="shared" ca="1" si="9"/>
        <v/>
      </c>
      <c r="FM143" s="609" t="str">
        <f t="shared" ca="1" si="9"/>
        <v>Control Drainage2.0%Tile intakes4.2%</v>
      </c>
      <c r="FN143" s="609" t="str">
        <f t="shared" ca="1" si="9"/>
        <v>Control Drainage2.0%Tile intakes4.2%</v>
      </c>
      <c r="FO143" s="609" t="str">
        <f t="shared" ca="1" si="9"/>
        <v>Control Drainage2.0%Tile intakes4.2%</v>
      </c>
      <c r="FP143" s="609" t="str">
        <f t="shared" ca="1" si="9"/>
        <v>Control Drainage2.0%Tile intakes4.2%</v>
      </c>
      <c r="FQ143" s="609" t="str">
        <f t="shared" ca="1" si="9"/>
        <v>Control Drainage2.0%Tile intakes4.2%</v>
      </c>
      <c r="FR143" s="609" t="str">
        <f t="shared" ca="1" si="9"/>
        <v>Control Drainage2.0%Tile intakes4.2%</v>
      </c>
      <c r="FS143" s="609" t="str">
        <f t="shared" ca="1" si="9"/>
        <v>Control Drainage2.0%Tile intakes4.2%</v>
      </c>
      <c r="FT143" s="609" t="str">
        <f t="shared" ca="1" si="9"/>
        <v>Control Drainage2.0%Tile intakes4.2%</v>
      </c>
      <c r="FU143" s="609" t="str">
        <f t="shared" ca="1" si="9"/>
        <v>Control Drainage2.0%Tile intakes4.2%</v>
      </c>
      <c r="FV143" s="609" t="str">
        <f t="shared" ca="1" si="9"/>
        <v>Control Drainage2.0%Tile intakes4.2%</v>
      </c>
      <c r="FW143" s="609" t="str">
        <f t="shared" ca="1" si="9"/>
        <v>Control Drainage2.0%Tile intakes4.2%</v>
      </c>
      <c r="FX143" s="609" t="str">
        <f t="shared" ca="1" si="9"/>
        <v>Control Drainage2.0%Tile intakes4.2%</v>
      </c>
      <c r="FY143" s="609" t="str">
        <f t="shared" ca="1" si="9"/>
        <v>Control Drainage2.0%Tile intakes4.2%</v>
      </c>
      <c r="FZ143" s="609" t="str">
        <f t="shared" ca="1" si="9"/>
        <v>Control Drainage2.0%Tile intakes4.2%</v>
      </c>
      <c r="GA143" s="609" t="str">
        <f t="shared" ca="1" si="9"/>
        <v>Control Drainage2.0%Tile intakes4.2%</v>
      </c>
      <c r="GB143" s="609" t="str">
        <f t="shared" ca="1" si="9"/>
        <v>Control Drainage2.0%Tile intakes4.2%</v>
      </c>
      <c r="GC143" s="609" t="str">
        <f t="shared" ca="1" si="9"/>
        <v>Control Drainage2.0%Tile intakes4.2%</v>
      </c>
      <c r="GD143" s="609" t="str">
        <f t="shared" ca="1" si="9"/>
        <v>Control Drainage2.0%Tile intakes4.2%</v>
      </c>
      <c r="GE143" s="609" t="str">
        <f t="shared" ca="1" si="9"/>
        <v>Control Drainage2.0%Tile intakes4.2%</v>
      </c>
      <c r="GF143" s="609" t="str">
        <f t="shared" ca="1" si="9"/>
        <v>Control Drainage2.0%Tile intakes4.2%</v>
      </c>
      <c r="GG143" s="609" t="str">
        <f t="shared" ca="1" si="9"/>
        <v/>
      </c>
      <c r="GH143" s="609" t="str">
        <f t="shared" ca="1" si="9"/>
        <v/>
      </c>
      <c r="GI143" s="609" t="str">
        <f t="shared" ca="1" si="9"/>
        <v/>
      </c>
      <c r="GJ143" s="609" t="str">
        <f t="shared" ca="1" si="9"/>
        <v/>
      </c>
      <c r="GK143" s="609" t="str">
        <f t="shared" ca="1" si="9"/>
        <v/>
      </c>
      <c r="GL143" s="609" t="str">
        <f t="shared" ca="1" si="9"/>
        <v/>
      </c>
      <c r="GM143" s="609" t="str">
        <f t="shared" ca="1" si="9"/>
        <v/>
      </c>
      <c r="GN143" s="609" t="str">
        <f t="shared" ca="1" si="9"/>
        <v/>
      </c>
      <c r="GO143" s="609" t="str">
        <f t="shared" ca="1" si="9"/>
        <v/>
      </c>
      <c r="GP143" s="609" t="str">
        <f t="shared" ca="1" si="9"/>
        <v/>
      </c>
      <c r="GQ143" s="609" t="str">
        <f t="shared" ca="1" si="9"/>
        <v/>
      </c>
      <c r="GR143" s="609" t="str">
        <f t="shared" ca="1" si="9"/>
        <v/>
      </c>
      <c r="GS143" s="609" t="str">
        <f t="shared" ca="1" si="9"/>
        <v/>
      </c>
      <c r="GT143" s="609" t="str">
        <f t="shared" ca="1" si="9"/>
        <v/>
      </c>
      <c r="GU143" s="609" t="str">
        <f t="shared" ca="1" si="9"/>
        <v/>
      </c>
      <c r="GV143" s="609" t="str">
        <f t="shared" ca="1" si="9"/>
        <v>Control Drainage2.0%Tile intakes4.2%</v>
      </c>
      <c r="GW143" s="609" t="str">
        <f t="shared" ca="1" si="9"/>
        <v>Control Drainage2.0%Tile intakes4.2%</v>
      </c>
      <c r="GX143" s="609" t="str">
        <f t="shared" ca="1" si="9"/>
        <v>Control Drainage2.0%Tile intakes4.2%</v>
      </c>
      <c r="GY143" s="609" t="str">
        <f t="shared" ca="1" si="9"/>
        <v>Control Drainage2.0%Tile intakes4.2%</v>
      </c>
      <c r="GZ143" s="609" t="str">
        <f t="shared" ca="1" si="9"/>
        <v>Control Drainage2.0%Tile intakes4.2%</v>
      </c>
      <c r="HA143" s="609" t="str">
        <f t="shared" ca="1" si="9"/>
        <v>Control Drainage2.0%Tile intakes4.2%</v>
      </c>
      <c r="HB143" s="609" t="str">
        <f t="shared" ca="1" si="9"/>
        <v>Control Drainage2.0%Tile intakes4.2%</v>
      </c>
      <c r="HC143" s="609" t="str">
        <f t="shared" ref="HC143:IY143" ca="1" si="10">IFERROR(INDEX($J$152:$J$159,HC153)&amp;""&amp;IF(INDEX($K$152:$K$159,HC153)&lt;0.1,FIXED(INDEX($K$152:$K$159,HC153)*100,1),FIXED(INDEX($K$152:$K$159,HC153)*100,0))&amp;"%","")&amp;""&amp;IFERROR(OFFSET(INDEX($J$152:$J$159,HC153),0,2)&amp;""&amp;IF(INDEX($M$152:$M$159,HC153)&lt;0.1,FIXED(INDEX($M$152:$M$159,HC153)*100,1),FIXED(INDEX($M$152:$M$159,HC153)*100,0))&amp;"%","")</f>
        <v>Control Drainage2.0%Tile intakes4.2%</v>
      </c>
      <c r="HD143" s="609" t="str">
        <f t="shared" ca="1" si="10"/>
        <v>Control Drainage2.0%Tile intakes4.2%</v>
      </c>
      <c r="HE143" s="609" t="str">
        <f t="shared" ca="1" si="10"/>
        <v>Control Drainage2.0%Tile intakes4.2%</v>
      </c>
      <c r="HF143" s="609" t="str">
        <f t="shared" ca="1" si="10"/>
        <v>Control Drainage2.0%Tile intakes4.2%</v>
      </c>
      <c r="HG143" s="609" t="str">
        <f t="shared" ca="1" si="10"/>
        <v>Control Drainage2.0%Tile intakes4.2%</v>
      </c>
      <c r="HH143" s="609" t="str">
        <f t="shared" ca="1" si="10"/>
        <v>Control Drainage2.0%Tile intakes4.2%</v>
      </c>
      <c r="HI143" s="609" t="str">
        <f t="shared" ca="1" si="10"/>
        <v>Control Drainage2.0%Tile intakes4.2%</v>
      </c>
      <c r="HJ143" s="609" t="str">
        <f t="shared" ca="1" si="10"/>
        <v>Control Drainage2.0%Tile intakes4.2%</v>
      </c>
      <c r="HK143" s="609" t="str">
        <f t="shared" ca="1" si="10"/>
        <v/>
      </c>
      <c r="HL143" s="609" t="str">
        <f t="shared" ca="1" si="10"/>
        <v/>
      </c>
      <c r="HM143" s="609" t="str">
        <f t="shared" ca="1" si="10"/>
        <v/>
      </c>
      <c r="HN143" s="609" t="str">
        <f t="shared" ca="1" si="10"/>
        <v/>
      </c>
      <c r="HO143" s="609" t="str">
        <f t="shared" ca="1" si="10"/>
        <v/>
      </c>
      <c r="HP143" s="609" t="str">
        <f t="shared" ca="1" si="10"/>
        <v/>
      </c>
      <c r="HQ143" s="609" t="str">
        <f t="shared" ca="1" si="10"/>
        <v>Control Drainage2.0%Tile intakes4.2%</v>
      </c>
      <c r="HR143" s="609" t="str">
        <f t="shared" ca="1" si="10"/>
        <v>Control Drainage2.0%Tile intakes4.2%</v>
      </c>
      <c r="HS143" s="609" t="str">
        <f t="shared" ca="1" si="10"/>
        <v>Control Drainage2.0%Tile intakes4.2%</v>
      </c>
      <c r="HT143" s="609" t="str">
        <f t="shared" ca="1" si="10"/>
        <v>Control Drainage2.0%Tile intakes4.2%</v>
      </c>
      <c r="HU143" s="609" t="str">
        <f t="shared" ca="1" si="10"/>
        <v>Control Drainage2.0%Tile intakes4.2%</v>
      </c>
      <c r="HV143" s="609" t="str">
        <f t="shared" ca="1" si="10"/>
        <v>Control Drainage2.0%Tile intakes4.2%</v>
      </c>
      <c r="HW143" s="609" t="str">
        <f t="shared" ca="1" si="10"/>
        <v>Control Drainage2.0%Tile intakes4.2%</v>
      </c>
      <c r="HX143" s="609" t="str">
        <f t="shared" ca="1" si="10"/>
        <v>Control Drainage2.0%Tile intakes4.2%</v>
      </c>
      <c r="HY143" s="609" t="str">
        <f t="shared" ca="1" si="10"/>
        <v>Control Drainage2.0%Tile intakes4.2%</v>
      </c>
      <c r="HZ143" s="609" t="str">
        <f t="shared" ca="1" si="10"/>
        <v>Control Drainage2.0%Tile intakes4.2%</v>
      </c>
      <c r="IA143" s="609" t="str">
        <f t="shared" ca="1" si="10"/>
        <v>Control Drainage2.0%Tile intakes4.2%</v>
      </c>
      <c r="IB143" s="609" t="str">
        <f t="shared" ca="1" si="10"/>
        <v>Control Drainage2.0%Tile intakes4.2%</v>
      </c>
      <c r="IC143" s="609" t="str">
        <f t="shared" ca="1" si="10"/>
        <v>Control Drainage2.0%Tile intakes4.2%</v>
      </c>
      <c r="ID143" s="609" t="str">
        <f t="shared" ca="1" si="10"/>
        <v>Control Drainage2.0%Tile intakes4.2%</v>
      </c>
      <c r="IE143" s="609" t="str">
        <f t="shared" ca="1" si="10"/>
        <v>Control Drainage2.0%Tile intakes4.2%</v>
      </c>
      <c r="IF143" s="609" t="str">
        <f t="shared" ca="1" si="10"/>
        <v/>
      </c>
      <c r="IG143" s="609" t="str">
        <f t="shared" ca="1" si="10"/>
        <v/>
      </c>
      <c r="IH143" s="609" t="str">
        <f t="shared" ca="1" si="10"/>
        <v/>
      </c>
      <c r="II143" s="609" t="str">
        <f t="shared" ca="1" si="10"/>
        <v/>
      </c>
      <c r="IJ143" s="609" t="str">
        <f t="shared" ca="1" si="10"/>
        <v/>
      </c>
      <c r="IK143" s="609" t="str">
        <f t="shared" ca="1" si="10"/>
        <v/>
      </c>
      <c r="IL143" s="609" t="str">
        <f t="shared" ca="1" si="10"/>
        <v>Control Drainage2.0%Tile intakes4.2%</v>
      </c>
      <c r="IM143" s="609" t="str">
        <f t="shared" ca="1" si="10"/>
        <v>Control Drainage2.0%Tile intakes4.2%</v>
      </c>
      <c r="IN143" s="609" t="str">
        <f t="shared" ca="1" si="10"/>
        <v>Control Drainage2.0%Tile intakes4.2%</v>
      </c>
      <c r="IO143" s="609" t="str">
        <f t="shared" ca="1" si="10"/>
        <v>Control Drainage2.0%Tile intakes4.2%</v>
      </c>
      <c r="IP143" s="609" t="str">
        <f t="shared" ca="1" si="10"/>
        <v>Control Drainage2.0%Tile intakes4.2%</v>
      </c>
      <c r="IQ143" s="609" t="str">
        <f t="shared" ca="1" si="10"/>
        <v>Control Drainage2.0%Tile intakes4.2%</v>
      </c>
      <c r="IR143" s="609" t="str">
        <f t="shared" ca="1" si="10"/>
        <v/>
      </c>
      <c r="IS143" s="609" t="str">
        <f t="shared" ca="1" si="10"/>
        <v>Control Drainage2.0%Tile intakes4.2%</v>
      </c>
      <c r="IT143" s="609" t="str">
        <f t="shared" ca="1" si="10"/>
        <v>Control Drainage2.0%Tile intakes4.2%</v>
      </c>
      <c r="IU143" s="609" t="str">
        <f t="shared" ca="1" si="10"/>
        <v>Control Drainage2.0%Tile intakes4.2%</v>
      </c>
      <c r="IV143" s="609" t="str">
        <f t="shared" ca="1" si="10"/>
        <v>Control Drainage2.0%Tile intakes4.2%</v>
      </c>
      <c r="IW143" s="609" t="str">
        <f t="shared" ca="1" si="10"/>
        <v>Control Drainage2.0%Tile intakes4.2%</v>
      </c>
      <c r="IX143" s="609" t="str">
        <f t="shared" ca="1" si="10"/>
        <v>Control Drainage2.0%Tile intakes4.2%</v>
      </c>
      <c r="IY143" s="609" t="str">
        <f t="shared" ca="1" si="10"/>
        <v/>
      </c>
    </row>
    <row r="144" spans="1:259" x14ac:dyDescent="0.25">
      <c r="A144" s="209"/>
      <c r="B144" s="209"/>
      <c r="C144" s="209"/>
      <c r="D144" s="209"/>
      <c r="E144" s="209"/>
      <c r="F144" s="209"/>
      <c r="G144" s="209"/>
      <c r="H144" s="209"/>
      <c r="I144" s="209"/>
      <c r="J144" s="209"/>
      <c r="K144" s="209"/>
      <c r="L144" s="209"/>
      <c r="M144" s="209"/>
      <c r="N144" s="666" t="str">
        <f>IFERROR(INDEX($J$152:$J$159,N154)&amp;" "&amp;IF(INDEX($K$152:$K$159,N154)&lt;0.1,FIXED(INDEX($K$152:$K$159,N154)*100,1),FIXED(INDEX($K$152:$K$159,N154)*100,0))&amp;"%","")</f>
        <v xml:space="preserve"> Inj &amp; inc manure 2.4%</v>
      </c>
      <c r="O144" s="671" t="str">
        <f t="shared" ref="O144:AT144" si="11">IFERROR(INDEX($J$152:$J$159,O154)&amp;" "&amp;IF(INDEX($K$152:$K$159,O154)&lt;0.1,FIXED(INDEX($K$152:$K$159,O154)*100,1),FIXED(INDEX($K$152:$K$159,O154)*100,0))&amp;"%","")</f>
        <v/>
      </c>
      <c r="P144" s="671" t="str">
        <f>IFERROR(INDEX($J$152:$J$159,P154)&amp;""&amp;IF(INDEX($K$152:$K$159,P154)&lt;0.1,FIXED(INDEX($K$152:$K$159,P154)*100,1),FIXED(INDEX($K$152:$K$159,P154)*100,0))&amp;"%","")</f>
        <v xml:space="preserve"> Inj &amp; inc manure2.4%</v>
      </c>
      <c r="Q144" s="671" t="str">
        <f t="shared" si="11"/>
        <v/>
      </c>
      <c r="R144" s="671" t="str">
        <f t="shared" si="11"/>
        <v/>
      </c>
      <c r="S144" s="671" t="str">
        <f t="shared" si="11"/>
        <v/>
      </c>
      <c r="T144" s="671" t="str">
        <f t="shared" si="11"/>
        <v/>
      </c>
      <c r="U144" s="671" t="str">
        <f t="shared" si="11"/>
        <v/>
      </c>
      <c r="V144" s="671" t="str">
        <f t="shared" si="11"/>
        <v xml:space="preserve"> Inj &amp; inc manure 2.4%</v>
      </c>
      <c r="W144" s="671" t="str">
        <f t="shared" si="11"/>
        <v/>
      </c>
      <c r="X144" s="671" t="str">
        <f t="shared" si="11"/>
        <v/>
      </c>
      <c r="Y144" s="671" t="str">
        <f t="shared" si="11"/>
        <v/>
      </c>
      <c r="Z144" s="671" t="str">
        <f t="shared" si="11"/>
        <v/>
      </c>
      <c r="AA144" s="609" t="str">
        <f t="shared" si="11"/>
        <v/>
      </c>
      <c r="AB144" s="609" t="str">
        <f t="shared" si="11"/>
        <v xml:space="preserve"> Inj &amp; inc manure 2.4%</v>
      </c>
      <c r="AC144" s="609" t="str">
        <f t="shared" si="11"/>
        <v xml:space="preserve"> Inj &amp; inc manure 2.4%</v>
      </c>
      <c r="AD144" s="609" t="str">
        <f t="shared" si="11"/>
        <v xml:space="preserve"> Inj &amp; inc manure 2.4%</v>
      </c>
      <c r="AE144" s="609" t="str">
        <f t="shared" si="11"/>
        <v xml:space="preserve"> Inj &amp; inc manure 2.4%</v>
      </c>
      <c r="AF144" s="609" t="str">
        <f t="shared" si="11"/>
        <v xml:space="preserve"> Inj &amp; inc manure 2.4%</v>
      </c>
      <c r="AG144" s="609" t="str">
        <f t="shared" si="11"/>
        <v/>
      </c>
      <c r="AH144" s="609" t="str">
        <f t="shared" si="11"/>
        <v/>
      </c>
      <c r="AI144" s="609" t="str">
        <f t="shared" si="11"/>
        <v/>
      </c>
      <c r="AJ144" s="609" t="str">
        <f t="shared" si="11"/>
        <v/>
      </c>
      <c r="AK144" s="609" t="str">
        <f t="shared" si="11"/>
        <v/>
      </c>
      <c r="AL144" s="609" t="str">
        <f t="shared" si="11"/>
        <v/>
      </c>
      <c r="AM144" s="609" t="str">
        <f t="shared" si="11"/>
        <v/>
      </c>
      <c r="AN144" s="609" t="str">
        <f t="shared" si="11"/>
        <v/>
      </c>
      <c r="AO144" s="609" t="str">
        <f t="shared" si="11"/>
        <v/>
      </c>
      <c r="AP144" s="609" t="str">
        <f t="shared" si="11"/>
        <v/>
      </c>
      <c r="AQ144" s="609" t="str">
        <f t="shared" si="11"/>
        <v xml:space="preserve"> Inj &amp; inc manure 2.4%</v>
      </c>
      <c r="AR144" s="609" t="str">
        <f t="shared" si="11"/>
        <v/>
      </c>
      <c r="AS144" s="609" t="str">
        <f t="shared" si="11"/>
        <v/>
      </c>
      <c r="AT144" s="609" t="str">
        <f t="shared" si="11"/>
        <v/>
      </c>
      <c r="AU144" s="609" t="str">
        <f t="shared" ref="AU144:BZ144" si="12">IFERROR(INDEX($J$152:$J$159,AU154)&amp;" "&amp;IF(INDEX($K$152:$K$159,AU154)&lt;0.1,FIXED(INDEX($K$152:$K$159,AU154)*100,1),FIXED(INDEX($K$152:$K$159,AU154)*100,0))&amp;"%","")</f>
        <v/>
      </c>
      <c r="AV144" s="609" t="str">
        <f t="shared" si="12"/>
        <v/>
      </c>
      <c r="AW144" s="609" t="str">
        <f t="shared" si="12"/>
        <v xml:space="preserve"> Inj &amp; inc manure 2.4%</v>
      </c>
      <c r="AX144" s="609" t="str">
        <f t="shared" si="12"/>
        <v xml:space="preserve"> Inj &amp; inc manure 2.4%</v>
      </c>
      <c r="AY144" s="609" t="str">
        <f t="shared" si="12"/>
        <v xml:space="preserve"> Inj &amp; inc manure 2.4%</v>
      </c>
      <c r="AZ144" s="609" t="str">
        <f t="shared" si="12"/>
        <v xml:space="preserve"> Inj &amp; inc manure 2.4%</v>
      </c>
      <c r="BA144" s="609" t="str">
        <f t="shared" si="12"/>
        <v xml:space="preserve"> Inj &amp; inc manure 2.4%</v>
      </c>
      <c r="BB144" s="609" t="str">
        <f t="shared" si="12"/>
        <v/>
      </c>
      <c r="BC144" s="609" t="str">
        <f t="shared" si="12"/>
        <v/>
      </c>
      <c r="BD144" s="609" t="str">
        <f t="shared" si="12"/>
        <v/>
      </c>
      <c r="BE144" s="609" t="str">
        <f t="shared" si="12"/>
        <v/>
      </c>
      <c r="BF144" s="609" t="str">
        <f t="shared" si="12"/>
        <v/>
      </c>
      <c r="BG144" s="609" t="str">
        <f t="shared" si="12"/>
        <v/>
      </c>
      <c r="BH144" s="609" t="str">
        <f t="shared" si="12"/>
        <v/>
      </c>
      <c r="BI144" s="609" t="str">
        <f t="shared" si="12"/>
        <v/>
      </c>
      <c r="BJ144" s="609" t="str">
        <f t="shared" si="12"/>
        <v/>
      </c>
      <c r="BK144" s="609" t="str">
        <f t="shared" si="12"/>
        <v/>
      </c>
      <c r="BL144" s="609" t="str">
        <f t="shared" si="12"/>
        <v xml:space="preserve"> Inj &amp; inc manure 2.4%</v>
      </c>
      <c r="BM144" s="609" t="str">
        <f t="shared" si="12"/>
        <v xml:space="preserve"> Inj &amp; inc manure 2.4%</v>
      </c>
      <c r="BN144" s="609" t="str">
        <f t="shared" si="12"/>
        <v xml:space="preserve"> Inj &amp; inc manure 2.4%</v>
      </c>
      <c r="BO144" s="609" t="str">
        <f t="shared" si="12"/>
        <v xml:space="preserve"> Inj &amp; inc manure 2.4%</v>
      </c>
      <c r="BP144" s="609" t="str">
        <f t="shared" si="12"/>
        <v xml:space="preserve"> Inj &amp; inc manure 2.4%</v>
      </c>
      <c r="BQ144" s="609" t="str">
        <f t="shared" si="12"/>
        <v/>
      </c>
      <c r="BR144" s="609" t="str">
        <f t="shared" si="12"/>
        <v/>
      </c>
      <c r="BS144" s="609" t="str">
        <f t="shared" si="12"/>
        <v/>
      </c>
      <c r="BT144" s="609" t="str">
        <f t="shared" si="12"/>
        <v/>
      </c>
      <c r="BU144" s="609" t="str">
        <f t="shared" si="12"/>
        <v/>
      </c>
      <c r="BV144" s="609" t="str">
        <f t="shared" si="12"/>
        <v/>
      </c>
      <c r="BW144" s="609" t="str">
        <f t="shared" si="12"/>
        <v/>
      </c>
      <c r="BX144" s="609" t="str">
        <f t="shared" si="12"/>
        <v/>
      </c>
      <c r="BY144" s="609" t="str">
        <f t="shared" si="12"/>
        <v/>
      </c>
      <c r="BZ144" s="609" t="str">
        <f t="shared" si="12"/>
        <v/>
      </c>
      <c r="CA144" s="609" t="str">
        <f t="shared" ref="CA144:DF144" si="13">IFERROR(INDEX($J$152:$J$159,CA154)&amp;" "&amp;IF(INDEX($K$152:$K$159,CA154)&lt;0.1,FIXED(INDEX($K$152:$K$159,CA154)*100,1),FIXED(INDEX($K$152:$K$159,CA154)*100,0))&amp;"%","")</f>
        <v xml:space="preserve"> Inj &amp; inc manure 2.4%</v>
      </c>
      <c r="CB144" s="609" t="str">
        <f t="shared" si="13"/>
        <v xml:space="preserve"> Inj &amp; inc manure 2.4%</v>
      </c>
      <c r="CC144" s="609" t="str">
        <f t="shared" si="13"/>
        <v xml:space="preserve"> Inj &amp; inc manure 2.4%</v>
      </c>
      <c r="CD144" s="609" t="str">
        <f t="shared" si="13"/>
        <v xml:space="preserve"> Inj &amp; inc manure 2.4%</v>
      </c>
      <c r="CE144" s="609" t="str">
        <f t="shared" si="13"/>
        <v xml:space="preserve"> Inj &amp; inc manure 2.4%</v>
      </c>
      <c r="CF144" s="609" t="str">
        <f t="shared" si="13"/>
        <v xml:space="preserve"> Inj &amp; inc manure 2.4%</v>
      </c>
      <c r="CG144" s="609" t="str">
        <f t="shared" si="13"/>
        <v xml:space="preserve"> Inj &amp; inc manure 2.4%</v>
      </c>
      <c r="CH144" s="609" t="str">
        <f t="shared" si="13"/>
        <v xml:space="preserve"> Inj &amp; inc manure 2.4%</v>
      </c>
      <c r="CI144" s="609" t="str">
        <f t="shared" si="13"/>
        <v xml:space="preserve"> Inj &amp; inc manure 2.4%</v>
      </c>
      <c r="CJ144" s="609" t="str">
        <f t="shared" si="13"/>
        <v xml:space="preserve"> Inj &amp; inc manure 2.4%</v>
      </c>
      <c r="CK144" s="609" t="str">
        <f t="shared" si="13"/>
        <v/>
      </c>
      <c r="CL144" s="609" t="str">
        <f t="shared" si="13"/>
        <v/>
      </c>
      <c r="CM144" s="609" t="str">
        <f t="shared" si="13"/>
        <v/>
      </c>
      <c r="CN144" s="609" t="str">
        <f t="shared" si="13"/>
        <v/>
      </c>
      <c r="CO144" s="609" t="str">
        <f t="shared" si="13"/>
        <v/>
      </c>
      <c r="CP144" s="609" t="str">
        <f t="shared" si="13"/>
        <v/>
      </c>
      <c r="CQ144" s="609" t="str">
        <f t="shared" si="13"/>
        <v/>
      </c>
      <c r="CR144" s="609" t="str">
        <f t="shared" si="13"/>
        <v/>
      </c>
      <c r="CS144" s="609" t="str">
        <f t="shared" si="13"/>
        <v/>
      </c>
      <c r="CT144" s="609" t="str">
        <f t="shared" si="13"/>
        <v/>
      </c>
      <c r="CU144" s="609" t="str">
        <f t="shared" si="13"/>
        <v xml:space="preserve"> Inj &amp; inc manure 2.4%</v>
      </c>
      <c r="CV144" s="609" t="str">
        <f t="shared" si="13"/>
        <v xml:space="preserve"> Inj &amp; inc manure 2.4%</v>
      </c>
      <c r="CW144" s="609" t="str">
        <f t="shared" si="13"/>
        <v xml:space="preserve"> Inj &amp; inc manure 2.4%</v>
      </c>
      <c r="CX144" s="609" t="str">
        <f t="shared" si="13"/>
        <v xml:space="preserve"> Inj &amp; inc manure 2.4%</v>
      </c>
      <c r="CY144" s="609" t="str">
        <f t="shared" si="13"/>
        <v xml:space="preserve"> Inj &amp; inc manure 2.4%</v>
      </c>
      <c r="CZ144" s="609" t="str">
        <f t="shared" si="13"/>
        <v/>
      </c>
      <c r="DA144" s="609" t="str">
        <f t="shared" si="13"/>
        <v/>
      </c>
      <c r="DB144" s="609" t="str">
        <f t="shared" si="13"/>
        <v/>
      </c>
      <c r="DC144" s="609" t="str">
        <f t="shared" si="13"/>
        <v/>
      </c>
      <c r="DD144" s="609" t="str">
        <f t="shared" si="13"/>
        <v/>
      </c>
      <c r="DE144" s="609" t="str">
        <f t="shared" si="13"/>
        <v/>
      </c>
      <c r="DF144" s="609" t="str">
        <f t="shared" si="13"/>
        <v/>
      </c>
      <c r="DG144" s="609" t="str">
        <f t="shared" ref="DG144:EK144" si="14">IFERROR(INDEX($J$152:$J$159,DG154)&amp;" "&amp;IF(INDEX($K$152:$K$159,DG154)&lt;0.1,FIXED(INDEX($K$152:$K$159,DG154)*100,1),FIXED(INDEX($K$152:$K$159,DG154)*100,0))&amp;"%","")</f>
        <v/>
      </c>
      <c r="DH144" s="609" t="str">
        <f t="shared" si="14"/>
        <v/>
      </c>
      <c r="DI144" s="609" t="str">
        <f t="shared" si="14"/>
        <v/>
      </c>
      <c r="DJ144" s="609" t="str">
        <f t="shared" si="14"/>
        <v xml:space="preserve"> Inj &amp; inc manure 2.4%</v>
      </c>
      <c r="DK144" s="609" t="str">
        <f t="shared" si="14"/>
        <v xml:space="preserve"> Inj &amp; inc manure 2.4%</v>
      </c>
      <c r="DL144" s="609" t="str">
        <f t="shared" si="14"/>
        <v xml:space="preserve"> Inj &amp; inc manure 2.4%</v>
      </c>
      <c r="DM144" s="609" t="str">
        <f t="shared" si="14"/>
        <v xml:space="preserve"> Inj &amp; inc manure 2.4%</v>
      </c>
      <c r="DN144" s="609" t="str">
        <f t="shared" si="14"/>
        <v xml:space="preserve"> Inj &amp; inc manure 2.4%</v>
      </c>
      <c r="DO144" s="609" t="str">
        <f t="shared" si="14"/>
        <v xml:space="preserve"> Inj &amp; inc manure 2.4%</v>
      </c>
      <c r="DP144" s="609" t="str">
        <f t="shared" si="14"/>
        <v xml:space="preserve"> Inj &amp; inc manure 2.4%</v>
      </c>
      <c r="DQ144" s="609" t="str">
        <f t="shared" si="14"/>
        <v xml:space="preserve"> Inj &amp; inc manure 2.4%</v>
      </c>
      <c r="DR144" s="609" t="str">
        <f t="shared" si="14"/>
        <v xml:space="preserve"> Inj &amp; inc manure 2.4%</v>
      </c>
      <c r="DS144" s="609" t="str">
        <f t="shared" si="14"/>
        <v xml:space="preserve"> Inj &amp; inc manure 2.4%</v>
      </c>
      <c r="DT144" s="609" t="str">
        <f t="shared" si="14"/>
        <v/>
      </c>
      <c r="DU144" s="609" t="str">
        <f t="shared" si="14"/>
        <v/>
      </c>
      <c r="DV144" s="609" t="str">
        <f t="shared" si="14"/>
        <v/>
      </c>
      <c r="DW144" s="609" t="str">
        <f t="shared" si="14"/>
        <v/>
      </c>
      <c r="DX144" s="609" t="str">
        <f t="shared" si="14"/>
        <v/>
      </c>
      <c r="DY144" s="609" t="str">
        <f t="shared" si="14"/>
        <v/>
      </c>
      <c r="DZ144" s="609" t="str">
        <f t="shared" si="14"/>
        <v/>
      </c>
      <c r="EA144" s="609" t="str">
        <f t="shared" si="14"/>
        <v/>
      </c>
      <c r="EB144" s="609" t="str">
        <f t="shared" si="14"/>
        <v/>
      </c>
      <c r="EC144" s="609" t="str">
        <f t="shared" si="14"/>
        <v/>
      </c>
      <c r="ED144" s="609" t="str">
        <f t="shared" si="14"/>
        <v xml:space="preserve"> Inj &amp; inc manure 2.4%</v>
      </c>
      <c r="EE144" s="609" t="str">
        <f t="shared" si="14"/>
        <v xml:space="preserve"> Inj &amp; inc manure 2.4%</v>
      </c>
      <c r="EF144" s="609" t="str">
        <f t="shared" si="14"/>
        <v xml:space="preserve"> Inj &amp; inc manure 2.4%</v>
      </c>
      <c r="EG144" s="609" t="str">
        <f t="shared" si="14"/>
        <v xml:space="preserve"> Inj &amp; inc manure 2.4%</v>
      </c>
      <c r="EH144" s="609" t="str">
        <f t="shared" si="14"/>
        <v xml:space="preserve"> Inj &amp; inc manure 2.4%</v>
      </c>
      <c r="EI144" s="609" t="str">
        <f t="shared" si="14"/>
        <v xml:space="preserve"> Inj &amp; inc manure 2.4%</v>
      </c>
      <c r="EJ144" s="609" t="str">
        <f t="shared" si="14"/>
        <v xml:space="preserve"> Inj &amp; inc manure 2.4%</v>
      </c>
      <c r="EK144" s="609" t="str">
        <f t="shared" si="14"/>
        <v xml:space="preserve"> Inj &amp; inc manure 2.4%</v>
      </c>
      <c r="EL144" s="609" t="str">
        <f t="shared" ref="EL144:GW144" si="15">IFERROR(INDEX($J$152:$J$159,EL154)&amp;" "&amp;IF(INDEX($K$152:$K$159,EL154)&lt;0.1,FIXED(INDEX($K$152:$K$159,EL154)*100,1),FIXED(INDEX($K$152:$K$159,EL154)*100,0))&amp;"%","")</f>
        <v xml:space="preserve"> Inj &amp; inc manure 2.4%</v>
      </c>
      <c r="EM144" s="609" t="str">
        <f t="shared" si="15"/>
        <v xml:space="preserve"> Inj &amp; inc manure 2.4%</v>
      </c>
      <c r="EN144" s="609" t="str">
        <f t="shared" si="15"/>
        <v/>
      </c>
      <c r="EO144" s="609" t="str">
        <f t="shared" si="15"/>
        <v/>
      </c>
      <c r="EP144" s="609" t="str">
        <f t="shared" si="15"/>
        <v/>
      </c>
      <c r="EQ144" s="609" t="str">
        <f t="shared" si="15"/>
        <v/>
      </c>
      <c r="ER144" s="609" t="str">
        <f t="shared" si="15"/>
        <v/>
      </c>
      <c r="ES144" s="609" t="str">
        <f t="shared" si="15"/>
        <v/>
      </c>
      <c r="ET144" s="609" t="str">
        <f t="shared" si="15"/>
        <v/>
      </c>
      <c r="EU144" s="609" t="str">
        <f t="shared" si="15"/>
        <v/>
      </c>
      <c r="EV144" s="609" t="str">
        <f t="shared" si="15"/>
        <v/>
      </c>
      <c r="EW144" s="609" t="str">
        <f t="shared" si="15"/>
        <v/>
      </c>
      <c r="EX144" s="609" t="str">
        <f t="shared" si="15"/>
        <v xml:space="preserve"> Inj &amp; inc manure 2.4%</v>
      </c>
      <c r="EY144" s="609" t="str">
        <f t="shared" si="15"/>
        <v xml:space="preserve"> Inj &amp; inc manure 2.4%</v>
      </c>
      <c r="EZ144" s="609" t="str">
        <f t="shared" si="15"/>
        <v xml:space="preserve"> Inj &amp; inc manure 2.4%</v>
      </c>
      <c r="FA144" s="609" t="str">
        <f t="shared" si="15"/>
        <v xml:space="preserve"> Inj &amp; inc manure 2.4%</v>
      </c>
      <c r="FB144" s="609" t="str">
        <f t="shared" si="15"/>
        <v xml:space="preserve"> Inj &amp; inc manure 2.4%</v>
      </c>
      <c r="FC144" s="609" t="str">
        <f t="shared" si="15"/>
        <v xml:space="preserve"> Inj &amp; inc manure 2.4%</v>
      </c>
      <c r="FD144" s="609" t="str">
        <f t="shared" si="15"/>
        <v xml:space="preserve"> Inj &amp; inc manure 2.4%</v>
      </c>
      <c r="FE144" s="609" t="str">
        <f t="shared" si="15"/>
        <v xml:space="preserve"> Inj &amp; inc manure 2.4%</v>
      </c>
      <c r="FF144" s="609" t="str">
        <f t="shared" si="15"/>
        <v xml:space="preserve"> Inj &amp; inc manure 2.4%</v>
      </c>
      <c r="FG144" s="609" t="str">
        <f t="shared" si="15"/>
        <v xml:space="preserve"> Inj &amp; inc manure 2.4%</v>
      </c>
      <c r="FH144" s="609" t="str">
        <f t="shared" si="15"/>
        <v/>
      </c>
      <c r="FI144" s="609" t="str">
        <f t="shared" si="15"/>
        <v/>
      </c>
      <c r="FJ144" s="609" t="str">
        <f t="shared" si="15"/>
        <v/>
      </c>
      <c r="FK144" s="609" t="str">
        <f t="shared" si="15"/>
        <v/>
      </c>
      <c r="FL144" s="609" t="str">
        <f t="shared" si="15"/>
        <v/>
      </c>
      <c r="FM144" s="609" t="str">
        <f t="shared" si="15"/>
        <v xml:space="preserve"> Inj &amp; inc manure 2.4%</v>
      </c>
      <c r="FN144" s="609" t="str">
        <f t="shared" si="15"/>
        <v xml:space="preserve"> Inj &amp; inc manure 2.4%</v>
      </c>
      <c r="FO144" s="609" t="str">
        <f t="shared" si="15"/>
        <v xml:space="preserve"> Inj &amp; inc manure 2.4%</v>
      </c>
      <c r="FP144" s="609" t="str">
        <f t="shared" si="15"/>
        <v xml:space="preserve"> Inj &amp; inc manure 2.4%</v>
      </c>
      <c r="FQ144" s="609" t="str">
        <f t="shared" si="15"/>
        <v xml:space="preserve"> Inj &amp; inc manure 2.4%</v>
      </c>
      <c r="FR144" s="609" t="str">
        <f t="shared" si="15"/>
        <v xml:space="preserve"> Inj &amp; inc manure 2.4%</v>
      </c>
      <c r="FS144" s="609" t="str">
        <f t="shared" si="15"/>
        <v xml:space="preserve"> Inj &amp; inc manure 2.4%</v>
      </c>
      <c r="FT144" s="609" t="str">
        <f t="shared" si="15"/>
        <v xml:space="preserve"> Inj &amp; inc manure 2.4%</v>
      </c>
      <c r="FU144" s="609" t="str">
        <f t="shared" si="15"/>
        <v xml:space="preserve"> Inj &amp; inc manure 2.4%</v>
      </c>
      <c r="FV144" s="609" t="str">
        <f t="shared" si="15"/>
        <v xml:space="preserve"> Inj &amp; inc manure 2.4%</v>
      </c>
      <c r="FW144" s="609" t="str">
        <f t="shared" si="15"/>
        <v/>
      </c>
      <c r="FX144" s="609" t="str">
        <f t="shared" si="15"/>
        <v/>
      </c>
      <c r="FY144" s="609" t="str">
        <f t="shared" si="15"/>
        <v/>
      </c>
      <c r="FZ144" s="609" t="str">
        <f t="shared" si="15"/>
        <v/>
      </c>
      <c r="GA144" s="609" t="str">
        <f t="shared" si="15"/>
        <v/>
      </c>
      <c r="GB144" s="609" t="str">
        <f t="shared" si="15"/>
        <v/>
      </c>
      <c r="GC144" s="609" t="str">
        <f t="shared" si="15"/>
        <v/>
      </c>
      <c r="GD144" s="609" t="str">
        <f t="shared" si="15"/>
        <v/>
      </c>
      <c r="GE144" s="609" t="str">
        <f t="shared" si="15"/>
        <v/>
      </c>
      <c r="GF144" s="609" t="str">
        <f t="shared" si="15"/>
        <v/>
      </c>
      <c r="GG144" s="609" t="str">
        <f t="shared" si="15"/>
        <v xml:space="preserve"> Inj &amp; inc manure 2.4%</v>
      </c>
      <c r="GH144" s="609" t="str">
        <f t="shared" si="15"/>
        <v xml:space="preserve"> Inj &amp; inc manure 2.4%</v>
      </c>
      <c r="GI144" s="609" t="str">
        <f t="shared" si="15"/>
        <v xml:space="preserve"> Inj &amp; inc manure 2.4%</v>
      </c>
      <c r="GJ144" s="609" t="str">
        <f t="shared" si="15"/>
        <v xml:space="preserve"> Inj &amp; inc manure 2.4%</v>
      </c>
      <c r="GK144" s="609" t="str">
        <f t="shared" si="15"/>
        <v xml:space="preserve"> Inj &amp; inc manure 2.4%</v>
      </c>
      <c r="GL144" s="609" t="str">
        <f t="shared" si="15"/>
        <v xml:space="preserve"> Inj &amp; inc manure 2.4%</v>
      </c>
      <c r="GM144" s="609" t="str">
        <f t="shared" si="15"/>
        <v xml:space="preserve"> Inj &amp; inc manure 2.4%</v>
      </c>
      <c r="GN144" s="609" t="str">
        <f t="shared" si="15"/>
        <v xml:space="preserve"> Inj &amp; inc manure 2.4%</v>
      </c>
      <c r="GO144" s="609" t="str">
        <f t="shared" si="15"/>
        <v xml:space="preserve"> Inj &amp; inc manure 2.4%</v>
      </c>
      <c r="GP144" s="609" t="str">
        <f t="shared" si="15"/>
        <v xml:space="preserve"> Inj &amp; inc manure 2.4%</v>
      </c>
      <c r="GQ144" s="609" t="str">
        <f t="shared" si="15"/>
        <v/>
      </c>
      <c r="GR144" s="609" t="str">
        <f t="shared" si="15"/>
        <v/>
      </c>
      <c r="GS144" s="609" t="str">
        <f t="shared" si="15"/>
        <v/>
      </c>
      <c r="GT144" s="609" t="str">
        <f t="shared" si="15"/>
        <v/>
      </c>
      <c r="GU144" s="609" t="str">
        <f t="shared" si="15"/>
        <v/>
      </c>
      <c r="GV144" s="609" t="str">
        <f t="shared" si="15"/>
        <v xml:space="preserve"> Inj &amp; inc manure 2.4%</v>
      </c>
      <c r="GW144" s="609" t="str">
        <f t="shared" si="15"/>
        <v xml:space="preserve"> Inj &amp; inc manure 2.4%</v>
      </c>
      <c r="GX144" s="609" t="str">
        <f t="shared" ref="GX144:IY144" si="16">IFERROR(INDEX($J$152:$J$159,GX154)&amp;" "&amp;IF(INDEX($K$152:$K$159,GX154)&lt;0.1,FIXED(INDEX($K$152:$K$159,GX154)*100,1),FIXED(INDEX($K$152:$K$159,GX154)*100,0))&amp;"%","")</f>
        <v xml:space="preserve"> Inj &amp; inc manure 2.4%</v>
      </c>
      <c r="GY144" s="609" t="str">
        <f t="shared" si="16"/>
        <v xml:space="preserve"> Inj &amp; inc manure 2.4%</v>
      </c>
      <c r="GZ144" s="609" t="str">
        <f t="shared" si="16"/>
        <v xml:space="preserve"> Inj &amp; inc manure 2.4%</v>
      </c>
      <c r="HA144" s="609" t="str">
        <f t="shared" si="16"/>
        <v xml:space="preserve"> Inj &amp; inc manure 2.4%</v>
      </c>
      <c r="HB144" s="609" t="str">
        <f t="shared" si="16"/>
        <v xml:space="preserve"> Inj &amp; inc manure 2.4%</v>
      </c>
      <c r="HC144" s="609" t="str">
        <f t="shared" si="16"/>
        <v xml:space="preserve"> Inj &amp; inc manure 2.4%</v>
      </c>
      <c r="HD144" s="609" t="str">
        <f t="shared" si="16"/>
        <v xml:space="preserve"> Inj &amp; inc manure 2.4%</v>
      </c>
      <c r="HE144" s="609" t="str">
        <f t="shared" si="16"/>
        <v xml:space="preserve"> Inj &amp; inc manure 2.4%</v>
      </c>
      <c r="HF144" s="609" t="str">
        <f t="shared" si="16"/>
        <v/>
      </c>
      <c r="HG144" s="609" t="str">
        <f t="shared" si="16"/>
        <v/>
      </c>
      <c r="HH144" s="609" t="str">
        <f t="shared" si="16"/>
        <v/>
      </c>
      <c r="HI144" s="609" t="str">
        <f t="shared" si="16"/>
        <v/>
      </c>
      <c r="HJ144" s="609" t="str">
        <f t="shared" si="16"/>
        <v/>
      </c>
      <c r="HK144" s="609" t="str">
        <f t="shared" si="16"/>
        <v xml:space="preserve"> Inj &amp; inc manure 2.4%</v>
      </c>
      <c r="HL144" s="609" t="str">
        <f t="shared" si="16"/>
        <v xml:space="preserve"> Inj &amp; inc manure 2.4%</v>
      </c>
      <c r="HM144" s="609" t="str">
        <f t="shared" si="16"/>
        <v xml:space="preserve"> Inj &amp; inc manure 2.4%</v>
      </c>
      <c r="HN144" s="609" t="str">
        <f t="shared" si="16"/>
        <v xml:space="preserve"> Inj &amp; inc manure 2.4%</v>
      </c>
      <c r="HO144" s="609" t="str">
        <f t="shared" si="16"/>
        <v xml:space="preserve"> Inj &amp; inc manure 2.4%</v>
      </c>
      <c r="HP144" s="609" t="str">
        <f t="shared" si="16"/>
        <v/>
      </c>
      <c r="HQ144" s="609" t="str">
        <f t="shared" si="16"/>
        <v xml:space="preserve"> Inj &amp; inc manure 2.4%</v>
      </c>
      <c r="HR144" s="609" t="str">
        <f t="shared" si="16"/>
        <v xml:space="preserve"> Inj &amp; inc manure 2.4%</v>
      </c>
      <c r="HS144" s="609" t="str">
        <f t="shared" si="16"/>
        <v xml:space="preserve"> Inj &amp; inc manure 2.4%</v>
      </c>
      <c r="HT144" s="609" t="str">
        <f t="shared" si="16"/>
        <v xml:space="preserve"> Inj &amp; inc manure 2.4%</v>
      </c>
      <c r="HU144" s="609" t="str">
        <f t="shared" si="16"/>
        <v xml:space="preserve"> Inj &amp; inc manure 2.4%</v>
      </c>
      <c r="HV144" s="609" t="str">
        <f t="shared" si="16"/>
        <v xml:space="preserve"> Inj &amp; inc manure 2.4%</v>
      </c>
      <c r="HW144" s="609" t="str">
        <f t="shared" si="16"/>
        <v xml:space="preserve"> Inj &amp; inc manure 2.4%</v>
      </c>
      <c r="HX144" s="609" t="str">
        <f t="shared" si="16"/>
        <v xml:space="preserve"> Inj &amp; inc manure 2.4%</v>
      </c>
      <c r="HY144" s="609" t="str">
        <f t="shared" si="16"/>
        <v xml:space="preserve"> Inj &amp; inc manure 2.4%</v>
      </c>
      <c r="HZ144" s="609" t="str">
        <f t="shared" si="16"/>
        <v xml:space="preserve"> Inj &amp; inc manure 2.4%</v>
      </c>
      <c r="IA144" s="609" t="str">
        <f t="shared" si="16"/>
        <v/>
      </c>
      <c r="IB144" s="609" t="str">
        <f t="shared" si="16"/>
        <v/>
      </c>
      <c r="IC144" s="609" t="str">
        <f t="shared" si="16"/>
        <v/>
      </c>
      <c r="ID144" s="609" t="str">
        <f t="shared" si="16"/>
        <v/>
      </c>
      <c r="IE144" s="609" t="str">
        <f t="shared" si="16"/>
        <v/>
      </c>
      <c r="IF144" s="609" t="str">
        <f t="shared" si="16"/>
        <v xml:space="preserve"> Inj &amp; inc manure 2.4%</v>
      </c>
      <c r="IG144" s="609" t="str">
        <f t="shared" si="16"/>
        <v xml:space="preserve"> Inj &amp; inc manure 2.4%</v>
      </c>
      <c r="IH144" s="609" t="str">
        <f t="shared" si="16"/>
        <v xml:space="preserve"> Inj &amp; inc manure 2.4%</v>
      </c>
      <c r="II144" s="609" t="str">
        <f t="shared" si="16"/>
        <v xml:space="preserve"> Inj &amp; inc manure 2.4%</v>
      </c>
      <c r="IJ144" s="609" t="str">
        <f t="shared" si="16"/>
        <v xml:space="preserve"> Inj &amp; inc manure 2.4%</v>
      </c>
      <c r="IK144" s="609" t="str">
        <f t="shared" si="16"/>
        <v/>
      </c>
      <c r="IL144" s="609" t="str">
        <f t="shared" si="16"/>
        <v xml:space="preserve"> Inj &amp; inc manure 2.4%</v>
      </c>
      <c r="IM144" s="609" t="str">
        <f t="shared" si="16"/>
        <v xml:space="preserve"> Inj &amp; inc manure 2.4%</v>
      </c>
      <c r="IN144" s="609" t="str">
        <f t="shared" si="16"/>
        <v xml:space="preserve"> Inj &amp; inc manure 2.4%</v>
      </c>
      <c r="IO144" s="609" t="str">
        <f t="shared" si="16"/>
        <v xml:space="preserve"> Inj &amp; inc manure 2.4%</v>
      </c>
      <c r="IP144" s="609" t="str">
        <f t="shared" si="16"/>
        <v xml:space="preserve"> Inj &amp; inc manure 2.4%</v>
      </c>
      <c r="IQ144" s="609" t="str">
        <f t="shared" si="16"/>
        <v/>
      </c>
      <c r="IR144" s="609" t="str">
        <f t="shared" si="16"/>
        <v xml:space="preserve"> Inj &amp; inc manure 2.4%</v>
      </c>
      <c r="IS144" s="609" t="str">
        <f t="shared" si="16"/>
        <v xml:space="preserve"> Inj &amp; inc manure 2.4%</v>
      </c>
      <c r="IT144" s="609" t="str">
        <f t="shared" si="16"/>
        <v xml:space="preserve"> Inj &amp; inc manure 2.4%</v>
      </c>
      <c r="IU144" s="609" t="str">
        <f t="shared" si="16"/>
        <v xml:space="preserve"> Inj &amp; inc manure 2.4%</v>
      </c>
      <c r="IV144" s="609" t="str">
        <f t="shared" si="16"/>
        <v xml:space="preserve"> Inj &amp; inc manure 2.4%</v>
      </c>
      <c r="IW144" s="609" t="str">
        <f t="shared" si="16"/>
        <v xml:space="preserve"> Inj &amp; inc manure 2.4%</v>
      </c>
      <c r="IX144" s="609" t="str">
        <f t="shared" si="16"/>
        <v/>
      </c>
      <c r="IY144" s="609" t="str">
        <f t="shared" si="16"/>
        <v xml:space="preserve"> Inj &amp; inc manure 2.4%</v>
      </c>
    </row>
    <row r="145" spans="1:259" x14ac:dyDescent="0.25">
      <c r="A145" s="209"/>
      <c r="B145" s="209"/>
      <c r="C145" s="209"/>
      <c r="D145" s="209"/>
      <c r="E145" s="209"/>
      <c r="F145" s="196"/>
      <c r="G145" s="209"/>
      <c r="H145" s="209"/>
      <c r="I145" s="209"/>
      <c r="J145" s="209"/>
      <c r="K145" s="209"/>
      <c r="L145" s="209"/>
      <c r="M145" s="209"/>
      <c r="N145" s="666" t="str">
        <f>IFERROR(INDEX($J$152:$J$159,N155)&amp;" "&amp;IF(INDEX($K$152:$K$159,N155)&lt;0.1,FIXED(INDEX($K$152:$K$159,N155)*100,1),FIXED(INDEX($K$152:$K$159,N155)*100,0))&amp;"%","")</f>
        <v>Preplant/starter 3.8%</v>
      </c>
      <c r="O145" s="671" t="str">
        <f t="shared" ref="O145:AT145" si="17">IFERROR(INDEX($J$152:$J$159,O155)&amp;" "&amp;IF(INDEX($K$152:$K$159,O155)&lt;0.1,FIXED(INDEX($K$152:$K$159,O155)*100,1),FIXED(INDEX($K$152:$K$159,O155)*100,0))&amp;"%","")</f>
        <v/>
      </c>
      <c r="P145" s="671" t="str">
        <f t="shared" si="17"/>
        <v/>
      </c>
      <c r="Q145" s="671" t="str">
        <f t="shared" si="17"/>
        <v>Preplant/starter 3.8%</v>
      </c>
      <c r="R145" s="671" t="str">
        <f t="shared" si="17"/>
        <v/>
      </c>
      <c r="S145" s="671" t="str">
        <f t="shared" si="17"/>
        <v/>
      </c>
      <c r="T145" s="671" t="str">
        <f t="shared" si="17"/>
        <v/>
      </c>
      <c r="U145" s="671" t="str">
        <f t="shared" si="17"/>
        <v/>
      </c>
      <c r="V145" s="671" t="str">
        <f t="shared" si="17"/>
        <v/>
      </c>
      <c r="W145" s="671" t="str">
        <f t="shared" si="17"/>
        <v>Preplant/starter 3.8%</v>
      </c>
      <c r="X145" s="671" t="str">
        <f t="shared" si="17"/>
        <v/>
      </c>
      <c r="Y145" s="671" t="str">
        <f t="shared" si="17"/>
        <v/>
      </c>
      <c r="Z145" s="671" t="str">
        <f t="shared" si="17"/>
        <v/>
      </c>
      <c r="AA145" s="609" t="str">
        <f t="shared" si="17"/>
        <v/>
      </c>
      <c r="AB145" s="609" t="str">
        <f t="shared" si="17"/>
        <v>Preplant/starter 3.8%</v>
      </c>
      <c r="AC145" s="609" t="str">
        <f t="shared" si="17"/>
        <v/>
      </c>
      <c r="AD145" s="609" t="str">
        <f t="shared" si="17"/>
        <v/>
      </c>
      <c r="AE145" s="609" t="str">
        <f t="shared" si="17"/>
        <v/>
      </c>
      <c r="AF145" s="609" t="str">
        <f t="shared" si="17"/>
        <v/>
      </c>
      <c r="AG145" s="609" t="str">
        <f t="shared" si="17"/>
        <v>Preplant/starter 3.8%</v>
      </c>
      <c r="AH145" s="609" t="str">
        <f t="shared" si="17"/>
        <v>Preplant/starter 3.8%</v>
      </c>
      <c r="AI145" s="609" t="str">
        <f t="shared" si="17"/>
        <v>Preplant/starter 3.8%</v>
      </c>
      <c r="AJ145" s="609" t="str">
        <f t="shared" si="17"/>
        <v>Preplant/starter 3.8%</v>
      </c>
      <c r="AK145" s="609" t="str">
        <f t="shared" si="17"/>
        <v/>
      </c>
      <c r="AL145" s="609" t="str">
        <f t="shared" si="17"/>
        <v/>
      </c>
      <c r="AM145" s="609" t="str">
        <f t="shared" si="17"/>
        <v/>
      </c>
      <c r="AN145" s="609" t="str">
        <f t="shared" si="17"/>
        <v/>
      </c>
      <c r="AO145" s="609" t="str">
        <f t="shared" si="17"/>
        <v/>
      </c>
      <c r="AP145" s="609" t="str">
        <f t="shared" si="17"/>
        <v/>
      </c>
      <c r="AQ145" s="609" t="str">
        <f t="shared" si="17"/>
        <v/>
      </c>
      <c r="AR145" s="609" t="str">
        <f t="shared" si="17"/>
        <v>Preplant/starter 3.8%</v>
      </c>
      <c r="AS145" s="609" t="str">
        <f t="shared" si="17"/>
        <v/>
      </c>
      <c r="AT145" s="609" t="str">
        <f t="shared" si="17"/>
        <v/>
      </c>
      <c r="AU145" s="609" t="str">
        <f t="shared" ref="AU145:BZ145" si="18">IFERROR(INDEX($J$152:$J$159,AU155)&amp;" "&amp;IF(INDEX($K$152:$K$159,AU155)&lt;0.1,FIXED(INDEX($K$152:$K$159,AU155)*100,1),FIXED(INDEX($K$152:$K$159,AU155)*100,0))&amp;"%","")</f>
        <v/>
      </c>
      <c r="AV145" s="609" t="str">
        <f t="shared" si="18"/>
        <v/>
      </c>
      <c r="AW145" s="609" t="str">
        <f t="shared" si="18"/>
        <v>Preplant/starter 3.8%</v>
      </c>
      <c r="AX145" s="609" t="str">
        <f t="shared" si="18"/>
        <v/>
      </c>
      <c r="AY145" s="609" t="str">
        <f t="shared" si="18"/>
        <v/>
      </c>
      <c r="AZ145" s="609" t="str">
        <f t="shared" si="18"/>
        <v/>
      </c>
      <c r="BA145" s="609" t="str">
        <f t="shared" si="18"/>
        <v/>
      </c>
      <c r="BB145" s="609" t="str">
        <f t="shared" si="18"/>
        <v>Preplant/starter 3.8%</v>
      </c>
      <c r="BC145" s="609" t="str">
        <f t="shared" si="18"/>
        <v>Preplant/starter 3.8%</v>
      </c>
      <c r="BD145" s="609" t="str">
        <f t="shared" si="18"/>
        <v>Preplant/starter 3.8%</v>
      </c>
      <c r="BE145" s="609" t="str">
        <f t="shared" si="18"/>
        <v>Preplant/starter 3.8%</v>
      </c>
      <c r="BF145" s="609" t="str">
        <f t="shared" si="18"/>
        <v/>
      </c>
      <c r="BG145" s="609" t="str">
        <f t="shared" si="18"/>
        <v/>
      </c>
      <c r="BH145" s="609" t="str">
        <f t="shared" si="18"/>
        <v/>
      </c>
      <c r="BI145" s="609" t="str">
        <f t="shared" si="18"/>
        <v/>
      </c>
      <c r="BJ145" s="609" t="str">
        <f t="shared" si="18"/>
        <v/>
      </c>
      <c r="BK145" s="609" t="str">
        <f t="shared" si="18"/>
        <v/>
      </c>
      <c r="BL145" s="609" t="str">
        <f t="shared" si="18"/>
        <v>Preplant/starter 3.8%</v>
      </c>
      <c r="BM145" s="609" t="str">
        <f t="shared" si="18"/>
        <v/>
      </c>
      <c r="BN145" s="609" t="str">
        <f t="shared" si="18"/>
        <v/>
      </c>
      <c r="BO145" s="609" t="str">
        <f t="shared" si="18"/>
        <v/>
      </c>
      <c r="BP145" s="609" t="str">
        <f t="shared" si="18"/>
        <v/>
      </c>
      <c r="BQ145" s="609" t="str">
        <f t="shared" si="18"/>
        <v>Preplant/starter 3.8%</v>
      </c>
      <c r="BR145" s="609" t="str">
        <f t="shared" si="18"/>
        <v>Preplant/starter 3.8%</v>
      </c>
      <c r="BS145" s="609" t="str">
        <f t="shared" si="18"/>
        <v>Preplant/starter 3.8%</v>
      </c>
      <c r="BT145" s="609" t="str">
        <f t="shared" si="18"/>
        <v>Preplant/starter 3.8%</v>
      </c>
      <c r="BU145" s="609" t="str">
        <f t="shared" si="18"/>
        <v/>
      </c>
      <c r="BV145" s="609" t="str">
        <f t="shared" si="18"/>
        <v/>
      </c>
      <c r="BW145" s="609" t="str">
        <f t="shared" si="18"/>
        <v/>
      </c>
      <c r="BX145" s="609" t="str">
        <f t="shared" si="18"/>
        <v/>
      </c>
      <c r="BY145" s="609" t="str">
        <f t="shared" si="18"/>
        <v/>
      </c>
      <c r="BZ145" s="609" t="str">
        <f t="shared" si="18"/>
        <v/>
      </c>
      <c r="CA145" s="609" t="str">
        <f t="shared" ref="CA145:DF145" si="19">IFERROR(INDEX($J$152:$J$159,CA155)&amp;" "&amp;IF(INDEX($K$152:$K$159,CA155)&lt;0.1,FIXED(INDEX($K$152:$K$159,CA155)*100,1),FIXED(INDEX($K$152:$K$159,CA155)*100,0))&amp;"%","")</f>
        <v>Preplant/starter 3.8%</v>
      </c>
      <c r="CB145" s="609" t="str">
        <f t="shared" si="19"/>
        <v>Preplant/starter 3.8%</v>
      </c>
      <c r="CC145" s="609" t="str">
        <f t="shared" si="19"/>
        <v>Preplant/starter 3.8%</v>
      </c>
      <c r="CD145" s="609" t="str">
        <f t="shared" si="19"/>
        <v>Preplant/starter 3.8%</v>
      </c>
      <c r="CE145" s="609" t="str">
        <f t="shared" si="19"/>
        <v/>
      </c>
      <c r="CF145" s="609" t="str">
        <f t="shared" si="19"/>
        <v/>
      </c>
      <c r="CG145" s="609" t="str">
        <f t="shared" si="19"/>
        <v/>
      </c>
      <c r="CH145" s="609" t="str">
        <f t="shared" si="19"/>
        <v/>
      </c>
      <c r="CI145" s="609" t="str">
        <f t="shared" si="19"/>
        <v/>
      </c>
      <c r="CJ145" s="609" t="str">
        <f t="shared" si="19"/>
        <v/>
      </c>
      <c r="CK145" s="609" t="str">
        <f t="shared" si="19"/>
        <v>Preplant/starter 3.8%</v>
      </c>
      <c r="CL145" s="609" t="str">
        <f t="shared" si="19"/>
        <v>Preplant/starter 3.8%</v>
      </c>
      <c r="CM145" s="609" t="str">
        <f t="shared" si="19"/>
        <v>Preplant/starter 3.8%</v>
      </c>
      <c r="CN145" s="609" t="str">
        <f t="shared" si="19"/>
        <v>Preplant/starter 3.8%</v>
      </c>
      <c r="CO145" s="609" t="str">
        <f t="shared" si="19"/>
        <v>Preplant/starter 3.8%</v>
      </c>
      <c r="CP145" s="609" t="str">
        <f t="shared" si="19"/>
        <v>Preplant/starter 3.8%</v>
      </c>
      <c r="CQ145" s="609" t="str">
        <f t="shared" si="19"/>
        <v/>
      </c>
      <c r="CR145" s="609" t="str">
        <f t="shared" si="19"/>
        <v/>
      </c>
      <c r="CS145" s="609" t="str">
        <f t="shared" si="19"/>
        <v/>
      </c>
      <c r="CT145" s="609" t="str">
        <f t="shared" si="19"/>
        <v/>
      </c>
      <c r="CU145" s="609" t="str">
        <f t="shared" si="19"/>
        <v>Preplant/starter 3.8%</v>
      </c>
      <c r="CV145" s="609" t="str">
        <f t="shared" si="19"/>
        <v/>
      </c>
      <c r="CW145" s="609" t="str">
        <f t="shared" si="19"/>
        <v/>
      </c>
      <c r="CX145" s="609" t="str">
        <f t="shared" si="19"/>
        <v/>
      </c>
      <c r="CY145" s="609" t="str">
        <f t="shared" si="19"/>
        <v/>
      </c>
      <c r="CZ145" s="609" t="str">
        <f t="shared" si="19"/>
        <v>Preplant/starter 3.8%</v>
      </c>
      <c r="DA145" s="609" t="str">
        <f t="shared" si="19"/>
        <v>Preplant/starter 3.8%</v>
      </c>
      <c r="DB145" s="609" t="str">
        <f t="shared" si="19"/>
        <v>Preplant/starter 3.8%</v>
      </c>
      <c r="DC145" s="609" t="str">
        <f t="shared" si="19"/>
        <v>Preplant/starter 3.8%</v>
      </c>
      <c r="DD145" s="609" t="str">
        <f t="shared" si="19"/>
        <v/>
      </c>
      <c r="DE145" s="609" t="str">
        <f t="shared" si="19"/>
        <v/>
      </c>
      <c r="DF145" s="609" t="str">
        <f t="shared" si="19"/>
        <v/>
      </c>
      <c r="DG145" s="609" t="str">
        <f t="shared" ref="DG145:EK145" si="20">IFERROR(INDEX($J$152:$J$159,DG155)&amp;" "&amp;IF(INDEX($K$152:$K$159,DG155)&lt;0.1,FIXED(INDEX($K$152:$K$159,DG155)*100,1),FIXED(INDEX($K$152:$K$159,DG155)*100,0))&amp;"%","")</f>
        <v/>
      </c>
      <c r="DH145" s="609" t="str">
        <f t="shared" si="20"/>
        <v/>
      </c>
      <c r="DI145" s="609" t="str">
        <f t="shared" si="20"/>
        <v/>
      </c>
      <c r="DJ145" s="609" t="str">
        <f t="shared" si="20"/>
        <v>Preplant/starter 3.8%</v>
      </c>
      <c r="DK145" s="609" t="str">
        <f t="shared" si="20"/>
        <v>Preplant/starter 3.8%</v>
      </c>
      <c r="DL145" s="609" t="str">
        <f t="shared" si="20"/>
        <v>Preplant/starter 3.8%</v>
      </c>
      <c r="DM145" s="609" t="str">
        <f t="shared" si="20"/>
        <v>Preplant/starter 3.8%</v>
      </c>
      <c r="DN145" s="609" t="str">
        <f t="shared" si="20"/>
        <v/>
      </c>
      <c r="DO145" s="609" t="str">
        <f t="shared" si="20"/>
        <v/>
      </c>
      <c r="DP145" s="609" t="str">
        <f t="shared" si="20"/>
        <v/>
      </c>
      <c r="DQ145" s="609" t="str">
        <f t="shared" si="20"/>
        <v/>
      </c>
      <c r="DR145" s="609" t="str">
        <f t="shared" si="20"/>
        <v/>
      </c>
      <c r="DS145" s="609" t="str">
        <f t="shared" si="20"/>
        <v/>
      </c>
      <c r="DT145" s="609" t="str">
        <f t="shared" si="20"/>
        <v>Preplant/starter 3.8%</v>
      </c>
      <c r="DU145" s="609" t="str">
        <f t="shared" si="20"/>
        <v>Preplant/starter 3.8%</v>
      </c>
      <c r="DV145" s="609" t="str">
        <f t="shared" si="20"/>
        <v>Preplant/starter 3.8%</v>
      </c>
      <c r="DW145" s="609" t="str">
        <f t="shared" si="20"/>
        <v>Preplant/starter 3.8%</v>
      </c>
      <c r="DX145" s="609" t="str">
        <f t="shared" si="20"/>
        <v>Preplant/starter 3.8%</v>
      </c>
      <c r="DY145" s="609" t="str">
        <f t="shared" si="20"/>
        <v>Preplant/starter 3.8%</v>
      </c>
      <c r="DZ145" s="609" t="str">
        <f t="shared" si="20"/>
        <v/>
      </c>
      <c r="EA145" s="609" t="str">
        <f t="shared" si="20"/>
        <v/>
      </c>
      <c r="EB145" s="609" t="str">
        <f t="shared" si="20"/>
        <v/>
      </c>
      <c r="EC145" s="609" t="str">
        <f t="shared" si="20"/>
        <v/>
      </c>
      <c r="ED145" s="609" t="str">
        <f t="shared" si="20"/>
        <v>Preplant/starter 3.8%</v>
      </c>
      <c r="EE145" s="609" t="str">
        <f t="shared" si="20"/>
        <v>Preplant/starter 3.8%</v>
      </c>
      <c r="EF145" s="609" t="str">
        <f t="shared" si="20"/>
        <v>Preplant/starter 3.8%</v>
      </c>
      <c r="EG145" s="609" t="str">
        <f t="shared" si="20"/>
        <v>Preplant/starter 3.8%</v>
      </c>
      <c r="EH145" s="609" t="str">
        <f t="shared" si="20"/>
        <v/>
      </c>
      <c r="EI145" s="609" t="str">
        <f t="shared" si="20"/>
        <v/>
      </c>
      <c r="EJ145" s="609" t="str">
        <f t="shared" si="20"/>
        <v/>
      </c>
      <c r="EK145" s="609" t="str">
        <f t="shared" si="20"/>
        <v/>
      </c>
      <c r="EL145" s="609" t="str">
        <f t="shared" ref="EL145:GW145" si="21">IFERROR(INDEX($J$152:$J$159,EL155)&amp;" "&amp;IF(INDEX($K$152:$K$159,EL155)&lt;0.1,FIXED(INDEX($K$152:$K$159,EL155)*100,1),FIXED(INDEX($K$152:$K$159,EL155)*100,0))&amp;"%","")</f>
        <v/>
      </c>
      <c r="EM145" s="609" t="str">
        <f t="shared" si="21"/>
        <v/>
      </c>
      <c r="EN145" s="609" t="str">
        <f t="shared" si="21"/>
        <v>Preplant/starter 3.8%</v>
      </c>
      <c r="EO145" s="609" t="str">
        <f t="shared" si="21"/>
        <v>Preplant/starter 3.8%</v>
      </c>
      <c r="EP145" s="609" t="str">
        <f t="shared" si="21"/>
        <v>Preplant/starter 3.8%</v>
      </c>
      <c r="EQ145" s="609" t="str">
        <f t="shared" si="21"/>
        <v>Preplant/starter 3.8%</v>
      </c>
      <c r="ER145" s="609" t="str">
        <f t="shared" si="21"/>
        <v>Preplant/starter 3.8%</v>
      </c>
      <c r="ES145" s="609" t="str">
        <f t="shared" si="21"/>
        <v>Preplant/starter 3.8%</v>
      </c>
      <c r="ET145" s="609" t="str">
        <f t="shared" si="21"/>
        <v/>
      </c>
      <c r="EU145" s="609" t="str">
        <f t="shared" si="21"/>
        <v/>
      </c>
      <c r="EV145" s="609" t="str">
        <f t="shared" si="21"/>
        <v/>
      </c>
      <c r="EW145" s="609" t="str">
        <f t="shared" si="21"/>
        <v/>
      </c>
      <c r="EX145" s="609" t="str">
        <f t="shared" si="21"/>
        <v>Preplant/starter 3.8%</v>
      </c>
      <c r="EY145" s="609" t="str">
        <f t="shared" si="21"/>
        <v>Preplant/starter 3.8%</v>
      </c>
      <c r="EZ145" s="609" t="str">
        <f t="shared" si="21"/>
        <v>Preplant/starter 3.8%</v>
      </c>
      <c r="FA145" s="609" t="str">
        <f t="shared" si="21"/>
        <v>Preplant/starter 3.8%</v>
      </c>
      <c r="FB145" s="609" t="str">
        <f t="shared" si="21"/>
        <v>Preplant/starter 3.8%</v>
      </c>
      <c r="FC145" s="609" t="str">
        <f t="shared" si="21"/>
        <v>Preplant/starter 3.8%</v>
      </c>
      <c r="FD145" s="609" t="str">
        <f t="shared" si="21"/>
        <v/>
      </c>
      <c r="FE145" s="609" t="str">
        <f t="shared" si="21"/>
        <v/>
      </c>
      <c r="FF145" s="609" t="str">
        <f t="shared" si="21"/>
        <v/>
      </c>
      <c r="FG145" s="609" t="str">
        <f t="shared" si="21"/>
        <v/>
      </c>
      <c r="FH145" s="609" t="str">
        <f t="shared" si="21"/>
        <v>Preplant/starter 3.8%</v>
      </c>
      <c r="FI145" s="609" t="str">
        <f t="shared" si="21"/>
        <v>Preplant/starter 3.8%</v>
      </c>
      <c r="FJ145" s="609" t="str">
        <f t="shared" si="21"/>
        <v>Preplant/starter 3.8%</v>
      </c>
      <c r="FK145" s="609" t="str">
        <f t="shared" si="21"/>
        <v>Preplant/starter 3.8%</v>
      </c>
      <c r="FL145" s="609" t="str">
        <f t="shared" si="21"/>
        <v/>
      </c>
      <c r="FM145" s="609" t="str">
        <f t="shared" si="21"/>
        <v>Preplant/starter 3.8%</v>
      </c>
      <c r="FN145" s="609" t="str">
        <f t="shared" si="21"/>
        <v>Preplant/starter 3.8%</v>
      </c>
      <c r="FO145" s="609" t="str">
        <f t="shared" si="21"/>
        <v>Preplant/starter 3.8%</v>
      </c>
      <c r="FP145" s="609" t="str">
        <f t="shared" si="21"/>
        <v>Preplant/starter 3.8%</v>
      </c>
      <c r="FQ145" s="609" t="str">
        <f t="shared" si="21"/>
        <v/>
      </c>
      <c r="FR145" s="609" t="str">
        <f t="shared" si="21"/>
        <v/>
      </c>
      <c r="FS145" s="609" t="str">
        <f t="shared" si="21"/>
        <v/>
      </c>
      <c r="FT145" s="609" t="str">
        <f t="shared" si="21"/>
        <v/>
      </c>
      <c r="FU145" s="609" t="str">
        <f t="shared" si="21"/>
        <v/>
      </c>
      <c r="FV145" s="609" t="str">
        <f t="shared" si="21"/>
        <v/>
      </c>
      <c r="FW145" s="609" t="str">
        <f t="shared" si="21"/>
        <v>Preplant/starter 3.8%</v>
      </c>
      <c r="FX145" s="609" t="str">
        <f t="shared" si="21"/>
        <v>Preplant/starter 3.8%</v>
      </c>
      <c r="FY145" s="609" t="str">
        <f t="shared" si="21"/>
        <v>Preplant/starter 3.8%</v>
      </c>
      <c r="FZ145" s="609" t="str">
        <f t="shared" si="21"/>
        <v>Preplant/starter 3.8%</v>
      </c>
      <c r="GA145" s="609" t="str">
        <f t="shared" si="21"/>
        <v>Preplant/starter 3.8%</v>
      </c>
      <c r="GB145" s="609" t="str">
        <f t="shared" si="21"/>
        <v>Preplant/starter 3.8%</v>
      </c>
      <c r="GC145" s="609" t="str">
        <f t="shared" si="21"/>
        <v/>
      </c>
      <c r="GD145" s="609" t="str">
        <f t="shared" si="21"/>
        <v/>
      </c>
      <c r="GE145" s="609" t="str">
        <f t="shared" si="21"/>
        <v/>
      </c>
      <c r="GF145" s="609" t="str">
        <f t="shared" si="21"/>
        <v/>
      </c>
      <c r="GG145" s="609" t="str">
        <f t="shared" si="21"/>
        <v>Preplant/starter 3.8%</v>
      </c>
      <c r="GH145" s="609" t="str">
        <f t="shared" si="21"/>
        <v>Preplant/starter 3.8%</v>
      </c>
      <c r="GI145" s="609" t="str">
        <f t="shared" si="21"/>
        <v>Preplant/starter 3.8%</v>
      </c>
      <c r="GJ145" s="609" t="str">
        <f t="shared" si="21"/>
        <v>Preplant/starter 3.8%</v>
      </c>
      <c r="GK145" s="609" t="str">
        <f t="shared" si="21"/>
        <v>Preplant/starter 3.8%</v>
      </c>
      <c r="GL145" s="609" t="str">
        <f t="shared" si="21"/>
        <v>Preplant/starter 3.8%</v>
      </c>
      <c r="GM145" s="609" t="str">
        <f t="shared" si="21"/>
        <v/>
      </c>
      <c r="GN145" s="609" t="str">
        <f t="shared" si="21"/>
        <v/>
      </c>
      <c r="GO145" s="609" t="str">
        <f t="shared" si="21"/>
        <v/>
      </c>
      <c r="GP145" s="609" t="str">
        <f t="shared" si="21"/>
        <v/>
      </c>
      <c r="GQ145" s="609" t="str">
        <f t="shared" si="21"/>
        <v>Preplant/starter 3.8%</v>
      </c>
      <c r="GR145" s="609" t="str">
        <f t="shared" si="21"/>
        <v>Preplant/starter 3.8%</v>
      </c>
      <c r="GS145" s="609" t="str">
        <f t="shared" si="21"/>
        <v>Preplant/starter 3.8%</v>
      </c>
      <c r="GT145" s="609" t="str">
        <f t="shared" si="21"/>
        <v>Preplant/starter 3.8%</v>
      </c>
      <c r="GU145" s="609" t="str">
        <f t="shared" si="21"/>
        <v/>
      </c>
      <c r="GV145" s="609" t="str">
        <f t="shared" si="21"/>
        <v>Preplant/starter 3.8%</v>
      </c>
      <c r="GW145" s="609" t="str">
        <f t="shared" si="21"/>
        <v>Preplant/starter 3.8%</v>
      </c>
      <c r="GX145" s="609" t="str">
        <f t="shared" ref="GX145:IY145" si="22">IFERROR(INDEX($J$152:$J$159,GX155)&amp;" "&amp;IF(INDEX($K$152:$K$159,GX155)&lt;0.1,FIXED(INDEX($K$152:$K$159,GX155)*100,1),FIXED(INDEX($K$152:$K$159,GX155)*100,0))&amp;"%","")</f>
        <v>Preplant/starter 3.8%</v>
      </c>
      <c r="GY145" s="609" t="str">
        <f t="shared" si="22"/>
        <v>Preplant/starter 3.8%</v>
      </c>
      <c r="GZ145" s="609" t="str">
        <f t="shared" si="22"/>
        <v>Preplant/starter 3.8%</v>
      </c>
      <c r="HA145" s="609" t="str">
        <f t="shared" si="22"/>
        <v>Preplant/starter 3.8%</v>
      </c>
      <c r="HB145" s="609" t="str">
        <f t="shared" si="22"/>
        <v/>
      </c>
      <c r="HC145" s="609" t="str">
        <f t="shared" si="22"/>
        <v/>
      </c>
      <c r="HD145" s="609" t="str">
        <f t="shared" si="22"/>
        <v/>
      </c>
      <c r="HE145" s="609" t="str">
        <f t="shared" si="22"/>
        <v/>
      </c>
      <c r="HF145" s="609" t="str">
        <f t="shared" si="22"/>
        <v>Preplant/starter 3.8%</v>
      </c>
      <c r="HG145" s="609" t="str">
        <f t="shared" si="22"/>
        <v>Preplant/starter 3.8%</v>
      </c>
      <c r="HH145" s="609" t="str">
        <f t="shared" si="22"/>
        <v>Preplant/starter 3.8%</v>
      </c>
      <c r="HI145" s="609" t="str">
        <f t="shared" si="22"/>
        <v>Preplant/starter 3.8%</v>
      </c>
      <c r="HJ145" s="609" t="str">
        <f t="shared" si="22"/>
        <v/>
      </c>
      <c r="HK145" s="609" t="str">
        <f t="shared" si="22"/>
        <v>Preplant/starter 3.8%</v>
      </c>
      <c r="HL145" s="609" t="str">
        <f t="shared" si="22"/>
        <v>Preplant/starter 3.8%</v>
      </c>
      <c r="HM145" s="609" t="str">
        <f t="shared" si="22"/>
        <v>Preplant/starter 3.8%</v>
      </c>
      <c r="HN145" s="609" t="str">
        <f t="shared" si="22"/>
        <v>Preplant/starter 3.8%</v>
      </c>
      <c r="HO145" s="609" t="str">
        <f t="shared" si="22"/>
        <v/>
      </c>
      <c r="HP145" s="609" t="str">
        <f t="shared" si="22"/>
        <v>Preplant/starter 3.8%</v>
      </c>
      <c r="HQ145" s="609" t="str">
        <f t="shared" si="22"/>
        <v>Preplant/starter 3.8%</v>
      </c>
      <c r="HR145" s="609" t="str">
        <f t="shared" si="22"/>
        <v>Preplant/starter 3.8%</v>
      </c>
      <c r="HS145" s="609" t="str">
        <f t="shared" si="22"/>
        <v>Preplant/starter 3.8%</v>
      </c>
      <c r="HT145" s="609" t="str">
        <f t="shared" si="22"/>
        <v>Preplant/starter 3.8%</v>
      </c>
      <c r="HU145" s="609" t="str">
        <f t="shared" si="22"/>
        <v>Preplant/starter 3.8%</v>
      </c>
      <c r="HV145" s="609" t="str">
        <f t="shared" si="22"/>
        <v>Preplant/starter 3.8%</v>
      </c>
      <c r="HW145" s="609" t="str">
        <f t="shared" si="22"/>
        <v/>
      </c>
      <c r="HX145" s="609" t="str">
        <f t="shared" si="22"/>
        <v/>
      </c>
      <c r="HY145" s="609" t="str">
        <f t="shared" si="22"/>
        <v/>
      </c>
      <c r="HZ145" s="609" t="str">
        <f t="shared" si="22"/>
        <v/>
      </c>
      <c r="IA145" s="609" t="str">
        <f t="shared" si="22"/>
        <v>Preplant/starter 3.8%</v>
      </c>
      <c r="IB145" s="609" t="str">
        <f t="shared" si="22"/>
        <v>Preplant/starter 3.8%</v>
      </c>
      <c r="IC145" s="609" t="str">
        <f t="shared" si="22"/>
        <v>Preplant/starter 3.8%</v>
      </c>
      <c r="ID145" s="609" t="str">
        <f t="shared" si="22"/>
        <v>Preplant/starter 3.8%</v>
      </c>
      <c r="IE145" s="609" t="str">
        <f t="shared" si="22"/>
        <v/>
      </c>
      <c r="IF145" s="609" t="str">
        <f t="shared" si="22"/>
        <v>Preplant/starter 3.8%</v>
      </c>
      <c r="IG145" s="609" t="str">
        <f t="shared" si="22"/>
        <v>Preplant/starter 3.8%</v>
      </c>
      <c r="IH145" s="609" t="str">
        <f t="shared" si="22"/>
        <v>Preplant/starter 3.8%</v>
      </c>
      <c r="II145" s="609" t="str">
        <f t="shared" si="22"/>
        <v>Preplant/starter 3.8%</v>
      </c>
      <c r="IJ145" s="609" t="str">
        <f t="shared" si="22"/>
        <v/>
      </c>
      <c r="IK145" s="609" t="str">
        <f t="shared" si="22"/>
        <v>Preplant/starter 3.8%</v>
      </c>
      <c r="IL145" s="609" t="str">
        <f t="shared" si="22"/>
        <v>Preplant/starter 3.8%</v>
      </c>
      <c r="IM145" s="609" t="str">
        <f t="shared" si="22"/>
        <v>Preplant/starter 3.8%</v>
      </c>
      <c r="IN145" s="609" t="str">
        <f t="shared" si="22"/>
        <v>Preplant/starter 3.8%</v>
      </c>
      <c r="IO145" s="609" t="str">
        <f t="shared" si="22"/>
        <v>Preplant/starter 3.8%</v>
      </c>
      <c r="IP145" s="609" t="str">
        <f t="shared" si="22"/>
        <v/>
      </c>
      <c r="IQ145" s="609" t="str">
        <f t="shared" si="22"/>
        <v>Preplant/starter 3.8%</v>
      </c>
      <c r="IR145" s="609" t="str">
        <f t="shared" si="22"/>
        <v>Preplant/starter 3.8%</v>
      </c>
      <c r="IS145" s="609" t="str">
        <f t="shared" si="22"/>
        <v>Preplant/starter 3.8%</v>
      </c>
      <c r="IT145" s="609" t="str">
        <f t="shared" si="22"/>
        <v>Preplant/starter 3.8%</v>
      </c>
      <c r="IU145" s="609" t="str">
        <f t="shared" si="22"/>
        <v>Preplant/starter 3.8%</v>
      </c>
      <c r="IV145" s="609" t="str">
        <f t="shared" si="22"/>
        <v>Preplant/starter 3.8%</v>
      </c>
      <c r="IW145" s="609" t="str">
        <f t="shared" si="22"/>
        <v/>
      </c>
      <c r="IX145" s="609" t="str">
        <f t="shared" si="22"/>
        <v>Preplant/starter 3.8%</v>
      </c>
      <c r="IY145" s="609" t="str">
        <f t="shared" si="22"/>
        <v>Preplant/starter 3.8%</v>
      </c>
    </row>
    <row r="146" spans="1:259" x14ac:dyDescent="0.25">
      <c r="A146" s="209"/>
      <c r="B146" s="209"/>
      <c r="C146" s="209"/>
      <c r="D146" s="209"/>
      <c r="E146" s="209"/>
      <c r="F146" s="209"/>
      <c r="G146" s="209"/>
      <c r="H146" s="209"/>
      <c r="I146" s="209"/>
      <c r="J146" s="209"/>
      <c r="K146" s="209"/>
      <c r="L146" s="209"/>
      <c r="M146" s="209"/>
      <c r="N146" s="666" t="str">
        <f ca="1">IFERROR(INDEX($J$152:$J$159,N156)&amp;" "&amp;IF(INDEX($K$152:$K$159,N156)&lt;0.1,FIXED(INDEX($K$152:$K$159,N156)*100,1),FIXED(INDEX($K$152:$K$159,N156)*100,0))&amp;"%","")&amp;","&amp;IFERROR(OFFSET(INDEX($J$152:$J$159,N156),0,2)&amp;" "&amp;IF(INDEX($M$152:$M$159,N156)&lt;0.1,FIXED(INDEX($M$152:$M$159,N156)*100,1),FIXED(INDEX($M$152:$M$159,N156)*100,0))&amp;"%","")</f>
        <v>Cover crop cs 7.5%,Cover crop ss 7.1%</v>
      </c>
      <c r="O146" s="671" t="str">
        <f ca="1">IFERROR(INDEX($J$152:$J$159,O156)&amp;""&amp;IF(INDEX($K$152:$K$159,O156)&lt;0.1,FIXED(INDEX($K$152:$K$159,O156)*100,1),FIXED(INDEX($K$152:$K$159,O156)*100,0))&amp;"%","")&amp;""&amp;IFERROR(OFFSET(INDEX($J$152:$J$159,O156),0,2)&amp;""&amp;IF(INDEX($M$152:$M$159,O156)&lt;0.1,FIXED(INDEX($M$152:$M$159,O156)*100,1),FIXED(INDEX($M$152:$M$159,O156)*100,0))&amp;"%","")</f>
        <v/>
      </c>
      <c r="P146" s="671" t="str">
        <f ca="1">IFERROR(INDEX($J$152:$J$159,P156)&amp;""&amp;IF(INDEX($K$152:$K$159,P156)&lt;0.1,FIXED(INDEX($K$152:$K$159,P156)*100,1),FIXED(INDEX($K$152:$K$159,P156)*100,0))&amp;"%","")&amp;""&amp;IFERROR(OFFSET(INDEX($J$152:$J$159,P156),0,2)&amp;" "&amp;IF(INDEX($M$152:$M$159,P156)&lt;0.1,FIXED(INDEX($M$152:$M$159,P156)*100,1),FIXED(INDEX($M$152:$M$159,P156)*100,0))&amp;"%","")</f>
        <v/>
      </c>
      <c r="Q146" s="671" t="str">
        <f ca="1">IFERROR(INDEX($J$152:$J$159,Q156)&amp;""&amp;IF(INDEX($K$152:$K$159,Q156)&lt;0.1,FIXED(INDEX($K$152:$K$159,Q156)*100,1),FIXED(INDEX($K$152:$K$159,Q156)*100,0))&amp;"%","")&amp;""&amp;IFERROR(OFFSET(INDEX($J$152:$J$159,Q156),0,2)&amp;" "&amp;IF(INDEX($M$152:$M$159,Q156)&lt;0.1,FIXED(INDEX($M$152:$M$159,Q156)*100,1),FIXED(INDEX($M$152:$M$159,Q156)*100,0))&amp;"%","")</f>
        <v/>
      </c>
      <c r="R146" s="671" t="str">
        <f t="shared" ref="R146:CC146" ca="1" si="23">IFERROR(INDEX($J$152:$J$159,R156)&amp;""&amp;IF(INDEX($K$152:$K$159,R156)&lt;0.1,FIXED(INDEX($K$152:$K$159,R156)*100,1),FIXED(INDEX($K$152:$K$159,R156)*100,0))&amp;"%","")&amp;""&amp;IFERROR(OFFSET(INDEX($J$152:$J$159,R156),0,2)&amp;" "&amp;IF(INDEX($M$152:$M$159,R156)&lt;0.1,FIXED(INDEX($M$152:$M$159,R156)*100,1),FIXED(INDEX($M$152:$M$159,R156)*100,0))&amp;"%","")</f>
        <v>Cover crop cs7.5%Cover crop ss 7.1%</v>
      </c>
      <c r="S146" s="671" t="str">
        <f t="shared" ca="1" si="23"/>
        <v/>
      </c>
      <c r="T146" s="671" t="str">
        <f t="shared" ca="1" si="23"/>
        <v/>
      </c>
      <c r="U146" s="671" t="str">
        <f t="shared" ca="1" si="23"/>
        <v/>
      </c>
      <c r="V146" s="671" t="str">
        <f t="shared" ca="1" si="23"/>
        <v/>
      </c>
      <c r="W146" s="671" t="str">
        <f t="shared" ca="1" si="23"/>
        <v/>
      </c>
      <c r="X146" s="671" t="str">
        <f t="shared" ca="1" si="23"/>
        <v>Cover crop cs7.5%Cover crop ss 7.1%</v>
      </c>
      <c r="Y146" s="671" t="str">
        <f t="shared" ca="1" si="23"/>
        <v/>
      </c>
      <c r="Z146" s="671" t="str">
        <f t="shared" ca="1" si="23"/>
        <v/>
      </c>
      <c r="AA146" s="609" t="str">
        <f t="shared" ca="1" si="23"/>
        <v/>
      </c>
      <c r="AB146" s="609" t="str">
        <f t="shared" ca="1" si="23"/>
        <v/>
      </c>
      <c r="AC146" s="609" t="str">
        <f t="shared" ca="1" si="23"/>
        <v>Cover crop cs7.5%Cover crop ss 7.1%</v>
      </c>
      <c r="AD146" s="609" t="str">
        <f t="shared" ca="1" si="23"/>
        <v/>
      </c>
      <c r="AE146" s="609" t="str">
        <f t="shared" ca="1" si="23"/>
        <v/>
      </c>
      <c r="AF146" s="609" t="str">
        <f t="shared" ca="1" si="23"/>
        <v/>
      </c>
      <c r="AG146" s="609" t="str">
        <f t="shared" ca="1" si="23"/>
        <v>Cover crop cs7.5%Cover crop ss 7.1%</v>
      </c>
      <c r="AH146" s="609" t="str">
        <f t="shared" ca="1" si="23"/>
        <v/>
      </c>
      <c r="AI146" s="609" t="str">
        <f t="shared" ca="1" si="23"/>
        <v/>
      </c>
      <c r="AJ146" s="609" t="str">
        <f t="shared" ca="1" si="23"/>
        <v/>
      </c>
      <c r="AK146" s="609" t="str">
        <f t="shared" ca="1" si="23"/>
        <v>Cover crop cs7.5%Cover crop ss 7.1%</v>
      </c>
      <c r="AL146" s="609" t="str">
        <f t="shared" ca="1" si="23"/>
        <v>Cover crop cs7.5%Cover crop ss 7.1%</v>
      </c>
      <c r="AM146" s="609" t="str">
        <f t="shared" ca="1" si="23"/>
        <v>Cover crop cs7.5%Cover crop ss 7.1%</v>
      </c>
      <c r="AN146" s="609" t="str">
        <f t="shared" ca="1" si="23"/>
        <v/>
      </c>
      <c r="AO146" s="609" t="str">
        <f t="shared" ca="1" si="23"/>
        <v/>
      </c>
      <c r="AP146" s="609" t="str">
        <f t="shared" ca="1" si="23"/>
        <v/>
      </c>
      <c r="AQ146" s="609" t="str">
        <f t="shared" ca="1" si="23"/>
        <v/>
      </c>
      <c r="AR146" s="609" t="str">
        <f t="shared" ca="1" si="23"/>
        <v/>
      </c>
      <c r="AS146" s="609" t="str">
        <f t="shared" ca="1" si="23"/>
        <v>Cover crop cs7.5%Cover crop ss 7.1%</v>
      </c>
      <c r="AT146" s="609" t="str">
        <f t="shared" ca="1" si="23"/>
        <v/>
      </c>
      <c r="AU146" s="609" t="str">
        <f t="shared" ca="1" si="23"/>
        <v/>
      </c>
      <c r="AV146" s="609" t="str">
        <f t="shared" ca="1" si="23"/>
        <v/>
      </c>
      <c r="AW146" s="609" t="str">
        <f t="shared" ca="1" si="23"/>
        <v/>
      </c>
      <c r="AX146" s="609" t="str">
        <f t="shared" ca="1" si="23"/>
        <v>Cover crop cs7.5%Cover crop ss 7.1%</v>
      </c>
      <c r="AY146" s="609" t="str">
        <f t="shared" ca="1" si="23"/>
        <v/>
      </c>
      <c r="AZ146" s="609" t="str">
        <f t="shared" ca="1" si="23"/>
        <v/>
      </c>
      <c r="BA146" s="609" t="str">
        <f t="shared" ca="1" si="23"/>
        <v/>
      </c>
      <c r="BB146" s="609" t="str">
        <f t="shared" ca="1" si="23"/>
        <v>Cover crop cs7.5%Cover crop ss 7.1%</v>
      </c>
      <c r="BC146" s="609" t="str">
        <f t="shared" ca="1" si="23"/>
        <v/>
      </c>
      <c r="BD146" s="609" t="str">
        <f t="shared" ca="1" si="23"/>
        <v/>
      </c>
      <c r="BE146" s="609" t="str">
        <f t="shared" ca="1" si="23"/>
        <v/>
      </c>
      <c r="BF146" s="609" t="str">
        <f t="shared" ca="1" si="23"/>
        <v>Cover crop cs7.5%Cover crop ss 7.1%</v>
      </c>
      <c r="BG146" s="609" t="str">
        <f t="shared" ca="1" si="23"/>
        <v>Cover crop cs7.5%Cover crop ss 7.1%</v>
      </c>
      <c r="BH146" s="609" t="str">
        <f t="shared" ca="1" si="23"/>
        <v>Cover crop cs7.5%Cover crop ss 7.1%</v>
      </c>
      <c r="BI146" s="609" t="str">
        <f t="shared" ca="1" si="23"/>
        <v/>
      </c>
      <c r="BJ146" s="609" t="str">
        <f t="shared" ca="1" si="23"/>
        <v/>
      </c>
      <c r="BK146" s="609" t="str">
        <f t="shared" ca="1" si="23"/>
        <v/>
      </c>
      <c r="BL146" s="609" t="str">
        <f t="shared" ca="1" si="23"/>
        <v/>
      </c>
      <c r="BM146" s="609" t="str">
        <f t="shared" ca="1" si="23"/>
        <v>Cover crop cs7.5%Cover crop ss 7.1%</v>
      </c>
      <c r="BN146" s="609" t="str">
        <f t="shared" ca="1" si="23"/>
        <v/>
      </c>
      <c r="BO146" s="609" t="str">
        <f t="shared" ca="1" si="23"/>
        <v/>
      </c>
      <c r="BP146" s="609" t="str">
        <f t="shared" ca="1" si="23"/>
        <v/>
      </c>
      <c r="BQ146" s="609" t="str">
        <f t="shared" ca="1" si="23"/>
        <v>Cover crop cs7.5%Cover crop ss 7.1%</v>
      </c>
      <c r="BR146" s="609" t="str">
        <f t="shared" ca="1" si="23"/>
        <v/>
      </c>
      <c r="BS146" s="609" t="str">
        <f t="shared" ca="1" si="23"/>
        <v/>
      </c>
      <c r="BT146" s="609" t="str">
        <f t="shared" ca="1" si="23"/>
        <v/>
      </c>
      <c r="BU146" s="609" t="str">
        <f t="shared" ca="1" si="23"/>
        <v>Cover crop cs7.5%Cover crop ss 7.1%</v>
      </c>
      <c r="BV146" s="609" t="str">
        <f t="shared" ca="1" si="23"/>
        <v>Cover crop cs7.5%Cover crop ss 7.1%</v>
      </c>
      <c r="BW146" s="609" t="str">
        <f t="shared" ca="1" si="23"/>
        <v>Cover crop cs7.5%Cover crop ss 7.1%</v>
      </c>
      <c r="BX146" s="609" t="str">
        <f t="shared" ca="1" si="23"/>
        <v/>
      </c>
      <c r="BY146" s="609" t="str">
        <f t="shared" ca="1" si="23"/>
        <v/>
      </c>
      <c r="BZ146" s="609" t="str">
        <f t="shared" ca="1" si="23"/>
        <v/>
      </c>
      <c r="CA146" s="609" t="str">
        <f t="shared" ca="1" si="23"/>
        <v>Cover crop cs7.5%Cover crop ss 7.1%</v>
      </c>
      <c r="CB146" s="609" t="str">
        <f t="shared" ca="1" si="23"/>
        <v/>
      </c>
      <c r="CC146" s="609" t="str">
        <f t="shared" ca="1" si="23"/>
        <v/>
      </c>
      <c r="CD146" s="609" t="str">
        <f t="shared" ref="CD146:EO146" ca="1" si="24">IFERROR(INDEX($J$152:$J$159,CD156)&amp;""&amp;IF(INDEX($K$152:$K$159,CD156)&lt;0.1,FIXED(INDEX($K$152:$K$159,CD156)*100,1),FIXED(INDEX($K$152:$K$159,CD156)*100,0))&amp;"%","")&amp;""&amp;IFERROR(OFFSET(INDEX($J$152:$J$159,CD156),0,2)&amp;" "&amp;IF(INDEX($M$152:$M$159,CD156)&lt;0.1,FIXED(INDEX($M$152:$M$159,CD156)*100,1),FIXED(INDEX($M$152:$M$159,CD156)*100,0))&amp;"%","")</f>
        <v/>
      </c>
      <c r="CE146" s="609" t="str">
        <f t="shared" ca="1" si="24"/>
        <v>Cover crop cs7.5%Cover crop ss 7.1%</v>
      </c>
      <c r="CF146" s="609" t="str">
        <f t="shared" ca="1" si="24"/>
        <v>Cover crop cs7.5%Cover crop ss 7.1%</v>
      </c>
      <c r="CG146" s="609" t="str">
        <f t="shared" ca="1" si="24"/>
        <v>Cover crop cs7.5%Cover crop ss 7.1%</v>
      </c>
      <c r="CH146" s="609" t="str">
        <f t="shared" ca="1" si="24"/>
        <v/>
      </c>
      <c r="CI146" s="609" t="str">
        <f t="shared" ca="1" si="24"/>
        <v/>
      </c>
      <c r="CJ146" s="609" t="str">
        <f t="shared" ca="1" si="24"/>
        <v/>
      </c>
      <c r="CK146" s="609" t="str">
        <f t="shared" ca="1" si="24"/>
        <v>Cover crop cs7.5%Cover crop ss 7.1%</v>
      </c>
      <c r="CL146" s="609" t="str">
        <f t="shared" ca="1" si="24"/>
        <v>Cover crop cs7.5%Cover crop ss 7.1%</v>
      </c>
      <c r="CM146" s="609" t="str">
        <f t="shared" ca="1" si="24"/>
        <v>Cover crop cs7.5%Cover crop ss 7.1%</v>
      </c>
      <c r="CN146" s="609" t="str">
        <f t="shared" ca="1" si="24"/>
        <v/>
      </c>
      <c r="CO146" s="609" t="str">
        <f t="shared" ca="1" si="24"/>
        <v/>
      </c>
      <c r="CP146" s="609" t="str">
        <f t="shared" ca="1" si="24"/>
        <v/>
      </c>
      <c r="CQ146" s="609" t="str">
        <f t="shared" ca="1" si="24"/>
        <v>Cover crop cs7.5%Cover crop ss 7.1%</v>
      </c>
      <c r="CR146" s="609" t="str">
        <f t="shared" ca="1" si="24"/>
        <v>Cover crop cs7.5%Cover crop ss 7.1%</v>
      </c>
      <c r="CS146" s="609" t="str">
        <f t="shared" ca="1" si="24"/>
        <v>Cover crop cs7.5%Cover crop ss 7.1%</v>
      </c>
      <c r="CT146" s="609" t="str">
        <f t="shared" ca="1" si="24"/>
        <v/>
      </c>
      <c r="CU146" s="609" t="str">
        <f t="shared" ca="1" si="24"/>
        <v/>
      </c>
      <c r="CV146" s="609" t="str">
        <f t="shared" ca="1" si="24"/>
        <v>Cover crop cs7.5%Cover crop ss 7.1%</v>
      </c>
      <c r="CW146" s="609" t="str">
        <f t="shared" ca="1" si="24"/>
        <v/>
      </c>
      <c r="CX146" s="609" t="str">
        <f t="shared" ca="1" si="24"/>
        <v/>
      </c>
      <c r="CY146" s="609" t="str">
        <f t="shared" ca="1" si="24"/>
        <v/>
      </c>
      <c r="CZ146" s="609" t="str">
        <f t="shared" ca="1" si="24"/>
        <v>Cover crop cs7.5%Cover crop ss 7.1%</v>
      </c>
      <c r="DA146" s="609" t="str">
        <f t="shared" ca="1" si="24"/>
        <v/>
      </c>
      <c r="DB146" s="609" t="str">
        <f t="shared" ca="1" si="24"/>
        <v/>
      </c>
      <c r="DC146" s="609" t="str">
        <f t="shared" ca="1" si="24"/>
        <v/>
      </c>
      <c r="DD146" s="609" t="str">
        <f t="shared" ca="1" si="24"/>
        <v>Cover crop cs7.5%Cover crop ss 7.1%</v>
      </c>
      <c r="DE146" s="609" t="str">
        <f t="shared" ca="1" si="24"/>
        <v>Cover crop cs7.5%Cover crop ss 7.1%</v>
      </c>
      <c r="DF146" s="609" t="str">
        <f t="shared" ca="1" si="24"/>
        <v>Cover crop cs7.5%Cover crop ss 7.1%</v>
      </c>
      <c r="DG146" s="609" t="str">
        <f t="shared" ca="1" si="24"/>
        <v/>
      </c>
      <c r="DH146" s="609" t="str">
        <f t="shared" ca="1" si="24"/>
        <v/>
      </c>
      <c r="DI146" s="609" t="str">
        <f t="shared" ca="1" si="24"/>
        <v/>
      </c>
      <c r="DJ146" s="609" t="str">
        <f t="shared" ca="1" si="24"/>
        <v>Cover crop cs7.5%Cover crop ss 7.1%</v>
      </c>
      <c r="DK146" s="609" t="str">
        <f t="shared" ca="1" si="24"/>
        <v/>
      </c>
      <c r="DL146" s="609" t="str">
        <f t="shared" ca="1" si="24"/>
        <v/>
      </c>
      <c r="DM146" s="609" t="str">
        <f t="shared" ca="1" si="24"/>
        <v/>
      </c>
      <c r="DN146" s="609" t="str">
        <f t="shared" ca="1" si="24"/>
        <v>Cover crop cs7.5%Cover crop ss 7.1%</v>
      </c>
      <c r="DO146" s="609" t="str">
        <f t="shared" ca="1" si="24"/>
        <v>Cover crop cs7.5%Cover crop ss 7.1%</v>
      </c>
      <c r="DP146" s="609" t="str">
        <f t="shared" ca="1" si="24"/>
        <v>Cover crop cs7.5%Cover crop ss 7.1%</v>
      </c>
      <c r="DQ146" s="609" t="str">
        <f t="shared" ca="1" si="24"/>
        <v/>
      </c>
      <c r="DR146" s="609" t="str">
        <f t="shared" ca="1" si="24"/>
        <v/>
      </c>
      <c r="DS146" s="609" t="str">
        <f t="shared" ca="1" si="24"/>
        <v/>
      </c>
      <c r="DT146" s="609" t="str">
        <f t="shared" ca="1" si="24"/>
        <v>Cover crop cs7.5%Cover crop ss 7.1%</v>
      </c>
      <c r="DU146" s="609" t="str">
        <f t="shared" ca="1" si="24"/>
        <v>Cover crop cs7.5%Cover crop ss 7.1%</v>
      </c>
      <c r="DV146" s="609" t="str">
        <f t="shared" ca="1" si="24"/>
        <v>Cover crop cs7.5%Cover crop ss 7.1%</v>
      </c>
      <c r="DW146" s="609" t="str">
        <f t="shared" ca="1" si="24"/>
        <v/>
      </c>
      <c r="DX146" s="609" t="str">
        <f t="shared" ca="1" si="24"/>
        <v/>
      </c>
      <c r="DY146" s="609" t="str">
        <f t="shared" ca="1" si="24"/>
        <v/>
      </c>
      <c r="DZ146" s="609" t="str">
        <f t="shared" ca="1" si="24"/>
        <v>Cover crop cs7.5%Cover crop ss 7.1%</v>
      </c>
      <c r="EA146" s="609" t="str">
        <f t="shared" ca="1" si="24"/>
        <v>Cover crop cs7.5%Cover crop ss 7.1%</v>
      </c>
      <c r="EB146" s="609" t="str">
        <f t="shared" ca="1" si="24"/>
        <v>Cover crop cs7.5%Cover crop ss 7.1%</v>
      </c>
      <c r="EC146" s="609" t="str">
        <f t="shared" ca="1" si="24"/>
        <v/>
      </c>
      <c r="ED146" s="609" t="str">
        <f t="shared" ca="1" si="24"/>
        <v>Cover crop cs7.5%Cover crop ss 7.1%</v>
      </c>
      <c r="EE146" s="609" t="str">
        <f t="shared" ca="1" si="24"/>
        <v/>
      </c>
      <c r="EF146" s="609" t="str">
        <f t="shared" ca="1" si="24"/>
        <v/>
      </c>
      <c r="EG146" s="609" t="str">
        <f t="shared" ca="1" si="24"/>
        <v/>
      </c>
      <c r="EH146" s="609" t="str">
        <f t="shared" ca="1" si="24"/>
        <v>Cover crop cs7.5%Cover crop ss 7.1%</v>
      </c>
      <c r="EI146" s="609" t="str">
        <f t="shared" ca="1" si="24"/>
        <v>Cover crop cs7.5%Cover crop ss 7.1%</v>
      </c>
      <c r="EJ146" s="609" t="str">
        <f t="shared" ca="1" si="24"/>
        <v>Cover crop cs7.5%Cover crop ss 7.1%</v>
      </c>
      <c r="EK146" s="609" t="str">
        <f t="shared" ca="1" si="24"/>
        <v/>
      </c>
      <c r="EL146" s="609" t="str">
        <f t="shared" ca="1" si="24"/>
        <v/>
      </c>
      <c r="EM146" s="609" t="str">
        <f t="shared" ca="1" si="24"/>
        <v/>
      </c>
      <c r="EN146" s="609" t="str">
        <f t="shared" ca="1" si="24"/>
        <v>Cover crop cs7.5%Cover crop ss 7.1%</v>
      </c>
      <c r="EO146" s="609" t="str">
        <f t="shared" ca="1" si="24"/>
        <v>Cover crop cs7.5%Cover crop ss 7.1%</v>
      </c>
      <c r="EP146" s="609" t="str">
        <f t="shared" ref="EP146:HA146" ca="1" si="25">IFERROR(INDEX($J$152:$J$159,EP156)&amp;""&amp;IF(INDEX($K$152:$K$159,EP156)&lt;0.1,FIXED(INDEX($K$152:$K$159,EP156)*100,1),FIXED(INDEX($K$152:$K$159,EP156)*100,0))&amp;"%","")&amp;""&amp;IFERROR(OFFSET(INDEX($J$152:$J$159,EP156),0,2)&amp;" "&amp;IF(INDEX($M$152:$M$159,EP156)&lt;0.1,FIXED(INDEX($M$152:$M$159,EP156)*100,1),FIXED(INDEX($M$152:$M$159,EP156)*100,0))&amp;"%","")</f>
        <v>Cover crop cs7.5%Cover crop ss 7.1%</v>
      </c>
      <c r="EQ146" s="609" t="str">
        <f t="shared" ca="1" si="25"/>
        <v/>
      </c>
      <c r="ER146" s="609" t="str">
        <f t="shared" ca="1" si="25"/>
        <v/>
      </c>
      <c r="ES146" s="609" t="str">
        <f t="shared" ca="1" si="25"/>
        <v/>
      </c>
      <c r="ET146" s="609" t="str">
        <f t="shared" ca="1" si="25"/>
        <v>Cover crop cs7.5%Cover crop ss 7.1%</v>
      </c>
      <c r="EU146" s="609" t="str">
        <f t="shared" ca="1" si="25"/>
        <v>Cover crop cs7.5%Cover crop ss 7.1%</v>
      </c>
      <c r="EV146" s="609" t="str">
        <f t="shared" ca="1" si="25"/>
        <v>Cover crop cs7.5%Cover crop ss 7.1%</v>
      </c>
      <c r="EW146" s="609" t="str">
        <f t="shared" ca="1" si="25"/>
        <v/>
      </c>
      <c r="EX146" s="609" t="str">
        <f t="shared" ca="1" si="25"/>
        <v>Cover crop cs7.5%Cover crop ss 7.1%</v>
      </c>
      <c r="EY146" s="609" t="str">
        <f t="shared" ca="1" si="25"/>
        <v>Cover crop cs7.5%Cover crop ss 7.1%</v>
      </c>
      <c r="EZ146" s="609" t="str">
        <f t="shared" ca="1" si="25"/>
        <v>Cover crop cs7.5%Cover crop ss 7.1%</v>
      </c>
      <c r="FA146" s="609" t="str">
        <f t="shared" ca="1" si="25"/>
        <v/>
      </c>
      <c r="FB146" s="609" t="str">
        <f t="shared" ca="1" si="25"/>
        <v/>
      </c>
      <c r="FC146" s="609" t="str">
        <f t="shared" ca="1" si="25"/>
        <v/>
      </c>
      <c r="FD146" s="609" t="str">
        <f t="shared" ca="1" si="25"/>
        <v>Cover crop cs7.5%Cover crop ss 7.1%</v>
      </c>
      <c r="FE146" s="609" t="str">
        <f t="shared" ca="1" si="25"/>
        <v>Cover crop cs7.5%Cover crop ss 7.1%</v>
      </c>
      <c r="FF146" s="609" t="str">
        <f t="shared" ca="1" si="25"/>
        <v>Cover crop cs7.5%Cover crop ss 7.1%</v>
      </c>
      <c r="FG146" s="609" t="str">
        <f t="shared" ca="1" si="25"/>
        <v/>
      </c>
      <c r="FH146" s="609" t="str">
        <f t="shared" ca="1" si="25"/>
        <v>Cover crop cs7.5%Cover crop ss 7.1%</v>
      </c>
      <c r="FI146" s="609" t="str">
        <f t="shared" ca="1" si="25"/>
        <v>Cover crop cs7.5%Cover crop ss 7.1%</v>
      </c>
      <c r="FJ146" s="609" t="str">
        <f t="shared" ca="1" si="25"/>
        <v>Cover crop cs7.5%Cover crop ss 7.1%</v>
      </c>
      <c r="FK146" s="609" t="str">
        <f t="shared" ca="1" si="25"/>
        <v/>
      </c>
      <c r="FL146" s="609" t="str">
        <f t="shared" ca="1" si="25"/>
        <v>Cover crop cs7.5%Cover crop ss 7.1%</v>
      </c>
      <c r="FM146" s="609" t="str">
        <f t="shared" ca="1" si="25"/>
        <v>Cover crop cs7.5%Cover crop ss 7.1%</v>
      </c>
      <c r="FN146" s="609" t="str">
        <f t="shared" ca="1" si="25"/>
        <v/>
      </c>
      <c r="FO146" s="609" t="str">
        <f t="shared" ca="1" si="25"/>
        <v/>
      </c>
      <c r="FP146" s="609" t="str">
        <f t="shared" ca="1" si="25"/>
        <v/>
      </c>
      <c r="FQ146" s="609" t="str">
        <f t="shared" ca="1" si="25"/>
        <v>Cover crop cs7.5%Cover crop ss 7.1%</v>
      </c>
      <c r="FR146" s="609" t="str">
        <f t="shared" ca="1" si="25"/>
        <v>Cover crop cs7.5%Cover crop ss 7.1%</v>
      </c>
      <c r="FS146" s="609" t="str">
        <f t="shared" ca="1" si="25"/>
        <v>Cover crop cs7.5%Cover crop ss 7.1%</v>
      </c>
      <c r="FT146" s="609" t="str">
        <f t="shared" ca="1" si="25"/>
        <v/>
      </c>
      <c r="FU146" s="609" t="str">
        <f t="shared" ca="1" si="25"/>
        <v/>
      </c>
      <c r="FV146" s="609" t="str">
        <f t="shared" ca="1" si="25"/>
        <v/>
      </c>
      <c r="FW146" s="609" t="str">
        <f t="shared" ca="1" si="25"/>
        <v>Cover crop cs7.5%Cover crop ss 7.1%</v>
      </c>
      <c r="FX146" s="609" t="str">
        <f t="shared" ca="1" si="25"/>
        <v>Cover crop cs7.5%Cover crop ss 7.1%</v>
      </c>
      <c r="FY146" s="609" t="str">
        <f t="shared" ca="1" si="25"/>
        <v>Cover crop cs7.5%Cover crop ss 7.1%</v>
      </c>
      <c r="FZ146" s="609" t="str">
        <f t="shared" ca="1" si="25"/>
        <v/>
      </c>
      <c r="GA146" s="609" t="str">
        <f t="shared" ca="1" si="25"/>
        <v/>
      </c>
      <c r="GB146" s="609" t="str">
        <f t="shared" ca="1" si="25"/>
        <v/>
      </c>
      <c r="GC146" s="609" t="str">
        <f t="shared" ca="1" si="25"/>
        <v>Cover crop cs7.5%Cover crop ss 7.1%</v>
      </c>
      <c r="GD146" s="609" t="str">
        <f t="shared" ca="1" si="25"/>
        <v>Cover crop cs7.5%Cover crop ss 7.1%</v>
      </c>
      <c r="GE146" s="609" t="str">
        <f t="shared" ca="1" si="25"/>
        <v>Cover crop cs7.5%Cover crop ss 7.1%</v>
      </c>
      <c r="GF146" s="609" t="str">
        <f t="shared" ca="1" si="25"/>
        <v/>
      </c>
      <c r="GG146" s="609" t="str">
        <f t="shared" ca="1" si="25"/>
        <v>Cover crop cs7.5%Cover crop ss 7.1%</v>
      </c>
      <c r="GH146" s="609" t="str">
        <f t="shared" ca="1" si="25"/>
        <v>Cover crop cs7.5%Cover crop ss 7.1%</v>
      </c>
      <c r="GI146" s="609" t="str">
        <f t="shared" ca="1" si="25"/>
        <v>Cover crop cs7.5%Cover crop ss 7.1%</v>
      </c>
      <c r="GJ146" s="609" t="str">
        <f t="shared" ca="1" si="25"/>
        <v/>
      </c>
      <c r="GK146" s="609" t="str">
        <f t="shared" ca="1" si="25"/>
        <v/>
      </c>
      <c r="GL146" s="609" t="str">
        <f t="shared" ca="1" si="25"/>
        <v/>
      </c>
      <c r="GM146" s="609" t="str">
        <f t="shared" ca="1" si="25"/>
        <v>Cover crop cs7.5%Cover crop ss 7.1%</v>
      </c>
      <c r="GN146" s="609" t="str">
        <f t="shared" ca="1" si="25"/>
        <v>Cover crop cs7.5%Cover crop ss 7.1%</v>
      </c>
      <c r="GO146" s="609" t="str">
        <f t="shared" ca="1" si="25"/>
        <v>Cover crop cs7.5%Cover crop ss 7.1%</v>
      </c>
      <c r="GP146" s="609" t="str">
        <f t="shared" ca="1" si="25"/>
        <v/>
      </c>
      <c r="GQ146" s="609" t="str">
        <f t="shared" ca="1" si="25"/>
        <v>Cover crop cs7.5%Cover crop ss 7.1%</v>
      </c>
      <c r="GR146" s="609" t="str">
        <f t="shared" ca="1" si="25"/>
        <v>Cover crop cs7.5%Cover crop ss 7.1%</v>
      </c>
      <c r="GS146" s="609" t="str">
        <f t="shared" ca="1" si="25"/>
        <v>Cover crop cs7.5%Cover crop ss 7.1%</v>
      </c>
      <c r="GT146" s="609" t="str">
        <f t="shared" ca="1" si="25"/>
        <v/>
      </c>
      <c r="GU146" s="609" t="str">
        <f t="shared" ca="1" si="25"/>
        <v>Cover crop cs7.5%Cover crop ss 7.1%</v>
      </c>
      <c r="GV146" s="609" t="str">
        <f t="shared" ca="1" si="25"/>
        <v>Cover crop cs7.5%Cover crop ss 7.1%</v>
      </c>
      <c r="GW146" s="609" t="str">
        <f t="shared" ca="1" si="25"/>
        <v>Cover crop cs7.5%Cover crop ss 7.1%</v>
      </c>
      <c r="GX146" s="609" t="str">
        <f t="shared" ca="1" si="25"/>
        <v>Cover crop cs7.5%Cover crop ss 7.1%</v>
      </c>
      <c r="GY146" s="609" t="str">
        <f t="shared" ca="1" si="25"/>
        <v/>
      </c>
      <c r="GZ146" s="609" t="str">
        <f t="shared" ca="1" si="25"/>
        <v/>
      </c>
      <c r="HA146" s="609" t="str">
        <f t="shared" ca="1" si="25"/>
        <v/>
      </c>
      <c r="HB146" s="609" t="str">
        <f t="shared" ref="HB146:IY146" ca="1" si="26">IFERROR(INDEX($J$152:$J$159,HB156)&amp;""&amp;IF(INDEX($K$152:$K$159,HB156)&lt;0.1,FIXED(INDEX($K$152:$K$159,HB156)*100,1),FIXED(INDEX($K$152:$K$159,HB156)*100,0))&amp;"%","")&amp;""&amp;IFERROR(OFFSET(INDEX($J$152:$J$159,HB156),0,2)&amp;" "&amp;IF(INDEX($M$152:$M$159,HB156)&lt;0.1,FIXED(INDEX($M$152:$M$159,HB156)*100,1),FIXED(INDEX($M$152:$M$159,HB156)*100,0))&amp;"%","")</f>
        <v>Cover crop cs7.5%Cover crop ss 7.1%</v>
      </c>
      <c r="HC146" s="609" t="str">
        <f t="shared" ca="1" si="26"/>
        <v>Cover crop cs7.5%Cover crop ss 7.1%</v>
      </c>
      <c r="HD146" s="609" t="str">
        <f t="shared" ca="1" si="26"/>
        <v>Cover crop cs7.5%Cover crop ss 7.1%</v>
      </c>
      <c r="HE146" s="609" t="str">
        <f t="shared" ca="1" si="26"/>
        <v/>
      </c>
      <c r="HF146" s="609" t="str">
        <f t="shared" ca="1" si="26"/>
        <v>Cover crop cs7.5%Cover crop ss 7.1%</v>
      </c>
      <c r="HG146" s="609" t="str">
        <f t="shared" ca="1" si="26"/>
        <v>Cover crop cs7.5%Cover crop ss 7.1%</v>
      </c>
      <c r="HH146" s="609" t="str">
        <f t="shared" ca="1" si="26"/>
        <v>Cover crop cs7.5%Cover crop ss 7.1%</v>
      </c>
      <c r="HI146" s="609" t="str">
        <f t="shared" ca="1" si="26"/>
        <v/>
      </c>
      <c r="HJ146" s="609" t="str">
        <f t="shared" ca="1" si="26"/>
        <v>Cover crop cs7.5%Cover crop ss 7.1%</v>
      </c>
      <c r="HK146" s="609" t="str">
        <f t="shared" ca="1" si="26"/>
        <v>Cover crop cs7.5%Cover crop ss 7.1%</v>
      </c>
      <c r="HL146" s="609" t="str">
        <f t="shared" ca="1" si="26"/>
        <v>Cover crop cs7.5%Cover crop ss 7.1%</v>
      </c>
      <c r="HM146" s="609" t="str">
        <f t="shared" ca="1" si="26"/>
        <v>Cover crop cs7.5%Cover crop ss 7.1%</v>
      </c>
      <c r="HN146" s="609" t="str">
        <f t="shared" ca="1" si="26"/>
        <v/>
      </c>
      <c r="HO146" s="609" t="str">
        <f t="shared" ca="1" si="26"/>
        <v>Cover crop cs7.5%Cover crop ss 7.1%</v>
      </c>
      <c r="HP146" s="609" t="str">
        <f t="shared" ca="1" si="26"/>
        <v>Cover crop cs7.5%Cover crop ss 7.1%</v>
      </c>
      <c r="HQ146" s="609" t="str">
        <f t="shared" ca="1" si="26"/>
        <v>Cover crop cs7.5%Cover crop ss 7.1%</v>
      </c>
      <c r="HR146" s="609" t="str">
        <f t="shared" ca="1" si="26"/>
        <v>Cover crop cs7.5%Cover crop ss 7.1%</v>
      </c>
      <c r="HS146" s="609" t="str">
        <f t="shared" ca="1" si="26"/>
        <v>Cover crop cs7.5%Cover crop ss 7.1%</v>
      </c>
      <c r="HT146" s="609" t="str">
        <f t="shared" ca="1" si="26"/>
        <v/>
      </c>
      <c r="HU146" s="609" t="str">
        <f t="shared" ca="1" si="26"/>
        <v/>
      </c>
      <c r="HV146" s="609" t="str">
        <f t="shared" ca="1" si="26"/>
        <v/>
      </c>
      <c r="HW146" s="609" t="str">
        <f t="shared" ca="1" si="26"/>
        <v>Cover crop cs7.5%Cover crop ss 7.1%</v>
      </c>
      <c r="HX146" s="609" t="str">
        <f t="shared" ca="1" si="26"/>
        <v>Cover crop cs7.5%Cover crop ss 7.1%</v>
      </c>
      <c r="HY146" s="609" t="str">
        <f t="shared" ca="1" si="26"/>
        <v>Cover crop cs7.5%Cover crop ss 7.1%</v>
      </c>
      <c r="HZ146" s="609" t="str">
        <f t="shared" ca="1" si="26"/>
        <v/>
      </c>
      <c r="IA146" s="609" t="str">
        <f t="shared" ca="1" si="26"/>
        <v>Cover crop cs7.5%Cover crop ss 7.1%</v>
      </c>
      <c r="IB146" s="609" t="str">
        <f t="shared" ca="1" si="26"/>
        <v>Cover crop cs7.5%Cover crop ss 7.1%</v>
      </c>
      <c r="IC146" s="609" t="str">
        <f t="shared" ca="1" si="26"/>
        <v>Cover crop cs7.5%Cover crop ss 7.1%</v>
      </c>
      <c r="ID146" s="609" t="str">
        <f t="shared" ca="1" si="26"/>
        <v/>
      </c>
      <c r="IE146" s="609" t="str">
        <f t="shared" ca="1" si="26"/>
        <v>Cover crop cs7.5%Cover crop ss 7.1%</v>
      </c>
      <c r="IF146" s="609" t="str">
        <f t="shared" ca="1" si="26"/>
        <v>Cover crop cs7.5%Cover crop ss 7.1%</v>
      </c>
      <c r="IG146" s="609" t="str">
        <f t="shared" ca="1" si="26"/>
        <v>Cover crop cs7.5%Cover crop ss 7.1%</v>
      </c>
      <c r="IH146" s="609" t="str">
        <f t="shared" ca="1" si="26"/>
        <v>Cover crop cs7.5%Cover crop ss 7.1%</v>
      </c>
      <c r="II146" s="609" t="str">
        <f t="shared" ca="1" si="26"/>
        <v/>
      </c>
      <c r="IJ146" s="609" t="str">
        <f t="shared" ca="1" si="26"/>
        <v>Cover crop cs7.5%Cover crop ss 7.1%</v>
      </c>
      <c r="IK146" s="609" t="str">
        <f t="shared" ca="1" si="26"/>
        <v>Cover crop cs7.5%Cover crop ss 7.1%</v>
      </c>
      <c r="IL146" s="609" t="str">
        <f t="shared" ca="1" si="26"/>
        <v>Cover crop cs7.5%Cover crop ss 7.1%</v>
      </c>
      <c r="IM146" s="609" t="str">
        <f t="shared" ca="1" si="26"/>
        <v>Cover crop cs7.5%Cover crop ss 7.1%</v>
      </c>
      <c r="IN146" s="609" t="str">
        <f t="shared" ca="1" si="26"/>
        <v>Cover crop cs7.5%Cover crop ss 7.1%</v>
      </c>
      <c r="IO146" s="609" t="str">
        <f t="shared" ca="1" si="26"/>
        <v/>
      </c>
      <c r="IP146" s="609" t="str">
        <f t="shared" ca="1" si="26"/>
        <v>Cover crop cs7.5%Cover crop ss 7.1%</v>
      </c>
      <c r="IQ146" s="609" t="str">
        <f t="shared" ca="1" si="26"/>
        <v>Cover crop cs7.5%Cover crop ss 7.1%</v>
      </c>
      <c r="IR146" s="609" t="str">
        <f t="shared" ca="1" si="26"/>
        <v>Cover crop cs7.5%Cover crop ss 7.1%</v>
      </c>
      <c r="IS146" s="609" t="str">
        <f t="shared" ca="1" si="26"/>
        <v>Cover crop cs7.5%Cover crop ss 7.1%</v>
      </c>
      <c r="IT146" s="609" t="str">
        <f t="shared" ca="1" si="26"/>
        <v>Cover crop cs7.5%Cover crop ss 7.1%</v>
      </c>
      <c r="IU146" s="609" t="str">
        <f t="shared" ca="1" si="26"/>
        <v>Cover crop cs7.5%Cover crop ss 7.1%</v>
      </c>
      <c r="IV146" s="609" t="str">
        <f t="shared" ca="1" si="26"/>
        <v/>
      </c>
      <c r="IW146" s="609" t="str">
        <f t="shared" ca="1" si="26"/>
        <v>Cover crop cs7.5%Cover crop ss 7.1%</v>
      </c>
      <c r="IX146" s="609" t="str">
        <f t="shared" ca="1" si="26"/>
        <v>Cover crop cs7.5%Cover crop ss 7.1%</v>
      </c>
      <c r="IY146" s="609" t="str">
        <f t="shared" ca="1" si="26"/>
        <v>Cover crop cs7.5%Cover crop ss 7.1%</v>
      </c>
    </row>
    <row r="147" spans="1:259" x14ac:dyDescent="0.25">
      <c r="A147" s="209"/>
      <c r="B147" s="209"/>
      <c r="C147" s="209"/>
      <c r="D147" s="209"/>
      <c r="E147" s="209"/>
      <c r="F147" s="209"/>
      <c r="G147" s="209"/>
      <c r="H147" s="209"/>
      <c r="I147" s="209"/>
      <c r="J147" s="209"/>
      <c r="K147" s="209"/>
      <c r="L147" s="209"/>
      <c r="M147" s="209"/>
      <c r="N147" s="666" t="str">
        <f>IFERROR(INDEX($J$152:$J$159,N157)&amp;" "&amp;IF(INDEX($K$152:$K$159,N157)&lt;0.1,FIXED(INDEX($K$152:$K$159,N157)*100,1),FIXED(INDEX($K$152:$K$159,N157)*100,0))&amp;"%","")</f>
        <v>Use reduced tillage 13%</v>
      </c>
      <c r="O147" s="671" t="str">
        <f t="shared" ref="O147:AT147" si="27">IFERROR(INDEX($J$152:$J$159,O157)&amp;" "&amp;IF(INDEX($K$152:$K$159,O157)&lt;0.1,FIXED(INDEX($K$152:$K$159,O157)*100,1),FIXED(INDEX($K$152:$K$159,O157)*100,0))&amp;"%","")</f>
        <v/>
      </c>
      <c r="P147" s="671" t="str">
        <f t="shared" si="27"/>
        <v/>
      </c>
      <c r="Q147" s="671" t="str">
        <f t="shared" si="27"/>
        <v/>
      </c>
      <c r="R147" s="671" t="str">
        <f t="shared" si="27"/>
        <v/>
      </c>
      <c r="S147" s="671" t="str">
        <f t="shared" si="27"/>
        <v>Use reduced tillage 13%</v>
      </c>
      <c r="T147" s="671" t="str">
        <f t="shared" si="27"/>
        <v/>
      </c>
      <c r="U147" s="671" t="str">
        <f t="shared" si="27"/>
        <v/>
      </c>
      <c r="V147" s="671" t="str">
        <f t="shared" si="27"/>
        <v/>
      </c>
      <c r="W147" s="671" t="str">
        <f t="shared" si="27"/>
        <v/>
      </c>
      <c r="X147" s="671" t="str">
        <f t="shared" si="27"/>
        <v/>
      </c>
      <c r="Y147" s="671" t="str">
        <f t="shared" si="27"/>
        <v>Use reduced tillage 13%</v>
      </c>
      <c r="Z147" s="671" t="str">
        <f t="shared" si="27"/>
        <v/>
      </c>
      <c r="AA147" s="609" t="str">
        <f t="shared" si="27"/>
        <v/>
      </c>
      <c r="AB147" s="609" t="str">
        <f t="shared" si="27"/>
        <v/>
      </c>
      <c r="AC147" s="609" t="str">
        <f t="shared" si="27"/>
        <v/>
      </c>
      <c r="AD147" s="609" t="str">
        <f t="shared" si="27"/>
        <v>Use reduced tillage 13%</v>
      </c>
      <c r="AE147" s="609" t="str">
        <f t="shared" si="27"/>
        <v/>
      </c>
      <c r="AF147" s="609" t="str">
        <f t="shared" si="27"/>
        <v/>
      </c>
      <c r="AG147" s="609" t="str">
        <f t="shared" si="27"/>
        <v/>
      </c>
      <c r="AH147" s="609" t="str">
        <f t="shared" si="27"/>
        <v>Use reduced tillage 13%</v>
      </c>
      <c r="AI147" s="609" t="str">
        <f t="shared" si="27"/>
        <v/>
      </c>
      <c r="AJ147" s="609" t="str">
        <f t="shared" si="27"/>
        <v/>
      </c>
      <c r="AK147" s="609" t="str">
        <f t="shared" si="27"/>
        <v>Use reduced tillage 13%</v>
      </c>
      <c r="AL147" s="609" t="str">
        <f t="shared" si="27"/>
        <v/>
      </c>
      <c r="AM147" s="609" t="str">
        <f t="shared" si="27"/>
        <v/>
      </c>
      <c r="AN147" s="609" t="str">
        <f t="shared" si="27"/>
        <v>Use reduced tillage 13%</v>
      </c>
      <c r="AO147" s="609" t="str">
        <f t="shared" si="27"/>
        <v>Use reduced tillage 13%</v>
      </c>
      <c r="AP147" s="609" t="str">
        <f t="shared" si="27"/>
        <v/>
      </c>
      <c r="AQ147" s="609" t="str">
        <f t="shared" si="27"/>
        <v/>
      </c>
      <c r="AR147" s="609" t="str">
        <f t="shared" si="27"/>
        <v/>
      </c>
      <c r="AS147" s="609" t="str">
        <f t="shared" si="27"/>
        <v/>
      </c>
      <c r="AT147" s="609" t="str">
        <f t="shared" si="27"/>
        <v>Use reduced tillage 13%</v>
      </c>
      <c r="AU147" s="609" t="str">
        <f t="shared" ref="AU147:BZ147" si="28">IFERROR(INDEX($J$152:$J$159,AU157)&amp;" "&amp;IF(INDEX($K$152:$K$159,AU157)&lt;0.1,FIXED(INDEX($K$152:$K$159,AU157)*100,1),FIXED(INDEX($K$152:$K$159,AU157)*100,0))&amp;"%","")</f>
        <v/>
      </c>
      <c r="AV147" s="609" t="str">
        <f t="shared" si="28"/>
        <v/>
      </c>
      <c r="AW147" s="609" t="str">
        <f t="shared" si="28"/>
        <v/>
      </c>
      <c r="AX147" s="609" t="str">
        <f t="shared" si="28"/>
        <v/>
      </c>
      <c r="AY147" s="609" t="str">
        <f t="shared" si="28"/>
        <v>Use reduced tillage 13%</v>
      </c>
      <c r="AZ147" s="609" t="str">
        <f t="shared" si="28"/>
        <v/>
      </c>
      <c r="BA147" s="609" t="str">
        <f t="shared" si="28"/>
        <v/>
      </c>
      <c r="BB147" s="609" t="str">
        <f t="shared" si="28"/>
        <v/>
      </c>
      <c r="BC147" s="609" t="str">
        <f t="shared" si="28"/>
        <v>Use reduced tillage 13%</v>
      </c>
      <c r="BD147" s="609" t="str">
        <f t="shared" si="28"/>
        <v/>
      </c>
      <c r="BE147" s="609" t="str">
        <f t="shared" si="28"/>
        <v/>
      </c>
      <c r="BF147" s="609" t="str">
        <f t="shared" si="28"/>
        <v>Use reduced tillage 13%</v>
      </c>
      <c r="BG147" s="609" t="str">
        <f t="shared" si="28"/>
        <v/>
      </c>
      <c r="BH147" s="609" t="str">
        <f t="shared" si="28"/>
        <v/>
      </c>
      <c r="BI147" s="609" t="str">
        <f t="shared" si="28"/>
        <v>Use reduced tillage 13%</v>
      </c>
      <c r="BJ147" s="609" t="str">
        <f t="shared" si="28"/>
        <v>Use reduced tillage 13%</v>
      </c>
      <c r="BK147" s="609" t="str">
        <f t="shared" si="28"/>
        <v/>
      </c>
      <c r="BL147" s="609" t="str">
        <f t="shared" si="28"/>
        <v/>
      </c>
      <c r="BM147" s="609" t="str">
        <f t="shared" si="28"/>
        <v/>
      </c>
      <c r="BN147" s="609" t="str">
        <f t="shared" si="28"/>
        <v>Use reduced tillage 13%</v>
      </c>
      <c r="BO147" s="609" t="str">
        <f t="shared" si="28"/>
        <v/>
      </c>
      <c r="BP147" s="609" t="str">
        <f t="shared" si="28"/>
        <v/>
      </c>
      <c r="BQ147" s="609" t="str">
        <f t="shared" si="28"/>
        <v/>
      </c>
      <c r="BR147" s="609" t="str">
        <f t="shared" si="28"/>
        <v>Use reduced tillage 13%</v>
      </c>
      <c r="BS147" s="609" t="str">
        <f t="shared" si="28"/>
        <v/>
      </c>
      <c r="BT147" s="609" t="str">
        <f t="shared" si="28"/>
        <v/>
      </c>
      <c r="BU147" s="609" t="str">
        <f t="shared" si="28"/>
        <v>Use reduced tillage 13%</v>
      </c>
      <c r="BV147" s="609" t="str">
        <f t="shared" si="28"/>
        <v/>
      </c>
      <c r="BW147" s="609" t="str">
        <f t="shared" si="28"/>
        <v/>
      </c>
      <c r="BX147" s="609" t="str">
        <f t="shared" si="28"/>
        <v>Use reduced tillage 13%</v>
      </c>
      <c r="BY147" s="609" t="str">
        <f t="shared" si="28"/>
        <v>Use reduced tillage 13%</v>
      </c>
      <c r="BZ147" s="609" t="str">
        <f t="shared" si="28"/>
        <v/>
      </c>
      <c r="CA147" s="609" t="str">
        <f t="shared" ref="CA147:DF147" si="29">IFERROR(INDEX($J$152:$J$159,CA157)&amp;" "&amp;IF(INDEX($K$152:$K$159,CA157)&lt;0.1,FIXED(INDEX($K$152:$K$159,CA157)*100,1),FIXED(INDEX($K$152:$K$159,CA157)*100,0))&amp;"%","")</f>
        <v/>
      </c>
      <c r="CB147" s="609" t="str">
        <f t="shared" si="29"/>
        <v>Use reduced tillage 13%</v>
      </c>
      <c r="CC147" s="609" t="str">
        <f t="shared" si="29"/>
        <v/>
      </c>
      <c r="CD147" s="609" t="str">
        <f t="shared" si="29"/>
        <v/>
      </c>
      <c r="CE147" s="609" t="str">
        <f t="shared" si="29"/>
        <v>Use reduced tillage 13%</v>
      </c>
      <c r="CF147" s="609" t="str">
        <f t="shared" si="29"/>
        <v/>
      </c>
      <c r="CG147" s="609" t="str">
        <f t="shared" si="29"/>
        <v/>
      </c>
      <c r="CH147" s="609" t="str">
        <f t="shared" si="29"/>
        <v>Use reduced tillage 13%</v>
      </c>
      <c r="CI147" s="609" t="str">
        <f t="shared" si="29"/>
        <v>Use reduced tillage 13%</v>
      </c>
      <c r="CJ147" s="609" t="str">
        <f t="shared" si="29"/>
        <v/>
      </c>
      <c r="CK147" s="609" t="str">
        <f t="shared" si="29"/>
        <v>Use reduced tillage 13%</v>
      </c>
      <c r="CL147" s="609" t="str">
        <f t="shared" si="29"/>
        <v/>
      </c>
      <c r="CM147" s="609" t="str">
        <f t="shared" si="29"/>
        <v/>
      </c>
      <c r="CN147" s="609" t="str">
        <f t="shared" si="29"/>
        <v>Use reduced tillage 13%</v>
      </c>
      <c r="CO147" s="609" t="str">
        <f t="shared" si="29"/>
        <v>Use reduced tillage 13%</v>
      </c>
      <c r="CP147" s="609" t="str">
        <f t="shared" si="29"/>
        <v/>
      </c>
      <c r="CQ147" s="609" t="str">
        <f t="shared" si="29"/>
        <v>Use reduced tillage 13%</v>
      </c>
      <c r="CR147" s="609" t="str">
        <f t="shared" si="29"/>
        <v>Use reduced tillage 13%</v>
      </c>
      <c r="CS147" s="609" t="str">
        <f t="shared" si="29"/>
        <v/>
      </c>
      <c r="CT147" s="609" t="str">
        <f t="shared" si="29"/>
        <v>Use reduced tillage 13%</v>
      </c>
      <c r="CU147" s="609" t="str">
        <f t="shared" si="29"/>
        <v/>
      </c>
      <c r="CV147" s="609" t="str">
        <f t="shared" si="29"/>
        <v/>
      </c>
      <c r="CW147" s="609" t="str">
        <f t="shared" si="29"/>
        <v>Use reduced tillage 13%</v>
      </c>
      <c r="CX147" s="609" t="str">
        <f t="shared" si="29"/>
        <v/>
      </c>
      <c r="CY147" s="609" t="str">
        <f t="shared" si="29"/>
        <v/>
      </c>
      <c r="CZ147" s="609" t="str">
        <f t="shared" si="29"/>
        <v/>
      </c>
      <c r="DA147" s="609" t="str">
        <f t="shared" si="29"/>
        <v>Use reduced tillage 13%</v>
      </c>
      <c r="DB147" s="609" t="str">
        <f t="shared" si="29"/>
        <v/>
      </c>
      <c r="DC147" s="609" t="str">
        <f t="shared" si="29"/>
        <v/>
      </c>
      <c r="DD147" s="609" t="str">
        <f t="shared" si="29"/>
        <v>Use reduced tillage 13%</v>
      </c>
      <c r="DE147" s="609" t="str">
        <f t="shared" si="29"/>
        <v/>
      </c>
      <c r="DF147" s="609" t="str">
        <f t="shared" si="29"/>
        <v/>
      </c>
      <c r="DG147" s="609" t="str">
        <f t="shared" ref="DG147:EK147" si="30">IFERROR(INDEX($J$152:$J$159,DG157)&amp;" "&amp;IF(INDEX($K$152:$K$159,DG157)&lt;0.1,FIXED(INDEX($K$152:$K$159,DG157)*100,1),FIXED(INDEX($K$152:$K$159,DG157)*100,0))&amp;"%","")</f>
        <v>Use reduced tillage 13%</v>
      </c>
      <c r="DH147" s="609" t="str">
        <f t="shared" si="30"/>
        <v>Use reduced tillage 13%</v>
      </c>
      <c r="DI147" s="609" t="str">
        <f t="shared" si="30"/>
        <v/>
      </c>
      <c r="DJ147" s="609" t="str">
        <f t="shared" si="30"/>
        <v/>
      </c>
      <c r="DK147" s="609" t="str">
        <f t="shared" si="30"/>
        <v>Use reduced tillage 13%</v>
      </c>
      <c r="DL147" s="609" t="str">
        <f t="shared" si="30"/>
        <v/>
      </c>
      <c r="DM147" s="609" t="str">
        <f t="shared" si="30"/>
        <v/>
      </c>
      <c r="DN147" s="609" t="str">
        <f t="shared" si="30"/>
        <v>Use reduced tillage 13%</v>
      </c>
      <c r="DO147" s="609" t="str">
        <f t="shared" si="30"/>
        <v/>
      </c>
      <c r="DP147" s="609" t="str">
        <f t="shared" si="30"/>
        <v/>
      </c>
      <c r="DQ147" s="609" t="str">
        <f t="shared" si="30"/>
        <v>Use reduced tillage 13%</v>
      </c>
      <c r="DR147" s="609" t="str">
        <f t="shared" si="30"/>
        <v>Use reduced tillage 13%</v>
      </c>
      <c r="DS147" s="609" t="str">
        <f t="shared" si="30"/>
        <v/>
      </c>
      <c r="DT147" s="609" t="str">
        <f t="shared" si="30"/>
        <v>Use reduced tillage 13%</v>
      </c>
      <c r="DU147" s="609" t="str">
        <f t="shared" si="30"/>
        <v/>
      </c>
      <c r="DV147" s="609" t="str">
        <f t="shared" si="30"/>
        <v/>
      </c>
      <c r="DW147" s="609" t="str">
        <f t="shared" si="30"/>
        <v>Use reduced tillage 13%</v>
      </c>
      <c r="DX147" s="609" t="str">
        <f t="shared" si="30"/>
        <v>Use reduced tillage 13%</v>
      </c>
      <c r="DY147" s="609" t="str">
        <f t="shared" si="30"/>
        <v/>
      </c>
      <c r="DZ147" s="609" t="str">
        <f t="shared" si="30"/>
        <v>Use reduced tillage 13%</v>
      </c>
      <c r="EA147" s="609" t="str">
        <f t="shared" si="30"/>
        <v>Use reduced tillage 13%</v>
      </c>
      <c r="EB147" s="609" t="str">
        <f t="shared" si="30"/>
        <v/>
      </c>
      <c r="EC147" s="609" t="str">
        <f t="shared" si="30"/>
        <v>Use reduced tillage 13%</v>
      </c>
      <c r="ED147" s="609" t="str">
        <f t="shared" si="30"/>
        <v/>
      </c>
      <c r="EE147" s="609" t="str">
        <f t="shared" si="30"/>
        <v>Use reduced tillage 13%</v>
      </c>
      <c r="EF147" s="609" t="str">
        <f t="shared" si="30"/>
        <v/>
      </c>
      <c r="EG147" s="609" t="str">
        <f t="shared" si="30"/>
        <v/>
      </c>
      <c r="EH147" s="609" t="str">
        <f t="shared" si="30"/>
        <v>Use reduced tillage 13%</v>
      </c>
      <c r="EI147" s="609" t="str">
        <f t="shared" si="30"/>
        <v/>
      </c>
      <c r="EJ147" s="609" t="str">
        <f t="shared" si="30"/>
        <v/>
      </c>
      <c r="EK147" s="609" t="str">
        <f t="shared" si="30"/>
        <v>Use reduced tillage 13%</v>
      </c>
      <c r="EL147" s="609" t="str">
        <f t="shared" ref="EL147:GW147" si="31">IFERROR(INDEX($J$152:$J$159,EL157)&amp;" "&amp;IF(INDEX($K$152:$K$159,EL157)&lt;0.1,FIXED(INDEX($K$152:$K$159,EL157)*100,1),FIXED(INDEX($K$152:$K$159,EL157)*100,0))&amp;"%","")</f>
        <v>Use reduced tillage 13%</v>
      </c>
      <c r="EM147" s="609" t="str">
        <f t="shared" si="31"/>
        <v/>
      </c>
      <c r="EN147" s="609" t="str">
        <f t="shared" si="31"/>
        <v>Use reduced tillage 13%</v>
      </c>
      <c r="EO147" s="609" t="str">
        <f t="shared" si="31"/>
        <v/>
      </c>
      <c r="EP147" s="609" t="str">
        <f t="shared" si="31"/>
        <v/>
      </c>
      <c r="EQ147" s="609" t="str">
        <f t="shared" si="31"/>
        <v>Use reduced tillage 13%</v>
      </c>
      <c r="ER147" s="609" t="str">
        <f t="shared" si="31"/>
        <v>Use reduced tillage 13%</v>
      </c>
      <c r="ES147" s="609" t="str">
        <f t="shared" si="31"/>
        <v/>
      </c>
      <c r="ET147" s="609" t="str">
        <f t="shared" si="31"/>
        <v>Use reduced tillage 13%</v>
      </c>
      <c r="EU147" s="609" t="str">
        <f t="shared" si="31"/>
        <v>Use reduced tillage 13%</v>
      </c>
      <c r="EV147" s="609" t="str">
        <f t="shared" si="31"/>
        <v/>
      </c>
      <c r="EW147" s="609" t="str">
        <f t="shared" si="31"/>
        <v>Use reduced tillage 13%</v>
      </c>
      <c r="EX147" s="609" t="str">
        <f t="shared" si="31"/>
        <v>Use reduced tillage 13%</v>
      </c>
      <c r="EY147" s="609" t="str">
        <f t="shared" si="31"/>
        <v/>
      </c>
      <c r="EZ147" s="609" t="str">
        <f t="shared" si="31"/>
        <v/>
      </c>
      <c r="FA147" s="609" t="str">
        <f t="shared" si="31"/>
        <v>Use reduced tillage 13%</v>
      </c>
      <c r="FB147" s="609" t="str">
        <f t="shared" si="31"/>
        <v>Use reduced tillage 13%</v>
      </c>
      <c r="FC147" s="609" t="str">
        <f t="shared" si="31"/>
        <v/>
      </c>
      <c r="FD147" s="609" t="str">
        <f t="shared" si="31"/>
        <v>Use reduced tillage 13%</v>
      </c>
      <c r="FE147" s="609" t="str">
        <f t="shared" si="31"/>
        <v>Use reduced tillage 13%</v>
      </c>
      <c r="FF147" s="609" t="str">
        <f t="shared" si="31"/>
        <v/>
      </c>
      <c r="FG147" s="609" t="str">
        <f t="shared" si="31"/>
        <v>Use reduced tillage 13%</v>
      </c>
      <c r="FH147" s="609" t="str">
        <f t="shared" si="31"/>
        <v>Use reduced tillage 13%</v>
      </c>
      <c r="FI147" s="609" t="str">
        <f t="shared" si="31"/>
        <v>Use reduced tillage 13%</v>
      </c>
      <c r="FJ147" s="609" t="str">
        <f t="shared" si="31"/>
        <v/>
      </c>
      <c r="FK147" s="609" t="str">
        <f t="shared" si="31"/>
        <v>Use reduced tillage 13%</v>
      </c>
      <c r="FL147" s="609" t="str">
        <f t="shared" si="31"/>
        <v>Use reduced tillage 13%</v>
      </c>
      <c r="FM147" s="609" t="str">
        <f t="shared" si="31"/>
        <v/>
      </c>
      <c r="FN147" s="609" t="str">
        <f t="shared" si="31"/>
        <v>Use reduced tillage 13%</v>
      </c>
      <c r="FO147" s="609" t="str">
        <f t="shared" si="31"/>
        <v/>
      </c>
      <c r="FP147" s="609" t="str">
        <f t="shared" si="31"/>
        <v/>
      </c>
      <c r="FQ147" s="609" t="str">
        <f t="shared" si="31"/>
        <v>Use reduced tillage 13%</v>
      </c>
      <c r="FR147" s="609" t="str">
        <f t="shared" si="31"/>
        <v/>
      </c>
      <c r="FS147" s="609" t="str">
        <f t="shared" si="31"/>
        <v/>
      </c>
      <c r="FT147" s="609" t="str">
        <f t="shared" si="31"/>
        <v>Use reduced tillage 13%</v>
      </c>
      <c r="FU147" s="609" t="str">
        <f t="shared" si="31"/>
        <v>Use reduced tillage 13%</v>
      </c>
      <c r="FV147" s="609" t="str">
        <f t="shared" si="31"/>
        <v/>
      </c>
      <c r="FW147" s="609" t="str">
        <f t="shared" si="31"/>
        <v>Use reduced tillage 13%</v>
      </c>
      <c r="FX147" s="609" t="str">
        <f t="shared" si="31"/>
        <v/>
      </c>
      <c r="FY147" s="609" t="str">
        <f t="shared" si="31"/>
        <v/>
      </c>
      <c r="FZ147" s="609" t="str">
        <f t="shared" si="31"/>
        <v>Use reduced tillage 13%</v>
      </c>
      <c r="GA147" s="609" t="str">
        <f t="shared" si="31"/>
        <v>Use reduced tillage 13%</v>
      </c>
      <c r="GB147" s="609" t="str">
        <f t="shared" si="31"/>
        <v/>
      </c>
      <c r="GC147" s="609" t="str">
        <f t="shared" si="31"/>
        <v>Use reduced tillage 13%</v>
      </c>
      <c r="GD147" s="609" t="str">
        <f t="shared" si="31"/>
        <v>Use reduced tillage 13%</v>
      </c>
      <c r="GE147" s="609" t="str">
        <f t="shared" si="31"/>
        <v/>
      </c>
      <c r="GF147" s="609" t="str">
        <f t="shared" si="31"/>
        <v>Use reduced tillage 13%</v>
      </c>
      <c r="GG147" s="609" t="str">
        <f t="shared" si="31"/>
        <v>Use reduced tillage 13%</v>
      </c>
      <c r="GH147" s="609" t="str">
        <f t="shared" si="31"/>
        <v/>
      </c>
      <c r="GI147" s="609" t="str">
        <f t="shared" si="31"/>
        <v/>
      </c>
      <c r="GJ147" s="609" t="str">
        <f t="shared" si="31"/>
        <v>Use reduced tillage 13%</v>
      </c>
      <c r="GK147" s="609" t="str">
        <f t="shared" si="31"/>
        <v>Use reduced tillage 13%</v>
      </c>
      <c r="GL147" s="609" t="str">
        <f t="shared" si="31"/>
        <v/>
      </c>
      <c r="GM147" s="609" t="str">
        <f t="shared" si="31"/>
        <v>Use reduced tillage 13%</v>
      </c>
      <c r="GN147" s="609" t="str">
        <f t="shared" si="31"/>
        <v>Use reduced tillage 13%</v>
      </c>
      <c r="GO147" s="609" t="str">
        <f t="shared" si="31"/>
        <v/>
      </c>
      <c r="GP147" s="609" t="str">
        <f t="shared" si="31"/>
        <v>Use reduced tillage 13%</v>
      </c>
      <c r="GQ147" s="609" t="str">
        <f t="shared" si="31"/>
        <v>Use reduced tillage 13%</v>
      </c>
      <c r="GR147" s="609" t="str">
        <f t="shared" si="31"/>
        <v>Use reduced tillage 13%</v>
      </c>
      <c r="GS147" s="609" t="str">
        <f t="shared" si="31"/>
        <v/>
      </c>
      <c r="GT147" s="609" t="str">
        <f t="shared" si="31"/>
        <v>Use reduced tillage 13%</v>
      </c>
      <c r="GU147" s="609" t="str">
        <f t="shared" si="31"/>
        <v>Use reduced tillage 13%</v>
      </c>
      <c r="GV147" s="609" t="str">
        <f t="shared" si="31"/>
        <v>Use reduced tillage 13%</v>
      </c>
      <c r="GW147" s="609" t="str">
        <f t="shared" si="31"/>
        <v/>
      </c>
      <c r="GX147" s="609" t="str">
        <f t="shared" ref="GX147:IY147" si="32">IFERROR(INDEX($J$152:$J$159,GX157)&amp;" "&amp;IF(INDEX($K$152:$K$159,GX157)&lt;0.1,FIXED(INDEX($K$152:$K$159,GX157)*100,1),FIXED(INDEX($K$152:$K$159,GX157)*100,0))&amp;"%","")</f>
        <v/>
      </c>
      <c r="GY147" s="609" t="str">
        <f t="shared" si="32"/>
        <v>Use reduced tillage 13%</v>
      </c>
      <c r="GZ147" s="609" t="str">
        <f t="shared" si="32"/>
        <v>Use reduced tillage 13%</v>
      </c>
      <c r="HA147" s="609" t="str">
        <f t="shared" si="32"/>
        <v/>
      </c>
      <c r="HB147" s="609" t="str">
        <f t="shared" si="32"/>
        <v>Use reduced tillage 13%</v>
      </c>
      <c r="HC147" s="609" t="str">
        <f t="shared" si="32"/>
        <v>Use reduced tillage 13%</v>
      </c>
      <c r="HD147" s="609" t="str">
        <f t="shared" si="32"/>
        <v/>
      </c>
      <c r="HE147" s="609" t="str">
        <f t="shared" si="32"/>
        <v>Use reduced tillage 13%</v>
      </c>
      <c r="HF147" s="609" t="str">
        <f t="shared" si="32"/>
        <v>Use reduced tillage 13%</v>
      </c>
      <c r="HG147" s="609" t="str">
        <f t="shared" si="32"/>
        <v>Use reduced tillage 13%</v>
      </c>
      <c r="HH147" s="609" t="str">
        <f t="shared" si="32"/>
        <v/>
      </c>
      <c r="HI147" s="609" t="str">
        <f t="shared" si="32"/>
        <v>Use reduced tillage 13%</v>
      </c>
      <c r="HJ147" s="609" t="str">
        <f t="shared" si="32"/>
        <v>Use reduced tillage 13%</v>
      </c>
      <c r="HK147" s="609" t="str">
        <f t="shared" si="32"/>
        <v>Use reduced tillage 13%</v>
      </c>
      <c r="HL147" s="609" t="str">
        <f t="shared" si="32"/>
        <v>Use reduced tillage 13%</v>
      </c>
      <c r="HM147" s="609" t="str">
        <f t="shared" si="32"/>
        <v/>
      </c>
      <c r="HN147" s="609" t="str">
        <f t="shared" si="32"/>
        <v>Use reduced tillage 13%</v>
      </c>
      <c r="HO147" s="609" t="str">
        <f t="shared" si="32"/>
        <v>Use reduced tillage 13%</v>
      </c>
      <c r="HP147" s="609" t="str">
        <f t="shared" si="32"/>
        <v>Use reduced tillage 13%</v>
      </c>
      <c r="HQ147" s="609" t="str">
        <f t="shared" si="32"/>
        <v>Use reduced tillage 13%</v>
      </c>
      <c r="HR147" s="609" t="str">
        <f t="shared" si="32"/>
        <v/>
      </c>
      <c r="HS147" s="609" t="str">
        <f t="shared" si="32"/>
        <v/>
      </c>
      <c r="HT147" s="609" t="str">
        <f t="shared" si="32"/>
        <v>Use reduced tillage 13%</v>
      </c>
      <c r="HU147" s="609" t="str">
        <f t="shared" si="32"/>
        <v>Use reduced tillage 13%</v>
      </c>
      <c r="HV147" s="609" t="str">
        <f t="shared" si="32"/>
        <v/>
      </c>
      <c r="HW147" s="609" t="str">
        <f t="shared" si="32"/>
        <v>Use reduced tillage 13%</v>
      </c>
      <c r="HX147" s="609" t="str">
        <f t="shared" si="32"/>
        <v>Use reduced tillage 13%</v>
      </c>
      <c r="HY147" s="609" t="str">
        <f t="shared" si="32"/>
        <v/>
      </c>
      <c r="HZ147" s="609" t="str">
        <f t="shared" si="32"/>
        <v>Use reduced tillage 13%</v>
      </c>
      <c r="IA147" s="609" t="str">
        <f t="shared" si="32"/>
        <v>Use reduced tillage 13%</v>
      </c>
      <c r="IB147" s="609" t="str">
        <f t="shared" si="32"/>
        <v>Use reduced tillage 13%</v>
      </c>
      <c r="IC147" s="609" t="str">
        <f t="shared" si="32"/>
        <v/>
      </c>
      <c r="ID147" s="609" t="str">
        <f t="shared" si="32"/>
        <v>Use reduced tillage 13%</v>
      </c>
      <c r="IE147" s="609" t="str">
        <f t="shared" si="32"/>
        <v>Use reduced tillage 13%</v>
      </c>
      <c r="IF147" s="609" t="str">
        <f t="shared" si="32"/>
        <v>Use reduced tillage 13%</v>
      </c>
      <c r="IG147" s="609" t="str">
        <f t="shared" si="32"/>
        <v>Use reduced tillage 13%</v>
      </c>
      <c r="IH147" s="609" t="str">
        <f t="shared" si="32"/>
        <v/>
      </c>
      <c r="II147" s="609" t="str">
        <f t="shared" si="32"/>
        <v>Use reduced tillage 13%</v>
      </c>
      <c r="IJ147" s="609" t="str">
        <f t="shared" si="32"/>
        <v>Use reduced tillage 13%</v>
      </c>
      <c r="IK147" s="609" t="str">
        <f t="shared" si="32"/>
        <v>Use reduced tillage 13%</v>
      </c>
      <c r="IL147" s="609" t="str">
        <f t="shared" si="32"/>
        <v>Use reduced tillage 13%</v>
      </c>
      <c r="IM147" s="609" t="str">
        <f t="shared" si="32"/>
        <v>Use reduced tillage 13%</v>
      </c>
      <c r="IN147" s="609" t="str">
        <f t="shared" si="32"/>
        <v/>
      </c>
      <c r="IO147" s="609" t="str">
        <f t="shared" si="32"/>
        <v>Use reduced tillage 13%</v>
      </c>
      <c r="IP147" s="609" t="str">
        <f t="shared" si="32"/>
        <v>Use reduced tillage 13%</v>
      </c>
      <c r="IQ147" s="609" t="str">
        <f t="shared" si="32"/>
        <v>Use reduced tillage 13%</v>
      </c>
      <c r="IR147" s="609" t="str">
        <f t="shared" si="32"/>
        <v>Use reduced tillage 13%</v>
      </c>
      <c r="IS147" s="609" t="str">
        <f t="shared" si="32"/>
        <v>Use reduced tillage 13%</v>
      </c>
      <c r="IT147" s="609" t="str">
        <f t="shared" si="32"/>
        <v>Use reduced tillage 13%</v>
      </c>
      <c r="IU147" s="609" t="str">
        <f t="shared" si="32"/>
        <v/>
      </c>
      <c r="IV147" s="609" t="str">
        <f t="shared" si="32"/>
        <v>Use reduced tillage 13%</v>
      </c>
      <c r="IW147" s="609" t="str">
        <f t="shared" si="32"/>
        <v>Use reduced tillage 13%</v>
      </c>
      <c r="IX147" s="609" t="str">
        <f t="shared" si="32"/>
        <v>Use reduced tillage 13%</v>
      </c>
      <c r="IY147" s="609" t="str">
        <f t="shared" si="32"/>
        <v>Use reduced tillage 13%</v>
      </c>
    </row>
    <row r="148" spans="1:259" x14ac:dyDescent="0.25">
      <c r="A148" s="209"/>
      <c r="B148" s="209"/>
      <c r="C148" s="209"/>
      <c r="D148" s="209"/>
      <c r="E148" s="209"/>
      <c r="F148" s="209"/>
      <c r="G148" s="209"/>
      <c r="H148" s="209"/>
      <c r="I148" s="209"/>
      <c r="J148" s="209"/>
      <c r="K148" s="209"/>
      <c r="L148" s="209"/>
      <c r="M148" s="209"/>
      <c r="N148" s="666" t="str">
        <f>IFERROR(INDEX($J$152:$J$159,N158)&amp;" "&amp;IF(INDEX($K$152:$K$159,N158)&lt;0.1,FIXED(INDEX($K$152:$K$159,N158)*100,1),FIXED(INDEX($K$152:$K$159,N158)*100,0))&amp;"%","")</f>
        <v>Riparian buffers 0.8%</v>
      </c>
      <c r="O148" s="671" t="str">
        <f t="shared" ref="O148:AT148" si="33">IFERROR(INDEX($J$152:$J$159,O158)&amp;" "&amp;IF(INDEX($K$152:$K$159,O158)&lt;0.1,FIXED(INDEX($K$152:$K$159,O158)*100,1),FIXED(INDEX($K$152:$K$159,O158)*100,0))&amp;"%","")</f>
        <v/>
      </c>
      <c r="P148" s="671" t="str">
        <f t="shared" si="33"/>
        <v/>
      </c>
      <c r="Q148" s="671" t="str">
        <f t="shared" si="33"/>
        <v/>
      </c>
      <c r="R148" s="671" t="str">
        <f t="shared" si="33"/>
        <v/>
      </c>
      <c r="S148" s="671" t="str">
        <f t="shared" si="33"/>
        <v/>
      </c>
      <c r="T148" s="671" t="str">
        <f t="shared" si="33"/>
        <v>Riparian buffers 0.8%</v>
      </c>
      <c r="U148" s="671" t="str">
        <f t="shared" si="33"/>
        <v/>
      </c>
      <c r="V148" s="671" t="str">
        <f t="shared" si="33"/>
        <v/>
      </c>
      <c r="W148" s="671" t="str">
        <f t="shared" si="33"/>
        <v/>
      </c>
      <c r="X148" s="671" t="str">
        <f t="shared" si="33"/>
        <v/>
      </c>
      <c r="Y148" s="671" t="str">
        <f t="shared" si="33"/>
        <v/>
      </c>
      <c r="Z148" s="671" t="str">
        <f t="shared" si="33"/>
        <v>Riparian buffers 0.8%</v>
      </c>
      <c r="AA148" s="609" t="str">
        <f t="shared" si="33"/>
        <v/>
      </c>
      <c r="AB148" s="609" t="str">
        <f t="shared" si="33"/>
        <v/>
      </c>
      <c r="AC148" s="609" t="str">
        <f t="shared" si="33"/>
        <v/>
      </c>
      <c r="AD148" s="609" t="str">
        <f t="shared" si="33"/>
        <v/>
      </c>
      <c r="AE148" s="609" t="str">
        <f t="shared" si="33"/>
        <v>Riparian buffers 0.8%</v>
      </c>
      <c r="AF148" s="609" t="str">
        <f t="shared" si="33"/>
        <v/>
      </c>
      <c r="AG148" s="609" t="str">
        <f t="shared" si="33"/>
        <v/>
      </c>
      <c r="AH148" s="609" t="str">
        <f t="shared" si="33"/>
        <v/>
      </c>
      <c r="AI148" s="609" t="str">
        <f t="shared" si="33"/>
        <v>Riparian buffers 0.8%</v>
      </c>
      <c r="AJ148" s="609" t="str">
        <f t="shared" si="33"/>
        <v/>
      </c>
      <c r="AK148" s="609" t="str">
        <f t="shared" si="33"/>
        <v/>
      </c>
      <c r="AL148" s="609" t="str">
        <f t="shared" si="33"/>
        <v>Riparian buffers 0.8%</v>
      </c>
      <c r="AM148" s="609" t="str">
        <f t="shared" si="33"/>
        <v/>
      </c>
      <c r="AN148" s="609" t="str">
        <f t="shared" si="33"/>
        <v>Riparian buffers 0.8%</v>
      </c>
      <c r="AO148" s="609" t="str">
        <f t="shared" si="33"/>
        <v/>
      </c>
      <c r="AP148" s="609" t="str">
        <f t="shared" si="33"/>
        <v>Riparian buffers 0.8%</v>
      </c>
      <c r="AQ148" s="609" t="str">
        <f t="shared" si="33"/>
        <v/>
      </c>
      <c r="AR148" s="609" t="str">
        <f t="shared" si="33"/>
        <v/>
      </c>
      <c r="AS148" s="609" t="str">
        <f t="shared" si="33"/>
        <v/>
      </c>
      <c r="AT148" s="609" t="str">
        <f t="shared" si="33"/>
        <v/>
      </c>
      <c r="AU148" s="609" t="str">
        <f t="shared" ref="AU148:BZ148" si="34">IFERROR(INDEX($J$152:$J$159,AU158)&amp;" "&amp;IF(INDEX($K$152:$K$159,AU158)&lt;0.1,FIXED(INDEX($K$152:$K$159,AU158)*100,1),FIXED(INDEX($K$152:$K$159,AU158)*100,0))&amp;"%","")</f>
        <v>Riparian buffers 0.8%</v>
      </c>
      <c r="AV148" s="609" t="str">
        <f t="shared" si="34"/>
        <v/>
      </c>
      <c r="AW148" s="609" t="str">
        <f t="shared" si="34"/>
        <v/>
      </c>
      <c r="AX148" s="609" t="str">
        <f t="shared" si="34"/>
        <v/>
      </c>
      <c r="AY148" s="609" t="str">
        <f t="shared" si="34"/>
        <v/>
      </c>
      <c r="AZ148" s="609" t="str">
        <f t="shared" si="34"/>
        <v>Riparian buffers 0.8%</v>
      </c>
      <c r="BA148" s="609" t="str">
        <f t="shared" si="34"/>
        <v/>
      </c>
      <c r="BB148" s="609" t="str">
        <f t="shared" si="34"/>
        <v/>
      </c>
      <c r="BC148" s="609" t="str">
        <f t="shared" si="34"/>
        <v/>
      </c>
      <c r="BD148" s="609" t="str">
        <f t="shared" si="34"/>
        <v>Riparian buffers 0.8%</v>
      </c>
      <c r="BE148" s="609" t="str">
        <f t="shared" si="34"/>
        <v/>
      </c>
      <c r="BF148" s="609" t="str">
        <f t="shared" si="34"/>
        <v/>
      </c>
      <c r="BG148" s="609" t="str">
        <f t="shared" si="34"/>
        <v>Riparian buffers 0.8%</v>
      </c>
      <c r="BH148" s="609" t="str">
        <f t="shared" si="34"/>
        <v/>
      </c>
      <c r="BI148" s="609" t="str">
        <f t="shared" si="34"/>
        <v>Riparian buffers 0.8%</v>
      </c>
      <c r="BJ148" s="609" t="str">
        <f t="shared" si="34"/>
        <v/>
      </c>
      <c r="BK148" s="609" t="str">
        <f t="shared" si="34"/>
        <v>Riparian buffers 0.8%</v>
      </c>
      <c r="BL148" s="609" t="str">
        <f t="shared" si="34"/>
        <v/>
      </c>
      <c r="BM148" s="609" t="str">
        <f t="shared" si="34"/>
        <v/>
      </c>
      <c r="BN148" s="609" t="str">
        <f t="shared" si="34"/>
        <v/>
      </c>
      <c r="BO148" s="609" t="str">
        <f t="shared" si="34"/>
        <v>Riparian buffers 0.8%</v>
      </c>
      <c r="BP148" s="609" t="str">
        <f t="shared" si="34"/>
        <v/>
      </c>
      <c r="BQ148" s="609" t="str">
        <f t="shared" si="34"/>
        <v/>
      </c>
      <c r="BR148" s="609" t="str">
        <f t="shared" si="34"/>
        <v/>
      </c>
      <c r="BS148" s="609" t="str">
        <f t="shared" si="34"/>
        <v>Riparian buffers 0.8%</v>
      </c>
      <c r="BT148" s="609" t="str">
        <f t="shared" si="34"/>
        <v/>
      </c>
      <c r="BU148" s="609" t="str">
        <f t="shared" si="34"/>
        <v/>
      </c>
      <c r="BV148" s="609" t="str">
        <f t="shared" si="34"/>
        <v>Riparian buffers 0.8%</v>
      </c>
      <c r="BW148" s="609" t="str">
        <f t="shared" si="34"/>
        <v/>
      </c>
      <c r="BX148" s="609" t="str">
        <f t="shared" si="34"/>
        <v>Riparian buffers 0.8%</v>
      </c>
      <c r="BY148" s="609" t="str">
        <f t="shared" si="34"/>
        <v/>
      </c>
      <c r="BZ148" s="609" t="str">
        <f t="shared" si="34"/>
        <v>Riparian buffers 0.8%</v>
      </c>
      <c r="CA148" s="609" t="str">
        <f t="shared" ref="CA148:DF148" si="35">IFERROR(INDEX($J$152:$J$159,CA158)&amp;" "&amp;IF(INDEX($K$152:$K$159,CA158)&lt;0.1,FIXED(INDEX($K$152:$K$159,CA158)*100,1),FIXED(INDEX($K$152:$K$159,CA158)*100,0))&amp;"%","")</f>
        <v/>
      </c>
      <c r="CB148" s="609" t="str">
        <f t="shared" si="35"/>
        <v/>
      </c>
      <c r="CC148" s="609" t="str">
        <f t="shared" si="35"/>
        <v>Riparian buffers 0.8%</v>
      </c>
      <c r="CD148" s="609" t="str">
        <f t="shared" si="35"/>
        <v/>
      </c>
      <c r="CE148" s="609" t="str">
        <f t="shared" si="35"/>
        <v/>
      </c>
      <c r="CF148" s="609" t="str">
        <f t="shared" si="35"/>
        <v>Riparian buffers 0.8%</v>
      </c>
      <c r="CG148" s="609" t="str">
        <f t="shared" si="35"/>
        <v/>
      </c>
      <c r="CH148" s="609" t="str">
        <f t="shared" si="35"/>
        <v>Riparian buffers 0.8%</v>
      </c>
      <c r="CI148" s="609" t="str">
        <f t="shared" si="35"/>
        <v/>
      </c>
      <c r="CJ148" s="609" t="str">
        <f t="shared" si="35"/>
        <v>Riparian buffers 0.8%</v>
      </c>
      <c r="CK148" s="609" t="str">
        <f t="shared" si="35"/>
        <v/>
      </c>
      <c r="CL148" s="609" t="str">
        <f t="shared" si="35"/>
        <v>Riparian buffers 0.8%</v>
      </c>
      <c r="CM148" s="609" t="str">
        <f t="shared" si="35"/>
        <v/>
      </c>
      <c r="CN148" s="609" t="str">
        <f t="shared" si="35"/>
        <v>Riparian buffers 0.8%</v>
      </c>
      <c r="CO148" s="609" t="str">
        <f t="shared" si="35"/>
        <v/>
      </c>
      <c r="CP148" s="609" t="str">
        <f t="shared" si="35"/>
        <v>Riparian buffers 0.8%</v>
      </c>
      <c r="CQ148" s="609" t="str">
        <f t="shared" si="35"/>
        <v>Riparian buffers 0.8%</v>
      </c>
      <c r="CR148" s="609" t="str">
        <f t="shared" si="35"/>
        <v/>
      </c>
      <c r="CS148" s="609" t="str">
        <f t="shared" si="35"/>
        <v>Riparian buffers 0.8%</v>
      </c>
      <c r="CT148" s="609" t="str">
        <f t="shared" si="35"/>
        <v>Riparian buffers 0.8%</v>
      </c>
      <c r="CU148" s="609" t="str">
        <f t="shared" si="35"/>
        <v/>
      </c>
      <c r="CV148" s="609" t="str">
        <f t="shared" si="35"/>
        <v/>
      </c>
      <c r="CW148" s="609" t="str">
        <f t="shared" si="35"/>
        <v/>
      </c>
      <c r="CX148" s="609" t="str">
        <f t="shared" si="35"/>
        <v>Riparian buffers 0.8%</v>
      </c>
      <c r="CY148" s="609" t="str">
        <f t="shared" si="35"/>
        <v/>
      </c>
      <c r="CZ148" s="609" t="str">
        <f t="shared" si="35"/>
        <v/>
      </c>
      <c r="DA148" s="609" t="str">
        <f t="shared" si="35"/>
        <v/>
      </c>
      <c r="DB148" s="609" t="str">
        <f t="shared" si="35"/>
        <v>Riparian buffers 0.8%</v>
      </c>
      <c r="DC148" s="609" t="str">
        <f t="shared" si="35"/>
        <v/>
      </c>
      <c r="DD148" s="609" t="str">
        <f t="shared" si="35"/>
        <v/>
      </c>
      <c r="DE148" s="609" t="str">
        <f t="shared" si="35"/>
        <v>Riparian buffers 0.8%</v>
      </c>
      <c r="DF148" s="609" t="str">
        <f t="shared" si="35"/>
        <v/>
      </c>
      <c r="DG148" s="609" t="str">
        <f t="shared" ref="DG148:EK148" si="36">IFERROR(INDEX($J$152:$J$159,DG158)&amp;" "&amp;IF(INDEX($K$152:$K$159,DG158)&lt;0.1,FIXED(INDEX($K$152:$K$159,DG158)*100,1),FIXED(INDEX($K$152:$K$159,DG158)*100,0))&amp;"%","")</f>
        <v>Riparian buffers 0.8%</v>
      </c>
      <c r="DH148" s="609" t="str">
        <f t="shared" si="36"/>
        <v/>
      </c>
      <c r="DI148" s="609" t="str">
        <f t="shared" si="36"/>
        <v>Riparian buffers 0.8%</v>
      </c>
      <c r="DJ148" s="609" t="str">
        <f t="shared" si="36"/>
        <v/>
      </c>
      <c r="DK148" s="609" t="str">
        <f t="shared" si="36"/>
        <v/>
      </c>
      <c r="DL148" s="609" t="str">
        <f t="shared" si="36"/>
        <v>Riparian buffers 0.8%</v>
      </c>
      <c r="DM148" s="609" t="str">
        <f t="shared" si="36"/>
        <v/>
      </c>
      <c r="DN148" s="609" t="str">
        <f t="shared" si="36"/>
        <v/>
      </c>
      <c r="DO148" s="609" t="str">
        <f t="shared" si="36"/>
        <v>Riparian buffers 0.8%</v>
      </c>
      <c r="DP148" s="609" t="str">
        <f t="shared" si="36"/>
        <v/>
      </c>
      <c r="DQ148" s="609" t="str">
        <f t="shared" si="36"/>
        <v>Riparian buffers 0.8%</v>
      </c>
      <c r="DR148" s="609" t="str">
        <f t="shared" si="36"/>
        <v/>
      </c>
      <c r="DS148" s="609" t="str">
        <f t="shared" si="36"/>
        <v>Riparian buffers 0.8%</v>
      </c>
      <c r="DT148" s="609" t="str">
        <f t="shared" si="36"/>
        <v/>
      </c>
      <c r="DU148" s="609" t="str">
        <f t="shared" si="36"/>
        <v>Riparian buffers 0.8%</v>
      </c>
      <c r="DV148" s="609" t="str">
        <f t="shared" si="36"/>
        <v/>
      </c>
      <c r="DW148" s="609" t="str">
        <f t="shared" si="36"/>
        <v>Riparian buffers 0.8%</v>
      </c>
      <c r="DX148" s="609" t="str">
        <f t="shared" si="36"/>
        <v/>
      </c>
      <c r="DY148" s="609" t="str">
        <f t="shared" si="36"/>
        <v>Riparian buffers 0.8%</v>
      </c>
      <c r="DZ148" s="609" t="str">
        <f t="shared" si="36"/>
        <v>Riparian buffers 0.8%</v>
      </c>
      <c r="EA148" s="609" t="str">
        <f t="shared" si="36"/>
        <v/>
      </c>
      <c r="EB148" s="609" t="str">
        <f t="shared" si="36"/>
        <v>Riparian buffers 0.8%</v>
      </c>
      <c r="EC148" s="609" t="str">
        <f t="shared" si="36"/>
        <v>Riparian buffers 0.8%</v>
      </c>
      <c r="ED148" s="609" t="str">
        <f t="shared" si="36"/>
        <v/>
      </c>
      <c r="EE148" s="609" t="str">
        <f t="shared" si="36"/>
        <v/>
      </c>
      <c r="EF148" s="609" t="str">
        <f t="shared" si="36"/>
        <v>Riparian buffers 0.8%</v>
      </c>
      <c r="EG148" s="609" t="str">
        <f t="shared" si="36"/>
        <v/>
      </c>
      <c r="EH148" s="609" t="str">
        <f t="shared" si="36"/>
        <v/>
      </c>
      <c r="EI148" s="609" t="str">
        <f t="shared" si="36"/>
        <v>Riparian buffers 0.8%</v>
      </c>
      <c r="EJ148" s="609" t="str">
        <f t="shared" si="36"/>
        <v/>
      </c>
      <c r="EK148" s="609" t="str">
        <f t="shared" si="36"/>
        <v>Riparian buffers 0.8%</v>
      </c>
      <c r="EL148" s="609" t="str">
        <f t="shared" ref="EL148:GW148" si="37">IFERROR(INDEX($J$152:$J$159,EL158)&amp;" "&amp;IF(INDEX($K$152:$K$159,EL158)&lt;0.1,FIXED(INDEX($K$152:$K$159,EL158)*100,1),FIXED(INDEX($K$152:$K$159,EL158)*100,0))&amp;"%","")</f>
        <v/>
      </c>
      <c r="EM148" s="609" t="str">
        <f t="shared" si="37"/>
        <v>Riparian buffers 0.8%</v>
      </c>
      <c r="EN148" s="609" t="str">
        <f t="shared" si="37"/>
        <v/>
      </c>
      <c r="EO148" s="609" t="str">
        <f t="shared" si="37"/>
        <v>Riparian buffers 0.8%</v>
      </c>
      <c r="EP148" s="609" t="str">
        <f t="shared" si="37"/>
        <v/>
      </c>
      <c r="EQ148" s="609" t="str">
        <f t="shared" si="37"/>
        <v>Riparian buffers 0.8%</v>
      </c>
      <c r="ER148" s="609" t="str">
        <f t="shared" si="37"/>
        <v/>
      </c>
      <c r="ES148" s="609" t="str">
        <f t="shared" si="37"/>
        <v>Riparian buffers 0.8%</v>
      </c>
      <c r="ET148" s="609" t="str">
        <f t="shared" si="37"/>
        <v>Riparian buffers 0.8%</v>
      </c>
      <c r="EU148" s="609" t="str">
        <f t="shared" si="37"/>
        <v/>
      </c>
      <c r="EV148" s="609" t="str">
        <f t="shared" si="37"/>
        <v>Riparian buffers 0.8%</v>
      </c>
      <c r="EW148" s="609" t="str">
        <f t="shared" si="37"/>
        <v>Riparian buffers 0.8%</v>
      </c>
      <c r="EX148" s="609" t="str">
        <f t="shared" si="37"/>
        <v/>
      </c>
      <c r="EY148" s="609" t="str">
        <f t="shared" si="37"/>
        <v>Riparian buffers 0.8%</v>
      </c>
      <c r="EZ148" s="609" t="str">
        <f t="shared" si="37"/>
        <v/>
      </c>
      <c r="FA148" s="609" t="str">
        <f t="shared" si="37"/>
        <v>Riparian buffers 0.8%</v>
      </c>
      <c r="FB148" s="609" t="str">
        <f t="shared" si="37"/>
        <v/>
      </c>
      <c r="FC148" s="609" t="str">
        <f t="shared" si="37"/>
        <v>Riparian buffers 0.8%</v>
      </c>
      <c r="FD148" s="609" t="str">
        <f t="shared" si="37"/>
        <v>Riparian buffers 0.8%</v>
      </c>
      <c r="FE148" s="609" t="str">
        <f t="shared" si="37"/>
        <v/>
      </c>
      <c r="FF148" s="609" t="str">
        <f t="shared" si="37"/>
        <v>Riparian buffers 0.8%</v>
      </c>
      <c r="FG148" s="609" t="str">
        <f t="shared" si="37"/>
        <v>Riparian buffers 0.8%</v>
      </c>
      <c r="FH148" s="609" t="str">
        <f t="shared" si="37"/>
        <v>Riparian buffers 0.8%</v>
      </c>
      <c r="FI148" s="609" t="str">
        <f t="shared" si="37"/>
        <v/>
      </c>
      <c r="FJ148" s="609" t="str">
        <f t="shared" si="37"/>
        <v>Riparian buffers 0.8%</v>
      </c>
      <c r="FK148" s="609" t="str">
        <f t="shared" si="37"/>
        <v>Riparian buffers 0.8%</v>
      </c>
      <c r="FL148" s="609" t="str">
        <f t="shared" si="37"/>
        <v>Riparian buffers 0.8%</v>
      </c>
      <c r="FM148" s="609" t="str">
        <f t="shared" si="37"/>
        <v/>
      </c>
      <c r="FN148" s="609" t="str">
        <f t="shared" si="37"/>
        <v/>
      </c>
      <c r="FO148" s="609" t="str">
        <f t="shared" si="37"/>
        <v>Riparian buffers 0.8%</v>
      </c>
      <c r="FP148" s="609" t="str">
        <f t="shared" si="37"/>
        <v/>
      </c>
      <c r="FQ148" s="609" t="str">
        <f t="shared" si="37"/>
        <v/>
      </c>
      <c r="FR148" s="609" t="str">
        <f t="shared" si="37"/>
        <v>Riparian buffers 0.8%</v>
      </c>
      <c r="FS148" s="609" t="str">
        <f t="shared" si="37"/>
        <v/>
      </c>
      <c r="FT148" s="609" t="str">
        <f t="shared" si="37"/>
        <v>Riparian buffers 0.8%</v>
      </c>
      <c r="FU148" s="609" t="str">
        <f t="shared" si="37"/>
        <v/>
      </c>
      <c r="FV148" s="609" t="str">
        <f t="shared" si="37"/>
        <v>Riparian buffers 0.8%</v>
      </c>
      <c r="FW148" s="609" t="str">
        <f t="shared" si="37"/>
        <v/>
      </c>
      <c r="FX148" s="609" t="str">
        <f t="shared" si="37"/>
        <v>Riparian buffers 0.8%</v>
      </c>
      <c r="FY148" s="609" t="str">
        <f t="shared" si="37"/>
        <v/>
      </c>
      <c r="FZ148" s="609" t="str">
        <f t="shared" si="37"/>
        <v>Riparian buffers 0.8%</v>
      </c>
      <c r="GA148" s="609" t="str">
        <f t="shared" si="37"/>
        <v/>
      </c>
      <c r="GB148" s="609" t="str">
        <f t="shared" si="37"/>
        <v>Riparian buffers 0.8%</v>
      </c>
      <c r="GC148" s="609" t="str">
        <f t="shared" si="37"/>
        <v>Riparian buffers 0.8%</v>
      </c>
      <c r="GD148" s="609" t="str">
        <f t="shared" si="37"/>
        <v/>
      </c>
      <c r="GE148" s="609" t="str">
        <f t="shared" si="37"/>
        <v>Riparian buffers 0.8%</v>
      </c>
      <c r="GF148" s="609" t="str">
        <f t="shared" si="37"/>
        <v>Riparian buffers 0.8%</v>
      </c>
      <c r="GG148" s="609" t="str">
        <f t="shared" si="37"/>
        <v/>
      </c>
      <c r="GH148" s="609" t="str">
        <f t="shared" si="37"/>
        <v>Riparian buffers 0.8%</v>
      </c>
      <c r="GI148" s="609" t="str">
        <f t="shared" si="37"/>
        <v/>
      </c>
      <c r="GJ148" s="609" t="str">
        <f t="shared" si="37"/>
        <v>Riparian buffers 0.8%</v>
      </c>
      <c r="GK148" s="609" t="str">
        <f t="shared" si="37"/>
        <v/>
      </c>
      <c r="GL148" s="609" t="str">
        <f t="shared" si="37"/>
        <v>Riparian buffers 0.8%</v>
      </c>
      <c r="GM148" s="609" t="str">
        <f t="shared" si="37"/>
        <v>Riparian buffers 0.8%</v>
      </c>
      <c r="GN148" s="609" t="str">
        <f t="shared" si="37"/>
        <v/>
      </c>
      <c r="GO148" s="609" t="str">
        <f t="shared" si="37"/>
        <v>Riparian buffers 0.8%</v>
      </c>
      <c r="GP148" s="609" t="str">
        <f t="shared" si="37"/>
        <v>Riparian buffers 0.8%</v>
      </c>
      <c r="GQ148" s="609" t="str">
        <f t="shared" si="37"/>
        <v>Riparian buffers 0.8%</v>
      </c>
      <c r="GR148" s="609" t="str">
        <f t="shared" si="37"/>
        <v/>
      </c>
      <c r="GS148" s="609" t="str">
        <f t="shared" si="37"/>
        <v>Riparian buffers 0.8%</v>
      </c>
      <c r="GT148" s="609" t="str">
        <f t="shared" si="37"/>
        <v>Riparian buffers 0.8%</v>
      </c>
      <c r="GU148" s="609" t="str">
        <f t="shared" si="37"/>
        <v>Riparian buffers 0.8%</v>
      </c>
      <c r="GV148" s="609" t="str">
        <f t="shared" si="37"/>
        <v/>
      </c>
      <c r="GW148" s="609" t="str">
        <f t="shared" si="37"/>
        <v>Riparian buffers 0.8%</v>
      </c>
      <c r="GX148" s="609" t="str">
        <f t="shared" ref="GX148:IY148" si="38">IFERROR(INDEX($J$152:$J$159,GX158)&amp;" "&amp;IF(INDEX($K$152:$K$159,GX158)&lt;0.1,FIXED(INDEX($K$152:$K$159,GX158)*100,1),FIXED(INDEX($K$152:$K$159,GX158)*100,0))&amp;"%","")</f>
        <v/>
      </c>
      <c r="GY148" s="609" t="str">
        <f t="shared" si="38"/>
        <v>Riparian buffers 0.8%</v>
      </c>
      <c r="GZ148" s="609" t="str">
        <f t="shared" si="38"/>
        <v/>
      </c>
      <c r="HA148" s="609" t="str">
        <f t="shared" si="38"/>
        <v>Riparian buffers 0.8%</v>
      </c>
      <c r="HB148" s="609" t="str">
        <f t="shared" si="38"/>
        <v>Riparian buffers 0.8%</v>
      </c>
      <c r="HC148" s="609" t="str">
        <f t="shared" si="38"/>
        <v/>
      </c>
      <c r="HD148" s="609" t="str">
        <f t="shared" si="38"/>
        <v>Riparian buffers 0.8%</v>
      </c>
      <c r="HE148" s="609" t="str">
        <f t="shared" si="38"/>
        <v>Riparian buffers 0.8%</v>
      </c>
      <c r="HF148" s="609" t="str">
        <f t="shared" si="38"/>
        <v>Riparian buffers 0.8%</v>
      </c>
      <c r="HG148" s="609" t="str">
        <f t="shared" si="38"/>
        <v/>
      </c>
      <c r="HH148" s="609" t="str">
        <f t="shared" si="38"/>
        <v>Riparian buffers 0.8%</v>
      </c>
      <c r="HI148" s="609" t="str">
        <f t="shared" si="38"/>
        <v>Riparian buffers 0.8%</v>
      </c>
      <c r="HJ148" s="609" t="str">
        <f t="shared" si="38"/>
        <v>Riparian buffers 0.8%</v>
      </c>
      <c r="HK148" s="609" t="str">
        <f t="shared" si="38"/>
        <v>Riparian buffers 0.8%</v>
      </c>
      <c r="HL148" s="609" t="str">
        <f t="shared" si="38"/>
        <v/>
      </c>
      <c r="HM148" s="609" t="str">
        <f t="shared" si="38"/>
        <v>Riparian buffers 0.8%</v>
      </c>
      <c r="HN148" s="609" t="str">
        <f t="shared" si="38"/>
        <v>Riparian buffers 0.8%</v>
      </c>
      <c r="HO148" s="609" t="str">
        <f t="shared" si="38"/>
        <v>Riparian buffers 0.8%</v>
      </c>
      <c r="HP148" s="609" t="str">
        <f t="shared" si="38"/>
        <v>Riparian buffers 0.8%</v>
      </c>
      <c r="HQ148" s="609" t="str">
        <f t="shared" si="38"/>
        <v/>
      </c>
      <c r="HR148" s="609" t="str">
        <f t="shared" si="38"/>
        <v>Riparian buffers 0.8%</v>
      </c>
      <c r="HS148" s="609" t="str">
        <f t="shared" si="38"/>
        <v/>
      </c>
      <c r="HT148" s="609" t="str">
        <f t="shared" si="38"/>
        <v>Riparian buffers 0.8%</v>
      </c>
      <c r="HU148" s="609" t="str">
        <f t="shared" si="38"/>
        <v/>
      </c>
      <c r="HV148" s="609" t="str">
        <f t="shared" si="38"/>
        <v>Riparian buffers 0.8%</v>
      </c>
      <c r="HW148" s="609" t="str">
        <f t="shared" si="38"/>
        <v>Riparian buffers 0.8%</v>
      </c>
      <c r="HX148" s="609" t="str">
        <f t="shared" si="38"/>
        <v/>
      </c>
      <c r="HY148" s="609" t="str">
        <f t="shared" si="38"/>
        <v>Riparian buffers 0.8%</v>
      </c>
      <c r="HZ148" s="609" t="str">
        <f t="shared" si="38"/>
        <v>Riparian buffers 0.8%</v>
      </c>
      <c r="IA148" s="609" t="str">
        <f t="shared" si="38"/>
        <v>Riparian buffers 0.8%</v>
      </c>
      <c r="IB148" s="609" t="str">
        <f t="shared" si="38"/>
        <v/>
      </c>
      <c r="IC148" s="609" t="str">
        <f t="shared" si="38"/>
        <v>Riparian buffers 0.8%</v>
      </c>
      <c r="ID148" s="609" t="str">
        <f t="shared" si="38"/>
        <v>Riparian buffers 0.8%</v>
      </c>
      <c r="IE148" s="609" t="str">
        <f t="shared" si="38"/>
        <v>Riparian buffers 0.8%</v>
      </c>
      <c r="IF148" s="609" t="str">
        <f t="shared" si="38"/>
        <v>Riparian buffers 0.8%</v>
      </c>
      <c r="IG148" s="609" t="str">
        <f t="shared" si="38"/>
        <v/>
      </c>
      <c r="IH148" s="609" t="str">
        <f t="shared" si="38"/>
        <v>Riparian buffers 0.8%</v>
      </c>
      <c r="II148" s="609" t="str">
        <f t="shared" si="38"/>
        <v>Riparian buffers 0.8%</v>
      </c>
      <c r="IJ148" s="609" t="str">
        <f t="shared" si="38"/>
        <v>Riparian buffers 0.8%</v>
      </c>
      <c r="IK148" s="609" t="str">
        <f t="shared" si="38"/>
        <v>Riparian buffers 0.8%</v>
      </c>
      <c r="IL148" s="609" t="str">
        <f t="shared" si="38"/>
        <v>Riparian buffers 0.8%</v>
      </c>
      <c r="IM148" s="609" t="str">
        <f t="shared" si="38"/>
        <v/>
      </c>
      <c r="IN148" s="609" t="str">
        <f t="shared" si="38"/>
        <v>Riparian buffers 0.8%</v>
      </c>
      <c r="IO148" s="609" t="str">
        <f t="shared" si="38"/>
        <v>Riparian buffers 0.8%</v>
      </c>
      <c r="IP148" s="609" t="str">
        <f t="shared" si="38"/>
        <v>Riparian buffers 0.8%</v>
      </c>
      <c r="IQ148" s="609" t="str">
        <f t="shared" si="38"/>
        <v>Riparian buffers 0.8%</v>
      </c>
      <c r="IR148" s="609" t="str">
        <f t="shared" si="38"/>
        <v>Riparian buffers 0.8%</v>
      </c>
      <c r="IS148" s="609" t="str">
        <f t="shared" si="38"/>
        <v>Riparian buffers 0.8%</v>
      </c>
      <c r="IT148" s="609" t="str">
        <f t="shared" si="38"/>
        <v/>
      </c>
      <c r="IU148" s="609" t="str">
        <f t="shared" si="38"/>
        <v>Riparian buffers 0.8%</v>
      </c>
      <c r="IV148" s="609" t="str">
        <f t="shared" si="38"/>
        <v>Riparian buffers 0.8%</v>
      </c>
      <c r="IW148" s="609" t="str">
        <f t="shared" si="38"/>
        <v>Riparian buffers 0.8%</v>
      </c>
      <c r="IX148" s="609" t="str">
        <f t="shared" si="38"/>
        <v>Riparian buffers 0.8%</v>
      </c>
      <c r="IY148" s="609" t="str">
        <f t="shared" si="38"/>
        <v>Riparian buffers 0.8%</v>
      </c>
    </row>
    <row r="149" spans="1:259" x14ac:dyDescent="0.25">
      <c r="A149" s="209"/>
      <c r="B149" s="209"/>
      <c r="C149" s="209"/>
      <c r="D149" s="209"/>
      <c r="E149" s="209"/>
      <c r="F149" s="209"/>
      <c r="G149" s="209"/>
      <c r="H149" s="209"/>
      <c r="I149" s="209"/>
      <c r="J149" s="209"/>
      <c r="K149" s="209"/>
      <c r="L149" s="209"/>
      <c r="M149" s="209"/>
      <c r="N149" s="666" t="str">
        <f>IFERROR(INDEX($J$152:$J$159,N159)&amp;" "&amp;IF(INDEX($K$152:$K$159,N159)&lt;0.1,FIXED(INDEX($K$152:$K$159,N159)*100,1),FIXED(INDEX($K$152:$K$159,N159)*100,0))&amp;"%","")</f>
        <v>Perennial crop 2.5%</v>
      </c>
      <c r="O149" s="672" t="str">
        <f t="shared" ref="O149:AT149" si="39">IFERROR(INDEX($J$152:$J$159,O159)&amp;" "&amp;IF(INDEX($K$152:$K$159,O159)&lt;0.1,FIXED(INDEX($K$152:$K$159,O159)*100,1),FIXED(INDEX($K$152:$K$159,O159)*100,0))&amp;"%","")</f>
        <v/>
      </c>
      <c r="P149" s="672" t="str">
        <f t="shared" si="39"/>
        <v/>
      </c>
      <c r="Q149" s="672" t="str">
        <f t="shared" si="39"/>
        <v/>
      </c>
      <c r="R149" s="672" t="str">
        <f t="shared" si="39"/>
        <v/>
      </c>
      <c r="S149" s="672" t="str">
        <f t="shared" si="39"/>
        <v/>
      </c>
      <c r="T149" s="672" t="str">
        <f t="shared" si="39"/>
        <v/>
      </c>
      <c r="U149" s="672" t="str">
        <f t="shared" si="39"/>
        <v>Perennial crop 2.5%</v>
      </c>
      <c r="V149" s="672" t="str">
        <f t="shared" si="39"/>
        <v/>
      </c>
      <c r="W149" s="672" t="str">
        <f t="shared" si="39"/>
        <v/>
      </c>
      <c r="X149" s="672" t="str">
        <f t="shared" si="39"/>
        <v/>
      </c>
      <c r="Y149" s="672" t="str">
        <f t="shared" si="39"/>
        <v/>
      </c>
      <c r="Z149" s="672" t="str">
        <f t="shared" si="39"/>
        <v/>
      </c>
      <c r="AA149" s="610" t="str">
        <f t="shared" si="39"/>
        <v>Perennial crop 2.5%</v>
      </c>
      <c r="AB149" s="610" t="str">
        <f t="shared" si="39"/>
        <v/>
      </c>
      <c r="AC149" s="610" t="str">
        <f t="shared" si="39"/>
        <v/>
      </c>
      <c r="AD149" s="610" t="str">
        <f t="shared" si="39"/>
        <v/>
      </c>
      <c r="AE149" s="610" t="str">
        <f t="shared" si="39"/>
        <v/>
      </c>
      <c r="AF149" s="610" t="str">
        <f t="shared" si="39"/>
        <v>Perennial crop 2.5%</v>
      </c>
      <c r="AG149" s="610" t="str">
        <f t="shared" si="39"/>
        <v/>
      </c>
      <c r="AH149" s="610" t="str">
        <f t="shared" si="39"/>
        <v/>
      </c>
      <c r="AI149" s="610" t="str">
        <f t="shared" si="39"/>
        <v/>
      </c>
      <c r="AJ149" s="610" t="str">
        <f t="shared" si="39"/>
        <v>Perennial crop 2.5%</v>
      </c>
      <c r="AK149" s="610" t="str">
        <f t="shared" si="39"/>
        <v/>
      </c>
      <c r="AL149" s="610" t="str">
        <f t="shared" si="39"/>
        <v/>
      </c>
      <c r="AM149" s="610" t="str">
        <f t="shared" si="39"/>
        <v>Perennial crop 2.5%</v>
      </c>
      <c r="AN149" s="610" t="str">
        <f t="shared" si="39"/>
        <v/>
      </c>
      <c r="AO149" s="610" t="str">
        <f t="shared" si="39"/>
        <v>Perennial crop 2.5%</v>
      </c>
      <c r="AP149" s="610" t="str">
        <f t="shared" si="39"/>
        <v>Perennial crop 2.5%</v>
      </c>
      <c r="AQ149" s="610" t="str">
        <f t="shared" si="39"/>
        <v/>
      </c>
      <c r="AR149" s="610" t="str">
        <f t="shared" si="39"/>
        <v/>
      </c>
      <c r="AS149" s="610" t="str">
        <f t="shared" si="39"/>
        <v/>
      </c>
      <c r="AT149" s="610" t="str">
        <f t="shared" si="39"/>
        <v/>
      </c>
      <c r="AU149" s="610" t="str">
        <f t="shared" ref="AU149:BZ149" si="40">IFERROR(INDEX($J$152:$J$159,AU159)&amp;" "&amp;IF(INDEX($K$152:$K$159,AU159)&lt;0.1,FIXED(INDEX($K$152:$K$159,AU159)*100,1),FIXED(INDEX($K$152:$K$159,AU159)*100,0))&amp;"%","")</f>
        <v/>
      </c>
      <c r="AV149" s="610" t="str">
        <f t="shared" si="40"/>
        <v>Perennial crop 2.5%</v>
      </c>
      <c r="AW149" s="610" t="str">
        <f t="shared" si="40"/>
        <v/>
      </c>
      <c r="AX149" s="610" t="str">
        <f t="shared" si="40"/>
        <v/>
      </c>
      <c r="AY149" s="610" t="str">
        <f t="shared" si="40"/>
        <v/>
      </c>
      <c r="AZ149" s="610" t="str">
        <f t="shared" si="40"/>
        <v/>
      </c>
      <c r="BA149" s="610" t="str">
        <f t="shared" si="40"/>
        <v>Perennial crop 2.5%</v>
      </c>
      <c r="BB149" s="610" t="str">
        <f t="shared" si="40"/>
        <v/>
      </c>
      <c r="BC149" s="610" t="str">
        <f t="shared" si="40"/>
        <v/>
      </c>
      <c r="BD149" s="610" t="str">
        <f t="shared" si="40"/>
        <v/>
      </c>
      <c r="BE149" s="610" t="str">
        <f t="shared" si="40"/>
        <v>Perennial crop 2.5%</v>
      </c>
      <c r="BF149" s="610" t="str">
        <f t="shared" si="40"/>
        <v/>
      </c>
      <c r="BG149" s="610" t="str">
        <f t="shared" si="40"/>
        <v/>
      </c>
      <c r="BH149" s="610" t="str">
        <f t="shared" si="40"/>
        <v>Perennial crop 2.5%</v>
      </c>
      <c r="BI149" s="610" t="str">
        <f t="shared" si="40"/>
        <v/>
      </c>
      <c r="BJ149" s="610" t="str">
        <f t="shared" si="40"/>
        <v>Perennial crop 2.5%</v>
      </c>
      <c r="BK149" s="610" t="str">
        <f t="shared" si="40"/>
        <v>Perennial crop 2.5%</v>
      </c>
      <c r="BL149" s="610" t="str">
        <f t="shared" si="40"/>
        <v/>
      </c>
      <c r="BM149" s="610" t="str">
        <f t="shared" si="40"/>
        <v/>
      </c>
      <c r="BN149" s="610" t="str">
        <f t="shared" si="40"/>
        <v/>
      </c>
      <c r="BO149" s="610" t="str">
        <f t="shared" si="40"/>
        <v/>
      </c>
      <c r="BP149" s="610" t="str">
        <f t="shared" si="40"/>
        <v>Perennial crop 2.5%</v>
      </c>
      <c r="BQ149" s="610" t="str">
        <f t="shared" si="40"/>
        <v/>
      </c>
      <c r="BR149" s="610" t="str">
        <f t="shared" si="40"/>
        <v/>
      </c>
      <c r="BS149" s="610" t="str">
        <f t="shared" si="40"/>
        <v/>
      </c>
      <c r="BT149" s="610" t="str">
        <f t="shared" si="40"/>
        <v>Perennial crop 2.5%</v>
      </c>
      <c r="BU149" s="610" t="str">
        <f t="shared" si="40"/>
        <v/>
      </c>
      <c r="BV149" s="610" t="str">
        <f t="shared" si="40"/>
        <v/>
      </c>
      <c r="BW149" s="610" t="str">
        <f t="shared" si="40"/>
        <v>Perennial crop 2.5%</v>
      </c>
      <c r="BX149" s="610" t="str">
        <f t="shared" si="40"/>
        <v/>
      </c>
      <c r="BY149" s="610" t="str">
        <f t="shared" si="40"/>
        <v>Perennial crop 2.5%</v>
      </c>
      <c r="BZ149" s="610" t="str">
        <f t="shared" si="40"/>
        <v>Perennial crop 2.5%</v>
      </c>
      <c r="CA149" s="610" t="str">
        <f t="shared" ref="CA149:DF149" si="41">IFERROR(INDEX($J$152:$J$159,CA159)&amp;" "&amp;IF(INDEX($K$152:$K$159,CA159)&lt;0.1,FIXED(INDEX($K$152:$K$159,CA159)*100,1),FIXED(INDEX($K$152:$K$159,CA159)*100,0))&amp;"%","")</f>
        <v/>
      </c>
      <c r="CB149" s="610" t="str">
        <f t="shared" si="41"/>
        <v/>
      </c>
      <c r="CC149" s="610" t="str">
        <f t="shared" si="41"/>
        <v/>
      </c>
      <c r="CD149" s="610" t="str">
        <f t="shared" si="41"/>
        <v>Perennial crop 2.5%</v>
      </c>
      <c r="CE149" s="610" t="str">
        <f t="shared" si="41"/>
        <v/>
      </c>
      <c r="CF149" s="610" t="str">
        <f t="shared" si="41"/>
        <v/>
      </c>
      <c r="CG149" s="610" t="str">
        <f t="shared" si="41"/>
        <v>Perennial crop 2.5%</v>
      </c>
      <c r="CH149" s="610" t="str">
        <f t="shared" si="41"/>
        <v/>
      </c>
      <c r="CI149" s="610" t="str">
        <f t="shared" si="41"/>
        <v>Perennial crop 2.5%</v>
      </c>
      <c r="CJ149" s="610" t="str">
        <f t="shared" si="41"/>
        <v>Perennial crop 2.5%</v>
      </c>
      <c r="CK149" s="610" t="str">
        <f t="shared" si="41"/>
        <v/>
      </c>
      <c r="CL149" s="610" t="str">
        <f t="shared" si="41"/>
        <v/>
      </c>
      <c r="CM149" s="610" t="str">
        <f t="shared" si="41"/>
        <v>Perennial crop 2.5%</v>
      </c>
      <c r="CN149" s="610" t="str">
        <f t="shared" si="41"/>
        <v/>
      </c>
      <c r="CO149" s="610" t="str">
        <f t="shared" si="41"/>
        <v>Perennial crop 2.5%</v>
      </c>
      <c r="CP149" s="610" t="str">
        <f t="shared" si="41"/>
        <v>Perennial crop 2.5%</v>
      </c>
      <c r="CQ149" s="610" t="str">
        <f t="shared" si="41"/>
        <v/>
      </c>
      <c r="CR149" s="610" t="str">
        <f t="shared" si="41"/>
        <v>Perennial crop 2.5%</v>
      </c>
      <c r="CS149" s="610" t="str">
        <f t="shared" si="41"/>
        <v>Perennial crop 2.5%</v>
      </c>
      <c r="CT149" s="610" t="str">
        <f t="shared" si="41"/>
        <v>Perennial crop 2.5%</v>
      </c>
      <c r="CU149" s="610" t="str">
        <f t="shared" si="41"/>
        <v/>
      </c>
      <c r="CV149" s="610" t="str">
        <f t="shared" si="41"/>
        <v/>
      </c>
      <c r="CW149" s="610" t="str">
        <f t="shared" si="41"/>
        <v/>
      </c>
      <c r="CX149" s="610" t="str">
        <f t="shared" si="41"/>
        <v/>
      </c>
      <c r="CY149" s="610" t="str">
        <f t="shared" si="41"/>
        <v>Perennial crop 2.5%</v>
      </c>
      <c r="CZ149" s="610" t="str">
        <f t="shared" si="41"/>
        <v/>
      </c>
      <c r="DA149" s="610" t="str">
        <f t="shared" si="41"/>
        <v/>
      </c>
      <c r="DB149" s="610" t="str">
        <f t="shared" si="41"/>
        <v/>
      </c>
      <c r="DC149" s="610" t="str">
        <f t="shared" si="41"/>
        <v>Perennial crop 2.5%</v>
      </c>
      <c r="DD149" s="610" t="str">
        <f t="shared" si="41"/>
        <v/>
      </c>
      <c r="DE149" s="610" t="str">
        <f t="shared" si="41"/>
        <v/>
      </c>
      <c r="DF149" s="610" t="str">
        <f t="shared" si="41"/>
        <v>Perennial crop 2.5%</v>
      </c>
      <c r="DG149" s="610" t="str">
        <f t="shared" ref="DG149:EK149" si="42">IFERROR(INDEX($J$152:$J$159,DG159)&amp;" "&amp;IF(INDEX($K$152:$K$159,DG159)&lt;0.1,FIXED(INDEX($K$152:$K$159,DG159)*100,1),FIXED(INDEX($K$152:$K$159,DG159)*100,0))&amp;"%","")</f>
        <v/>
      </c>
      <c r="DH149" s="610" t="str">
        <f t="shared" si="42"/>
        <v>Perennial crop 2.5%</v>
      </c>
      <c r="DI149" s="610" t="str">
        <f t="shared" si="42"/>
        <v>Perennial crop 2.5%</v>
      </c>
      <c r="DJ149" s="610" t="str">
        <f t="shared" si="42"/>
        <v/>
      </c>
      <c r="DK149" s="610" t="str">
        <f t="shared" si="42"/>
        <v/>
      </c>
      <c r="DL149" s="610" t="str">
        <f t="shared" si="42"/>
        <v/>
      </c>
      <c r="DM149" s="610" t="str">
        <f t="shared" si="42"/>
        <v>Perennial crop 2.5%</v>
      </c>
      <c r="DN149" s="610" t="str">
        <f t="shared" si="42"/>
        <v/>
      </c>
      <c r="DO149" s="610" t="str">
        <f t="shared" si="42"/>
        <v/>
      </c>
      <c r="DP149" s="610" t="str">
        <f t="shared" si="42"/>
        <v>Perennial crop 2.5%</v>
      </c>
      <c r="DQ149" s="610" t="str">
        <f t="shared" si="42"/>
        <v/>
      </c>
      <c r="DR149" s="610" t="str">
        <f t="shared" si="42"/>
        <v>Perennial crop 2.5%</v>
      </c>
      <c r="DS149" s="610" t="str">
        <f t="shared" si="42"/>
        <v>Perennial crop 2.5%</v>
      </c>
      <c r="DT149" s="610" t="str">
        <f t="shared" si="42"/>
        <v/>
      </c>
      <c r="DU149" s="610" t="str">
        <f t="shared" si="42"/>
        <v/>
      </c>
      <c r="DV149" s="610" t="str">
        <f t="shared" si="42"/>
        <v>Perennial crop 2.5%</v>
      </c>
      <c r="DW149" s="610" t="str">
        <f t="shared" si="42"/>
        <v/>
      </c>
      <c r="DX149" s="610" t="str">
        <f t="shared" si="42"/>
        <v>Perennial crop 2.5%</v>
      </c>
      <c r="DY149" s="610" t="str">
        <f t="shared" si="42"/>
        <v>Perennial crop 2.5%</v>
      </c>
      <c r="DZ149" s="610" t="str">
        <f t="shared" si="42"/>
        <v/>
      </c>
      <c r="EA149" s="610" t="str">
        <f t="shared" si="42"/>
        <v>Perennial crop 2.5%</v>
      </c>
      <c r="EB149" s="610" t="str">
        <f t="shared" si="42"/>
        <v>Perennial crop 2.5%</v>
      </c>
      <c r="EC149" s="610" t="str">
        <f t="shared" si="42"/>
        <v>Perennial crop 2.5%</v>
      </c>
      <c r="ED149" s="610" t="str">
        <f t="shared" si="42"/>
        <v/>
      </c>
      <c r="EE149" s="610" t="str">
        <f t="shared" si="42"/>
        <v/>
      </c>
      <c r="EF149" s="610" t="str">
        <f t="shared" si="42"/>
        <v/>
      </c>
      <c r="EG149" s="610" t="str">
        <f t="shared" si="42"/>
        <v>Perennial crop 2.5%</v>
      </c>
      <c r="EH149" s="610" t="str">
        <f t="shared" si="42"/>
        <v/>
      </c>
      <c r="EI149" s="610" t="str">
        <f t="shared" si="42"/>
        <v/>
      </c>
      <c r="EJ149" s="610" t="str">
        <f t="shared" si="42"/>
        <v>Perennial crop 2.5%</v>
      </c>
      <c r="EK149" s="610" t="str">
        <f t="shared" si="42"/>
        <v/>
      </c>
      <c r="EL149" s="610" t="str">
        <f t="shared" ref="EL149:GW149" si="43">IFERROR(INDEX($J$152:$J$159,EL159)&amp;" "&amp;IF(INDEX($K$152:$K$159,EL159)&lt;0.1,FIXED(INDEX($K$152:$K$159,EL159)*100,1),FIXED(INDEX($K$152:$K$159,EL159)*100,0))&amp;"%","")</f>
        <v>Perennial crop 2.5%</v>
      </c>
      <c r="EM149" s="610" t="str">
        <f t="shared" si="43"/>
        <v>Perennial crop 2.5%</v>
      </c>
      <c r="EN149" s="610" t="str">
        <f t="shared" si="43"/>
        <v/>
      </c>
      <c r="EO149" s="610" t="str">
        <f t="shared" si="43"/>
        <v/>
      </c>
      <c r="EP149" s="610" t="str">
        <f t="shared" si="43"/>
        <v>Perennial crop 2.5%</v>
      </c>
      <c r="EQ149" s="610" t="str">
        <f t="shared" si="43"/>
        <v/>
      </c>
      <c r="ER149" s="610" t="str">
        <f t="shared" si="43"/>
        <v>Perennial crop 2.5%</v>
      </c>
      <c r="ES149" s="610" t="str">
        <f t="shared" si="43"/>
        <v>Perennial crop 2.5%</v>
      </c>
      <c r="ET149" s="610" t="str">
        <f t="shared" si="43"/>
        <v/>
      </c>
      <c r="EU149" s="610" t="str">
        <f t="shared" si="43"/>
        <v>Perennial crop 2.5%</v>
      </c>
      <c r="EV149" s="610" t="str">
        <f t="shared" si="43"/>
        <v>Perennial crop 2.5%</v>
      </c>
      <c r="EW149" s="610" t="str">
        <f t="shared" si="43"/>
        <v>Perennial crop 2.5%</v>
      </c>
      <c r="EX149" s="610" t="str">
        <f t="shared" si="43"/>
        <v/>
      </c>
      <c r="EY149" s="610" t="str">
        <f t="shared" si="43"/>
        <v/>
      </c>
      <c r="EZ149" s="610" t="str">
        <f t="shared" si="43"/>
        <v>Perennial crop 2.5%</v>
      </c>
      <c r="FA149" s="610" t="str">
        <f t="shared" si="43"/>
        <v/>
      </c>
      <c r="FB149" s="610" t="str">
        <f t="shared" si="43"/>
        <v>Perennial crop 2.5%</v>
      </c>
      <c r="FC149" s="610" t="str">
        <f t="shared" si="43"/>
        <v>Perennial crop 2.5%</v>
      </c>
      <c r="FD149" s="610" t="str">
        <f t="shared" si="43"/>
        <v/>
      </c>
      <c r="FE149" s="610" t="str">
        <f t="shared" si="43"/>
        <v>Perennial crop 2.5%</v>
      </c>
      <c r="FF149" s="610" t="str">
        <f t="shared" si="43"/>
        <v>Perennial crop 2.5%</v>
      </c>
      <c r="FG149" s="610" t="str">
        <f t="shared" si="43"/>
        <v>Perennial crop 2.5%</v>
      </c>
      <c r="FH149" s="610" t="str">
        <f t="shared" si="43"/>
        <v/>
      </c>
      <c r="FI149" s="610" t="str">
        <f t="shared" si="43"/>
        <v>Perennial crop 2.5%</v>
      </c>
      <c r="FJ149" s="610" t="str">
        <f t="shared" si="43"/>
        <v>Perennial crop 2.5%</v>
      </c>
      <c r="FK149" s="610" t="str">
        <f t="shared" si="43"/>
        <v>Perennial crop 2.5%</v>
      </c>
      <c r="FL149" s="610" t="str">
        <f t="shared" si="43"/>
        <v>Perennial crop 2.5%</v>
      </c>
      <c r="FM149" s="610" t="str">
        <f t="shared" si="43"/>
        <v/>
      </c>
      <c r="FN149" s="610" t="str">
        <f t="shared" si="43"/>
        <v/>
      </c>
      <c r="FO149" s="610" t="str">
        <f t="shared" si="43"/>
        <v/>
      </c>
      <c r="FP149" s="610" t="str">
        <f t="shared" si="43"/>
        <v>Perennial crop 2.5%</v>
      </c>
      <c r="FQ149" s="610" t="str">
        <f t="shared" si="43"/>
        <v/>
      </c>
      <c r="FR149" s="610" t="str">
        <f t="shared" si="43"/>
        <v/>
      </c>
      <c r="FS149" s="610" t="str">
        <f t="shared" si="43"/>
        <v>Perennial crop 2.5%</v>
      </c>
      <c r="FT149" s="610" t="str">
        <f t="shared" si="43"/>
        <v/>
      </c>
      <c r="FU149" s="610" t="str">
        <f t="shared" si="43"/>
        <v>Perennial crop 2.5%</v>
      </c>
      <c r="FV149" s="610" t="str">
        <f t="shared" si="43"/>
        <v>Perennial crop 2.5%</v>
      </c>
      <c r="FW149" s="610" t="str">
        <f t="shared" si="43"/>
        <v/>
      </c>
      <c r="FX149" s="610" t="str">
        <f t="shared" si="43"/>
        <v/>
      </c>
      <c r="FY149" s="610" t="str">
        <f t="shared" si="43"/>
        <v>Perennial crop 2.5%</v>
      </c>
      <c r="FZ149" s="610" t="str">
        <f t="shared" si="43"/>
        <v/>
      </c>
      <c r="GA149" s="610" t="str">
        <f t="shared" si="43"/>
        <v>Perennial crop 2.5%</v>
      </c>
      <c r="GB149" s="610" t="str">
        <f t="shared" si="43"/>
        <v>Perennial crop 2.5%</v>
      </c>
      <c r="GC149" s="610" t="str">
        <f t="shared" si="43"/>
        <v/>
      </c>
      <c r="GD149" s="610" t="str">
        <f t="shared" si="43"/>
        <v>Perennial crop 2.5%</v>
      </c>
      <c r="GE149" s="610" t="str">
        <f t="shared" si="43"/>
        <v>Perennial crop 2.5%</v>
      </c>
      <c r="GF149" s="610" t="str">
        <f t="shared" si="43"/>
        <v>Perennial crop 2.5%</v>
      </c>
      <c r="GG149" s="610" t="str">
        <f t="shared" si="43"/>
        <v/>
      </c>
      <c r="GH149" s="610" t="str">
        <f t="shared" si="43"/>
        <v/>
      </c>
      <c r="GI149" s="610" t="str">
        <f t="shared" si="43"/>
        <v>Perennial crop 2.5%</v>
      </c>
      <c r="GJ149" s="610" t="str">
        <f t="shared" si="43"/>
        <v/>
      </c>
      <c r="GK149" s="610" t="str">
        <f t="shared" si="43"/>
        <v>Perennial crop 2.5%</v>
      </c>
      <c r="GL149" s="610" t="str">
        <f t="shared" si="43"/>
        <v>Perennial crop 2.5%</v>
      </c>
      <c r="GM149" s="610" t="str">
        <f t="shared" si="43"/>
        <v/>
      </c>
      <c r="GN149" s="610" t="str">
        <f t="shared" si="43"/>
        <v>Perennial crop 2.5%</v>
      </c>
      <c r="GO149" s="610" t="str">
        <f t="shared" si="43"/>
        <v>Perennial crop 2.5%</v>
      </c>
      <c r="GP149" s="610" t="str">
        <f t="shared" si="43"/>
        <v>Perennial crop 2.5%</v>
      </c>
      <c r="GQ149" s="610" t="str">
        <f t="shared" si="43"/>
        <v/>
      </c>
      <c r="GR149" s="610" t="str">
        <f t="shared" si="43"/>
        <v>Perennial crop 2.5%</v>
      </c>
      <c r="GS149" s="610" t="str">
        <f t="shared" si="43"/>
        <v>Perennial crop 2.5%</v>
      </c>
      <c r="GT149" s="610" t="str">
        <f t="shared" si="43"/>
        <v>Perennial crop 2.5%</v>
      </c>
      <c r="GU149" s="610" t="str">
        <f t="shared" si="43"/>
        <v>Perennial crop 2.5%</v>
      </c>
      <c r="GV149" s="610" t="str">
        <f t="shared" si="43"/>
        <v/>
      </c>
      <c r="GW149" s="610" t="str">
        <f t="shared" si="43"/>
        <v/>
      </c>
      <c r="GX149" s="610" t="str">
        <f t="shared" ref="GX149:IY149" si="44">IFERROR(INDEX($J$152:$J$159,GX159)&amp;" "&amp;IF(INDEX($K$152:$K$159,GX159)&lt;0.1,FIXED(INDEX($K$152:$K$159,GX159)*100,1),FIXED(INDEX($K$152:$K$159,GX159)*100,0))&amp;"%","")</f>
        <v>Perennial crop 2.5%</v>
      </c>
      <c r="GY149" s="610" t="str">
        <f t="shared" si="44"/>
        <v/>
      </c>
      <c r="GZ149" s="610" t="str">
        <f t="shared" si="44"/>
        <v>Perennial crop 2.5%</v>
      </c>
      <c r="HA149" s="610" t="str">
        <f t="shared" si="44"/>
        <v>Perennial crop 2.5%</v>
      </c>
      <c r="HB149" s="610" t="str">
        <f t="shared" si="44"/>
        <v/>
      </c>
      <c r="HC149" s="610" t="str">
        <f t="shared" si="44"/>
        <v>Perennial crop 2.5%</v>
      </c>
      <c r="HD149" s="610" t="str">
        <f t="shared" si="44"/>
        <v>Perennial crop 2.5%</v>
      </c>
      <c r="HE149" s="610" t="str">
        <f t="shared" si="44"/>
        <v>Perennial crop 2.5%</v>
      </c>
      <c r="HF149" s="610" t="str">
        <f t="shared" si="44"/>
        <v/>
      </c>
      <c r="HG149" s="610" t="str">
        <f t="shared" si="44"/>
        <v>Perennial crop 2.5%</v>
      </c>
      <c r="HH149" s="610" t="str">
        <f t="shared" si="44"/>
        <v>Perennial crop 2.5%</v>
      </c>
      <c r="HI149" s="610" t="str">
        <f t="shared" si="44"/>
        <v>Perennial crop 2.5%</v>
      </c>
      <c r="HJ149" s="610" t="str">
        <f t="shared" si="44"/>
        <v>Perennial crop 2.5%</v>
      </c>
      <c r="HK149" s="610" t="str">
        <f t="shared" si="44"/>
        <v/>
      </c>
      <c r="HL149" s="610" t="str">
        <f t="shared" si="44"/>
        <v>Perennial crop 2.5%</v>
      </c>
      <c r="HM149" s="610" t="str">
        <f t="shared" si="44"/>
        <v>Perennial crop 2.5%</v>
      </c>
      <c r="HN149" s="610" t="str">
        <f t="shared" si="44"/>
        <v>Perennial crop 2.5%</v>
      </c>
      <c r="HO149" s="610" t="str">
        <f t="shared" si="44"/>
        <v>Perennial crop 2.5%</v>
      </c>
      <c r="HP149" s="610" t="str">
        <f t="shared" si="44"/>
        <v>Perennial crop 2.5%</v>
      </c>
      <c r="HQ149" s="610" t="str">
        <f t="shared" si="44"/>
        <v/>
      </c>
      <c r="HR149" s="610" t="str">
        <f t="shared" si="44"/>
        <v/>
      </c>
      <c r="HS149" s="610" t="str">
        <f t="shared" si="44"/>
        <v>Perennial crop 2.5%</v>
      </c>
      <c r="HT149" s="610" t="str">
        <f t="shared" si="44"/>
        <v/>
      </c>
      <c r="HU149" s="610" t="str">
        <f t="shared" si="44"/>
        <v>Perennial crop 2.5%</v>
      </c>
      <c r="HV149" s="610" t="str">
        <f t="shared" si="44"/>
        <v>Perennial crop 2.5%</v>
      </c>
      <c r="HW149" s="610" t="str">
        <f t="shared" si="44"/>
        <v/>
      </c>
      <c r="HX149" s="610" t="str">
        <f t="shared" si="44"/>
        <v>Perennial crop 2.5%</v>
      </c>
      <c r="HY149" s="610" t="str">
        <f t="shared" si="44"/>
        <v>Perennial crop 2.5%</v>
      </c>
      <c r="HZ149" s="610" t="str">
        <f t="shared" si="44"/>
        <v>Perennial crop 2.5%</v>
      </c>
      <c r="IA149" s="610" t="str">
        <f t="shared" si="44"/>
        <v/>
      </c>
      <c r="IB149" s="610" t="str">
        <f t="shared" si="44"/>
        <v>Perennial crop 2.5%</v>
      </c>
      <c r="IC149" s="610" t="str">
        <f t="shared" si="44"/>
        <v>Perennial crop 2.5%</v>
      </c>
      <c r="ID149" s="610" t="str">
        <f t="shared" si="44"/>
        <v>Perennial crop 2.5%</v>
      </c>
      <c r="IE149" s="610" t="str">
        <f t="shared" si="44"/>
        <v>Perennial crop 2.5%</v>
      </c>
      <c r="IF149" s="610" t="str">
        <f t="shared" si="44"/>
        <v/>
      </c>
      <c r="IG149" s="610" t="str">
        <f t="shared" si="44"/>
        <v>Perennial crop 2.5%</v>
      </c>
      <c r="IH149" s="610" t="str">
        <f t="shared" si="44"/>
        <v>Perennial crop 2.5%</v>
      </c>
      <c r="II149" s="610" t="str">
        <f t="shared" si="44"/>
        <v>Perennial crop 2.5%</v>
      </c>
      <c r="IJ149" s="610" t="str">
        <f t="shared" si="44"/>
        <v>Perennial crop 2.5%</v>
      </c>
      <c r="IK149" s="610" t="str">
        <f t="shared" si="44"/>
        <v>Perennial crop 2.5%</v>
      </c>
      <c r="IL149" s="610" t="str">
        <f t="shared" si="44"/>
        <v/>
      </c>
      <c r="IM149" s="610" t="str">
        <f t="shared" si="44"/>
        <v>Perennial crop 2.5%</v>
      </c>
      <c r="IN149" s="610" t="str">
        <f t="shared" si="44"/>
        <v>Perennial crop 2.5%</v>
      </c>
      <c r="IO149" s="610" t="str">
        <f t="shared" si="44"/>
        <v>Perennial crop 2.5%</v>
      </c>
      <c r="IP149" s="610" t="str">
        <f t="shared" si="44"/>
        <v>Perennial crop 2.5%</v>
      </c>
      <c r="IQ149" s="610" t="str">
        <f t="shared" si="44"/>
        <v>Perennial crop 2.5%</v>
      </c>
      <c r="IR149" s="610" t="str">
        <f t="shared" si="44"/>
        <v>Perennial crop 2.5%</v>
      </c>
      <c r="IS149" s="610" t="str">
        <f t="shared" si="44"/>
        <v/>
      </c>
      <c r="IT149" s="610" t="str">
        <f t="shared" si="44"/>
        <v>Perennial crop 2.5%</v>
      </c>
      <c r="IU149" s="610" t="str">
        <f t="shared" si="44"/>
        <v>Perennial crop 2.5%</v>
      </c>
      <c r="IV149" s="610" t="str">
        <f t="shared" si="44"/>
        <v>Perennial crop 2.5%</v>
      </c>
      <c r="IW149" s="610" t="str">
        <f t="shared" si="44"/>
        <v>Perennial crop 2.5%</v>
      </c>
      <c r="IX149" s="610" t="str">
        <f t="shared" si="44"/>
        <v>Perennial crop 2.5%</v>
      </c>
      <c r="IY149" s="610" t="str">
        <f t="shared" si="44"/>
        <v>Perennial crop 2.5%</v>
      </c>
    </row>
    <row r="150" spans="1:259" s="190" customFormat="1" x14ac:dyDescent="0.25">
      <c r="A150" s="209"/>
      <c r="B150" s="209"/>
      <c r="C150" s="209"/>
      <c r="D150" s="209"/>
      <c r="E150" s="209"/>
      <c r="F150" s="209"/>
      <c r="G150" s="209"/>
      <c r="H150" s="209"/>
      <c r="I150" s="209"/>
      <c r="J150" s="209"/>
      <c r="K150" s="209"/>
      <c r="L150" s="209"/>
      <c r="M150" s="209"/>
      <c r="N150" s="209"/>
      <c r="O150" s="673"/>
      <c r="P150" s="673"/>
      <c r="Q150" s="673"/>
      <c r="R150" s="673"/>
      <c r="S150" s="673"/>
      <c r="T150" s="673"/>
      <c r="U150" s="673"/>
      <c r="V150" s="673"/>
      <c r="W150" s="673"/>
      <c r="X150" s="673"/>
      <c r="Y150" s="673"/>
      <c r="Z150" s="673"/>
      <c r="AA150" s="611"/>
      <c r="AB150" s="611"/>
      <c r="AC150" s="611"/>
      <c r="AD150" s="611"/>
      <c r="AE150" s="611"/>
      <c r="AF150" s="611"/>
      <c r="AG150" s="611"/>
      <c r="AH150" s="611"/>
      <c r="AI150" s="611"/>
      <c r="AJ150" s="611"/>
      <c r="AK150" s="611"/>
      <c r="AL150" s="611"/>
      <c r="AM150" s="611"/>
      <c r="AN150" s="611"/>
      <c r="AO150" s="611"/>
      <c r="AP150" s="611"/>
      <c r="AQ150" s="611"/>
      <c r="AR150" s="611"/>
      <c r="AS150" s="611"/>
      <c r="AT150" s="611"/>
      <c r="AU150" s="611"/>
      <c r="AV150" s="611"/>
      <c r="AW150" s="611"/>
      <c r="AX150" s="611"/>
      <c r="AY150" s="611"/>
      <c r="AZ150" s="611"/>
      <c r="BA150" s="611"/>
      <c r="BB150" s="611"/>
      <c r="BC150" s="611"/>
      <c r="BD150" s="611"/>
      <c r="BE150" s="611"/>
      <c r="BF150" s="611"/>
      <c r="BG150" s="611"/>
      <c r="BH150" s="611"/>
      <c r="BI150" s="611"/>
      <c r="BJ150" s="611"/>
      <c r="BK150" s="611"/>
      <c r="BL150" s="611"/>
      <c r="BM150" s="611"/>
      <c r="BN150" s="611"/>
      <c r="BO150" s="611"/>
      <c r="BP150" s="611"/>
      <c r="BQ150" s="611"/>
      <c r="BR150" s="611"/>
      <c r="BS150" s="611"/>
      <c r="BT150" s="611"/>
      <c r="BU150" s="611"/>
      <c r="BV150" s="611"/>
      <c r="BW150" s="611"/>
      <c r="BX150" s="611"/>
      <c r="BY150" s="611"/>
      <c r="BZ150" s="611"/>
      <c r="CA150" s="611"/>
      <c r="CB150" s="611"/>
      <c r="CC150" s="611"/>
      <c r="CD150" s="611"/>
      <c r="CE150" s="611"/>
      <c r="CF150" s="611"/>
      <c r="CG150" s="611"/>
      <c r="CH150" s="611"/>
      <c r="CI150" s="611"/>
      <c r="CJ150" s="611"/>
      <c r="CK150" s="611"/>
      <c r="CL150" s="611"/>
      <c r="CM150" s="611"/>
      <c r="CN150" s="611"/>
      <c r="CO150" s="611"/>
      <c r="CP150" s="611"/>
      <c r="CQ150" s="611"/>
      <c r="CR150" s="611"/>
      <c r="CS150" s="611"/>
      <c r="CT150" s="611"/>
      <c r="CU150" s="611"/>
      <c r="CV150" s="611"/>
      <c r="CW150" s="611"/>
      <c r="CX150" s="611"/>
      <c r="CY150" s="611"/>
      <c r="CZ150" s="611"/>
      <c r="DA150" s="611"/>
      <c r="DB150" s="611"/>
      <c r="DC150" s="611"/>
      <c r="DD150" s="611"/>
      <c r="DE150" s="611"/>
      <c r="DF150" s="611"/>
      <c r="DG150" s="611"/>
      <c r="DH150" s="611"/>
      <c r="DI150" s="611"/>
      <c r="DJ150" s="611"/>
      <c r="DK150" s="611"/>
      <c r="DL150" s="611"/>
      <c r="DM150" s="611"/>
      <c r="DN150" s="611"/>
      <c r="DO150" s="611"/>
      <c r="DP150" s="611"/>
      <c r="DQ150" s="611"/>
      <c r="DR150" s="611"/>
      <c r="DS150" s="611"/>
      <c r="DT150" s="611"/>
      <c r="DU150" s="611"/>
      <c r="DV150" s="611"/>
      <c r="DW150" s="611"/>
      <c r="DX150" s="611"/>
      <c r="DY150" s="611"/>
      <c r="DZ150" s="611"/>
      <c r="EA150" s="611"/>
      <c r="EB150" s="611"/>
      <c r="EC150" s="611"/>
      <c r="ED150" s="611"/>
      <c r="EE150" s="611"/>
      <c r="EF150" s="611"/>
      <c r="EG150" s="611"/>
      <c r="EH150" s="611"/>
      <c r="EI150" s="611"/>
      <c r="EJ150" s="611"/>
      <c r="EK150" s="611"/>
      <c r="EL150" s="611"/>
      <c r="EM150" s="611"/>
      <c r="EN150" s="611"/>
      <c r="EO150" s="611"/>
      <c r="EP150" s="611"/>
      <c r="EQ150" s="611"/>
      <c r="ER150" s="611"/>
      <c r="ES150" s="611"/>
      <c r="ET150" s="611"/>
      <c r="EU150" s="611"/>
      <c r="EV150" s="611"/>
      <c r="EW150" s="611"/>
      <c r="EX150" s="611"/>
      <c r="EY150" s="611"/>
      <c r="EZ150" s="611"/>
      <c r="FA150" s="611"/>
      <c r="FB150" s="611"/>
      <c r="FC150" s="611"/>
      <c r="FD150" s="611"/>
      <c r="FE150" s="611"/>
      <c r="FF150" s="611"/>
      <c r="FG150" s="611"/>
      <c r="FH150" s="611"/>
      <c r="FI150" s="611"/>
      <c r="FJ150" s="611"/>
      <c r="FK150" s="611"/>
      <c r="FL150" s="611"/>
      <c r="FM150" s="611"/>
      <c r="FN150" s="611"/>
      <c r="FO150" s="611"/>
      <c r="FP150" s="611"/>
      <c r="FQ150" s="611"/>
      <c r="FR150" s="611"/>
      <c r="FS150" s="611"/>
      <c r="FT150" s="611"/>
      <c r="FU150" s="611"/>
      <c r="FV150" s="611"/>
      <c r="FW150" s="611"/>
      <c r="FX150" s="611"/>
      <c r="FY150" s="611"/>
      <c r="FZ150" s="611"/>
      <c r="GA150" s="611"/>
      <c r="GB150" s="611"/>
      <c r="GC150" s="611"/>
      <c r="GD150" s="611"/>
      <c r="GE150" s="611"/>
      <c r="GF150" s="611"/>
      <c r="GG150" s="611"/>
      <c r="GH150" s="611"/>
      <c r="GI150" s="611"/>
      <c r="GJ150" s="611"/>
      <c r="GK150" s="611"/>
      <c r="GL150" s="611"/>
      <c r="GM150" s="611"/>
      <c r="GN150" s="611"/>
      <c r="GO150" s="611"/>
      <c r="GP150" s="611"/>
      <c r="GQ150" s="611"/>
      <c r="GR150" s="611"/>
      <c r="GS150" s="611"/>
      <c r="GT150" s="611"/>
      <c r="GU150" s="611"/>
      <c r="GV150" s="611"/>
      <c r="GW150" s="611"/>
      <c r="GX150" s="611"/>
      <c r="GY150" s="611"/>
      <c r="GZ150" s="611"/>
      <c r="HA150" s="611"/>
      <c r="HB150" s="611"/>
      <c r="HC150" s="611"/>
      <c r="HD150" s="611"/>
      <c r="HE150" s="611"/>
      <c r="HF150" s="611"/>
      <c r="HG150" s="611"/>
      <c r="HH150" s="611"/>
      <c r="HI150" s="611"/>
      <c r="HJ150" s="611"/>
      <c r="HK150" s="611"/>
      <c r="HL150" s="611"/>
      <c r="HM150" s="611"/>
      <c r="HN150" s="611"/>
      <c r="HO150" s="611"/>
      <c r="HP150" s="611"/>
      <c r="HQ150" s="611"/>
      <c r="HR150" s="611"/>
      <c r="HS150" s="611"/>
      <c r="HT150" s="611"/>
      <c r="HU150" s="611"/>
      <c r="HV150" s="611"/>
      <c r="HW150" s="611"/>
      <c r="HX150" s="611"/>
      <c r="HY150" s="611"/>
      <c r="HZ150" s="611"/>
      <c r="IA150" s="611"/>
      <c r="IB150" s="611"/>
      <c r="IC150" s="611"/>
      <c r="ID150" s="611"/>
      <c r="IE150" s="611"/>
      <c r="IF150" s="611"/>
      <c r="IG150" s="611"/>
      <c r="IH150" s="611"/>
      <c r="II150" s="611"/>
      <c r="IJ150" s="611"/>
      <c r="IK150" s="611"/>
      <c r="IL150" s="611"/>
      <c r="IM150" s="611"/>
      <c r="IN150" s="611"/>
      <c r="IO150" s="611"/>
      <c r="IP150" s="611"/>
      <c r="IQ150" s="611"/>
      <c r="IR150" s="611"/>
      <c r="IS150" s="611"/>
      <c r="IT150" s="611"/>
      <c r="IU150" s="611"/>
      <c r="IV150" s="611"/>
      <c r="IW150" s="611"/>
      <c r="IX150" s="611"/>
      <c r="IY150" s="611"/>
    </row>
    <row r="151" spans="1:259" s="190" customFormat="1" x14ac:dyDescent="0.25">
      <c r="A151" s="209"/>
      <c r="B151" s="209"/>
      <c r="C151" s="209"/>
      <c r="D151" s="196"/>
      <c r="E151" s="209"/>
      <c r="F151" s="209"/>
      <c r="G151" s="209"/>
      <c r="H151" s="209"/>
      <c r="I151" s="209"/>
      <c r="J151" s="209"/>
      <c r="K151" s="209"/>
      <c r="L151" s="209"/>
      <c r="M151" s="209"/>
      <c r="N151" s="209"/>
      <c r="O151" s="673"/>
      <c r="P151" s="673"/>
      <c r="Q151" s="673"/>
      <c r="R151" s="673"/>
      <c r="S151" s="673"/>
      <c r="T151" s="673"/>
      <c r="U151" s="673"/>
      <c r="V151" s="673"/>
      <c r="W151" s="673"/>
      <c r="X151" s="673"/>
      <c r="Y151" s="673"/>
      <c r="Z151" s="673"/>
      <c r="AA151" s="611"/>
      <c r="AB151" s="611"/>
      <c r="AC151" s="611"/>
      <c r="AD151" s="611"/>
      <c r="AE151" s="611"/>
      <c r="AF151" s="611"/>
      <c r="AG151" s="611"/>
      <c r="AH151" s="611"/>
      <c r="AI151" s="611"/>
      <c r="AJ151" s="611"/>
      <c r="AK151" s="611"/>
      <c r="AL151" s="611"/>
      <c r="AM151" s="611"/>
      <c r="AN151" s="611"/>
      <c r="AO151" s="611"/>
      <c r="AP151" s="611"/>
      <c r="AQ151" s="611"/>
      <c r="AR151" s="611"/>
      <c r="AS151" s="611"/>
      <c r="AT151" s="611"/>
      <c r="AU151" s="611"/>
      <c r="AV151" s="611"/>
      <c r="AW151" s="611"/>
      <c r="AX151" s="611"/>
      <c r="AY151" s="611"/>
      <c r="AZ151" s="611"/>
      <c r="BA151" s="611"/>
      <c r="BB151" s="611"/>
      <c r="BC151" s="611"/>
      <c r="BD151" s="611"/>
      <c r="BE151" s="611"/>
      <c r="BF151" s="611"/>
      <c r="BG151" s="611"/>
      <c r="BH151" s="611"/>
      <c r="BI151" s="611"/>
      <c r="BJ151" s="611"/>
      <c r="BK151" s="611"/>
      <c r="BL151" s="611"/>
      <c r="BM151" s="611"/>
      <c r="BN151" s="611"/>
      <c r="BO151" s="611"/>
      <c r="BP151" s="611"/>
      <c r="BQ151" s="611"/>
      <c r="BR151" s="611"/>
      <c r="BS151" s="611"/>
      <c r="BT151" s="611"/>
      <c r="BU151" s="611"/>
      <c r="BV151" s="611"/>
      <c r="BW151" s="611"/>
      <c r="BX151" s="611"/>
      <c r="BY151" s="611"/>
      <c r="BZ151" s="611"/>
      <c r="CA151" s="611"/>
      <c r="CB151" s="611"/>
      <c r="CC151" s="611"/>
      <c r="CD151" s="611"/>
      <c r="CE151" s="611"/>
      <c r="CF151" s="611"/>
      <c r="CG151" s="611"/>
      <c r="CH151" s="611"/>
      <c r="CI151" s="611"/>
      <c r="CJ151" s="611"/>
      <c r="CK151" s="611"/>
      <c r="CL151" s="611"/>
      <c r="CM151" s="611"/>
      <c r="CN151" s="611"/>
      <c r="CO151" s="611"/>
      <c r="CP151" s="611"/>
      <c r="CQ151" s="611"/>
      <c r="CR151" s="611"/>
      <c r="CS151" s="611"/>
      <c r="CT151" s="611"/>
      <c r="CU151" s="611"/>
      <c r="CV151" s="611"/>
      <c r="CW151" s="611"/>
      <c r="CX151" s="611"/>
      <c r="CY151" s="611"/>
      <c r="CZ151" s="611"/>
      <c r="DA151" s="611"/>
      <c r="DB151" s="611"/>
      <c r="DC151" s="611"/>
      <c r="DD151" s="611"/>
      <c r="DE151" s="611"/>
      <c r="DF151" s="611"/>
      <c r="DG151" s="611"/>
      <c r="DH151" s="611"/>
      <c r="DI151" s="611"/>
      <c r="DJ151" s="611"/>
      <c r="DK151" s="611"/>
      <c r="DL151" s="611"/>
      <c r="DM151" s="611"/>
      <c r="DN151" s="611"/>
      <c r="DO151" s="611"/>
      <c r="DP151" s="611"/>
      <c r="DQ151" s="611"/>
      <c r="DR151" s="611"/>
      <c r="DS151" s="611"/>
      <c r="DT151" s="611"/>
      <c r="DU151" s="611"/>
      <c r="DV151" s="611"/>
      <c r="DW151" s="611"/>
      <c r="DX151" s="611"/>
      <c r="DY151" s="611"/>
      <c r="DZ151" s="611"/>
      <c r="EA151" s="611"/>
      <c r="EB151" s="611"/>
      <c r="EC151" s="611"/>
      <c r="ED151" s="611"/>
      <c r="EE151" s="611"/>
      <c r="EF151" s="611"/>
      <c r="EG151" s="611"/>
      <c r="EH151" s="611"/>
      <c r="EI151" s="611"/>
      <c r="EJ151" s="611"/>
      <c r="EK151" s="611"/>
      <c r="EL151" s="611"/>
      <c r="EM151" s="611"/>
      <c r="EN151" s="611"/>
      <c r="EO151" s="611"/>
      <c r="EP151" s="611"/>
      <c r="EQ151" s="611"/>
      <c r="ER151" s="611"/>
      <c r="ES151" s="611"/>
      <c r="ET151" s="611"/>
      <c r="EU151" s="611"/>
      <c r="EV151" s="611"/>
      <c r="EW151" s="611"/>
      <c r="EX151" s="611"/>
      <c r="EY151" s="611"/>
      <c r="EZ151" s="611"/>
      <c r="FA151" s="611"/>
      <c r="FB151" s="611"/>
      <c r="FC151" s="611"/>
      <c r="FD151" s="611"/>
      <c r="FE151" s="611"/>
      <c r="FF151" s="611"/>
      <c r="FG151" s="611"/>
      <c r="FH151" s="611"/>
      <c r="FI151" s="611"/>
      <c r="FJ151" s="611"/>
      <c r="FK151" s="611"/>
      <c r="FL151" s="611"/>
      <c r="FM151" s="611"/>
      <c r="FN151" s="611"/>
      <c r="FO151" s="611"/>
      <c r="FP151" s="611"/>
      <c r="FQ151" s="611"/>
      <c r="FR151" s="611"/>
      <c r="FS151" s="611"/>
      <c r="FT151" s="611"/>
      <c r="FU151" s="611"/>
      <c r="FV151" s="611"/>
      <c r="FW151" s="611"/>
      <c r="FX151" s="611"/>
      <c r="FY151" s="611"/>
      <c r="FZ151" s="611"/>
      <c r="GA151" s="611"/>
      <c r="GB151" s="611"/>
      <c r="GC151" s="611"/>
      <c r="GD151" s="611"/>
      <c r="GE151" s="611"/>
      <c r="GF151" s="611"/>
      <c r="GG151" s="611"/>
      <c r="GH151" s="611"/>
      <c r="GI151" s="611"/>
      <c r="GJ151" s="611"/>
      <c r="GK151" s="611"/>
      <c r="GL151" s="611"/>
      <c r="GM151" s="611"/>
      <c r="GN151" s="611"/>
      <c r="GO151" s="611"/>
      <c r="GP151" s="611"/>
      <c r="GQ151" s="611"/>
      <c r="GR151" s="611"/>
      <c r="GS151" s="611"/>
      <c r="GT151" s="611"/>
      <c r="GU151" s="611"/>
      <c r="GV151" s="611"/>
      <c r="GW151" s="611"/>
      <c r="GX151" s="611"/>
      <c r="GY151" s="611"/>
      <c r="GZ151" s="611"/>
      <c r="HA151" s="611"/>
      <c r="HB151" s="611"/>
      <c r="HC151" s="611"/>
      <c r="HD151" s="611"/>
      <c r="HE151" s="611"/>
      <c r="HF151" s="611"/>
      <c r="HG151" s="611"/>
      <c r="HH151" s="611"/>
      <c r="HI151" s="611"/>
      <c r="HJ151" s="611"/>
      <c r="HK151" s="611"/>
      <c r="HL151" s="611"/>
      <c r="HM151" s="611"/>
      <c r="HN151" s="611"/>
      <c r="HO151" s="611"/>
      <c r="HP151" s="611"/>
      <c r="HQ151" s="611"/>
      <c r="HR151" s="611"/>
      <c r="HS151" s="611"/>
      <c r="HT151" s="611"/>
      <c r="HU151" s="611"/>
      <c r="HV151" s="611"/>
      <c r="HW151" s="611"/>
      <c r="HX151" s="611"/>
      <c r="HY151" s="611"/>
      <c r="HZ151" s="611"/>
      <c r="IA151" s="611"/>
      <c r="IB151" s="611"/>
      <c r="IC151" s="611"/>
      <c r="ID151" s="611"/>
      <c r="IE151" s="611"/>
      <c r="IF151" s="611"/>
      <c r="IG151" s="611"/>
      <c r="IH151" s="611"/>
      <c r="II151" s="611"/>
      <c r="IJ151" s="611"/>
      <c r="IK151" s="611"/>
      <c r="IL151" s="611"/>
      <c r="IM151" s="611"/>
      <c r="IN151" s="611"/>
      <c r="IO151" s="611"/>
      <c r="IP151" s="611"/>
      <c r="IQ151" s="611"/>
      <c r="IR151" s="611"/>
      <c r="IS151" s="611"/>
      <c r="IT151" s="611"/>
      <c r="IU151" s="611"/>
      <c r="IV151" s="611"/>
      <c r="IW151" s="611"/>
      <c r="IX151" s="611"/>
      <c r="IY151" s="611"/>
    </row>
    <row r="152" spans="1:259" s="190" customFormat="1" x14ac:dyDescent="0.25">
      <c r="A152" s="209"/>
      <c r="B152" s="209"/>
      <c r="C152" s="209"/>
      <c r="D152" s="209"/>
      <c r="E152" s="209"/>
      <c r="F152" s="209"/>
      <c r="G152" s="674"/>
      <c r="H152" s="209"/>
      <c r="I152" s="209">
        <v>1</v>
      </c>
      <c r="J152" s="675" t="s">
        <v>765</v>
      </c>
      <c r="K152" s="663">
        <f>E10</f>
        <v>0.71142092356720421</v>
      </c>
      <c r="L152" s="209"/>
      <c r="M152" s="209"/>
      <c r="N152" s="209">
        <v>1</v>
      </c>
      <c r="O152" s="673">
        <v>1</v>
      </c>
      <c r="P152" s="673">
        <v>1</v>
      </c>
      <c r="Q152" s="673">
        <v>1</v>
      </c>
      <c r="R152" s="673">
        <v>1</v>
      </c>
      <c r="S152" s="673">
        <v>1</v>
      </c>
      <c r="T152" s="673">
        <v>1</v>
      </c>
      <c r="U152" s="673">
        <v>1</v>
      </c>
      <c r="V152" s="673" t="s">
        <v>473</v>
      </c>
      <c r="W152" s="673" t="s">
        <v>473</v>
      </c>
      <c r="X152" s="673" t="s">
        <v>473</v>
      </c>
      <c r="Y152" s="673" t="s">
        <v>473</v>
      </c>
      <c r="Z152" s="673" t="s">
        <v>473</v>
      </c>
      <c r="AA152" s="611" t="s">
        <v>473</v>
      </c>
      <c r="AB152" s="611" t="s">
        <v>473</v>
      </c>
      <c r="AC152" s="611" t="s">
        <v>473</v>
      </c>
      <c r="AD152" s="611" t="s">
        <v>473</v>
      </c>
      <c r="AE152" s="611" t="s">
        <v>473</v>
      </c>
      <c r="AF152" s="611" t="s">
        <v>473</v>
      </c>
      <c r="AG152" s="611" t="s">
        <v>473</v>
      </c>
      <c r="AH152" s="611" t="s">
        <v>473</v>
      </c>
      <c r="AI152" s="611" t="s">
        <v>473</v>
      </c>
      <c r="AJ152" s="611" t="s">
        <v>473</v>
      </c>
      <c r="AK152" s="611" t="s">
        <v>473</v>
      </c>
      <c r="AL152" s="611" t="s">
        <v>473</v>
      </c>
      <c r="AM152" s="611" t="s">
        <v>473</v>
      </c>
      <c r="AN152" s="611" t="s">
        <v>473</v>
      </c>
      <c r="AO152" s="611" t="s">
        <v>473</v>
      </c>
      <c r="AP152" s="611" t="s">
        <v>473</v>
      </c>
      <c r="AQ152" s="611">
        <v>1</v>
      </c>
      <c r="AR152" s="611">
        <v>1</v>
      </c>
      <c r="AS152" s="611">
        <v>1</v>
      </c>
      <c r="AT152" s="611">
        <v>1</v>
      </c>
      <c r="AU152" s="611">
        <v>1</v>
      </c>
      <c r="AV152" s="611">
        <v>1</v>
      </c>
      <c r="AW152" s="611">
        <v>1</v>
      </c>
      <c r="AX152" s="611">
        <v>1</v>
      </c>
      <c r="AY152" s="611">
        <v>1</v>
      </c>
      <c r="AZ152" s="611">
        <v>1</v>
      </c>
      <c r="BA152" s="611">
        <v>1</v>
      </c>
      <c r="BB152" s="611">
        <v>1</v>
      </c>
      <c r="BC152" s="611">
        <v>1</v>
      </c>
      <c r="BD152" s="611">
        <v>1</v>
      </c>
      <c r="BE152" s="611">
        <v>1</v>
      </c>
      <c r="BF152" s="611">
        <v>1</v>
      </c>
      <c r="BG152" s="611">
        <v>1</v>
      </c>
      <c r="BH152" s="611">
        <v>1</v>
      </c>
      <c r="BI152" s="611">
        <v>1</v>
      </c>
      <c r="BJ152" s="611">
        <v>1</v>
      </c>
      <c r="BK152" s="611">
        <v>1</v>
      </c>
      <c r="BL152" s="611" t="s">
        <v>473</v>
      </c>
      <c r="BM152" s="611" t="s">
        <v>473</v>
      </c>
      <c r="BN152" s="611" t="s">
        <v>473</v>
      </c>
      <c r="BO152" s="611" t="s">
        <v>473</v>
      </c>
      <c r="BP152" s="611" t="s">
        <v>473</v>
      </c>
      <c r="BQ152" s="611" t="s">
        <v>473</v>
      </c>
      <c r="BR152" s="611" t="s">
        <v>473</v>
      </c>
      <c r="BS152" s="611" t="s">
        <v>473</v>
      </c>
      <c r="BT152" s="611" t="s">
        <v>473</v>
      </c>
      <c r="BU152" s="611" t="s">
        <v>473</v>
      </c>
      <c r="BV152" s="611" t="s">
        <v>473</v>
      </c>
      <c r="BW152" s="611" t="s">
        <v>473</v>
      </c>
      <c r="BX152" s="611" t="s">
        <v>473</v>
      </c>
      <c r="BY152" s="611" t="s">
        <v>473</v>
      </c>
      <c r="BZ152" s="611" t="s">
        <v>473</v>
      </c>
      <c r="CA152" s="611" t="s">
        <v>473</v>
      </c>
      <c r="CB152" s="611" t="s">
        <v>473</v>
      </c>
      <c r="CC152" s="611" t="s">
        <v>473</v>
      </c>
      <c r="CD152" s="611" t="s">
        <v>473</v>
      </c>
      <c r="CE152" s="611" t="s">
        <v>473</v>
      </c>
      <c r="CF152" s="611" t="s">
        <v>473</v>
      </c>
      <c r="CG152" s="611" t="s">
        <v>473</v>
      </c>
      <c r="CH152" s="611" t="s">
        <v>473</v>
      </c>
      <c r="CI152" s="611" t="s">
        <v>473</v>
      </c>
      <c r="CJ152" s="611" t="s">
        <v>473</v>
      </c>
      <c r="CK152" s="611" t="s">
        <v>473</v>
      </c>
      <c r="CL152" s="611" t="s">
        <v>473</v>
      </c>
      <c r="CM152" s="611" t="s">
        <v>473</v>
      </c>
      <c r="CN152" s="611" t="s">
        <v>473</v>
      </c>
      <c r="CO152" s="611" t="s">
        <v>473</v>
      </c>
      <c r="CP152" s="611" t="s">
        <v>473</v>
      </c>
      <c r="CQ152" s="611" t="s">
        <v>473</v>
      </c>
      <c r="CR152" s="611" t="s">
        <v>473</v>
      </c>
      <c r="CS152" s="611" t="s">
        <v>473</v>
      </c>
      <c r="CT152" s="611" t="s">
        <v>473</v>
      </c>
      <c r="CU152" s="611">
        <v>1</v>
      </c>
      <c r="CV152" s="611">
        <v>1</v>
      </c>
      <c r="CW152" s="611">
        <v>1</v>
      </c>
      <c r="CX152" s="611">
        <v>1</v>
      </c>
      <c r="CY152" s="611">
        <v>1</v>
      </c>
      <c r="CZ152" s="611">
        <v>1</v>
      </c>
      <c r="DA152" s="611">
        <v>1</v>
      </c>
      <c r="DB152" s="611">
        <v>1</v>
      </c>
      <c r="DC152" s="611">
        <v>1</v>
      </c>
      <c r="DD152" s="611">
        <v>1</v>
      </c>
      <c r="DE152" s="611">
        <v>1</v>
      </c>
      <c r="DF152" s="611">
        <v>1</v>
      </c>
      <c r="DG152" s="611">
        <v>1</v>
      </c>
      <c r="DH152" s="611">
        <v>1</v>
      </c>
      <c r="DI152" s="611">
        <v>1</v>
      </c>
      <c r="DJ152" s="611">
        <v>1</v>
      </c>
      <c r="DK152" s="611">
        <v>1</v>
      </c>
      <c r="DL152" s="611">
        <v>1</v>
      </c>
      <c r="DM152" s="611">
        <v>1</v>
      </c>
      <c r="DN152" s="611">
        <v>1</v>
      </c>
      <c r="DO152" s="611">
        <v>1</v>
      </c>
      <c r="DP152" s="611">
        <v>1</v>
      </c>
      <c r="DQ152" s="611">
        <v>1</v>
      </c>
      <c r="DR152" s="611">
        <v>1</v>
      </c>
      <c r="DS152" s="611">
        <v>1</v>
      </c>
      <c r="DT152" s="611">
        <v>1</v>
      </c>
      <c r="DU152" s="611">
        <v>1</v>
      </c>
      <c r="DV152" s="611">
        <v>1</v>
      </c>
      <c r="DW152" s="611">
        <v>1</v>
      </c>
      <c r="DX152" s="611">
        <v>1</v>
      </c>
      <c r="DY152" s="611">
        <v>1</v>
      </c>
      <c r="DZ152" s="611">
        <v>1</v>
      </c>
      <c r="EA152" s="611">
        <v>1</v>
      </c>
      <c r="EB152" s="611">
        <v>1</v>
      </c>
      <c r="EC152" s="611">
        <v>1</v>
      </c>
      <c r="ED152" s="611" t="s">
        <v>473</v>
      </c>
      <c r="EE152" s="611" t="s">
        <v>473</v>
      </c>
      <c r="EF152" s="611" t="s">
        <v>473</v>
      </c>
      <c r="EG152" s="611" t="s">
        <v>473</v>
      </c>
      <c r="EH152" s="611" t="s">
        <v>473</v>
      </c>
      <c r="EI152" s="611" t="s">
        <v>473</v>
      </c>
      <c r="EJ152" s="611" t="s">
        <v>473</v>
      </c>
      <c r="EK152" s="611" t="s">
        <v>473</v>
      </c>
      <c r="EL152" s="611" t="s">
        <v>473</v>
      </c>
      <c r="EM152" s="611" t="s">
        <v>473</v>
      </c>
      <c r="EN152" s="611" t="s">
        <v>473</v>
      </c>
      <c r="EO152" s="611" t="s">
        <v>473</v>
      </c>
      <c r="EP152" s="611" t="s">
        <v>473</v>
      </c>
      <c r="EQ152" s="611" t="s">
        <v>473</v>
      </c>
      <c r="ER152" s="611" t="s">
        <v>473</v>
      </c>
      <c r="ES152" s="611" t="s">
        <v>473</v>
      </c>
      <c r="ET152" s="611" t="s">
        <v>473</v>
      </c>
      <c r="EU152" s="611" t="s">
        <v>473</v>
      </c>
      <c r="EV152" s="611" t="s">
        <v>473</v>
      </c>
      <c r="EW152" s="611" t="s">
        <v>473</v>
      </c>
      <c r="EX152" s="611" t="s">
        <v>473</v>
      </c>
      <c r="EY152" s="611" t="s">
        <v>473</v>
      </c>
      <c r="EZ152" s="611" t="s">
        <v>473</v>
      </c>
      <c r="FA152" s="611" t="s">
        <v>473</v>
      </c>
      <c r="FB152" s="611" t="s">
        <v>473</v>
      </c>
      <c r="FC152" s="611" t="s">
        <v>473</v>
      </c>
      <c r="FD152" s="611" t="s">
        <v>473</v>
      </c>
      <c r="FE152" s="611" t="s">
        <v>473</v>
      </c>
      <c r="FF152" s="611" t="s">
        <v>473</v>
      </c>
      <c r="FG152" s="611" t="s">
        <v>473</v>
      </c>
      <c r="FH152" s="611" t="s">
        <v>473</v>
      </c>
      <c r="FI152" s="611" t="s">
        <v>473</v>
      </c>
      <c r="FJ152" s="611" t="s">
        <v>473</v>
      </c>
      <c r="FK152" s="611" t="s">
        <v>473</v>
      </c>
      <c r="FL152" s="611" t="s">
        <v>473</v>
      </c>
      <c r="FM152" s="611">
        <v>1</v>
      </c>
      <c r="FN152" s="611">
        <v>1</v>
      </c>
      <c r="FO152" s="611">
        <v>1</v>
      </c>
      <c r="FP152" s="611">
        <v>1</v>
      </c>
      <c r="FQ152" s="611">
        <v>1</v>
      </c>
      <c r="FR152" s="611">
        <v>1</v>
      </c>
      <c r="FS152" s="611">
        <v>1</v>
      </c>
      <c r="FT152" s="611">
        <v>1</v>
      </c>
      <c r="FU152" s="611">
        <v>1</v>
      </c>
      <c r="FV152" s="611">
        <v>1</v>
      </c>
      <c r="FW152" s="611">
        <v>1</v>
      </c>
      <c r="FX152" s="611">
        <v>1</v>
      </c>
      <c r="FY152" s="611">
        <v>1</v>
      </c>
      <c r="FZ152" s="611">
        <v>1</v>
      </c>
      <c r="GA152" s="611">
        <v>1</v>
      </c>
      <c r="GB152" s="611">
        <v>1</v>
      </c>
      <c r="GC152" s="611">
        <v>1</v>
      </c>
      <c r="GD152" s="611">
        <v>1</v>
      </c>
      <c r="GE152" s="611">
        <v>1</v>
      </c>
      <c r="GF152" s="611">
        <v>1</v>
      </c>
      <c r="GG152" s="611">
        <v>1</v>
      </c>
      <c r="GH152" s="611">
        <v>1</v>
      </c>
      <c r="GI152" s="611">
        <v>1</v>
      </c>
      <c r="GJ152" s="611">
        <v>1</v>
      </c>
      <c r="GK152" s="611">
        <v>1</v>
      </c>
      <c r="GL152" s="611">
        <v>1</v>
      </c>
      <c r="GM152" s="611">
        <v>1</v>
      </c>
      <c r="GN152" s="611">
        <v>1</v>
      </c>
      <c r="GO152" s="611">
        <v>1</v>
      </c>
      <c r="GP152" s="611">
        <v>1</v>
      </c>
      <c r="GQ152" s="611">
        <v>1</v>
      </c>
      <c r="GR152" s="611">
        <v>1</v>
      </c>
      <c r="GS152" s="611">
        <v>1</v>
      </c>
      <c r="GT152" s="611">
        <v>1</v>
      </c>
      <c r="GU152" s="611">
        <v>1</v>
      </c>
      <c r="GV152" s="611" t="s">
        <v>473</v>
      </c>
      <c r="GW152" s="611" t="s">
        <v>473</v>
      </c>
      <c r="GX152" s="611" t="s">
        <v>473</v>
      </c>
      <c r="GY152" s="611" t="s">
        <v>473</v>
      </c>
      <c r="GZ152" s="611" t="s">
        <v>473</v>
      </c>
      <c r="HA152" s="611" t="s">
        <v>473</v>
      </c>
      <c r="HB152" s="611" t="s">
        <v>473</v>
      </c>
      <c r="HC152" s="611" t="s">
        <v>473</v>
      </c>
      <c r="HD152" s="611" t="s">
        <v>473</v>
      </c>
      <c r="HE152" s="611" t="s">
        <v>473</v>
      </c>
      <c r="HF152" s="611" t="s">
        <v>473</v>
      </c>
      <c r="HG152" s="611" t="s">
        <v>473</v>
      </c>
      <c r="HH152" s="611" t="s">
        <v>473</v>
      </c>
      <c r="HI152" s="611" t="s">
        <v>473</v>
      </c>
      <c r="HJ152" s="611" t="s">
        <v>473</v>
      </c>
      <c r="HK152" s="611" t="s">
        <v>473</v>
      </c>
      <c r="HL152" s="611" t="s">
        <v>473</v>
      </c>
      <c r="HM152" s="611" t="s">
        <v>473</v>
      </c>
      <c r="HN152" s="611" t="s">
        <v>473</v>
      </c>
      <c r="HO152" s="611" t="s">
        <v>473</v>
      </c>
      <c r="HP152" s="611" t="s">
        <v>473</v>
      </c>
      <c r="HQ152" s="611">
        <v>1</v>
      </c>
      <c r="HR152" s="611">
        <v>1</v>
      </c>
      <c r="HS152" s="611">
        <v>1</v>
      </c>
      <c r="HT152" s="611">
        <v>1</v>
      </c>
      <c r="HU152" s="611">
        <v>1</v>
      </c>
      <c r="HV152" s="611">
        <v>1</v>
      </c>
      <c r="HW152" s="611">
        <v>1</v>
      </c>
      <c r="HX152" s="611">
        <v>1</v>
      </c>
      <c r="HY152" s="611">
        <v>1</v>
      </c>
      <c r="HZ152" s="611">
        <v>1</v>
      </c>
      <c r="IA152" s="611">
        <v>1</v>
      </c>
      <c r="IB152" s="611">
        <v>1</v>
      </c>
      <c r="IC152" s="611">
        <v>1</v>
      </c>
      <c r="ID152" s="611">
        <v>1</v>
      </c>
      <c r="IE152" s="611">
        <v>1</v>
      </c>
      <c r="IF152" s="611">
        <v>1</v>
      </c>
      <c r="IG152" s="611">
        <v>1</v>
      </c>
      <c r="IH152" s="611">
        <v>1</v>
      </c>
      <c r="II152" s="611">
        <v>1</v>
      </c>
      <c r="IJ152" s="611">
        <v>1</v>
      </c>
      <c r="IK152" s="611">
        <v>1</v>
      </c>
      <c r="IL152" s="611" t="s">
        <v>473</v>
      </c>
      <c r="IM152" s="611" t="s">
        <v>473</v>
      </c>
      <c r="IN152" s="611" t="s">
        <v>473</v>
      </c>
      <c r="IO152" s="611" t="s">
        <v>473</v>
      </c>
      <c r="IP152" s="611" t="s">
        <v>473</v>
      </c>
      <c r="IQ152" s="611" t="s">
        <v>473</v>
      </c>
      <c r="IR152" s="611" t="s">
        <v>473</v>
      </c>
      <c r="IS152" s="611">
        <v>1</v>
      </c>
      <c r="IT152" s="611">
        <v>1</v>
      </c>
      <c r="IU152" s="611">
        <v>1</v>
      </c>
      <c r="IV152" s="611">
        <v>1</v>
      </c>
      <c r="IW152" s="611">
        <v>1</v>
      </c>
      <c r="IX152" s="611">
        <v>1</v>
      </c>
      <c r="IY152" s="611">
        <v>1</v>
      </c>
    </row>
    <row r="153" spans="1:259" s="190" customFormat="1" x14ac:dyDescent="0.25">
      <c r="A153" s="209"/>
      <c r="B153" s="209"/>
      <c r="C153" s="209"/>
      <c r="D153" s="209"/>
      <c r="E153" s="209"/>
      <c r="F153" s="209"/>
      <c r="G153" s="209"/>
      <c r="H153" s="209"/>
      <c r="I153" s="209">
        <v>2</v>
      </c>
      <c r="J153" s="544" t="s">
        <v>1020</v>
      </c>
      <c r="K153" s="663">
        <f>E17</f>
        <v>2.031106030947474E-2</v>
      </c>
      <c r="L153" s="544" t="s">
        <v>925</v>
      </c>
      <c r="M153" s="663">
        <f>E18</f>
        <v>4.1617437159132457E-2</v>
      </c>
      <c r="N153" s="209">
        <v>2</v>
      </c>
      <c r="O153" s="673">
        <v>2</v>
      </c>
      <c r="P153" s="673" t="s">
        <v>473</v>
      </c>
      <c r="Q153" s="673" t="s">
        <v>473</v>
      </c>
      <c r="R153" s="673" t="s">
        <v>473</v>
      </c>
      <c r="S153" s="673" t="s">
        <v>473</v>
      </c>
      <c r="T153" s="673" t="s">
        <v>473</v>
      </c>
      <c r="U153" s="673" t="s">
        <v>473</v>
      </c>
      <c r="V153" s="673">
        <v>2</v>
      </c>
      <c r="W153" s="673">
        <v>2</v>
      </c>
      <c r="X153" s="673">
        <v>2</v>
      </c>
      <c r="Y153" s="673">
        <v>2</v>
      </c>
      <c r="Z153" s="673">
        <v>2</v>
      </c>
      <c r="AA153" s="611">
        <v>2</v>
      </c>
      <c r="AB153" s="611" t="s">
        <v>473</v>
      </c>
      <c r="AC153" s="611" t="s">
        <v>473</v>
      </c>
      <c r="AD153" s="611" t="s">
        <v>473</v>
      </c>
      <c r="AE153" s="611" t="s">
        <v>473</v>
      </c>
      <c r="AF153" s="611" t="s">
        <v>473</v>
      </c>
      <c r="AG153" s="611" t="s">
        <v>473</v>
      </c>
      <c r="AH153" s="611" t="s">
        <v>473</v>
      </c>
      <c r="AI153" s="611" t="s">
        <v>473</v>
      </c>
      <c r="AJ153" s="611" t="s">
        <v>473</v>
      </c>
      <c r="AK153" s="611" t="s">
        <v>473</v>
      </c>
      <c r="AL153" s="611" t="s">
        <v>473</v>
      </c>
      <c r="AM153" s="611" t="s">
        <v>473</v>
      </c>
      <c r="AN153" s="611" t="s">
        <v>473</v>
      </c>
      <c r="AO153" s="611" t="s">
        <v>473</v>
      </c>
      <c r="AP153" s="611" t="s">
        <v>473</v>
      </c>
      <c r="AQ153" s="611">
        <v>2</v>
      </c>
      <c r="AR153" s="611">
        <v>2</v>
      </c>
      <c r="AS153" s="611">
        <v>2</v>
      </c>
      <c r="AT153" s="611">
        <v>2</v>
      </c>
      <c r="AU153" s="611">
        <v>2</v>
      </c>
      <c r="AV153" s="611">
        <v>2</v>
      </c>
      <c r="AW153" s="611" t="s">
        <v>473</v>
      </c>
      <c r="AX153" s="611" t="s">
        <v>473</v>
      </c>
      <c r="AY153" s="611" t="s">
        <v>473</v>
      </c>
      <c r="AZ153" s="611" t="s">
        <v>473</v>
      </c>
      <c r="BA153" s="611" t="s">
        <v>473</v>
      </c>
      <c r="BB153" s="611" t="s">
        <v>473</v>
      </c>
      <c r="BC153" s="611" t="s">
        <v>473</v>
      </c>
      <c r="BD153" s="611" t="s">
        <v>473</v>
      </c>
      <c r="BE153" s="611" t="s">
        <v>473</v>
      </c>
      <c r="BF153" s="611" t="s">
        <v>473</v>
      </c>
      <c r="BG153" s="611" t="s">
        <v>473</v>
      </c>
      <c r="BH153" s="611" t="s">
        <v>473</v>
      </c>
      <c r="BI153" s="611" t="s">
        <v>473</v>
      </c>
      <c r="BJ153" s="611" t="s">
        <v>473</v>
      </c>
      <c r="BK153" s="611" t="s">
        <v>473</v>
      </c>
      <c r="BL153" s="611">
        <v>2</v>
      </c>
      <c r="BM153" s="611">
        <v>2</v>
      </c>
      <c r="BN153" s="611">
        <v>2</v>
      </c>
      <c r="BO153" s="611">
        <v>2</v>
      </c>
      <c r="BP153" s="611">
        <v>2</v>
      </c>
      <c r="BQ153" s="611">
        <v>2</v>
      </c>
      <c r="BR153" s="611">
        <v>2</v>
      </c>
      <c r="BS153" s="611">
        <v>2</v>
      </c>
      <c r="BT153" s="611">
        <v>2</v>
      </c>
      <c r="BU153" s="611">
        <v>2</v>
      </c>
      <c r="BV153" s="611">
        <v>2</v>
      </c>
      <c r="BW153" s="611">
        <v>2</v>
      </c>
      <c r="BX153" s="611">
        <v>2</v>
      </c>
      <c r="BY153" s="611">
        <v>2</v>
      </c>
      <c r="BZ153" s="611">
        <v>2</v>
      </c>
      <c r="CA153" s="611" t="s">
        <v>473</v>
      </c>
      <c r="CB153" s="611" t="s">
        <v>473</v>
      </c>
      <c r="CC153" s="611" t="s">
        <v>473</v>
      </c>
      <c r="CD153" s="611" t="s">
        <v>473</v>
      </c>
      <c r="CE153" s="611" t="s">
        <v>473</v>
      </c>
      <c r="CF153" s="611" t="s">
        <v>473</v>
      </c>
      <c r="CG153" s="611" t="s">
        <v>473</v>
      </c>
      <c r="CH153" s="611" t="s">
        <v>473</v>
      </c>
      <c r="CI153" s="611" t="s">
        <v>473</v>
      </c>
      <c r="CJ153" s="611" t="s">
        <v>473</v>
      </c>
      <c r="CK153" s="611" t="s">
        <v>473</v>
      </c>
      <c r="CL153" s="611" t="s">
        <v>473</v>
      </c>
      <c r="CM153" s="611" t="s">
        <v>473</v>
      </c>
      <c r="CN153" s="611" t="s">
        <v>473</v>
      </c>
      <c r="CO153" s="611" t="s">
        <v>473</v>
      </c>
      <c r="CP153" s="611" t="s">
        <v>473</v>
      </c>
      <c r="CQ153" s="611" t="s">
        <v>473</v>
      </c>
      <c r="CR153" s="611" t="s">
        <v>473</v>
      </c>
      <c r="CS153" s="611" t="s">
        <v>473</v>
      </c>
      <c r="CT153" s="611" t="s">
        <v>473</v>
      </c>
      <c r="CU153" s="611">
        <v>2</v>
      </c>
      <c r="CV153" s="611">
        <v>2</v>
      </c>
      <c r="CW153" s="611">
        <v>2</v>
      </c>
      <c r="CX153" s="611">
        <v>2</v>
      </c>
      <c r="CY153" s="611">
        <v>2</v>
      </c>
      <c r="CZ153" s="611">
        <v>2</v>
      </c>
      <c r="DA153" s="611">
        <v>2</v>
      </c>
      <c r="DB153" s="611">
        <v>2</v>
      </c>
      <c r="DC153" s="611">
        <v>2</v>
      </c>
      <c r="DD153" s="611">
        <v>2</v>
      </c>
      <c r="DE153" s="611">
        <v>2</v>
      </c>
      <c r="DF153" s="611">
        <v>2</v>
      </c>
      <c r="DG153" s="611">
        <v>2</v>
      </c>
      <c r="DH153" s="611">
        <v>2</v>
      </c>
      <c r="DI153" s="611">
        <v>2</v>
      </c>
      <c r="DJ153" s="611" t="s">
        <v>473</v>
      </c>
      <c r="DK153" s="611" t="s">
        <v>473</v>
      </c>
      <c r="DL153" s="611" t="s">
        <v>473</v>
      </c>
      <c r="DM153" s="611" t="s">
        <v>473</v>
      </c>
      <c r="DN153" s="611" t="s">
        <v>473</v>
      </c>
      <c r="DO153" s="611" t="s">
        <v>473</v>
      </c>
      <c r="DP153" s="611" t="s">
        <v>473</v>
      </c>
      <c r="DQ153" s="611" t="s">
        <v>473</v>
      </c>
      <c r="DR153" s="611" t="s">
        <v>473</v>
      </c>
      <c r="DS153" s="611" t="s">
        <v>473</v>
      </c>
      <c r="DT153" s="611" t="s">
        <v>473</v>
      </c>
      <c r="DU153" s="611" t="s">
        <v>473</v>
      </c>
      <c r="DV153" s="611" t="s">
        <v>473</v>
      </c>
      <c r="DW153" s="611" t="s">
        <v>473</v>
      </c>
      <c r="DX153" s="611" t="s">
        <v>473</v>
      </c>
      <c r="DY153" s="611" t="s">
        <v>473</v>
      </c>
      <c r="DZ153" s="611" t="s">
        <v>473</v>
      </c>
      <c r="EA153" s="611" t="s">
        <v>473</v>
      </c>
      <c r="EB153" s="611" t="s">
        <v>473</v>
      </c>
      <c r="EC153" s="611" t="s">
        <v>473</v>
      </c>
      <c r="ED153" s="611">
        <v>2</v>
      </c>
      <c r="EE153" s="611">
        <v>2</v>
      </c>
      <c r="EF153" s="611">
        <v>2</v>
      </c>
      <c r="EG153" s="611">
        <v>2</v>
      </c>
      <c r="EH153" s="611">
        <v>2</v>
      </c>
      <c r="EI153" s="611">
        <v>2</v>
      </c>
      <c r="EJ153" s="611">
        <v>2</v>
      </c>
      <c r="EK153" s="611">
        <v>2</v>
      </c>
      <c r="EL153" s="611">
        <v>2</v>
      </c>
      <c r="EM153" s="611">
        <v>2</v>
      </c>
      <c r="EN153" s="611">
        <v>2</v>
      </c>
      <c r="EO153" s="611">
        <v>2</v>
      </c>
      <c r="EP153" s="611">
        <v>2</v>
      </c>
      <c r="EQ153" s="611">
        <v>2</v>
      </c>
      <c r="ER153" s="611">
        <v>2</v>
      </c>
      <c r="ES153" s="611">
        <v>2</v>
      </c>
      <c r="ET153" s="611">
        <v>2</v>
      </c>
      <c r="EU153" s="611">
        <v>2</v>
      </c>
      <c r="EV153" s="611">
        <v>2</v>
      </c>
      <c r="EW153" s="611">
        <v>2</v>
      </c>
      <c r="EX153" s="611" t="s">
        <v>473</v>
      </c>
      <c r="EY153" s="611" t="s">
        <v>473</v>
      </c>
      <c r="EZ153" s="611" t="s">
        <v>473</v>
      </c>
      <c r="FA153" s="611" t="s">
        <v>473</v>
      </c>
      <c r="FB153" s="611" t="s">
        <v>473</v>
      </c>
      <c r="FC153" s="611" t="s">
        <v>473</v>
      </c>
      <c r="FD153" s="611" t="s">
        <v>473</v>
      </c>
      <c r="FE153" s="611" t="s">
        <v>473</v>
      </c>
      <c r="FF153" s="611" t="s">
        <v>473</v>
      </c>
      <c r="FG153" s="611" t="s">
        <v>473</v>
      </c>
      <c r="FH153" s="611" t="s">
        <v>473</v>
      </c>
      <c r="FI153" s="611" t="s">
        <v>473</v>
      </c>
      <c r="FJ153" s="611" t="s">
        <v>473</v>
      </c>
      <c r="FK153" s="611" t="s">
        <v>473</v>
      </c>
      <c r="FL153" s="611" t="s">
        <v>473</v>
      </c>
      <c r="FM153" s="611">
        <v>2</v>
      </c>
      <c r="FN153" s="611">
        <v>2</v>
      </c>
      <c r="FO153" s="611">
        <v>2</v>
      </c>
      <c r="FP153" s="611">
        <v>2</v>
      </c>
      <c r="FQ153" s="611">
        <v>2</v>
      </c>
      <c r="FR153" s="611">
        <v>2</v>
      </c>
      <c r="FS153" s="611">
        <v>2</v>
      </c>
      <c r="FT153" s="611">
        <v>2</v>
      </c>
      <c r="FU153" s="611">
        <v>2</v>
      </c>
      <c r="FV153" s="611">
        <v>2</v>
      </c>
      <c r="FW153" s="611">
        <v>2</v>
      </c>
      <c r="FX153" s="611">
        <v>2</v>
      </c>
      <c r="FY153" s="611">
        <v>2</v>
      </c>
      <c r="FZ153" s="611">
        <v>2</v>
      </c>
      <c r="GA153" s="611">
        <v>2</v>
      </c>
      <c r="GB153" s="611">
        <v>2</v>
      </c>
      <c r="GC153" s="611">
        <v>2</v>
      </c>
      <c r="GD153" s="611">
        <v>2</v>
      </c>
      <c r="GE153" s="611">
        <v>2</v>
      </c>
      <c r="GF153" s="611">
        <v>2</v>
      </c>
      <c r="GG153" s="611" t="s">
        <v>473</v>
      </c>
      <c r="GH153" s="611" t="s">
        <v>473</v>
      </c>
      <c r="GI153" s="611" t="s">
        <v>473</v>
      </c>
      <c r="GJ153" s="611" t="s">
        <v>473</v>
      </c>
      <c r="GK153" s="611" t="s">
        <v>473</v>
      </c>
      <c r="GL153" s="611" t="s">
        <v>473</v>
      </c>
      <c r="GM153" s="611" t="s">
        <v>473</v>
      </c>
      <c r="GN153" s="611" t="s">
        <v>473</v>
      </c>
      <c r="GO153" s="611" t="s">
        <v>473</v>
      </c>
      <c r="GP153" s="611" t="s">
        <v>473</v>
      </c>
      <c r="GQ153" s="611" t="s">
        <v>473</v>
      </c>
      <c r="GR153" s="611" t="s">
        <v>473</v>
      </c>
      <c r="GS153" s="611" t="s">
        <v>473</v>
      </c>
      <c r="GT153" s="611" t="s">
        <v>473</v>
      </c>
      <c r="GU153" s="611" t="s">
        <v>473</v>
      </c>
      <c r="GV153" s="611">
        <v>2</v>
      </c>
      <c r="GW153" s="611">
        <v>2</v>
      </c>
      <c r="GX153" s="611">
        <v>2</v>
      </c>
      <c r="GY153" s="611">
        <v>2</v>
      </c>
      <c r="GZ153" s="611">
        <v>2</v>
      </c>
      <c r="HA153" s="611">
        <v>2</v>
      </c>
      <c r="HB153" s="611">
        <v>2</v>
      </c>
      <c r="HC153" s="611">
        <v>2</v>
      </c>
      <c r="HD153" s="611">
        <v>2</v>
      </c>
      <c r="HE153" s="611">
        <v>2</v>
      </c>
      <c r="HF153" s="611">
        <v>2</v>
      </c>
      <c r="HG153" s="611">
        <v>2</v>
      </c>
      <c r="HH153" s="611">
        <v>2</v>
      </c>
      <c r="HI153" s="611">
        <v>2</v>
      </c>
      <c r="HJ153" s="611">
        <v>2</v>
      </c>
      <c r="HK153" s="611" t="s">
        <v>473</v>
      </c>
      <c r="HL153" s="611" t="s">
        <v>473</v>
      </c>
      <c r="HM153" s="611" t="s">
        <v>473</v>
      </c>
      <c r="HN153" s="611" t="s">
        <v>473</v>
      </c>
      <c r="HO153" s="611" t="s">
        <v>473</v>
      </c>
      <c r="HP153" s="611" t="s">
        <v>473</v>
      </c>
      <c r="HQ153" s="611">
        <v>2</v>
      </c>
      <c r="HR153" s="611">
        <v>2</v>
      </c>
      <c r="HS153" s="611">
        <v>2</v>
      </c>
      <c r="HT153" s="611">
        <v>2</v>
      </c>
      <c r="HU153" s="611">
        <v>2</v>
      </c>
      <c r="HV153" s="611">
        <v>2</v>
      </c>
      <c r="HW153" s="611">
        <v>2</v>
      </c>
      <c r="HX153" s="611">
        <v>2</v>
      </c>
      <c r="HY153" s="611">
        <v>2</v>
      </c>
      <c r="HZ153" s="611">
        <v>2</v>
      </c>
      <c r="IA153" s="611">
        <v>2</v>
      </c>
      <c r="IB153" s="611">
        <v>2</v>
      </c>
      <c r="IC153" s="611">
        <v>2</v>
      </c>
      <c r="ID153" s="611">
        <v>2</v>
      </c>
      <c r="IE153" s="611">
        <v>2</v>
      </c>
      <c r="IF153" s="611" t="s">
        <v>473</v>
      </c>
      <c r="IG153" s="611" t="s">
        <v>473</v>
      </c>
      <c r="IH153" s="611" t="s">
        <v>473</v>
      </c>
      <c r="II153" s="611" t="s">
        <v>473</v>
      </c>
      <c r="IJ153" s="611" t="s">
        <v>473</v>
      </c>
      <c r="IK153" s="611" t="s">
        <v>473</v>
      </c>
      <c r="IL153" s="611">
        <v>2</v>
      </c>
      <c r="IM153" s="611">
        <v>2</v>
      </c>
      <c r="IN153" s="611">
        <v>2</v>
      </c>
      <c r="IO153" s="611">
        <v>2</v>
      </c>
      <c r="IP153" s="611">
        <v>2</v>
      </c>
      <c r="IQ153" s="611">
        <v>2</v>
      </c>
      <c r="IR153" s="611" t="s">
        <v>473</v>
      </c>
      <c r="IS153" s="611">
        <v>2</v>
      </c>
      <c r="IT153" s="611">
        <v>2</v>
      </c>
      <c r="IU153" s="611">
        <v>2</v>
      </c>
      <c r="IV153" s="611">
        <v>2</v>
      </c>
      <c r="IW153" s="611">
        <v>2</v>
      </c>
      <c r="IX153" s="611">
        <v>2</v>
      </c>
      <c r="IY153" s="611" t="s">
        <v>473</v>
      </c>
    </row>
    <row r="154" spans="1:259" s="190" customFormat="1" x14ac:dyDescent="0.25">
      <c r="A154" s="209"/>
      <c r="B154" s="209"/>
      <c r="C154" s="209"/>
      <c r="D154" s="209"/>
      <c r="E154" s="209"/>
      <c r="F154" s="209"/>
      <c r="G154" s="209"/>
      <c r="H154" s="209"/>
      <c r="I154" s="209">
        <v>3</v>
      </c>
      <c r="J154" s="544" t="s">
        <v>924</v>
      </c>
      <c r="K154" s="663">
        <f>E19</f>
        <v>2.4102020357143223E-2</v>
      </c>
      <c r="L154" s="209"/>
      <c r="M154" s="209"/>
      <c r="N154" s="209">
        <v>3</v>
      </c>
      <c r="O154" s="673" t="s">
        <v>473</v>
      </c>
      <c r="P154" s="673">
        <v>3</v>
      </c>
      <c r="Q154" s="673" t="s">
        <v>473</v>
      </c>
      <c r="R154" s="673" t="s">
        <v>473</v>
      </c>
      <c r="S154" s="673" t="s">
        <v>473</v>
      </c>
      <c r="T154" s="673" t="s">
        <v>473</v>
      </c>
      <c r="U154" s="673" t="s">
        <v>473</v>
      </c>
      <c r="V154" s="673">
        <v>3</v>
      </c>
      <c r="W154" s="673" t="s">
        <v>473</v>
      </c>
      <c r="X154" s="673" t="s">
        <v>473</v>
      </c>
      <c r="Y154" s="673" t="s">
        <v>473</v>
      </c>
      <c r="Z154" s="673" t="s">
        <v>473</v>
      </c>
      <c r="AA154" s="611" t="s">
        <v>473</v>
      </c>
      <c r="AB154" s="611">
        <v>3</v>
      </c>
      <c r="AC154" s="611">
        <v>3</v>
      </c>
      <c r="AD154" s="611">
        <v>3</v>
      </c>
      <c r="AE154" s="611">
        <v>3</v>
      </c>
      <c r="AF154" s="611">
        <v>3</v>
      </c>
      <c r="AG154" s="611" t="s">
        <v>473</v>
      </c>
      <c r="AH154" s="611" t="s">
        <v>473</v>
      </c>
      <c r="AI154" s="611" t="s">
        <v>473</v>
      </c>
      <c r="AJ154" s="611" t="s">
        <v>473</v>
      </c>
      <c r="AK154" s="611" t="s">
        <v>473</v>
      </c>
      <c r="AL154" s="611" t="s">
        <v>473</v>
      </c>
      <c r="AM154" s="611" t="s">
        <v>473</v>
      </c>
      <c r="AN154" s="611" t="s">
        <v>473</v>
      </c>
      <c r="AO154" s="611" t="s">
        <v>473</v>
      </c>
      <c r="AP154" s="611" t="s">
        <v>473</v>
      </c>
      <c r="AQ154" s="611">
        <v>3</v>
      </c>
      <c r="AR154" s="611" t="s">
        <v>473</v>
      </c>
      <c r="AS154" s="611" t="s">
        <v>473</v>
      </c>
      <c r="AT154" s="611" t="s">
        <v>473</v>
      </c>
      <c r="AU154" s="611" t="s">
        <v>473</v>
      </c>
      <c r="AV154" s="611" t="s">
        <v>473</v>
      </c>
      <c r="AW154" s="611">
        <v>3</v>
      </c>
      <c r="AX154" s="611">
        <v>3</v>
      </c>
      <c r="AY154" s="611">
        <v>3</v>
      </c>
      <c r="AZ154" s="611">
        <v>3</v>
      </c>
      <c r="BA154" s="611">
        <v>3</v>
      </c>
      <c r="BB154" s="611" t="s">
        <v>473</v>
      </c>
      <c r="BC154" s="611" t="s">
        <v>473</v>
      </c>
      <c r="BD154" s="611" t="s">
        <v>473</v>
      </c>
      <c r="BE154" s="611" t="s">
        <v>473</v>
      </c>
      <c r="BF154" s="611" t="s">
        <v>473</v>
      </c>
      <c r="BG154" s="611" t="s">
        <v>473</v>
      </c>
      <c r="BH154" s="611" t="s">
        <v>473</v>
      </c>
      <c r="BI154" s="611" t="s">
        <v>473</v>
      </c>
      <c r="BJ154" s="611" t="s">
        <v>473</v>
      </c>
      <c r="BK154" s="611" t="s">
        <v>473</v>
      </c>
      <c r="BL154" s="611">
        <v>3</v>
      </c>
      <c r="BM154" s="611">
        <v>3</v>
      </c>
      <c r="BN154" s="611">
        <v>3</v>
      </c>
      <c r="BO154" s="611">
        <v>3</v>
      </c>
      <c r="BP154" s="611">
        <v>3</v>
      </c>
      <c r="BQ154" s="611" t="s">
        <v>473</v>
      </c>
      <c r="BR154" s="611" t="s">
        <v>473</v>
      </c>
      <c r="BS154" s="611" t="s">
        <v>473</v>
      </c>
      <c r="BT154" s="611" t="s">
        <v>473</v>
      </c>
      <c r="BU154" s="611" t="s">
        <v>473</v>
      </c>
      <c r="BV154" s="611" t="s">
        <v>473</v>
      </c>
      <c r="BW154" s="611" t="s">
        <v>473</v>
      </c>
      <c r="BX154" s="611" t="s">
        <v>473</v>
      </c>
      <c r="BY154" s="611" t="s">
        <v>473</v>
      </c>
      <c r="BZ154" s="611" t="s">
        <v>473</v>
      </c>
      <c r="CA154" s="611">
        <v>3</v>
      </c>
      <c r="CB154" s="611">
        <v>3</v>
      </c>
      <c r="CC154" s="611">
        <v>3</v>
      </c>
      <c r="CD154" s="611">
        <v>3</v>
      </c>
      <c r="CE154" s="611">
        <v>3</v>
      </c>
      <c r="CF154" s="611">
        <v>3</v>
      </c>
      <c r="CG154" s="611">
        <v>3</v>
      </c>
      <c r="CH154" s="611">
        <v>3</v>
      </c>
      <c r="CI154" s="611">
        <v>3</v>
      </c>
      <c r="CJ154" s="611">
        <v>3</v>
      </c>
      <c r="CK154" s="611" t="s">
        <v>473</v>
      </c>
      <c r="CL154" s="611" t="s">
        <v>473</v>
      </c>
      <c r="CM154" s="611" t="s">
        <v>473</v>
      </c>
      <c r="CN154" s="611" t="s">
        <v>473</v>
      </c>
      <c r="CO154" s="611" t="s">
        <v>473</v>
      </c>
      <c r="CP154" s="611" t="s">
        <v>473</v>
      </c>
      <c r="CQ154" s="611" t="s">
        <v>473</v>
      </c>
      <c r="CR154" s="611" t="s">
        <v>473</v>
      </c>
      <c r="CS154" s="611" t="s">
        <v>473</v>
      </c>
      <c r="CT154" s="611" t="s">
        <v>473</v>
      </c>
      <c r="CU154" s="611">
        <v>3</v>
      </c>
      <c r="CV154" s="611">
        <v>3</v>
      </c>
      <c r="CW154" s="611">
        <v>3</v>
      </c>
      <c r="CX154" s="611">
        <v>3</v>
      </c>
      <c r="CY154" s="611">
        <v>3</v>
      </c>
      <c r="CZ154" s="611" t="s">
        <v>473</v>
      </c>
      <c r="DA154" s="611" t="s">
        <v>473</v>
      </c>
      <c r="DB154" s="611" t="s">
        <v>473</v>
      </c>
      <c r="DC154" s="611" t="s">
        <v>473</v>
      </c>
      <c r="DD154" s="611" t="s">
        <v>473</v>
      </c>
      <c r="DE154" s="611" t="s">
        <v>473</v>
      </c>
      <c r="DF154" s="611" t="s">
        <v>473</v>
      </c>
      <c r="DG154" s="611" t="s">
        <v>473</v>
      </c>
      <c r="DH154" s="611" t="s">
        <v>473</v>
      </c>
      <c r="DI154" s="611" t="s">
        <v>473</v>
      </c>
      <c r="DJ154" s="611">
        <v>3</v>
      </c>
      <c r="DK154" s="611">
        <v>3</v>
      </c>
      <c r="DL154" s="611">
        <v>3</v>
      </c>
      <c r="DM154" s="611">
        <v>3</v>
      </c>
      <c r="DN154" s="611">
        <v>3</v>
      </c>
      <c r="DO154" s="611">
        <v>3</v>
      </c>
      <c r="DP154" s="611">
        <v>3</v>
      </c>
      <c r="DQ154" s="611">
        <v>3</v>
      </c>
      <c r="DR154" s="611">
        <v>3</v>
      </c>
      <c r="DS154" s="611">
        <v>3</v>
      </c>
      <c r="DT154" s="611" t="s">
        <v>473</v>
      </c>
      <c r="DU154" s="611" t="s">
        <v>473</v>
      </c>
      <c r="DV154" s="611" t="s">
        <v>473</v>
      </c>
      <c r="DW154" s="611" t="s">
        <v>473</v>
      </c>
      <c r="DX154" s="611" t="s">
        <v>473</v>
      </c>
      <c r="DY154" s="611" t="s">
        <v>473</v>
      </c>
      <c r="DZ154" s="611" t="s">
        <v>473</v>
      </c>
      <c r="EA154" s="611" t="s">
        <v>473</v>
      </c>
      <c r="EB154" s="611" t="s">
        <v>473</v>
      </c>
      <c r="EC154" s="611" t="s">
        <v>473</v>
      </c>
      <c r="ED154" s="611">
        <v>3</v>
      </c>
      <c r="EE154" s="611">
        <v>3</v>
      </c>
      <c r="EF154" s="611">
        <v>3</v>
      </c>
      <c r="EG154" s="611">
        <v>3</v>
      </c>
      <c r="EH154" s="611">
        <v>3</v>
      </c>
      <c r="EI154" s="611">
        <v>3</v>
      </c>
      <c r="EJ154" s="611">
        <v>3</v>
      </c>
      <c r="EK154" s="611">
        <v>3</v>
      </c>
      <c r="EL154" s="611">
        <v>3</v>
      </c>
      <c r="EM154" s="611">
        <v>3</v>
      </c>
      <c r="EN154" s="611" t="s">
        <v>473</v>
      </c>
      <c r="EO154" s="611" t="s">
        <v>473</v>
      </c>
      <c r="EP154" s="611" t="s">
        <v>473</v>
      </c>
      <c r="EQ154" s="611" t="s">
        <v>473</v>
      </c>
      <c r="ER154" s="611" t="s">
        <v>473</v>
      </c>
      <c r="ES154" s="611" t="s">
        <v>473</v>
      </c>
      <c r="ET154" s="611" t="s">
        <v>473</v>
      </c>
      <c r="EU154" s="611" t="s">
        <v>473</v>
      </c>
      <c r="EV154" s="611" t="s">
        <v>473</v>
      </c>
      <c r="EW154" s="611" t="s">
        <v>473</v>
      </c>
      <c r="EX154" s="611">
        <v>3</v>
      </c>
      <c r="EY154" s="611">
        <v>3</v>
      </c>
      <c r="EZ154" s="611">
        <v>3</v>
      </c>
      <c r="FA154" s="611">
        <v>3</v>
      </c>
      <c r="FB154" s="611">
        <v>3</v>
      </c>
      <c r="FC154" s="611">
        <v>3</v>
      </c>
      <c r="FD154" s="611">
        <v>3</v>
      </c>
      <c r="FE154" s="611">
        <v>3</v>
      </c>
      <c r="FF154" s="611">
        <v>3</v>
      </c>
      <c r="FG154" s="611">
        <v>3</v>
      </c>
      <c r="FH154" s="611" t="s">
        <v>473</v>
      </c>
      <c r="FI154" s="611" t="s">
        <v>473</v>
      </c>
      <c r="FJ154" s="611" t="s">
        <v>473</v>
      </c>
      <c r="FK154" s="611" t="s">
        <v>473</v>
      </c>
      <c r="FL154" s="611" t="s">
        <v>473</v>
      </c>
      <c r="FM154" s="611">
        <v>3</v>
      </c>
      <c r="FN154" s="611">
        <v>3</v>
      </c>
      <c r="FO154" s="611">
        <v>3</v>
      </c>
      <c r="FP154" s="611">
        <v>3</v>
      </c>
      <c r="FQ154" s="611">
        <v>3</v>
      </c>
      <c r="FR154" s="611">
        <v>3</v>
      </c>
      <c r="FS154" s="611">
        <v>3</v>
      </c>
      <c r="FT154" s="611">
        <v>3</v>
      </c>
      <c r="FU154" s="611">
        <v>3</v>
      </c>
      <c r="FV154" s="611">
        <v>3</v>
      </c>
      <c r="FW154" s="611" t="s">
        <v>473</v>
      </c>
      <c r="FX154" s="611" t="s">
        <v>473</v>
      </c>
      <c r="FY154" s="611" t="s">
        <v>473</v>
      </c>
      <c r="FZ154" s="611" t="s">
        <v>473</v>
      </c>
      <c r="GA154" s="611" t="s">
        <v>473</v>
      </c>
      <c r="GB154" s="611" t="s">
        <v>473</v>
      </c>
      <c r="GC154" s="611" t="s">
        <v>473</v>
      </c>
      <c r="GD154" s="611" t="s">
        <v>473</v>
      </c>
      <c r="GE154" s="611" t="s">
        <v>473</v>
      </c>
      <c r="GF154" s="611" t="s">
        <v>473</v>
      </c>
      <c r="GG154" s="611">
        <v>3</v>
      </c>
      <c r="GH154" s="611">
        <v>3</v>
      </c>
      <c r="GI154" s="611">
        <v>3</v>
      </c>
      <c r="GJ154" s="611">
        <v>3</v>
      </c>
      <c r="GK154" s="611">
        <v>3</v>
      </c>
      <c r="GL154" s="611">
        <v>3</v>
      </c>
      <c r="GM154" s="611">
        <v>3</v>
      </c>
      <c r="GN154" s="611">
        <v>3</v>
      </c>
      <c r="GO154" s="611">
        <v>3</v>
      </c>
      <c r="GP154" s="611">
        <v>3</v>
      </c>
      <c r="GQ154" s="611" t="s">
        <v>473</v>
      </c>
      <c r="GR154" s="611" t="s">
        <v>473</v>
      </c>
      <c r="GS154" s="611" t="s">
        <v>473</v>
      </c>
      <c r="GT154" s="611" t="s">
        <v>473</v>
      </c>
      <c r="GU154" s="611" t="s">
        <v>473</v>
      </c>
      <c r="GV154" s="611">
        <v>3</v>
      </c>
      <c r="GW154" s="611">
        <v>3</v>
      </c>
      <c r="GX154" s="611">
        <v>3</v>
      </c>
      <c r="GY154" s="611">
        <v>3</v>
      </c>
      <c r="GZ154" s="611">
        <v>3</v>
      </c>
      <c r="HA154" s="611">
        <v>3</v>
      </c>
      <c r="HB154" s="611">
        <v>3</v>
      </c>
      <c r="HC154" s="611">
        <v>3</v>
      </c>
      <c r="HD154" s="611">
        <v>3</v>
      </c>
      <c r="HE154" s="611">
        <v>3</v>
      </c>
      <c r="HF154" s="611" t="s">
        <v>473</v>
      </c>
      <c r="HG154" s="611" t="s">
        <v>473</v>
      </c>
      <c r="HH154" s="611" t="s">
        <v>473</v>
      </c>
      <c r="HI154" s="611" t="s">
        <v>473</v>
      </c>
      <c r="HJ154" s="611" t="s">
        <v>473</v>
      </c>
      <c r="HK154" s="611">
        <v>3</v>
      </c>
      <c r="HL154" s="611">
        <v>3</v>
      </c>
      <c r="HM154" s="611">
        <v>3</v>
      </c>
      <c r="HN154" s="611">
        <v>3</v>
      </c>
      <c r="HO154" s="611">
        <v>3</v>
      </c>
      <c r="HP154" s="611" t="s">
        <v>473</v>
      </c>
      <c r="HQ154" s="611">
        <v>3</v>
      </c>
      <c r="HR154" s="611">
        <v>3</v>
      </c>
      <c r="HS154" s="611">
        <v>3</v>
      </c>
      <c r="HT154" s="611">
        <v>3</v>
      </c>
      <c r="HU154" s="611">
        <v>3</v>
      </c>
      <c r="HV154" s="611">
        <v>3</v>
      </c>
      <c r="HW154" s="611">
        <v>3</v>
      </c>
      <c r="HX154" s="611">
        <v>3</v>
      </c>
      <c r="HY154" s="611">
        <v>3</v>
      </c>
      <c r="HZ154" s="611">
        <v>3</v>
      </c>
      <c r="IA154" s="611" t="s">
        <v>473</v>
      </c>
      <c r="IB154" s="611" t="s">
        <v>473</v>
      </c>
      <c r="IC154" s="611" t="s">
        <v>473</v>
      </c>
      <c r="ID154" s="611" t="s">
        <v>473</v>
      </c>
      <c r="IE154" s="611" t="s">
        <v>473</v>
      </c>
      <c r="IF154" s="611">
        <v>3</v>
      </c>
      <c r="IG154" s="611">
        <v>3</v>
      </c>
      <c r="IH154" s="611">
        <v>3</v>
      </c>
      <c r="II154" s="611">
        <v>3</v>
      </c>
      <c r="IJ154" s="611">
        <v>3</v>
      </c>
      <c r="IK154" s="611" t="s">
        <v>473</v>
      </c>
      <c r="IL154" s="611">
        <v>3</v>
      </c>
      <c r="IM154" s="611">
        <v>3</v>
      </c>
      <c r="IN154" s="611">
        <v>3</v>
      </c>
      <c r="IO154" s="611">
        <v>3</v>
      </c>
      <c r="IP154" s="611">
        <v>3</v>
      </c>
      <c r="IQ154" s="611" t="s">
        <v>473</v>
      </c>
      <c r="IR154" s="611">
        <v>3</v>
      </c>
      <c r="IS154" s="611">
        <v>3</v>
      </c>
      <c r="IT154" s="611">
        <v>3</v>
      </c>
      <c r="IU154" s="611">
        <v>3</v>
      </c>
      <c r="IV154" s="611">
        <v>3</v>
      </c>
      <c r="IW154" s="611">
        <v>3</v>
      </c>
      <c r="IX154" s="611" t="s">
        <v>473</v>
      </c>
      <c r="IY154" s="611">
        <v>3</v>
      </c>
    </row>
    <row r="155" spans="1:259" s="190" customFormat="1" x14ac:dyDescent="0.25">
      <c r="A155" s="209"/>
      <c r="B155" s="209"/>
      <c r="C155" s="209"/>
      <c r="D155" s="209"/>
      <c r="E155" s="209"/>
      <c r="F155" s="209"/>
      <c r="G155" s="209"/>
      <c r="H155" s="209"/>
      <c r="I155" s="209">
        <v>4</v>
      </c>
      <c r="J155" s="544" t="s">
        <v>928</v>
      </c>
      <c r="K155" s="663">
        <f>E11</f>
        <v>3.8483195468293284E-2</v>
      </c>
      <c r="L155" s="209"/>
      <c r="M155" s="209"/>
      <c r="N155" s="209">
        <v>4</v>
      </c>
      <c r="O155" s="673" t="s">
        <v>473</v>
      </c>
      <c r="P155" s="673" t="s">
        <v>473</v>
      </c>
      <c r="Q155" s="673">
        <v>4</v>
      </c>
      <c r="R155" s="673" t="s">
        <v>473</v>
      </c>
      <c r="S155" s="673" t="s">
        <v>473</v>
      </c>
      <c r="T155" s="673" t="s">
        <v>473</v>
      </c>
      <c r="U155" s="673" t="s">
        <v>473</v>
      </c>
      <c r="V155" s="673" t="s">
        <v>473</v>
      </c>
      <c r="W155" s="673">
        <v>4</v>
      </c>
      <c r="X155" s="673" t="s">
        <v>473</v>
      </c>
      <c r="Y155" s="673" t="s">
        <v>473</v>
      </c>
      <c r="Z155" s="673" t="s">
        <v>473</v>
      </c>
      <c r="AA155" s="611" t="s">
        <v>473</v>
      </c>
      <c r="AB155" s="611">
        <v>4</v>
      </c>
      <c r="AC155" s="611" t="s">
        <v>473</v>
      </c>
      <c r="AD155" s="611" t="s">
        <v>473</v>
      </c>
      <c r="AE155" s="611" t="s">
        <v>473</v>
      </c>
      <c r="AF155" s="611" t="s">
        <v>473</v>
      </c>
      <c r="AG155" s="611">
        <v>4</v>
      </c>
      <c r="AH155" s="611">
        <v>4</v>
      </c>
      <c r="AI155" s="611">
        <v>4</v>
      </c>
      <c r="AJ155" s="611">
        <v>4</v>
      </c>
      <c r="AK155" s="611" t="s">
        <v>473</v>
      </c>
      <c r="AL155" s="611" t="s">
        <v>473</v>
      </c>
      <c r="AM155" s="611" t="s">
        <v>473</v>
      </c>
      <c r="AN155" s="611" t="s">
        <v>473</v>
      </c>
      <c r="AO155" s="611" t="s">
        <v>473</v>
      </c>
      <c r="AP155" s="611" t="s">
        <v>473</v>
      </c>
      <c r="AQ155" s="611" t="s">
        <v>473</v>
      </c>
      <c r="AR155" s="611">
        <v>4</v>
      </c>
      <c r="AS155" s="611" t="s">
        <v>473</v>
      </c>
      <c r="AT155" s="611" t="s">
        <v>473</v>
      </c>
      <c r="AU155" s="611" t="s">
        <v>473</v>
      </c>
      <c r="AV155" s="611" t="s">
        <v>473</v>
      </c>
      <c r="AW155" s="611">
        <v>4</v>
      </c>
      <c r="AX155" s="611" t="s">
        <v>473</v>
      </c>
      <c r="AY155" s="611" t="s">
        <v>473</v>
      </c>
      <c r="AZ155" s="611" t="s">
        <v>473</v>
      </c>
      <c r="BA155" s="611" t="s">
        <v>473</v>
      </c>
      <c r="BB155" s="611">
        <v>4</v>
      </c>
      <c r="BC155" s="611">
        <v>4</v>
      </c>
      <c r="BD155" s="611">
        <v>4</v>
      </c>
      <c r="BE155" s="611">
        <v>4</v>
      </c>
      <c r="BF155" s="611" t="s">
        <v>473</v>
      </c>
      <c r="BG155" s="611" t="s">
        <v>473</v>
      </c>
      <c r="BH155" s="611" t="s">
        <v>473</v>
      </c>
      <c r="BI155" s="611" t="s">
        <v>473</v>
      </c>
      <c r="BJ155" s="611" t="s">
        <v>473</v>
      </c>
      <c r="BK155" s="611" t="s">
        <v>473</v>
      </c>
      <c r="BL155" s="611">
        <v>4</v>
      </c>
      <c r="BM155" s="611" t="s">
        <v>473</v>
      </c>
      <c r="BN155" s="611" t="s">
        <v>473</v>
      </c>
      <c r="BO155" s="611" t="s">
        <v>473</v>
      </c>
      <c r="BP155" s="611" t="s">
        <v>473</v>
      </c>
      <c r="BQ155" s="611">
        <v>4</v>
      </c>
      <c r="BR155" s="611">
        <v>4</v>
      </c>
      <c r="BS155" s="611">
        <v>4</v>
      </c>
      <c r="BT155" s="611">
        <v>4</v>
      </c>
      <c r="BU155" s="611" t="s">
        <v>473</v>
      </c>
      <c r="BV155" s="611" t="s">
        <v>473</v>
      </c>
      <c r="BW155" s="611" t="s">
        <v>473</v>
      </c>
      <c r="BX155" s="611" t="s">
        <v>473</v>
      </c>
      <c r="BY155" s="611" t="s">
        <v>473</v>
      </c>
      <c r="BZ155" s="611" t="s">
        <v>473</v>
      </c>
      <c r="CA155" s="611">
        <v>4</v>
      </c>
      <c r="CB155" s="611">
        <v>4</v>
      </c>
      <c r="CC155" s="611">
        <v>4</v>
      </c>
      <c r="CD155" s="611">
        <v>4</v>
      </c>
      <c r="CE155" s="611" t="s">
        <v>473</v>
      </c>
      <c r="CF155" s="611" t="s">
        <v>473</v>
      </c>
      <c r="CG155" s="611" t="s">
        <v>473</v>
      </c>
      <c r="CH155" s="611" t="s">
        <v>473</v>
      </c>
      <c r="CI155" s="611" t="s">
        <v>473</v>
      </c>
      <c r="CJ155" s="611" t="s">
        <v>473</v>
      </c>
      <c r="CK155" s="611">
        <v>4</v>
      </c>
      <c r="CL155" s="611">
        <v>4</v>
      </c>
      <c r="CM155" s="611">
        <v>4</v>
      </c>
      <c r="CN155" s="611">
        <v>4</v>
      </c>
      <c r="CO155" s="611">
        <v>4</v>
      </c>
      <c r="CP155" s="611">
        <v>4</v>
      </c>
      <c r="CQ155" s="611" t="s">
        <v>473</v>
      </c>
      <c r="CR155" s="611" t="s">
        <v>473</v>
      </c>
      <c r="CS155" s="611" t="s">
        <v>473</v>
      </c>
      <c r="CT155" s="611" t="s">
        <v>473</v>
      </c>
      <c r="CU155" s="611">
        <v>4</v>
      </c>
      <c r="CV155" s="611" t="s">
        <v>473</v>
      </c>
      <c r="CW155" s="611" t="s">
        <v>473</v>
      </c>
      <c r="CX155" s="611" t="s">
        <v>473</v>
      </c>
      <c r="CY155" s="611" t="s">
        <v>473</v>
      </c>
      <c r="CZ155" s="611">
        <v>4</v>
      </c>
      <c r="DA155" s="611">
        <v>4</v>
      </c>
      <c r="DB155" s="611">
        <v>4</v>
      </c>
      <c r="DC155" s="611">
        <v>4</v>
      </c>
      <c r="DD155" s="611" t="s">
        <v>473</v>
      </c>
      <c r="DE155" s="611" t="s">
        <v>473</v>
      </c>
      <c r="DF155" s="611" t="s">
        <v>473</v>
      </c>
      <c r="DG155" s="611" t="s">
        <v>473</v>
      </c>
      <c r="DH155" s="611" t="s">
        <v>473</v>
      </c>
      <c r="DI155" s="611" t="s">
        <v>473</v>
      </c>
      <c r="DJ155" s="611">
        <v>4</v>
      </c>
      <c r="DK155" s="611">
        <v>4</v>
      </c>
      <c r="DL155" s="611">
        <v>4</v>
      </c>
      <c r="DM155" s="611">
        <v>4</v>
      </c>
      <c r="DN155" s="611" t="s">
        <v>473</v>
      </c>
      <c r="DO155" s="611" t="s">
        <v>473</v>
      </c>
      <c r="DP155" s="611" t="s">
        <v>473</v>
      </c>
      <c r="DQ155" s="611" t="s">
        <v>473</v>
      </c>
      <c r="DR155" s="611" t="s">
        <v>473</v>
      </c>
      <c r="DS155" s="611" t="s">
        <v>473</v>
      </c>
      <c r="DT155" s="611">
        <v>4</v>
      </c>
      <c r="DU155" s="611">
        <v>4</v>
      </c>
      <c r="DV155" s="611">
        <v>4</v>
      </c>
      <c r="DW155" s="611">
        <v>4</v>
      </c>
      <c r="DX155" s="611">
        <v>4</v>
      </c>
      <c r="DY155" s="611">
        <v>4</v>
      </c>
      <c r="DZ155" s="611" t="s">
        <v>473</v>
      </c>
      <c r="EA155" s="611" t="s">
        <v>473</v>
      </c>
      <c r="EB155" s="611" t="s">
        <v>473</v>
      </c>
      <c r="EC155" s="611" t="s">
        <v>473</v>
      </c>
      <c r="ED155" s="611">
        <v>4</v>
      </c>
      <c r="EE155" s="611">
        <v>4</v>
      </c>
      <c r="EF155" s="611">
        <v>4</v>
      </c>
      <c r="EG155" s="611">
        <v>4</v>
      </c>
      <c r="EH155" s="611" t="s">
        <v>473</v>
      </c>
      <c r="EI155" s="611" t="s">
        <v>473</v>
      </c>
      <c r="EJ155" s="611" t="s">
        <v>473</v>
      </c>
      <c r="EK155" s="611" t="s">
        <v>473</v>
      </c>
      <c r="EL155" s="611" t="s">
        <v>473</v>
      </c>
      <c r="EM155" s="611" t="s">
        <v>473</v>
      </c>
      <c r="EN155" s="611">
        <v>4</v>
      </c>
      <c r="EO155" s="611">
        <v>4</v>
      </c>
      <c r="EP155" s="611">
        <v>4</v>
      </c>
      <c r="EQ155" s="611">
        <v>4</v>
      </c>
      <c r="ER155" s="611">
        <v>4</v>
      </c>
      <c r="ES155" s="611">
        <v>4</v>
      </c>
      <c r="ET155" s="611" t="s">
        <v>473</v>
      </c>
      <c r="EU155" s="611" t="s">
        <v>473</v>
      </c>
      <c r="EV155" s="611" t="s">
        <v>473</v>
      </c>
      <c r="EW155" s="611" t="s">
        <v>473</v>
      </c>
      <c r="EX155" s="611">
        <v>4</v>
      </c>
      <c r="EY155" s="611">
        <v>4</v>
      </c>
      <c r="EZ155" s="611">
        <v>4</v>
      </c>
      <c r="FA155" s="611">
        <v>4</v>
      </c>
      <c r="FB155" s="611">
        <v>4</v>
      </c>
      <c r="FC155" s="611">
        <v>4</v>
      </c>
      <c r="FD155" s="611" t="s">
        <v>473</v>
      </c>
      <c r="FE155" s="611" t="s">
        <v>473</v>
      </c>
      <c r="FF155" s="611" t="s">
        <v>473</v>
      </c>
      <c r="FG155" s="611" t="s">
        <v>473</v>
      </c>
      <c r="FH155" s="611">
        <v>4</v>
      </c>
      <c r="FI155" s="611">
        <v>4</v>
      </c>
      <c r="FJ155" s="611">
        <v>4</v>
      </c>
      <c r="FK155" s="611">
        <v>4</v>
      </c>
      <c r="FL155" s="611" t="s">
        <v>473</v>
      </c>
      <c r="FM155" s="611">
        <v>4</v>
      </c>
      <c r="FN155" s="611">
        <v>4</v>
      </c>
      <c r="FO155" s="611">
        <v>4</v>
      </c>
      <c r="FP155" s="611">
        <v>4</v>
      </c>
      <c r="FQ155" s="611" t="s">
        <v>473</v>
      </c>
      <c r="FR155" s="611" t="s">
        <v>473</v>
      </c>
      <c r="FS155" s="611" t="s">
        <v>473</v>
      </c>
      <c r="FT155" s="611" t="s">
        <v>473</v>
      </c>
      <c r="FU155" s="611" t="s">
        <v>473</v>
      </c>
      <c r="FV155" s="611" t="s">
        <v>473</v>
      </c>
      <c r="FW155" s="611">
        <v>4</v>
      </c>
      <c r="FX155" s="611">
        <v>4</v>
      </c>
      <c r="FY155" s="611">
        <v>4</v>
      </c>
      <c r="FZ155" s="611">
        <v>4</v>
      </c>
      <c r="GA155" s="611">
        <v>4</v>
      </c>
      <c r="GB155" s="611">
        <v>4</v>
      </c>
      <c r="GC155" s="611" t="s">
        <v>473</v>
      </c>
      <c r="GD155" s="611" t="s">
        <v>473</v>
      </c>
      <c r="GE155" s="611" t="s">
        <v>473</v>
      </c>
      <c r="GF155" s="611" t="s">
        <v>473</v>
      </c>
      <c r="GG155" s="611">
        <v>4</v>
      </c>
      <c r="GH155" s="611">
        <v>4</v>
      </c>
      <c r="GI155" s="611">
        <v>4</v>
      </c>
      <c r="GJ155" s="611">
        <v>4</v>
      </c>
      <c r="GK155" s="611">
        <v>4</v>
      </c>
      <c r="GL155" s="611">
        <v>4</v>
      </c>
      <c r="GM155" s="611" t="s">
        <v>473</v>
      </c>
      <c r="GN155" s="611" t="s">
        <v>473</v>
      </c>
      <c r="GO155" s="611" t="s">
        <v>473</v>
      </c>
      <c r="GP155" s="611" t="s">
        <v>473</v>
      </c>
      <c r="GQ155" s="611">
        <v>4</v>
      </c>
      <c r="GR155" s="611">
        <v>4</v>
      </c>
      <c r="GS155" s="611">
        <v>4</v>
      </c>
      <c r="GT155" s="611">
        <v>4</v>
      </c>
      <c r="GU155" s="611" t="s">
        <v>473</v>
      </c>
      <c r="GV155" s="611">
        <v>4</v>
      </c>
      <c r="GW155" s="611">
        <v>4</v>
      </c>
      <c r="GX155" s="611">
        <v>4</v>
      </c>
      <c r="GY155" s="611">
        <v>4</v>
      </c>
      <c r="GZ155" s="611">
        <v>4</v>
      </c>
      <c r="HA155" s="611">
        <v>4</v>
      </c>
      <c r="HB155" s="611" t="s">
        <v>473</v>
      </c>
      <c r="HC155" s="611" t="s">
        <v>473</v>
      </c>
      <c r="HD155" s="611" t="s">
        <v>473</v>
      </c>
      <c r="HE155" s="611" t="s">
        <v>473</v>
      </c>
      <c r="HF155" s="611">
        <v>4</v>
      </c>
      <c r="HG155" s="611">
        <v>4</v>
      </c>
      <c r="HH155" s="611">
        <v>4</v>
      </c>
      <c r="HI155" s="611">
        <v>4</v>
      </c>
      <c r="HJ155" s="611" t="s">
        <v>473</v>
      </c>
      <c r="HK155" s="611">
        <v>4</v>
      </c>
      <c r="HL155" s="611">
        <v>4</v>
      </c>
      <c r="HM155" s="611">
        <v>4</v>
      </c>
      <c r="HN155" s="611">
        <v>4</v>
      </c>
      <c r="HO155" s="611" t="s">
        <v>473</v>
      </c>
      <c r="HP155" s="611">
        <v>4</v>
      </c>
      <c r="HQ155" s="611">
        <v>4</v>
      </c>
      <c r="HR155" s="611">
        <v>4</v>
      </c>
      <c r="HS155" s="611">
        <v>4</v>
      </c>
      <c r="HT155" s="611">
        <v>4</v>
      </c>
      <c r="HU155" s="611">
        <v>4</v>
      </c>
      <c r="HV155" s="611">
        <v>4</v>
      </c>
      <c r="HW155" s="611" t="s">
        <v>473</v>
      </c>
      <c r="HX155" s="611" t="s">
        <v>473</v>
      </c>
      <c r="HY155" s="611" t="s">
        <v>473</v>
      </c>
      <c r="HZ155" s="611" t="s">
        <v>473</v>
      </c>
      <c r="IA155" s="611">
        <v>4</v>
      </c>
      <c r="IB155" s="611">
        <v>4</v>
      </c>
      <c r="IC155" s="611">
        <v>4</v>
      </c>
      <c r="ID155" s="611">
        <v>4</v>
      </c>
      <c r="IE155" s="611" t="s">
        <v>473</v>
      </c>
      <c r="IF155" s="611">
        <v>4</v>
      </c>
      <c r="IG155" s="611">
        <v>4</v>
      </c>
      <c r="IH155" s="611">
        <v>4</v>
      </c>
      <c r="II155" s="611">
        <v>4</v>
      </c>
      <c r="IJ155" s="611" t="s">
        <v>473</v>
      </c>
      <c r="IK155" s="611">
        <v>4</v>
      </c>
      <c r="IL155" s="611">
        <v>4</v>
      </c>
      <c r="IM155" s="611">
        <v>4</v>
      </c>
      <c r="IN155" s="611">
        <v>4</v>
      </c>
      <c r="IO155" s="611">
        <v>4</v>
      </c>
      <c r="IP155" s="611" t="s">
        <v>473</v>
      </c>
      <c r="IQ155" s="611">
        <v>4</v>
      </c>
      <c r="IR155" s="611">
        <v>4</v>
      </c>
      <c r="IS155" s="611">
        <v>4</v>
      </c>
      <c r="IT155" s="611">
        <v>4</v>
      </c>
      <c r="IU155" s="611">
        <v>4</v>
      </c>
      <c r="IV155" s="611">
        <v>4</v>
      </c>
      <c r="IW155" s="611" t="s">
        <v>473</v>
      </c>
      <c r="IX155" s="611">
        <v>4</v>
      </c>
      <c r="IY155" s="611">
        <v>4</v>
      </c>
    </row>
    <row r="156" spans="1:259" s="190" customFormat="1" x14ac:dyDescent="0.25">
      <c r="A156" s="209"/>
      <c r="B156" s="209"/>
      <c r="C156" s="209"/>
      <c r="D156" s="209"/>
      <c r="E156" s="209"/>
      <c r="F156" s="209"/>
      <c r="G156" s="209"/>
      <c r="H156" s="209"/>
      <c r="I156" s="209">
        <v>5</v>
      </c>
      <c r="J156" s="196" t="s">
        <v>926</v>
      </c>
      <c r="K156" s="663">
        <f>E15</f>
        <v>7.4797971899493804E-2</v>
      </c>
      <c r="L156" s="196" t="s">
        <v>927</v>
      </c>
      <c r="M156" s="663">
        <f>E16</f>
        <v>7.0648217732033641E-2</v>
      </c>
      <c r="N156" s="209">
        <v>5</v>
      </c>
      <c r="O156" s="673" t="s">
        <v>473</v>
      </c>
      <c r="P156" s="673" t="s">
        <v>473</v>
      </c>
      <c r="Q156" s="673" t="s">
        <v>473</v>
      </c>
      <c r="R156" s="673">
        <v>5</v>
      </c>
      <c r="S156" s="673" t="s">
        <v>473</v>
      </c>
      <c r="T156" s="673" t="s">
        <v>473</v>
      </c>
      <c r="U156" s="673" t="s">
        <v>473</v>
      </c>
      <c r="V156" s="673" t="s">
        <v>473</v>
      </c>
      <c r="W156" s="673" t="s">
        <v>473</v>
      </c>
      <c r="X156" s="673">
        <v>5</v>
      </c>
      <c r="Y156" s="673" t="s">
        <v>473</v>
      </c>
      <c r="Z156" s="673" t="s">
        <v>473</v>
      </c>
      <c r="AA156" s="611" t="s">
        <v>473</v>
      </c>
      <c r="AB156" s="611" t="s">
        <v>473</v>
      </c>
      <c r="AC156" s="611">
        <v>5</v>
      </c>
      <c r="AD156" s="611" t="s">
        <v>473</v>
      </c>
      <c r="AE156" s="611" t="s">
        <v>473</v>
      </c>
      <c r="AF156" s="611" t="s">
        <v>473</v>
      </c>
      <c r="AG156" s="611">
        <v>5</v>
      </c>
      <c r="AH156" s="611" t="s">
        <v>473</v>
      </c>
      <c r="AI156" s="611" t="s">
        <v>473</v>
      </c>
      <c r="AJ156" s="611" t="s">
        <v>473</v>
      </c>
      <c r="AK156" s="611">
        <v>5</v>
      </c>
      <c r="AL156" s="611">
        <v>5</v>
      </c>
      <c r="AM156" s="611">
        <v>5</v>
      </c>
      <c r="AN156" s="611" t="s">
        <v>473</v>
      </c>
      <c r="AO156" s="611" t="s">
        <v>473</v>
      </c>
      <c r="AP156" s="611" t="s">
        <v>473</v>
      </c>
      <c r="AQ156" s="611" t="s">
        <v>473</v>
      </c>
      <c r="AR156" s="611" t="s">
        <v>473</v>
      </c>
      <c r="AS156" s="611">
        <v>5</v>
      </c>
      <c r="AT156" s="611" t="s">
        <v>473</v>
      </c>
      <c r="AU156" s="611" t="s">
        <v>473</v>
      </c>
      <c r="AV156" s="611" t="s">
        <v>473</v>
      </c>
      <c r="AW156" s="611" t="s">
        <v>473</v>
      </c>
      <c r="AX156" s="611">
        <v>5</v>
      </c>
      <c r="AY156" s="611" t="s">
        <v>473</v>
      </c>
      <c r="AZ156" s="611" t="s">
        <v>473</v>
      </c>
      <c r="BA156" s="611" t="s">
        <v>473</v>
      </c>
      <c r="BB156" s="611">
        <v>5</v>
      </c>
      <c r="BC156" s="611" t="s">
        <v>473</v>
      </c>
      <c r="BD156" s="611" t="s">
        <v>473</v>
      </c>
      <c r="BE156" s="611" t="s">
        <v>473</v>
      </c>
      <c r="BF156" s="611">
        <v>5</v>
      </c>
      <c r="BG156" s="611">
        <v>5</v>
      </c>
      <c r="BH156" s="611">
        <v>5</v>
      </c>
      <c r="BI156" s="611" t="s">
        <v>473</v>
      </c>
      <c r="BJ156" s="611" t="s">
        <v>473</v>
      </c>
      <c r="BK156" s="611" t="s">
        <v>473</v>
      </c>
      <c r="BL156" s="611" t="s">
        <v>473</v>
      </c>
      <c r="BM156" s="611">
        <v>5</v>
      </c>
      <c r="BN156" s="611" t="s">
        <v>473</v>
      </c>
      <c r="BO156" s="611" t="s">
        <v>473</v>
      </c>
      <c r="BP156" s="611" t="s">
        <v>473</v>
      </c>
      <c r="BQ156" s="611">
        <v>5</v>
      </c>
      <c r="BR156" s="611" t="s">
        <v>473</v>
      </c>
      <c r="BS156" s="611" t="s">
        <v>473</v>
      </c>
      <c r="BT156" s="611" t="s">
        <v>473</v>
      </c>
      <c r="BU156" s="611">
        <v>5</v>
      </c>
      <c r="BV156" s="611">
        <v>5</v>
      </c>
      <c r="BW156" s="611">
        <v>5</v>
      </c>
      <c r="BX156" s="611" t="s">
        <v>473</v>
      </c>
      <c r="BY156" s="611" t="s">
        <v>473</v>
      </c>
      <c r="BZ156" s="611" t="s">
        <v>473</v>
      </c>
      <c r="CA156" s="611">
        <v>5</v>
      </c>
      <c r="CB156" s="611" t="s">
        <v>473</v>
      </c>
      <c r="CC156" s="611" t="s">
        <v>473</v>
      </c>
      <c r="CD156" s="611" t="s">
        <v>473</v>
      </c>
      <c r="CE156" s="611">
        <v>5</v>
      </c>
      <c r="CF156" s="611">
        <v>5</v>
      </c>
      <c r="CG156" s="611">
        <v>5</v>
      </c>
      <c r="CH156" s="611" t="s">
        <v>473</v>
      </c>
      <c r="CI156" s="611" t="s">
        <v>473</v>
      </c>
      <c r="CJ156" s="611" t="s">
        <v>473</v>
      </c>
      <c r="CK156" s="611">
        <v>5</v>
      </c>
      <c r="CL156" s="611">
        <v>5</v>
      </c>
      <c r="CM156" s="611">
        <v>5</v>
      </c>
      <c r="CN156" s="611" t="s">
        <v>473</v>
      </c>
      <c r="CO156" s="611" t="s">
        <v>473</v>
      </c>
      <c r="CP156" s="611" t="s">
        <v>473</v>
      </c>
      <c r="CQ156" s="611">
        <v>5</v>
      </c>
      <c r="CR156" s="611">
        <v>5</v>
      </c>
      <c r="CS156" s="611">
        <v>5</v>
      </c>
      <c r="CT156" s="611" t="s">
        <v>473</v>
      </c>
      <c r="CU156" s="611" t="s">
        <v>473</v>
      </c>
      <c r="CV156" s="611">
        <v>5</v>
      </c>
      <c r="CW156" s="611" t="s">
        <v>473</v>
      </c>
      <c r="CX156" s="611" t="s">
        <v>473</v>
      </c>
      <c r="CY156" s="611" t="s">
        <v>473</v>
      </c>
      <c r="CZ156" s="611">
        <v>5</v>
      </c>
      <c r="DA156" s="611" t="s">
        <v>473</v>
      </c>
      <c r="DB156" s="611" t="s">
        <v>473</v>
      </c>
      <c r="DC156" s="611" t="s">
        <v>473</v>
      </c>
      <c r="DD156" s="611">
        <v>5</v>
      </c>
      <c r="DE156" s="611">
        <v>5</v>
      </c>
      <c r="DF156" s="611">
        <v>5</v>
      </c>
      <c r="DG156" s="611" t="s">
        <v>473</v>
      </c>
      <c r="DH156" s="611" t="s">
        <v>473</v>
      </c>
      <c r="DI156" s="611" t="s">
        <v>473</v>
      </c>
      <c r="DJ156" s="611">
        <v>5</v>
      </c>
      <c r="DK156" s="611" t="s">
        <v>473</v>
      </c>
      <c r="DL156" s="611" t="s">
        <v>473</v>
      </c>
      <c r="DM156" s="611" t="s">
        <v>473</v>
      </c>
      <c r="DN156" s="611">
        <v>5</v>
      </c>
      <c r="DO156" s="611">
        <v>5</v>
      </c>
      <c r="DP156" s="611">
        <v>5</v>
      </c>
      <c r="DQ156" s="611" t="s">
        <v>473</v>
      </c>
      <c r="DR156" s="611" t="s">
        <v>473</v>
      </c>
      <c r="DS156" s="611" t="s">
        <v>473</v>
      </c>
      <c r="DT156" s="611">
        <v>5</v>
      </c>
      <c r="DU156" s="611">
        <v>5</v>
      </c>
      <c r="DV156" s="611">
        <v>5</v>
      </c>
      <c r="DW156" s="611" t="s">
        <v>473</v>
      </c>
      <c r="DX156" s="611" t="s">
        <v>473</v>
      </c>
      <c r="DY156" s="611" t="s">
        <v>473</v>
      </c>
      <c r="DZ156" s="611">
        <v>5</v>
      </c>
      <c r="EA156" s="611">
        <v>5</v>
      </c>
      <c r="EB156" s="611">
        <v>5</v>
      </c>
      <c r="EC156" s="611" t="s">
        <v>473</v>
      </c>
      <c r="ED156" s="611">
        <v>5</v>
      </c>
      <c r="EE156" s="611" t="s">
        <v>473</v>
      </c>
      <c r="EF156" s="611" t="s">
        <v>473</v>
      </c>
      <c r="EG156" s="611" t="s">
        <v>473</v>
      </c>
      <c r="EH156" s="611">
        <v>5</v>
      </c>
      <c r="EI156" s="611">
        <v>5</v>
      </c>
      <c r="EJ156" s="611">
        <v>5</v>
      </c>
      <c r="EK156" s="611" t="s">
        <v>473</v>
      </c>
      <c r="EL156" s="611" t="s">
        <v>473</v>
      </c>
      <c r="EM156" s="611" t="s">
        <v>473</v>
      </c>
      <c r="EN156" s="611">
        <v>5</v>
      </c>
      <c r="EO156" s="611">
        <v>5</v>
      </c>
      <c r="EP156" s="611">
        <v>5</v>
      </c>
      <c r="EQ156" s="611" t="s">
        <v>473</v>
      </c>
      <c r="ER156" s="611" t="s">
        <v>473</v>
      </c>
      <c r="ES156" s="611" t="s">
        <v>473</v>
      </c>
      <c r="ET156" s="611">
        <v>5</v>
      </c>
      <c r="EU156" s="611">
        <v>5</v>
      </c>
      <c r="EV156" s="611">
        <v>5</v>
      </c>
      <c r="EW156" s="611" t="s">
        <v>473</v>
      </c>
      <c r="EX156" s="611">
        <v>5</v>
      </c>
      <c r="EY156" s="611">
        <v>5</v>
      </c>
      <c r="EZ156" s="611">
        <v>5</v>
      </c>
      <c r="FA156" s="611" t="s">
        <v>473</v>
      </c>
      <c r="FB156" s="611" t="s">
        <v>473</v>
      </c>
      <c r="FC156" s="611" t="s">
        <v>473</v>
      </c>
      <c r="FD156" s="611">
        <v>5</v>
      </c>
      <c r="FE156" s="611">
        <v>5</v>
      </c>
      <c r="FF156" s="611">
        <v>5</v>
      </c>
      <c r="FG156" s="611" t="s">
        <v>473</v>
      </c>
      <c r="FH156" s="611">
        <v>5</v>
      </c>
      <c r="FI156" s="611">
        <v>5</v>
      </c>
      <c r="FJ156" s="611">
        <v>5</v>
      </c>
      <c r="FK156" s="611" t="s">
        <v>473</v>
      </c>
      <c r="FL156" s="611">
        <v>5</v>
      </c>
      <c r="FM156" s="611">
        <v>5</v>
      </c>
      <c r="FN156" s="611" t="s">
        <v>473</v>
      </c>
      <c r="FO156" s="611" t="s">
        <v>473</v>
      </c>
      <c r="FP156" s="611" t="s">
        <v>473</v>
      </c>
      <c r="FQ156" s="611">
        <v>5</v>
      </c>
      <c r="FR156" s="611">
        <v>5</v>
      </c>
      <c r="FS156" s="611">
        <v>5</v>
      </c>
      <c r="FT156" s="611" t="s">
        <v>473</v>
      </c>
      <c r="FU156" s="611" t="s">
        <v>473</v>
      </c>
      <c r="FV156" s="611" t="s">
        <v>473</v>
      </c>
      <c r="FW156" s="611">
        <v>5</v>
      </c>
      <c r="FX156" s="611">
        <v>5</v>
      </c>
      <c r="FY156" s="611">
        <v>5</v>
      </c>
      <c r="FZ156" s="611" t="s">
        <v>473</v>
      </c>
      <c r="GA156" s="611" t="s">
        <v>473</v>
      </c>
      <c r="GB156" s="611" t="s">
        <v>473</v>
      </c>
      <c r="GC156" s="611">
        <v>5</v>
      </c>
      <c r="GD156" s="611">
        <v>5</v>
      </c>
      <c r="GE156" s="611">
        <v>5</v>
      </c>
      <c r="GF156" s="611" t="s">
        <v>473</v>
      </c>
      <c r="GG156" s="611">
        <v>5</v>
      </c>
      <c r="GH156" s="611">
        <v>5</v>
      </c>
      <c r="GI156" s="611">
        <v>5</v>
      </c>
      <c r="GJ156" s="611" t="s">
        <v>473</v>
      </c>
      <c r="GK156" s="611" t="s">
        <v>473</v>
      </c>
      <c r="GL156" s="611" t="s">
        <v>473</v>
      </c>
      <c r="GM156" s="611">
        <v>5</v>
      </c>
      <c r="GN156" s="611">
        <v>5</v>
      </c>
      <c r="GO156" s="611">
        <v>5</v>
      </c>
      <c r="GP156" s="611" t="s">
        <v>473</v>
      </c>
      <c r="GQ156" s="611">
        <v>5</v>
      </c>
      <c r="GR156" s="611">
        <v>5</v>
      </c>
      <c r="GS156" s="611">
        <v>5</v>
      </c>
      <c r="GT156" s="611" t="s">
        <v>473</v>
      </c>
      <c r="GU156" s="611">
        <v>5</v>
      </c>
      <c r="GV156" s="611">
        <v>5</v>
      </c>
      <c r="GW156" s="611">
        <v>5</v>
      </c>
      <c r="GX156" s="611">
        <v>5</v>
      </c>
      <c r="GY156" s="611" t="s">
        <v>473</v>
      </c>
      <c r="GZ156" s="611" t="s">
        <v>473</v>
      </c>
      <c r="HA156" s="611" t="s">
        <v>473</v>
      </c>
      <c r="HB156" s="611">
        <v>5</v>
      </c>
      <c r="HC156" s="611">
        <v>5</v>
      </c>
      <c r="HD156" s="611">
        <v>5</v>
      </c>
      <c r="HE156" s="611" t="s">
        <v>473</v>
      </c>
      <c r="HF156" s="611">
        <v>5</v>
      </c>
      <c r="HG156" s="611">
        <v>5</v>
      </c>
      <c r="HH156" s="611">
        <v>5</v>
      </c>
      <c r="HI156" s="611" t="s">
        <v>473</v>
      </c>
      <c r="HJ156" s="611">
        <v>5</v>
      </c>
      <c r="HK156" s="611">
        <v>5</v>
      </c>
      <c r="HL156" s="611">
        <v>5</v>
      </c>
      <c r="HM156" s="611">
        <v>5</v>
      </c>
      <c r="HN156" s="611" t="s">
        <v>473</v>
      </c>
      <c r="HO156" s="611">
        <v>5</v>
      </c>
      <c r="HP156" s="611">
        <v>5</v>
      </c>
      <c r="HQ156" s="611">
        <v>5</v>
      </c>
      <c r="HR156" s="611">
        <v>5</v>
      </c>
      <c r="HS156" s="611">
        <v>5</v>
      </c>
      <c r="HT156" s="611" t="s">
        <v>473</v>
      </c>
      <c r="HU156" s="611" t="s">
        <v>473</v>
      </c>
      <c r="HV156" s="611" t="s">
        <v>473</v>
      </c>
      <c r="HW156" s="611">
        <v>5</v>
      </c>
      <c r="HX156" s="611">
        <v>5</v>
      </c>
      <c r="HY156" s="611">
        <v>5</v>
      </c>
      <c r="HZ156" s="611" t="s">
        <v>473</v>
      </c>
      <c r="IA156" s="611">
        <v>5</v>
      </c>
      <c r="IB156" s="611">
        <v>5</v>
      </c>
      <c r="IC156" s="611">
        <v>5</v>
      </c>
      <c r="ID156" s="611" t="s">
        <v>473</v>
      </c>
      <c r="IE156" s="611">
        <v>5</v>
      </c>
      <c r="IF156" s="611">
        <v>5</v>
      </c>
      <c r="IG156" s="611">
        <v>5</v>
      </c>
      <c r="IH156" s="611">
        <v>5</v>
      </c>
      <c r="II156" s="611" t="s">
        <v>473</v>
      </c>
      <c r="IJ156" s="611">
        <v>5</v>
      </c>
      <c r="IK156" s="611">
        <v>5</v>
      </c>
      <c r="IL156" s="611">
        <v>5</v>
      </c>
      <c r="IM156" s="611">
        <v>5</v>
      </c>
      <c r="IN156" s="611">
        <v>5</v>
      </c>
      <c r="IO156" s="611" t="s">
        <v>473</v>
      </c>
      <c r="IP156" s="611">
        <v>5</v>
      </c>
      <c r="IQ156" s="611">
        <v>5</v>
      </c>
      <c r="IR156" s="611">
        <v>5</v>
      </c>
      <c r="IS156" s="611">
        <v>5</v>
      </c>
      <c r="IT156" s="611">
        <v>5</v>
      </c>
      <c r="IU156" s="611">
        <v>5</v>
      </c>
      <c r="IV156" s="611" t="s">
        <v>473</v>
      </c>
      <c r="IW156" s="611">
        <v>5</v>
      </c>
      <c r="IX156" s="611">
        <v>5</v>
      </c>
      <c r="IY156" s="611">
        <v>5</v>
      </c>
    </row>
    <row r="157" spans="1:259" s="190" customFormat="1" x14ac:dyDescent="0.25">
      <c r="A157" s="209"/>
      <c r="B157" s="209"/>
      <c r="C157" s="209"/>
      <c r="D157" s="209" t="str">
        <f>Watersheds!A5</f>
        <v>Statewide</v>
      </c>
      <c r="E157" s="209"/>
      <c r="F157" s="209"/>
      <c r="G157" s="209"/>
      <c r="H157" s="209"/>
      <c r="I157" s="209">
        <v>6</v>
      </c>
      <c r="J157" s="675" t="s">
        <v>764</v>
      </c>
      <c r="K157" s="663">
        <f>E12</f>
        <v>0.12731704119753076</v>
      </c>
      <c r="L157" s="209"/>
      <c r="M157" s="209"/>
      <c r="N157" s="209">
        <v>6</v>
      </c>
      <c r="O157" s="673" t="s">
        <v>473</v>
      </c>
      <c r="P157" s="673" t="s">
        <v>473</v>
      </c>
      <c r="Q157" s="673" t="s">
        <v>473</v>
      </c>
      <c r="R157" s="673" t="s">
        <v>473</v>
      </c>
      <c r="S157" s="673">
        <v>6</v>
      </c>
      <c r="T157" s="673" t="s">
        <v>473</v>
      </c>
      <c r="U157" s="673" t="s">
        <v>473</v>
      </c>
      <c r="V157" s="673" t="s">
        <v>473</v>
      </c>
      <c r="W157" s="673" t="s">
        <v>473</v>
      </c>
      <c r="X157" s="673" t="s">
        <v>473</v>
      </c>
      <c r="Y157" s="673">
        <v>6</v>
      </c>
      <c r="Z157" s="673" t="s">
        <v>473</v>
      </c>
      <c r="AA157" s="611" t="s">
        <v>473</v>
      </c>
      <c r="AB157" s="611" t="s">
        <v>473</v>
      </c>
      <c r="AC157" s="611" t="s">
        <v>473</v>
      </c>
      <c r="AD157" s="611">
        <v>6</v>
      </c>
      <c r="AE157" s="611" t="s">
        <v>473</v>
      </c>
      <c r="AF157" s="611" t="s">
        <v>473</v>
      </c>
      <c r="AG157" s="611" t="s">
        <v>473</v>
      </c>
      <c r="AH157" s="611">
        <v>6</v>
      </c>
      <c r="AI157" s="611" t="s">
        <v>473</v>
      </c>
      <c r="AJ157" s="611" t="s">
        <v>473</v>
      </c>
      <c r="AK157" s="611">
        <v>6</v>
      </c>
      <c r="AL157" s="611" t="s">
        <v>473</v>
      </c>
      <c r="AM157" s="611" t="s">
        <v>473</v>
      </c>
      <c r="AN157" s="611">
        <v>6</v>
      </c>
      <c r="AO157" s="611">
        <v>6</v>
      </c>
      <c r="AP157" s="611" t="s">
        <v>473</v>
      </c>
      <c r="AQ157" s="611" t="s">
        <v>473</v>
      </c>
      <c r="AR157" s="611" t="s">
        <v>473</v>
      </c>
      <c r="AS157" s="611" t="s">
        <v>473</v>
      </c>
      <c r="AT157" s="611">
        <v>6</v>
      </c>
      <c r="AU157" s="611" t="s">
        <v>473</v>
      </c>
      <c r="AV157" s="611" t="s">
        <v>473</v>
      </c>
      <c r="AW157" s="611" t="s">
        <v>473</v>
      </c>
      <c r="AX157" s="611" t="s">
        <v>473</v>
      </c>
      <c r="AY157" s="611">
        <v>6</v>
      </c>
      <c r="AZ157" s="611" t="s">
        <v>473</v>
      </c>
      <c r="BA157" s="611" t="s">
        <v>473</v>
      </c>
      <c r="BB157" s="611" t="s">
        <v>473</v>
      </c>
      <c r="BC157" s="611">
        <v>6</v>
      </c>
      <c r="BD157" s="611" t="s">
        <v>473</v>
      </c>
      <c r="BE157" s="611" t="s">
        <v>473</v>
      </c>
      <c r="BF157" s="611">
        <v>6</v>
      </c>
      <c r="BG157" s="611" t="s">
        <v>473</v>
      </c>
      <c r="BH157" s="611" t="s">
        <v>473</v>
      </c>
      <c r="BI157" s="611">
        <v>6</v>
      </c>
      <c r="BJ157" s="611">
        <v>6</v>
      </c>
      <c r="BK157" s="611" t="s">
        <v>473</v>
      </c>
      <c r="BL157" s="611" t="s">
        <v>473</v>
      </c>
      <c r="BM157" s="611" t="s">
        <v>473</v>
      </c>
      <c r="BN157" s="611">
        <v>6</v>
      </c>
      <c r="BO157" s="611" t="s">
        <v>473</v>
      </c>
      <c r="BP157" s="611" t="s">
        <v>473</v>
      </c>
      <c r="BQ157" s="611" t="s">
        <v>473</v>
      </c>
      <c r="BR157" s="611">
        <v>6</v>
      </c>
      <c r="BS157" s="611" t="s">
        <v>473</v>
      </c>
      <c r="BT157" s="611" t="s">
        <v>473</v>
      </c>
      <c r="BU157" s="611">
        <v>6</v>
      </c>
      <c r="BV157" s="611" t="s">
        <v>473</v>
      </c>
      <c r="BW157" s="611" t="s">
        <v>473</v>
      </c>
      <c r="BX157" s="611">
        <v>6</v>
      </c>
      <c r="BY157" s="611">
        <v>6</v>
      </c>
      <c r="BZ157" s="611" t="s">
        <v>473</v>
      </c>
      <c r="CA157" s="611" t="s">
        <v>473</v>
      </c>
      <c r="CB157" s="611">
        <v>6</v>
      </c>
      <c r="CC157" s="611" t="s">
        <v>473</v>
      </c>
      <c r="CD157" s="611" t="s">
        <v>473</v>
      </c>
      <c r="CE157" s="611">
        <v>6</v>
      </c>
      <c r="CF157" s="611" t="s">
        <v>473</v>
      </c>
      <c r="CG157" s="611" t="s">
        <v>473</v>
      </c>
      <c r="CH157" s="611">
        <v>6</v>
      </c>
      <c r="CI157" s="611">
        <v>6</v>
      </c>
      <c r="CJ157" s="611" t="s">
        <v>473</v>
      </c>
      <c r="CK157" s="611">
        <v>6</v>
      </c>
      <c r="CL157" s="611" t="s">
        <v>473</v>
      </c>
      <c r="CM157" s="611" t="s">
        <v>473</v>
      </c>
      <c r="CN157" s="611">
        <v>6</v>
      </c>
      <c r="CO157" s="611">
        <v>6</v>
      </c>
      <c r="CP157" s="611" t="s">
        <v>473</v>
      </c>
      <c r="CQ157" s="611">
        <v>6</v>
      </c>
      <c r="CR157" s="611">
        <v>6</v>
      </c>
      <c r="CS157" s="611" t="s">
        <v>473</v>
      </c>
      <c r="CT157" s="611">
        <v>6</v>
      </c>
      <c r="CU157" s="611" t="s">
        <v>473</v>
      </c>
      <c r="CV157" s="611" t="s">
        <v>473</v>
      </c>
      <c r="CW157" s="611">
        <v>6</v>
      </c>
      <c r="CX157" s="611" t="s">
        <v>473</v>
      </c>
      <c r="CY157" s="611" t="s">
        <v>473</v>
      </c>
      <c r="CZ157" s="611" t="s">
        <v>473</v>
      </c>
      <c r="DA157" s="611">
        <v>6</v>
      </c>
      <c r="DB157" s="611" t="s">
        <v>473</v>
      </c>
      <c r="DC157" s="611" t="s">
        <v>473</v>
      </c>
      <c r="DD157" s="611">
        <v>6</v>
      </c>
      <c r="DE157" s="611" t="s">
        <v>473</v>
      </c>
      <c r="DF157" s="611" t="s">
        <v>473</v>
      </c>
      <c r="DG157" s="611">
        <v>6</v>
      </c>
      <c r="DH157" s="611">
        <v>6</v>
      </c>
      <c r="DI157" s="611" t="s">
        <v>473</v>
      </c>
      <c r="DJ157" s="611" t="s">
        <v>473</v>
      </c>
      <c r="DK157" s="611">
        <v>6</v>
      </c>
      <c r="DL157" s="611" t="s">
        <v>473</v>
      </c>
      <c r="DM157" s="611" t="s">
        <v>473</v>
      </c>
      <c r="DN157" s="611">
        <v>6</v>
      </c>
      <c r="DO157" s="611" t="s">
        <v>473</v>
      </c>
      <c r="DP157" s="611" t="s">
        <v>473</v>
      </c>
      <c r="DQ157" s="611">
        <v>6</v>
      </c>
      <c r="DR157" s="611">
        <v>6</v>
      </c>
      <c r="DS157" s="611" t="s">
        <v>473</v>
      </c>
      <c r="DT157" s="611">
        <v>6</v>
      </c>
      <c r="DU157" s="611" t="s">
        <v>473</v>
      </c>
      <c r="DV157" s="611" t="s">
        <v>473</v>
      </c>
      <c r="DW157" s="611">
        <v>6</v>
      </c>
      <c r="DX157" s="611">
        <v>6</v>
      </c>
      <c r="DY157" s="611" t="s">
        <v>473</v>
      </c>
      <c r="DZ157" s="611">
        <v>6</v>
      </c>
      <c r="EA157" s="611">
        <v>6</v>
      </c>
      <c r="EB157" s="611" t="s">
        <v>473</v>
      </c>
      <c r="EC157" s="611">
        <v>6</v>
      </c>
      <c r="ED157" s="611" t="s">
        <v>473</v>
      </c>
      <c r="EE157" s="611">
        <v>6</v>
      </c>
      <c r="EF157" s="611" t="s">
        <v>473</v>
      </c>
      <c r="EG157" s="611" t="s">
        <v>473</v>
      </c>
      <c r="EH157" s="611">
        <v>6</v>
      </c>
      <c r="EI157" s="611" t="s">
        <v>473</v>
      </c>
      <c r="EJ157" s="611" t="s">
        <v>473</v>
      </c>
      <c r="EK157" s="611">
        <v>6</v>
      </c>
      <c r="EL157" s="611">
        <v>6</v>
      </c>
      <c r="EM157" s="611" t="s">
        <v>473</v>
      </c>
      <c r="EN157" s="611">
        <v>6</v>
      </c>
      <c r="EO157" s="611" t="s">
        <v>473</v>
      </c>
      <c r="EP157" s="611" t="s">
        <v>473</v>
      </c>
      <c r="EQ157" s="611">
        <v>6</v>
      </c>
      <c r="ER157" s="611">
        <v>6</v>
      </c>
      <c r="ES157" s="611" t="s">
        <v>473</v>
      </c>
      <c r="ET157" s="611">
        <v>6</v>
      </c>
      <c r="EU157" s="611">
        <v>6</v>
      </c>
      <c r="EV157" s="611" t="s">
        <v>473</v>
      </c>
      <c r="EW157" s="611">
        <v>6</v>
      </c>
      <c r="EX157" s="611">
        <v>6</v>
      </c>
      <c r="EY157" s="611" t="s">
        <v>473</v>
      </c>
      <c r="EZ157" s="611" t="s">
        <v>473</v>
      </c>
      <c r="FA157" s="611">
        <v>6</v>
      </c>
      <c r="FB157" s="611">
        <v>6</v>
      </c>
      <c r="FC157" s="611" t="s">
        <v>473</v>
      </c>
      <c r="FD157" s="611">
        <v>6</v>
      </c>
      <c r="FE157" s="611">
        <v>6</v>
      </c>
      <c r="FF157" s="611" t="s">
        <v>473</v>
      </c>
      <c r="FG157" s="611">
        <v>6</v>
      </c>
      <c r="FH157" s="611">
        <v>6</v>
      </c>
      <c r="FI157" s="611">
        <v>6</v>
      </c>
      <c r="FJ157" s="611" t="s">
        <v>473</v>
      </c>
      <c r="FK157" s="611">
        <v>6</v>
      </c>
      <c r="FL157" s="611">
        <v>6</v>
      </c>
      <c r="FM157" s="611" t="s">
        <v>473</v>
      </c>
      <c r="FN157" s="611">
        <v>6</v>
      </c>
      <c r="FO157" s="611" t="s">
        <v>473</v>
      </c>
      <c r="FP157" s="611" t="s">
        <v>473</v>
      </c>
      <c r="FQ157" s="611">
        <v>6</v>
      </c>
      <c r="FR157" s="611" t="s">
        <v>473</v>
      </c>
      <c r="FS157" s="611" t="s">
        <v>473</v>
      </c>
      <c r="FT157" s="611">
        <v>6</v>
      </c>
      <c r="FU157" s="611">
        <v>6</v>
      </c>
      <c r="FV157" s="611" t="s">
        <v>473</v>
      </c>
      <c r="FW157" s="611">
        <v>6</v>
      </c>
      <c r="FX157" s="611" t="s">
        <v>473</v>
      </c>
      <c r="FY157" s="611" t="s">
        <v>473</v>
      </c>
      <c r="FZ157" s="611">
        <v>6</v>
      </c>
      <c r="GA157" s="611">
        <v>6</v>
      </c>
      <c r="GB157" s="611" t="s">
        <v>473</v>
      </c>
      <c r="GC157" s="611">
        <v>6</v>
      </c>
      <c r="GD157" s="611">
        <v>6</v>
      </c>
      <c r="GE157" s="611" t="s">
        <v>473</v>
      </c>
      <c r="GF157" s="611">
        <v>6</v>
      </c>
      <c r="GG157" s="611">
        <v>6</v>
      </c>
      <c r="GH157" s="611" t="s">
        <v>473</v>
      </c>
      <c r="GI157" s="611" t="s">
        <v>473</v>
      </c>
      <c r="GJ157" s="611">
        <v>6</v>
      </c>
      <c r="GK157" s="611">
        <v>6</v>
      </c>
      <c r="GL157" s="611" t="s">
        <v>473</v>
      </c>
      <c r="GM157" s="611">
        <v>6</v>
      </c>
      <c r="GN157" s="611">
        <v>6</v>
      </c>
      <c r="GO157" s="611" t="s">
        <v>473</v>
      </c>
      <c r="GP157" s="611">
        <v>6</v>
      </c>
      <c r="GQ157" s="611">
        <v>6</v>
      </c>
      <c r="GR157" s="611">
        <v>6</v>
      </c>
      <c r="GS157" s="611" t="s">
        <v>473</v>
      </c>
      <c r="GT157" s="611">
        <v>6</v>
      </c>
      <c r="GU157" s="611">
        <v>6</v>
      </c>
      <c r="GV157" s="611">
        <v>6</v>
      </c>
      <c r="GW157" s="611" t="s">
        <v>473</v>
      </c>
      <c r="GX157" s="611" t="s">
        <v>473</v>
      </c>
      <c r="GY157" s="611">
        <v>6</v>
      </c>
      <c r="GZ157" s="611">
        <v>6</v>
      </c>
      <c r="HA157" s="611" t="s">
        <v>473</v>
      </c>
      <c r="HB157" s="611">
        <v>6</v>
      </c>
      <c r="HC157" s="611">
        <v>6</v>
      </c>
      <c r="HD157" s="611" t="s">
        <v>473</v>
      </c>
      <c r="HE157" s="611">
        <v>6</v>
      </c>
      <c r="HF157" s="611">
        <v>6</v>
      </c>
      <c r="HG157" s="611">
        <v>6</v>
      </c>
      <c r="HH157" s="611" t="s">
        <v>473</v>
      </c>
      <c r="HI157" s="611">
        <v>6</v>
      </c>
      <c r="HJ157" s="611">
        <v>6</v>
      </c>
      <c r="HK157" s="611">
        <v>6</v>
      </c>
      <c r="HL157" s="611">
        <v>6</v>
      </c>
      <c r="HM157" s="611" t="s">
        <v>473</v>
      </c>
      <c r="HN157" s="611">
        <v>6</v>
      </c>
      <c r="HO157" s="611">
        <v>6</v>
      </c>
      <c r="HP157" s="611">
        <v>6</v>
      </c>
      <c r="HQ157" s="611">
        <v>6</v>
      </c>
      <c r="HR157" s="611" t="s">
        <v>473</v>
      </c>
      <c r="HS157" s="611" t="s">
        <v>473</v>
      </c>
      <c r="HT157" s="611">
        <v>6</v>
      </c>
      <c r="HU157" s="611">
        <v>6</v>
      </c>
      <c r="HV157" s="611" t="s">
        <v>473</v>
      </c>
      <c r="HW157" s="611">
        <v>6</v>
      </c>
      <c r="HX157" s="611">
        <v>6</v>
      </c>
      <c r="HY157" s="611" t="s">
        <v>473</v>
      </c>
      <c r="HZ157" s="611">
        <v>6</v>
      </c>
      <c r="IA157" s="611">
        <v>6</v>
      </c>
      <c r="IB157" s="611">
        <v>6</v>
      </c>
      <c r="IC157" s="611" t="s">
        <v>473</v>
      </c>
      <c r="ID157" s="611">
        <v>6</v>
      </c>
      <c r="IE157" s="611">
        <v>6</v>
      </c>
      <c r="IF157" s="611">
        <v>6</v>
      </c>
      <c r="IG157" s="611">
        <v>6</v>
      </c>
      <c r="IH157" s="611" t="s">
        <v>473</v>
      </c>
      <c r="II157" s="611">
        <v>6</v>
      </c>
      <c r="IJ157" s="611">
        <v>6</v>
      </c>
      <c r="IK157" s="611">
        <v>6</v>
      </c>
      <c r="IL157" s="611">
        <v>6</v>
      </c>
      <c r="IM157" s="611">
        <v>6</v>
      </c>
      <c r="IN157" s="611" t="s">
        <v>473</v>
      </c>
      <c r="IO157" s="611">
        <v>6</v>
      </c>
      <c r="IP157" s="611">
        <v>6</v>
      </c>
      <c r="IQ157" s="611">
        <v>6</v>
      </c>
      <c r="IR157" s="611">
        <v>6</v>
      </c>
      <c r="IS157" s="611">
        <v>6</v>
      </c>
      <c r="IT157" s="611">
        <v>6</v>
      </c>
      <c r="IU157" s="611" t="s">
        <v>473</v>
      </c>
      <c r="IV157" s="611">
        <v>6</v>
      </c>
      <c r="IW157" s="611">
        <v>6</v>
      </c>
      <c r="IX157" s="611">
        <v>6</v>
      </c>
      <c r="IY157" s="611">
        <v>6</v>
      </c>
    </row>
    <row r="158" spans="1:259" s="190" customFormat="1" x14ac:dyDescent="0.25">
      <c r="A158" s="209"/>
      <c r="B158" s="209"/>
      <c r="C158" s="209"/>
      <c r="D158" s="209" t="str">
        <f>INDEX(N253:N255,B21)</f>
        <v>Average weather</v>
      </c>
      <c r="E158" s="209"/>
      <c r="F158" s="209"/>
      <c r="G158" s="209"/>
      <c r="H158" s="209"/>
      <c r="I158" s="209">
        <v>7</v>
      </c>
      <c r="J158" s="544" t="s">
        <v>4</v>
      </c>
      <c r="K158" s="663">
        <f>E13</f>
        <v>8.2442270886048542E-3</v>
      </c>
      <c r="L158" s="209"/>
      <c r="M158" s="209"/>
      <c r="N158" s="209">
        <v>7</v>
      </c>
      <c r="O158" s="673" t="s">
        <v>473</v>
      </c>
      <c r="P158" s="673" t="s">
        <v>473</v>
      </c>
      <c r="Q158" s="673" t="s">
        <v>473</v>
      </c>
      <c r="R158" s="673" t="s">
        <v>473</v>
      </c>
      <c r="S158" s="673" t="s">
        <v>473</v>
      </c>
      <c r="T158" s="673">
        <v>7</v>
      </c>
      <c r="U158" s="673" t="s">
        <v>473</v>
      </c>
      <c r="V158" s="673" t="s">
        <v>473</v>
      </c>
      <c r="W158" s="673" t="s">
        <v>473</v>
      </c>
      <c r="X158" s="673" t="s">
        <v>473</v>
      </c>
      <c r="Y158" s="673" t="s">
        <v>473</v>
      </c>
      <c r="Z158" s="673">
        <v>7</v>
      </c>
      <c r="AA158" s="611" t="s">
        <v>473</v>
      </c>
      <c r="AB158" s="611" t="s">
        <v>473</v>
      </c>
      <c r="AC158" s="611" t="s">
        <v>473</v>
      </c>
      <c r="AD158" s="611" t="s">
        <v>473</v>
      </c>
      <c r="AE158" s="611">
        <v>7</v>
      </c>
      <c r="AF158" s="611" t="s">
        <v>473</v>
      </c>
      <c r="AG158" s="611" t="s">
        <v>473</v>
      </c>
      <c r="AH158" s="611" t="s">
        <v>473</v>
      </c>
      <c r="AI158" s="611">
        <v>7</v>
      </c>
      <c r="AJ158" s="611" t="s">
        <v>473</v>
      </c>
      <c r="AK158" s="611" t="s">
        <v>473</v>
      </c>
      <c r="AL158" s="611">
        <v>7</v>
      </c>
      <c r="AM158" s="611" t="s">
        <v>473</v>
      </c>
      <c r="AN158" s="611">
        <v>7</v>
      </c>
      <c r="AO158" s="611" t="s">
        <v>473</v>
      </c>
      <c r="AP158" s="611">
        <v>7</v>
      </c>
      <c r="AQ158" s="611" t="s">
        <v>473</v>
      </c>
      <c r="AR158" s="611" t="s">
        <v>473</v>
      </c>
      <c r="AS158" s="611" t="s">
        <v>473</v>
      </c>
      <c r="AT158" s="611" t="s">
        <v>473</v>
      </c>
      <c r="AU158" s="611">
        <v>7</v>
      </c>
      <c r="AV158" s="611" t="s">
        <v>473</v>
      </c>
      <c r="AW158" s="611" t="s">
        <v>473</v>
      </c>
      <c r="AX158" s="611" t="s">
        <v>473</v>
      </c>
      <c r="AY158" s="611" t="s">
        <v>473</v>
      </c>
      <c r="AZ158" s="611">
        <v>7</v>
      </c>
      <c r="BA158" s="611" t="s">
        <v>473</v>
      </c>
      <c r="BB158" s="611" t="s">
        <v>473</v>
      </c>
      <c r="BC158" s="611" t="s">
        <v>473</v>
      </c>
      <c r="BD158" s="611">
        <v>7</v>
      </c>
      <c r="BE158" s="611" t="s">
        <v>473</v>
      </c>
      <c r="BF158" s="611" t="s">
        <v>473</v>
      </c>
      <c r="BG158" s="611">
        <v>7</v>
      </c>
      <c r="BH158" s="611" t="s">
        <v>473</v>
      </c>
      <c r="BI158" s="611">
        <v>7</v>
      </c>
      <c r="BJ158" s="611" t="s">
        <v>473</v>
      </c>
      <c r="BK158" s="611">
        <v>7</v>
      </c>
      <c r="BL158" s="611" t="s">
        <v>473</v>
      </c>
      <c r="BM158" s="611" t="s">
        <v>473</v>
      </c>
      <c r="BN158" s="611" t="s">
        <v>473</v>
      </c>
      <c r="BO158" s="611">
        <v>7</v>
      </c>
      <c r="BP158" s="611" t="s">
        <v>473</v>
      </c>
      <c r="BQ158" s="611" t="s">
        <v>473</v>
      </c>
      <c r="BR158" s="611" t="s">
        <v>473</v>
      </c>
      <c r="BS158" s="611">
        <v>7</v>
      </c>
      <c r="BT158" s="611" t="s">
        <v>473</v>
      </c>
      <c r="BU158" s="611" t="s">
        <v>473</v>
      </c>
      <c r="BV158" s="611">
        <v>7</v>
      </c>
      <c r="BW158" s="611" t="s">
        <v>473</v>
      </c>
      <c r="BX158" s="611">
        <v>7</v>
      </c>
      <c r="BY158" s="611" t="s">
        <v>473</v>
      </c>
      <c r="BZ158" s="611">
        <v>7</v>
      </c>
      <c r="CA158" s="611" t="s">
        <v>473</v>
      </c>
      <c r="CB158" s="611" t="s">
        <v>473</v>
      </c>
      <c r="CC158" s="611">
        <v>7</v>
      </c>
      <c r="CD158" s="611" t="s">
        <v>473</v>
      </c>
      <c r="CE158" s="611" t="s">
        <v>473</v>
      </c>
      <c r="CF158" s="611">
        <v>7</v>
      </c>
      <c r="CG158" s="611" t="s">
        <v>473</v>
      </c>
      <c r="CH158" s="611">
        <v>7</v>
      </c>
      <c r="CI158" s="611" t="s">
        <v>473</v>
      </c>
      <c r="CJ158" s="611">
        <v>7</v>
      </c>
      <c r="CK158" s="611" t="s">
        <v>473</v>
      </c>
      <c r="CL158" s="611">
        <v>7</v>
      </c>
      <c r="CM158" s="611" t="s">
        <v>473</v>
      </c>
      <c r="CN158" s="611">
        <v>7</v>
      </c>
      <c r="CO158" s="611" t="s">
        <v>473</v>
      </c>
      <c r="CP158" s="611">
        <v>7</v>
      </c>
      <c r="CQ158" s="611">
        <v>7</v>
      </c>
      <c r="CR158" s="611" t="s">
        <v>473</v>
      </c>
      <c r="CS158" s="611">
        <v>7</v>
      </c>
      <c r="CT158" s="611">
        <v>7</v>
      </c>
      <c r="CU158" s="611" t="s">
        <v>473</v>
      </c>
      <c r="CV158" s="611" t="s">
        <v>473</v>
      </c>
      <c r="CW158" s="611" t="s">
        <v>473</v>
      </c>
      <c r="CX158" s="611">
        <v>7</v>
      </c>
      <c r="CY158" s="611" t="s">
        <v>473</v>
      </c>
      <c r="CZ158" s="611" t="s">
        <v>473</v>
      </c>
      <c r="DA158" s="611" t="s">
        <v>473</v>
      </c>
      <c r="DB158" s="611">
        <v>7</v>
      </c>
      <c r="DC158" s="611" t="s">
        <v>473</v>
      </c>
      <c r="DD158" s="611" t="s">
        <v>473</v>
      </c>
      <c r="DE158" s="611">
        <v>7</v>
      </c>
      <c r="DF158" s="611" t="s">
        <v>473</v>
      </c>
      <c r="DG158" s="611">
        <v>7</v>
      </c>
      <c r="DH158" s="611" t="s">
        <v>473</v>
      </c>
      <c r="DI158" s="611">
        <v>7</v>
      </c>
      <c r="DJ158" s="611" t="s">
        <v>473</v>
      </c>
      <c r="DK158" s="611" t="s">
        <v>473</v>
      </c>
      <c r="DL158" s="611">
        <v>7</v>
      </c>
      <c r="DM158" s="611" t="s">
        <v>473</v>
      </c>
      <c r="DN158" s="611" t="s">
        <v>473</v>
      </c>
      <c r="DO158" s="611">
        <v>7</v>
      </c>
      <c r="DP158" s="611" t="s">
        <v>473</v>
      </c>
      <c r="DQ158" s="611">
        <v>7</v>
      </c>
      <c r="DR158" s="611" t="s">
        <v>473</v>
      </c>
      <c r="DS158" s="611">
        <v>7</v>
      </c>
      <c r="DT158" s="611" t="s">
        <v>473</v>
      </c>
      <c r="DU158" s="611">
        <v>7</v>
      </c>
      <c r="DV158" s="611" t="s">
        <v>473</v>
      </c>
      <c r="DW158" s="611">
        <v>7</v>
      </c>
      <c r="DX158" s="611" t="s">
        <v>473</v>
      </c>
      <c r="DY158" s="611">
        <v>7</v>
      </c>
      <c r="DZ158" s="611">
        <v>7</v>
      </c>
      <c r="EA158" s="611" t="s">
        <v>473</v>
      </c>
      <c r="EB158" s="611">
        <v>7</v>
      </c>
      <c r="EC158" s="611">
        <v>7</v>
      </c>
      <c r="ED158" s="611" t="s">
        <v>473</v>
      </c>
      <c r="EE158" s="611" t="s">
        <v>473</v>
      </c>
      <c r="EF158" s="611">
        <v>7</v>
      </c>
      <c r="EG158" s="611" t="s">
        <v>473</v>
      </c>
      <c r="EH158" s="611" t="s">
        <v>473</v>
      </c>
      <c r="EI158" s="611">
        <v>7</v>
      </c>
      <c r="EJ158" s="611" t="s">
        <v>473</v>
      </c>
      <c r="EK158" s="611">
        <v>7</v>
      </c>
      <c r="EL158" s="611" t="s">
        <v>473</v>
      </c>
      <c r="EM158" s="611">
        <v>7</v>
      </c>
      <c r="EN158" s="611" t="s">
        <v>473</v>
      </c>
      <c r="EO158" s="611">
        <v>7</v>
      </c>
      <c r="EP158" s="611" t="s">
        <v>473</v>
      </c>
      <c r="EQ158" s="611">
        <v>7</v>
      </c>
      <c r="ER158" s="611" t="s">
        <v>473</v>
      </c>
      <c r="ES158" s="611">
        <v>7</v>
      </c>
      <c r="ET158" s="611">
        <v>7</v>
      </c>
      <c r="EU158" s="611" t="s">
        <v>473</v>
      </c>
      <c r="EV158" s="611">
        <v>7</v>
      </c>
      <c r="EW158" s="611">
        <v>7</v>
      </c>
      <c r="EX158" s="611" t="s">
        <v>473</v>
      </c>
      <c r="EY158" s="611">
        <v>7</v>
      </c>
      <c r="EZ158" s="611" t="s">
        <v>473</v>
      </c>
      <c r="FA158" s="611">
        <v>7</v>
      </c>
      <c r="FB158" s="611" t="s">
        <v>473</v>
      </c>
      <c r="FC158" s="611">
        <v>7</v>
      </c>
      <c r="FD158" s="611">
        <v>7</v>
      </c>
      <c r="FE158" s="611" t="s">
        <v>473</v>
      </c>
      <c r="FF158" s="611">
        <v>7</v>
      </c>
      <c r="FG158" s="611">
        <v>7</v>
      </c>
      <c r="FH158" s="611">
        <v>7</v>
      </c>
      <c r="FI158" s="611" t="s">
        <v>473</v>
      </c>
      <c r="FJ158" s="611">
        <v>7</v>
      </c>
      <c r="FK158" s="611">
        <v>7</v>
      </c>
      <c r="FL158" s="611">
        <v>7</v>
      </c>
      <c r="FM158" s="611" t="s">
        <v>473</v>
      </c>
      <c r="FN158" s="611" t="s">
        <v>473</v>
      </c>
      <c r="FO158" s="611">
        <v>7</v>
      </c>
      <c r="FP158" s="611" t="s">
        <v>473</v>
      </c>
      <c r="FQ158" s="611" t="s">
        <v>473</v>
      </c>
      <c r="FR158" s="611">
        <v>7</v>
      </c>
      <c r="FS158" s="611" t="s">
        <v>473</v>
      </c>
      <c r="FT158" s="611">
        <v>7</v>
      </c>
      <c r="FU158" s="611" t="s">
        <v>473</v>
      </c>
      <c r="FV158" s="611">
        <v>7</v>
      </c>
      <c r="FW158" s="611" t="s">
        <v>473</v>
      </c>
      <c r="FX158" s="611">
        <v>7</v>
      </c>
      <c r="FY158" s="611" t="s">
        <v>473</v>
      </c>
      <c r="FZ158" s="611">
        <v>7</v>
      </c>
      <c r="GA158" s="611" t="s">
        <v>473</v>
      </c>
      <c r="GB158" s="611">
        <v>7</v>
      </c>
      <c r="GC158" s="611">
        <v>7</v>
      </c>
      <c r="GD158" s="611" t="s">
        <v>473</v>
      </c>
      <c r="GE158" s="611">
        <v>7</v>
      </c>
      <c r="GF158" s="611">
        <v>7</v>
      </c>
      <c r="GG158" s="611" t="s">
        <v>473</v>
      </c>
      <c r="GH158" s="611">
        <v>7</v>
      </c>
      <c r="GI158" s="611" t="s">
        <v>473</v>
      </c>
      <c r="GJ158" s="611">
        <v>7</v>
      </c>
      <c r="GK158" s="611" t="s">
        <v>473</v>
      </c>
      <c r="GL158" s="611">
        <v>7</v>
      </c>
      <c r="GM158" s="611">
        <v>7</v>
      </c>
      <c r="GN158" s="611" t="s">
        <v>473</v>
      </c>
      <c r="GO158" s="611">
        <v>7</v>
      </c>
      <c r="GP158" s="611">
        <v>7</v>
      </c>
      <c r="GQ158" s="611">
        <v>7</v>
      </c>
      <c r="GR158" s="611" t="s">
        <v>473</v>
      </c>
      <c r="GS158" s="611">
        <v>7</v>
      </c>
      <c r="GT158" s="611">
        <v>7</v>
      </c>
      <c r="GU158" s="611">
        <v>7</v>
      </c>
      <c r="GV158" s="611" t="s">
        <v>473</v>
      </c>
      <c r="GW158" s="611">
        <v>7</v>
      </c>
      <c r="GX158" s="611" t="s">
        <v>473</v>
      </c>
      <c r="GY158" s="611">
        <v>7</v>
      </c>
      <c r="GZ158" s="611" t="s">
        <v>473</v>
      </c>
      <c r="HA158" s="611">
        <v>7</v>
      </c>
      <c r="HB158" s="611">
        <v>7</v>
      </c>
      <c r="HC158" s="611" t="s">
        <v>473</v>
      </c>
      <c r="HD158" s="611">
        <v>7</v>
      </c>
      <c r="HE158" s="611">
        <v>7</v>
      </c>
      <c r="HF158" s="611">
        <v>7</v>
      </c>
      <c r="HG158" s="611" t="s">
        <v>473</v>
      </c>
      <c r="HH158" s="611">
        <v>7</v>
      </c>
      <c r="HI158" s="611">
        <v>7</v>
      </c>
      <c r="HJ158" s="611">
        <v>7</v>
      </c>
      <c r="HK158" s="611">
        <v>7</v>
      </c>
      <c r="HL158" s="611" t="s">
        <v>473</v>
      </c>
      <c r="HM158" s="611">
        <v>7</v>
      </c>
      <c r="HN158" s="611">
        <v>7</v>
      </c>
      <c r="HO158" s="611">
        <v>7</v>
      </c>
      <c r="HP158" s="611">
        <v>7</v>
      </c>
      <c r="HQ158" s="611" t="s">
        <v>473</v>
      </c>
      <c r="HR158" s="611">
        <v>7</v>
      </c>
      <c r="HS158" s="611" t="s">
        <v>473</v>
      </c>
      <c r="HT158" s="611">
        <v>7</v>
      </c>
      <c r="HU158" s="611" t="s">
        <v>473</v>
      </c>
      <c r="HV158" s="611">
        <v>7</v>
      </c>
      <c r="HW158" s="611">
        <v>7</v>
      </c>
      <c r="HX158" s="611" t="s">
        <v>473</v>
      </c>
      <c r="HY158" s="611">
        <v>7</v>
      </c>
      <c r="HZ158" s="611">
        <v>7</v>
      </c>
      <c r="IA158" s="611">
        <v>7</v>
      </c>
      <c r="IB158" s="611" t="s">
        <v>473</v>
      </c>
      <c r="IC158" s="611">
        <v>7</v>
      </c>
      <c r="ID158" s="611">
        <v>7</v>
      </c>
      <c r="IE158" s="611">
        <v>7</v>
      </c>
      <c r="IF158" s="611">
        <v>7</v>
      </c>
      <c r="IG158" s="611" t="s">
        <v>473</v>
      </c>
      <c r="IH158" s="611">
        <v>7</v>
      </c>
      <c r="II158" s="611">
        <v>7</v>
      </c>
      <c r="IJ158" s="611">
        <v>7</v>
      </c>
      <c r="IK158" s="611">
        <v>7</v>
      </c>
      <c r="IL158" s="611">
        <v>7</v>
      </c>
      <c r="IM158" s="611" t="s">
        <v>473</v>
      </c>
      <c r="IN158" s="611">
        <v>7</v>
      </c>
      <c r="IO158" s="611">
        <v>7</v>
      </c>
      <c r="IP158" s="611">
        <v>7</v>
      </c>
      <c r="IQ158" s="611">
        <v>7</v>
      </c>
      <c r="IR158" s="611">
        <v>7</v>
      </c>
      <c r="IS158" s="611">
        <v>7</v>
      </c>
      <c r="IT158" s="611" t="s">
        <v>473</v>
      </c>
      <c r="IU158" s="611">
        <v>7</v>
      </c>
      <c r="IV158" s="611">
        <v>7</v>
      </c>
      <c r="IW158" s="611">
        <v>7</v>
      </c>
      <c r="IX158" s="611">
        <v>7</v>
      </c>
      <c r="IY158" s="611">
        <v>7</v>
      </c>
    </row>
    <row r="159" spans="1:259" s="190" customFormat="1" ht="15.75" customHeight="1" x14ac:dyDescent="0.25">
      <c r="A159" s="209"/>
      <c r="B159" s="209"/>
      <c r="C159" s="209"/>
      <c r="D159" s="209"/>
      <c r="E159" s="209"/>
      <c r="F159" s="209"/>
      <c r="G159" s="209"/>
      <c r="H159" s="209"/>
      <c r="I159" s="209">
        <v>8</v>
      </c>
      <c r="J159" s="676" t="s">
        <v>923</v>
      </c>
      <c r="K159" s="663">
        <f>E14</f>
        <v>2.5077252676587211E-2</v>
      </c>
      <c r="L159" s="209"/>
      <c r="M159" s="209"/>
      <c r="N159" s="209">
        <v>8</v>
      </c>
      <c r="O159" s="673" t="s">
        <v>473</v>
      </c>
      <c r="P159" s="673" t="s">
        <v>473</v>
      </c>
      <c r="Q159" s="673" t="s">
        <v>473</v>
      </c>
      <c r="R159" s="673" t="s">
        <v>473</v>
      </c>
      <c r="S159" s="673" t="s">
        <v>473</v>
      </c>
      <c r="T159" s="673" t="s">
        <v>473</v>
      </c>
      <c r="U159" s="673">
        <v>8</v>
      </c>
      <c r="V159" s="673" t="s">
        <v>473</v>
      </c>
      <c r="W159" s="673" t="s">
        <v>473</v>
      </c>
      <c r="X159" s="673" t="s">
        <v>473</v>
      </c>
      <c r="Y159" s="673" t="s">
        <v>473</v>
      </c>
      <c r="Z159" s="673" t="s">
        <v>473</v>
      </c>
      <c r="AA159" s="611">
        <v>8</v>
      </c>
      <c r="AB159" s="611" t="s">
        <v>473</v>
      </c>
      <c r="AC159" s="611" t="s">
        <v>473</v>
      </c>
      <c r="AD159" s="611" t="s">
        <v>473</v>
      </c>
      <c r="AE159" s="611" t="s">
        <v>473</v>
      </c>
      <c r="AF159" s="611">
        <v>8</v>
      </c>
      <c r="AG159" s="611" t="s">
        <v>473</v>
      </c>
      <c r="AH159" s="611" t="s">
        <v>473</v>
      </c>
      <c r="AI159" s="611" t="s">
        <v>473</v>
      </c>
      <c r="AJ159" s="611">
        <v>8</v>
      </c>
      <c r="AK159" s="611" t="s">
        <v>473</v>
      </c>
      <c r="AL159" s="611" t="s">
        <v>473</v>
      </c>
      <c r="AM159" s="611">
        <v>8</v>
      </c>
      <c r="AN159" s="611" t="s">
        <v>473</v>
      </c>
      <c r="AO159" s="611">
        <v>8</v>
      </c>
      <c r="AP159" s="611">
        <v>8</v>
      </c>
      <c r="AQ159" s="611" t="s">
        <v>473</v>
      </c>
      <c r="AR159" s="611" t="s">
        <v>473</v>
      </c>
      <c r="AS159" s="611" t="s">
        <v>473</v>
      </c>
      <c r="AT159" s="611" t="s">
        <v>473</v>
      </c>
      <c r="AU159" s="611" t="s">
        <v>473</v>
      </c>
      <c r="AV159" s="611">
        <v>8</v>
      </c>
      <c r="AW159" s="611" t="s">
        <v>473</v>
      </c>
      <c r="AX159" s="611" t="s">
        <v>473</v>
      </c>
      <c r="AY159" s="611" t="s">
        <v>473</v>
      </c>
      <c r="AZ159" s="611" t="s">
        <v>473</v>
      </c>
      <c r="BA159" s="611">
        <v>8</v>
      </c>
      <c r="BB159" s="611" t="s">
        <v>473</v>
      </c>
      <c r="BC159" s="611" t="s">
        <v>473</v>
      </c>
      <c r="BD159" s="611" t="s">
        <v>473</v>
      </c>
      <c r="BE159" s="611">
        <v>8</v>
      </c>
      <c r="BF159" s="611" t="s">
        <v>473</v>
      </c>
      <c r="BG159" s="611" t="s">
        <v>473</v>
      </c>
      <c r="BH159" s="611">
        <v>8</v>
      </c>
      <c r="BI159" s="611" t="s">
        <v>473</v>
      </c>
      <c r="BJ159" s="611">
        <v>8</v>
      </c>
      <c r="BK159" s="611">
        <v>8</v>
      </c>
      <c r="BL159" s="611" t="s">
        <v>473</v>
      </c>
      <c r="BM159" s="611" t="s">
        <v>473</v>
      </c>
      <c r="BN159" s="611" t="s">
        <v>473</v>
      </c>
      <c r="BO159" s="611" t="s">
        <v>473</v>
      </c>
      <c r="BP159" s="611">
        <v>8</v>
      </c>
      <c r="BQ159" s="611" t="s">
        <v>473</v>
      </c>
      <c r="BR159" s="611" t="s">
        <v>473</v>
      </c>
      <c r="BS159" s="611" t="s">
        <v>473</v>
      </c>
      <c r="BT159" s="611">
        <v>8</v>
      </c>
      <c r="BU159" s="611" t="s">
        <v>473</v>
      </c>
      <c r="BV159" s="611" t="s">
        <v>473</v>
      </c>
      <c r="BW159" s="611">
        <v>8</v>
      </c>
      <c r="BX159" s="611" t="s">
        <v>473</v>
      </c>
      <c r="BY159" s="611">
        <v>8</v>
      </c>
      <c r="BZ159" s="611">
        <v>8</v>
      </c>
      <c r="CA159" s="611" t="s">
        <v>473</v>
      </c>
      <c r="CB159" s="611" t="s">
        <v>473</v>
      </c>
      <c r="CC159" s="611" t="s">
        <v>473</v>
      </c>
      <c r="CD159" s="611">
        <v>8</v>
      </c>
      <c r="CE159" s="611" t="s">
        <v>473</v>
      </c>
      <c r="CF159" s="611" t="s">
        <v>473</v>
      </c>
      <c r="CG159" s="611">
        <v>8</v>
      </c>
      <c r="CH159" s="611" t="s">
        <v>473</v>
      </c>
      <c r="CI159" s="611">
        <v>8</v>
      </c>
      <c r="CJ159" s="611">
        <v>8</v>
      </c>
      <c r="CK159" s="611" t="s">
        <v>473</v>
      </c>
      <c r="CL159" s="611" t="s">
        <v>473</v>
      </c>
      <c r="CM159" s="611">
        <v>8</v>
      </c>
      <c r="CN159" s="611" t="s">
        <v>473</v>
      </c>
      <c r="CO159" s="611">
        <v>8</v>
      </c>
      <c r="CP159" s="611">
        <v>8</v>
      </c>
      <c r="CQ159" s="611" t="s">
        <v>473</v>
      </c>
      <c r="CR159" s="611">
        <v>8</v>
      </c>
      <c r="CS159" s="611">
        <v>8</v>
      </c>
      <c r="CT159" s="611">
        <v>8</v>
      </c>
      <c r="CU159" s="611" t="s">
        <v>473</v>
      </c>
      <c r="CV159" s="611" t="s">
        <v>473</v>
      </c>
      <c r="CW159" s="611" t="s">
        <v>473</v>
      </c>
      <c r="CX159" s="611" t="s">
        <v>473</v>
      </c>
      <c r="CY159" s="611">
        <v>8</v>
      </c>
      <c r="CZ159" s="611" t="s">
        <v>473</v>
      </c>
      <c r="DA159" s="611" t="s">
        <v>473</v>
      </c>
      <c r="DB159" s="611" t="s">
        <v>473</v>
      </c>
      <c r="DC159" s="611">
        <v>8</v>
      </c>
      <c r="DD159" s="611" t="s">
        <v>473</v>
      </c>
      <c r="DE159" s="611" t="s">
        <v>473</v>
      </c>
      <c r="DF159" s="611">
        <v>8</v>
      </c>
      <c r="DG159" s="611" t="s">
        <v>473</v>
      </c>
      <c r="DH159" s="611">
        <v>8</v>
      </c>
      <c r="DI159" s="611">
        <v>8</v>
      </c>
      <c r="DJ159" s="611" t="s">
        <v>473</v>
      </c>
      <c r="DK159" s="611" t="s">
        <v>473</v>
      </c>
      <c r="DL159" s="611" t="s">
        <v>473</v>
      </c>
      <c r="DM159" s="611">
        <v>8</v>
      </c>
      <c r="DN159" s="611" t="s">
        <v>473</v>
      </c>
      <c r="DO159" s="611" t="s">
        <v>473</v>
      </c>
      <c r="DP159" s="611">
        <v>8</v>
      </c>
      <c r="DQ159" s="611" t="s">
        <v>473</v>
      </c>
      <c r="DR159" s="611">
        <v>8</v>
      </c>
      <c r="DS159" s="611">
        <v>8</v>
      </c>
      <c r="DT159" s="611" t="s">
        <v>473</v>
      </c>
      <c r="DU159" s="611" t="s">
        <v>473</v>
      </c>
      <c r="DV159" s="611">
        <v>8</v>
      </c>
      <c r="DW159" s="611" t="s">
        <v>473</v>
      </c>
      <c r="DX159" s="611">
        <v>8</v>
      </c>
      <c r="DY159" s="611">
        <v>8</v>
      </c>
      <c r="DZ159" s="611" t="s">
        <v>473</v>
      </c>
      <c r="EA159" s="611">
        <v>8</v>
      </c>
      <c r="EB159" s="611">
        <v>8</v>
      </c>
      <c r="EC159" s="611">
        <v>8</v>
      </c>
      <c r="ED159" s="611" t="s">
        <v>473</v>
      </c>
      <c r="EE159" s="611" t="s">
        <v>473</v>
      </c>
      <c r="EF159" s="611" t="s">
        <v>473</v>
      </c>
      <c r="EG159" s="611">
        <v>8</v>
      </c>
      <c r="EH159" s="611" t="s">
        <v>473</v>
      </c>
      <c r="EI159" s="611" t="s">
        <v>473</v>
      </c>
      <c r="EJ159" s="611">
        <v>8</v>
      </c>
      <c r="EK159" s="611" t="s">
        <v>473</v>
      </c>
      <c r="EL159" s="611">
        <v>8</v>
      </c>
      <c r="EM159" s="611">
        <v>8</v>
      </c>
      <c r="EN159" s="611" t="s">
        <v>473</v>
      </c>
      <c r="EO159" s="611" t="s">
        <v>473</v>
      </c>
      <c r="EP159" s="611">
        <v>8</v>
      </c>
      <c r="EQ159" s="611" t="s">
        <v>473</v>
      </c>
      <c r="ER159" s="611">
        <v>8</v>
      </c>
      <c r="ES159" s="611">
        <v>8</v>
      </c>
      <c r="ET159" s="611" t="s">
        <v>473</v>
      </c>
      <c r="EU159" s="611">
        <v>8</v>
      </c>
      <c r="EV159" s="611">
        <v>8</v>
      </c>
      <c r="EW159" s="611">
        <v>8</v>
      </c>
      <c r="EX159" s="611" t="s">
        <v>473</v>
      </c>
      <c r="EY159" s="611" t="s">
        <v>473</v>
      </c>
      <c r="EZ159" s="611">
        <v>8</v>
      </c>
      <c r="FA159" s="611" t="s">
        <v>473</v>
      </c>
      <c r="FB159" s="611">
        <v>8</v>
      </c>
      <c r="FC159" s="611">
        <v>8</v>
      </c>
      <c r="FD159" s="611" t="s">
        <v>473</v>
      </c>
      <c r="FE159" s="611">
        <v>8</v>
      </c>
      <c r="FF159" s="611">
        <v>8</v>
      </c>
      <c r="FG159" s="611">
        <v>8</v>
      </c>
      <c r="FH159" s="611" t="s">
        <v>473</v>
      </c>
      <c r="FI159" s="611">
        <v>8</v>
      </c>
      <c r="FJ159" s="611">
        <v>8</v>
      </c>
      <c r="FK159" s="611">
        <v>8</v>
      </c>
      <c r="FL159" s="611">
        <v>8</v>
      </c>
      <c r="FM159" s="611" t="s">
        <v>473</v>
      </c>
      <c r="FN159" s="611" t="s">
        <v>473</v>
      </c>
      <c r="FO159" s="611" t="s">
        <v>473</v>
      </c>
      <c r="FP159" s="611">
        <v>8</v>
      </c>
      <c r="FQ159" s="611" t="s">
        <v>473</v>
      </c>
      <c r="FR159" s="611" t="s">
        <v>473</v>
      </c>
      <c r="FS159" s="611">
        <v>8</v>
      </c>
      <c r="FT159" s="611" t="s">
        <v>473</v>
      </c>
      <c r="FU159" s="611">
        <v>8</v>
      </c>
      <c r="FV159" s="611">
        <v>8</v>
      </c>
      <c r="FW159" s="611" t="s">
        <v>473</v>
      </c>
      <c r="FX159" s="611" t="s">
        <v>473</v>
      </c>
      <c r="FY159" s="611">
        <v>8</v>
      </c>
      <c r="FZ159" s="611" t="s">
        <v>473</v>
      </c>
      <c r="GA159" s="611">
        <v>8</v>
      </c>
      <c r="GB159" s="611">
        <v>8</v>
      </c>
      <c r="GC159" s="611" t="s">
        <v>473</v>
      </c>
      <c r="GD159" s="611">
        <v>8</v>
      </c>
      <c r="GE159" s="611">
        <v>8</v>
      </c>
      <c r="GF159" s="611">
        <v>8</v>
      </c>
      <c r="GG159" s="611" t="s">
        <v>473</v>
      </c>
      <c r="GH159" s="611" t="s">
        <v>473</v>
      </c>
      <c r="GI159" s="611">
        <v>8</v>
      </c>
      <c r="GJ159" s="611" t="s">
        <v>473</v>
      </c>
      <c r="GK159" s="611">
        <v>8</v>
      </c>
      <c r="GL159" s="611">
        <v>8</v>
      </c>
      <c r="GM159" s="611" t="s">
        <v>473</v>
      </c>
      <c r="GN159" s="611">
        <v>8</v>
      </c>
      <c r="GO159" s="611">
        <v>8</v>
      </c>
      <c r="GP159" s="611">
        <v>8</v>
      </c>
      <c r="GQ159" s="611" t="s">
        <v>473</v>
      </c>
      <c r="GR159" s="611">
        <v>8</v>
      </c>
      <c r="GS159" s="611">
        <v>8</v>
      </c>
      <c r="GT159" s="611">
        <v>8</v>
      </c>
      <c r="GU159" s="611">
        <v>8</v>
      </c>
      <c r="GV159" s="611" t="s">
        <v>473</v>
      </c>
      <c r="GW159" s="611" t="s">
        <v>473</v>
      </c>
      <c r="GX159" s="611">
        <v>8</v>
      </c>
      <c r="GY159" s="611" t="s">
        <v>473</v>
      </c>
      <c r="GZ159" s="611">
        <v>8</v>
      </c>
      <c r="HA159" s="611">
        <v>8</v>
      </c>
      <c r="HB159" s="611" t="s">
        <v>473</v>
      </c>
      <c r="HC159" s="611">
        <v>8</v>
      </c>
      <c r="HD159" s="611">
        <v>8</v>
      </c>
      <c r="HE159" s="611">
        <v>8</v>
      </c>
      <c r="HF159" s="611" t="s">
        <v>473</v>
      </c>
      <c r="HG159" s="611">
        <v>8</v>
      </c>
      <c r="HH159" s="611">
        <v>8</v>
      </c>
      <c r="HI159" s="611">
        <v>8</v>
      </c>
      <c r="HJ159" s="611">
        <v>8</v>
      </c>
      <c r="HK159" s="611" t="s">
        <v>473</v>
      </c>
      <c r="HL159" s="611">
        <v>8</v>
      </c>
      <c r="HM159" s="611">
        <v>8</v>
      </c>
      <c r="HN159" s="611">
        <v>8</v>
      </c>
      <c r="HO159" s="611">
        <v>8</v>
      </c>
      <c r="HP159" s="611">
        <v>8</v>
      </c>
      <c r="HQ159" s="611" t="s">
        <v>473</v>
      </c>
      <c r="HR159" s="611" t="s">
        <v>473</v>
      </c>
      <c r="HS159" s="611">
        <v>8</v>
      </c>
      <c r="HT159" s="611" t="s">
        <v>473</v>
      </c>
      <c r="HU159" s="611">
        <v>8</v>
      </c>
      <c r="HV159" s="611">
        <v>8</v>
      </c>
      <c r="HW159" s="611" t="s">
        <v>473</v>
      </c>
      <c r="HX159" s="611">
        <v>8</v>
      </c>
      <c r="HY159" s="611">
        <v>8</v>
      </c>
      <c r="HZ159" s="611">
        <v>8</v>
      </c>
      <c r="IA159" s="611" t="s">
        <v>473</v>
      </c>
      <c r="IB159" s="611">
        <v>8</v>
      </c>
      <c r="IC159" s="611">
        <v>8</v>
      </c>
      <c r="ID159" s="611">
        <v>8</v>
      </c>
      <c r="IE159" s="611">
        <v>8</v>
      </c>
      <c r="IF159" s="611" t="s">
        <v>473</v>
      </c>
      <c r="IG159" s="611">
        <v>8</v>
      </c>
      <c r="IH159" s="611">
        <v>8</v>
      </c>
      <c r="II159" s="611">
        <v>8</v>
      </c>
      <c r="IJ159" s="611">
        <v>8</v>
      </c>
      <c r="IK159" s="611">
        <v>8</v>
      </c>
      <c r="IL159" s="611" t="s">
        <v>473</v>
      </c>
      <c r="IM159" s="611">
        <v>8</v>
      </c>
      <c r="IN159" s="611">
        <v>8</v>
      </c>
      <c r="IO159" s="611">
        <v>8</v>
      </c>
      <c r="IP159" s="611">
        <v>8</v>
      </c>
      <c r="IQ159" s="611">
        <v>8</v>
      </c>
      <c r="IR159" s="611">
        <v>8</v>
      </c>
      <c r="IS159" s="611" t="s">
        <v>473</v>
      </c>
      <c r="IT159" s="611">
        <v>8</v>
      </c>
      <c r="IU159" s="611">
        <v>8</v>
      </c>
      <c r="IV159" s="611">
        <v>8</v>
      </c>
      <c r="IW159" s="611">
        <v>8</v>
      </c>
      <c r="IX159" s="611">
        <v>8</v>
      </c>
      <c r="IY159" s="611">
        <v>8</v>
      </c>
    </row>
    <row r="160" spans="1:259" s="190" customFormat="1" ht="71.25" customHeight="1" x14ac:dyDescent="0.25">
      <c r="A160" s="209"/>
      <c r="B160" s="209"/>
      <c r="C160" s="551" t="str">
        <f ca="1">IFERROR(INDEX(D160:OFFSET(D160,0,$IY$172),$C$172),0)</f>
        <v>Target P rate 71%,Control Drainage 2.0%,Tile intakes 4.2%, Inj &amp; inc manure 2.4%,Preplant/starter 3.8%,Cover crop cs 7.5%,Cover crop ss 7.1%,Use reduced tillage 13%,Riparian buffers 0.8%,Perennial crop 2.5%</v>
      </c>
      <c r="D160" s="710" t="str">
        <f>D217&amp;" "&amp;IF($E10&lt;0.1,FIXED($E10*100,1),FIXED($E10*100,0))&amp;"%"</f>
        <v>Target P rate 71%</v>
      </c>
      <c r="E160" s="711" t="str">
        <f>E217&amp;" "&amp;IF($E11&lt;0.1,FIXED($E11*100,1),FIXED($E11*100,0))&amp;"%"</f>
        <v>Fall corn fert to preplant/starter 3.8%</v>
      </c>
      <c r="F160" s="711" t="str">
        <f>F217&amp;" "&amp;IF($E12&lt;0.1,FIXED($E12*100,1),FIXED($E12*100,0))&amp;"%"</f>
        <v>Use reduced tillage 13%</v>
      </c>
      <c r="G160" s="711" t="str">
        <f>G217&amp;" "&amp;IF($E13&lt;0.1,FIXED($E13*100,1),FIXED($E13*100,0))&amp;"%"</f>
        <v>Riparian buffers 0.8%</v>
      </c>
      <c r="H160" s="711" t="str">
        <f>H217&amp;" "&amp;IF($E14&lt;0.1,FIXED($E14*100,1),FIXED($E14*100,0))&amp;"%"</f>
        <v>Perennial crop % of marginal corn&amp;soy 2.5%</v>
      </c>
      <c r="I160" s="711" t="str">
        <f>I217&amp;" "&amp;IF($E15&lt;0.1,FIXED($E15*100,1),FIXED($E15*100,0))&amp;"%"</f>
        <v>Cover crop on corn&amp;soy 7.5%</v>
      </c>
      <c r="J160" s="711" t="str">
        <f>J217&amp;" "&amp;IF($E16&lt;0.1,FIXED($E16*100,1),FIXED($E16*100,0))&amp;"%"</f>
        <v>Cover crop on short season cr 7.1%</v>
      </c>
      <c r="K160" s="711" t="str">
        <f>K217&amp;" "&amp;IF($E17&lt;0.1,FIXED($E17*100,1),FIXED($E17*100,0))&amp;"%"</f>
        <v>Control Drainage 2.0%</v>
      </c>
      <c r="L160" s="711" t="str">
        <f>L217&amp;" "&amp;IF($E18&lt;0.1,FIXED($E18*100,1),FIXED($E18*100,0))&amp;"%"</f>
        <v>Alternative tile intakes 4.2%</v>
      </c>
      <c r="M160" s="711" t="str">
        <f>M217&amp;" "&amp;IF($E19&lt;0.1,FIXED($E19*100,1),FIXED($E19*100,0))&amp;"%"</f>
        <v>Inject or incorp manure 2.4%</v>
      </c>
      <c r="N160" s="712" t="str">
        <f ca="1">combinelab(N142:N149)</f>
        <v>Target P rate 71%,Control Drainage 2.0%,Tile intakes 4.2%, Inj &amp; inc manure 2.4%,Preplant/starter 3.8%,Cover crop cs 7.5%,Cover crop ss 7.1%,Use reduced tillage 13%,Riparian buffers 0.8%,Perennial crop 2.5%</v>
      </c>
      <c r="O160" s="847" t="str">
        <f t="shared" ref="O160:AT160" ca="1" si="45">combinelab(O142:O149)</f>
        <v>Target P rate 71%,Control Drainage2.0%,Tile intakes 4.2%</v>
      </c>
      <c r="P160" s="848" t="str">
        <f t="shared" ca="1" si="45"/>
        <v>Target P rate 71%, Inj &amp; inc manure2.4%</v>
      </c>
      <c r="Q160" s="848" t="str">
        <f t="shared" ca="1" si="45"/>
        <v>Target P rate 71%,Preplant/starter 3.8%</v>
      </c>
      <c r="R160" s="848" t="str">
        <f t="shared" ca="1" si="45"/>
        <v>Target P rate 71%,Cover crop cs7.5%Cover crop ss 7.1%</v>
      </c>
      <c r="S160" s="848" t="str">
        <f t="shared" ca="1" si="45"/>
        <v>Target P rate 71%,Use reduced tillage 13%</v>
      </c>
      <c r="T160" s="848" t="str">
        <f t="shared" ca="1" si="45"/>
        <v>Target P rate 71%,Riparian buffers 0.8%</v>
      </c>
      <c r="U160" s="848" t="str">
        <f t="shared" ca="1" si="45"/>
        <v>Target P rate 71%,Perennial crop 2.5%</v>
      </c>
      <c r="V160" s="848" t="str">
        <f t="shared" ca="1" si="45"/>
        <v>Control Drainage2.0%Tile intakes4.2%, Inj &amp; inc manure 2.4%</v>
      </c>
      <c r="W160" s="848" t="str">
        <f t="shared" ca="1" si="45"/>
        <v>Control Drainage2.0%Tile intakes4.2%,Preplant/starter 3.8%</v>
      </c>
      <c r="X160" s="848" t="str">
        <f t="shared" ca="1" si="45"/>
        <v>Control Drainage2.0%Tile intakes4.2%,Cover crop cs7.5%Cover crop ss 7.1%</v>
      </c>
      <c r="Y160" s="848" t="str">
        <f t="shared" ca="1" si="45"/>
        <v>Control Drainage2.0%Tile intakes4.2%,Use reduced tillage 13%</v>
      </c>
      <c r="Z160" s="848" t="str">
        <f t="shared" ca="1" si="45"/>
        <v>Control Drainage2.0%Tile intakes4.2%,Riparian buffers 0.8%</v>
      </c>
      <c r="AA160" s="848" t="str">
        <f t="shared" ca="1" si="45"/>
        <v>Control Drainage2.0%Tile intakes4.2%,Perennial crop 2.5%</v>
      </c>
      <c r="AB160" s="848" t="str">
        <f t="shared" ca="1" si="45"/>
        <v xml:space="preserve"> Inj &amp; inc manure 2.4%,Preplant/starter 3.8%</v>
      </c>
      <c r="AC160" s="848" t="str">
        <f t="shared" ca="1" si="45"/>
        <v xml:space="preserve"> Inj &amp; inc manure 2.4%,Cover crop cs7.5%Cover crop ss 7.1%</v>
      </c>
      <c r="AD160" s="848" t="str">
        <f t="shared" ca="1" si="45"/>
        <v xml:space="preserve"> Inj &amp; inc manure 2.4%,Use reduced tillage 13%</v>
      </c>
      <c r="AE160" s="848" t="str">
        <f t="shared" ca="1" si="45"/>
        <v xml:space="preserve"> Inj &amp; inc manure 2.4%,Riparian buffers 0.8%</v>
      </c>
      <c r="AF160" s="848" t="str">
        <f t="shared" ca="1" si="45"/>
        <v xml:space="preserve"> Inj &amp; inc manure 2.4%,Perennial crop 2.5%</v>
      </c>
      <c r="AG160" s="848" t="str">
        <f t="shared" ca="1" si="45"/>
        <v>Preplant/starter 3.8%,Cover crop cs7.5%Cover crop ss 7.1%</v>
      </c>
      <c r="AH160" s="848" t="str">
        <f t="shared" ca="1" si="45"/>
        <v>Preplant/starter 3.8%,Use reduced tillage 13%</v>
      </c>
      <c r="AI160" s="848" t="str">
        <f t="shared" ca="1" si="45"/>
        <v>Preplant/starter 3.8%,Riparian buffers 0.8%</v>
      </c>
      <c r="AJ160" s="848" t="str">
        <f t="shared" ca="1" si="45"/>
        <v>Preplant/starter 3.8%,Perennial crop 2.5%</v>
      </c>
      <c r="AK160" s="848" t="str">
        <f t="shared" ca="1" si="45"/>
        <v>Cover crop cs7.5%Cover crop ss 7.1%,Use reduced tillage 13%</v>
      </c>
      <c r="AL160" s="848" t="str">
        <f t="shared" ca="1" si="45"/>
        <v>Cover crop cs7.5%Cover crop ss 7.1%,Riparian buffers 0.8%</v>
      </c>
      <c r="AM160" s="848" t="str">
        <f t="shared" ca="1" si="45"/>
        <v>Cover crop cs7.5%Cover crop ss 7.1%,Perennial crop 2.5%</v>
      </c>
      <c r="AN160" s="848" t="str">
        <f t="shared" ca="1" si="45"/>
        <v>Use reduced tillage 13%,Riparian buffers 0.8%</v>
      </c>
      <c r="AO160" s="848" t="str">
        <f t="shared" ca="1" si="45"/>
        <v>Use reduced tillage 13%,Perennial crop 2.5%</v>
      </c>
      <c r="AP160" s="848" t="str">
        <f t="shared" ca="1" si="45"/>
        <v>Riparian buffers 0.8%,Perennial crop 2.5%</v>
      </c>
      <c r="AQ160" s="848" t="str">
        <f t="shared" ca="1" si="45"/>
        <v>Target P rate 71%,Control Drainage2.0%Tile intakes4.2%, Inj &amp; inc manure 2.4%</v>
      </c>
      <c r="AR160" s="848" t="str">
        <f t="shared" ca="1" si="45"/>
        <v>Target P rate 71%,Control Drainage2.0%Tile intakes4.2%,Preplant/starter 3.8%</v>
      </c>
      <c r="AS160" s="848" t="str">
        <f t="shared" ca="1" si="45"/>
        <v>Target P rate 71%,Control Drainage2.0%Tile intakes4.2%,Cover crop cs7.5%Cover crop ss 7.1%</v>
      </c>
      <c r="AT160" s="848" t="str">
        <f t="shared" ca="1" si="45"/>
        <v>Target P rate 71%,Control Drainage2.0%Tile intakes4.2%,Use reduced tillage 13%</v>
      </c>
      <c r="AU160" s="848" t="str">
        <f t="shared" ref="AU160:BZ160" ca="1" si="46">combinelab(AU142:AU149)</f>
        <v>Target P rate 71%,Control Drainage2.0%Tile intakes4.2%,Riparian buffers 0.8%</v>
      </c>
      <c r="AV160" s="848" t="str">
        <f t="shared" ca="1" si="46"/>
        <v>Target P rate 71%,Control Drainage2.0%Tile intakes4.2%,Perennial crop 2.5%</v>
      </c>
      <c r="AW160" s="848" t="str">
        <f t="shared" ca="1" si="46"/>
        <v>Target P rate 71%, Inj &amp; inc manure 2.4%,Preplant/starter 3.8%</v>
      </c>
      <c r="AX160" s="848" t="str">
        <f t="shared" ca="1" si="46"/>
        <v>Target P rate 71%, Inj &amp; inc manure 2.4%,Cover crop cs7.5%Cover crop ss 7.1%</v>
      </c>
      <c r="AY160" s="848" t="str">
        <f t="shared" ca="1" si="46"/>
        <v>Target P rate 71%, Inj &amp; inc manure 2.4%,Use reduced tillage 13%</v>
      </c>
      <c r="AZ160" s="848" t="str">
        <f t="shared" ca="1" si="46"/>
        <v>Target P rate 71%, Inj &amp; inc manure 2.4%,Riparian buffers 0.8%</v>
      </c>
      <c r="BA160" s="848" t="str">
        <f t="shared" ca="1" si="46"/>
        <v>Target P rate 71%, Inj &amp; inc manure 2.4%,Perennial crop 2.5%</v>
      </c>
      <c r="BB160" s="848" t="str">
        <f t="shared" ca="1" si="46"/>
        <v>Target P rate 71%,Preplant/starter 3.8%,Cover crop cs7.5%Cover crop ss 7.1%</v>
      </c>
      <c r="BC160" s="848" t="str">
        <f t="shared" ca="1" si="46"/>
        <v>Target P rate 71%,Preplant/starter 3.8%,Use reduced tillage 13%</v>
      </c>
      <c r="BD160" s="848" t="str">
        <f t="shared" ca="1" si="46"/>
        <v>Target P rate 71%,Preplant/starter 3.8%,Riparian buffers 0.8%</v>
      </c>
      <c r="BE160" s="848" t="str">
        <f t="shared" ca="1" si="46"/>
        <v>Target P rate 71%,Preplant/starter 3.8%,Perennial crop 2.5%</v>
      </c>
      <c r="BF160" s="848" t="str">
        <f t="shared" ca="1" si="46"/>
        <v>Target P rate 71%,Cover crop cs7.5%Cover crop ss 7.1%,Use reduced tillage 13%</v>
      </c>
      <c r="BG160" s="848" t="str">
        <f t="shared" ca="1" si="46"/>
        <v>Target P rate 71%,Cover crop cs7.5%Cover crop ss 7.1%,Riparian buffers 0.8%</v>
      </c>
      <c r="BH160" s="848" t="str">
        <f t="shared" ca="1" si="46"/>
        <v>Target P rate 71%,Cover crop cs7.5%Cover crop ss 7.1%,Perennial crop 2.5%</v>
      </c>
      <c r="BI160" s="848" t="str">
        <f t="shared" ca="1" si="46"/>
        <v>Target P rate 71%,Use reduced tillage 13%,Riparian buffers 0.8%</v>
      </c>
      <c r="BJ160" s="848" t="str">
        <f t="shared" ca="1" si="46"/>
        <v>Target P rate 71%,Use reduced tillage 13%,Perennial crop 2.5%</v>
      </c>
      <c r="BK160" s="848" t="str">
        <f t="shared" ca="1" si="46"/>
        <v>Target P rate 71%,Riparian buffers 0.8%,Perennial crop 2.5%</v>
      </c>
      <c r="BL160" s="848" t="str">
        <f t="shared" ca="1" si="46"/>
        <v>Control Drainage2.0%Tile intakes4.2%, Inj &amp; inc manure 2.4%,Preplant/starter 3.8%</v>
      </c>
      <c r="BM160" s="848" t="str">
        <f t="shared" ca="1" si="46"/>
        <v>Control Drainage2.0%Tile intakes4.2%, Inj &amp; inc manure 2.4%,Cover crop cs7.5%Cover crop ss 7.1%</v>
      </c>
      <c r="BN160" s="848" t="str">
        <f t="shared" ca="1" si="46"/>
        <v>Control Drainage2.0%Tile intakes4.2%, Inj &amp; inc manure 2.4%,Use reduced tillage 13%</v>
      </c>
      <c r="BO160" s="848" t="str">
        <f t="shared" ca="1" si="46"/>
        <v>Control Drainage2.0%Tile intakes4.2%, Inj &amp; inc manure 2.4%,Riparian buffers 0.8%</v>
      </c>
      <c r="BP160" s="848" t="str">
        <f t="shared" ca="1" si="46"/>
        <v>Control Drainage2.0%Tile intakes4.2%, Inj &amp; inc manure 2.4%,Perennial crop 2.5%</v>
      </c>
      <c r="BQ160" s="848" t="str">
        <f t="shared" ca="1" si="46"/>
        <v>Control Drainage2.0%Tile intakes4.2%,Preplant/starter 3.8%,Cover crop cs7.5%Cover crop ss 7.1%</v>
      </c>
      <c r="BR160" s="848" t="str">
        <f t="shared" ca="1" si="46"/>
        <v>Control Drainage2.0%Tile intakes4.2%,Preplant/starter 3.8%,Use reduced tillage 13%</v>
      </c>
      <c r="BS160" s="848" t="str">
        <f t="shared" ca="1" si="46"/>
        <v>Control Drainage2.0%Tile intakes4.2%,Preplant/starter 3.8%,Riparian buffers 0.8%</v>
      </c>
      <c r="BT160" s="848" t="str">
        <f t="shared" ca="1" si="46"/>
        <v>Control Drainage2.0%Tile intakes4.2%,Preplant/starter 3.8%,Perennial crop 2.5%</v>
      </c>
      <c r="BU160" s="848" t="str">
        <f t="shared" ca="1" si="46"/>
        <v>Control Drainage2.0%Tile intakes4.2%,Cover crop cs7.5%Cover crop ss 7.1%,Use reduced tillage 13%</v>
      </c>
      <c r="BV160" s="848" t="str">
        <f t="shared" ca="1" si="46"/>
        <v>Control Drainage2.0%Tile intakes4.2%,Cover crop cs7.5%Cover crop ss 7.1%,Riparian buffers 0.8%</v>
      </c>
      <c r="BW160" s="848" t="str">
        <f t="shared" ca="1" si="46"/>
        <v>Control Drainage2.0%Tile intakes4.2%,Cover crop cs7.5%Cover crop ss 7.1%,Perennial crop 2.5%</v>
      </c>
      <c r="BX160" s="848" t="str">
        <f t="shared" ca="1" si="46"/>
        <v>Control Drainage2.0%Tile intakes4.2%,Use reduced tillage 13%,Riparian buffers 0.8%</v>
      </c>
      <c r="BY160" s="848" t="str">
        <f t="shared" ca="1" si="46"/>
        <v>Control Drainage2.0%Tile intakes4.2%,Use reduced tillage 13%,Perennial crop 2.5%</v>
      </c>
      <c r="BZ160" s="848" t="str">
        <f t="shared" ca="1" si="46"/>
        <v>Control Drainage2.0%Tile intakes4.2%,Riparian buffers 0.8%,Perennial crop 2.5%</v>
      </c>
      <c r="CA160" s="848" t="str">
        <f t="shared" ref="CA160:DF160" ca="1" si="47">combinelab(CA142:CA149)</f>
        <v xml:space="preserve"> Inj &amp; inc manure 2.4%,Preplant/starter 3.8%,Cover crop cs7.5%Cover crop ss 7.1%</v>
      </c>
      <c r="CB160" s="848" t="str">
        <f t="shared" ca="1" si="47"/>
        <v xml:space="preserve"> Inj &amp; inc manure 2.4%,Preplant/starter 3.8%,Use reduced tillage 13%</v>
      </c>
      <c r="CC160" s="848" t="str">
        <f t="shared" ca="1" si="47"/>
        <v xml:space="preserve"> Inj &amp; inc manure 2.4%,Preplant/starter 3.8%,Riparian buffers 0.8%</v>
      </c>
      <c r="CD160" s="848" t="str">
        <f t="shared" ca="1" si="47"/>
        <v xml:space="preserve"> Inj &amp; inc manure 2.4%,Preplant/starter 3.8%,Perennial crop 2.5%</v>
      </c>
      <c r="CE160" s="848" t="str">
        <f t="shared" ca="1" si="47"/>
        <v xml:space="preserve"> Inj &amp; inc manure 2.4%,Cover crop cs7.5%Cover crop ss 7.1%,Use reduced tillage 13%</v>
      </c>
      <c r="CF160" s="848" t="str">
        <f t="shared" ca="1" si="47"/>
        <v xml:space="preserve"> Inj &amp; inc manure 2.4%,Cover crop cs7.5%Cover crop ss 7.1%,Riparian buffers 0.8%</v>
      </c>
      <c r="CG160" s="848" t="str">
        <f t="shared" ca="1" si="47"/>
        <v xml:space="preserve"> Inj &amp; inc manure 2.4%,Cover crop cs7.5%Cover crop ss 7.1%,Perennial crop 2.5%</v>
      </c>
      <c r="CH160" s="848" t="str">
        <f t="shared" ca="1" si="47"/>
        <v xml:space="preserve"> Inj &amp; inc manure 2.4%,Use reduced tillage 13%,Riparian buffers 0.8%</v>
      </c>
      <c r="CI160" s="848" t="str">
        <f t="shared" ca="1" si="47"/>
        <v xml:space="preserve"> Inj &amp; inc manure 2.4%,Use reduced tillage 13%,Perennial crop 2.5%</v>
      </c>
      <c r="CJ160" s="848" t="str">
        <f t="shared" ca="1" si="47"/>
        <v xml:space="preserve"> Inj &amp; inc manure 2.4%,Riparian buffers 0.8%,Perennial crop 2.5%</v>
      </c>
      <c r="CK160" s="848" t="str">
        <f t="shared" ca="1" si="47"/>
        <v>Preplant/starter 3.8%,Cover crop cs7.5%Cover crop ss 7.1%,Use reduced tillage 13%</v>
      </c>
      <c r="CL160" s="848" t="str">
        <f t="shared" ca="1" si="47"/>
        <v>Preplant/starter 3.8%,Cover crop cs7.5%Cover crop ss 7.1%,Riparian buffers 0.8%</v>
      </c>
      <c r="CM160" s="848" t="str">
        <f t="shared" ca="1" si="47"/>
        <v>Preplant/starter 3.8%,Cover crop cs7.5%Cover crop ss 7.1%,Perennial crop 2.5%</v>
      </c>
      <c r="CN160" s="848" t="str">
        <f t="shared" ca="1" si="47"/>
        <v>Preplant/starter 3.8%,Use reduced tillage 13%,Riparian buffers 0.8%</v>
      </c>
      <c r="CO160" s="848" t="str">
        <f t="shared" ca="1" si="47"/>
        <v>Preplant/starter 3.8%,Use reduced tillage 13%,Perennial crop 2.5%</v>
      </c>
      <c r="CP160" s="848" t="str">
        <f t="shared" ca="1" si="47"/>
        <v>Preplant/starter 3.8%,Riparian buffers 0.8%,Perennial crop 2.5%</v>
      </c>
      <c r="CQ160" s="848" t="str">
        <f t="shared" ca="1" si="47"/>
        <v>Cover crop cs7.5%Cover crop ss 7.1%,Use reduced tillage 13%,Riparian buffers 0.8%</v>
      </c>
      <c r="CR160" s="848" t="str">
        <f t="shared" ca="1" si="47"/>
        <v>Cover crop cs7.5%Cover crop ss 7.1%,Use reduced tillage 13%,Perennial crop 2.5%</v>
      </c>
      <c r="CS160" s="848" t="str">
        <f t="shared" ca="1" si="47"/>
        <v>Cover crop cs7.5%Cover crop ss 7.1%,Riparian buffers 0.8%,Perennial crop 2.5%</v>
      </c>
      <c r="CT160" s="848" t="str">
        <f t="shared" ca="1" si="47"/>
        <v>Use reduced tillage 13%,Riparian buffers 0.8%,Perennial crop 2.5%</v>
      </c>
      <c r="CU160" s="848" t="str">
        <f t="shared" ca="1" si="47"/>
        <v>Target P rate 71%,Control Drainage2.0%Tile intakes4.2%, Inj &amp; inc manure 2.4%,Preplant/starter 3.8%</v>
      </c>
      <c r="CV160" s="848" t="str">
        <f t="shared" ca="1" si="47"/>
        <v>Target P rate 71%,Control Drainage2.0%Tile intakes4.2%, Inj &amp; inc manure 2.4%,Cover crop cs7.5%Cover crop ss 7.1%</v>
      </c>
      <c r="CW160" s="848" t="str">
        <f t="shared" ca="1" si="47"/>
        <v>Target P rate 71%,Control Drainage2.0%Tile intakes4.2%, Inj &amp; inc manure 2.4%,Use reduced tillage 13%</v>
      </c>
      <c r="CX160" s="848" t="str">
        <f t="shared" ca="1" si="47"/>
        <v>Target P rate 71%,Control Drainage2.0%Tile intakes4.2%, Inj &amp; inc manure 2.4%,Riparian buffers 0.8%</v>
      </c>
      <c r="CY160" s="848" t="str">
        <f t="shared" ca="1" si="47"/>
        <v>Target P rate 71%,Control Drainage2.0%Tile intakes4.2%, Inj &amp; inc manure 2.4%,Perennial crop 2.5%</v>
      </c>
      <c r="CZ160" s="848" t="str">
        <f t="shared" ca="1" si="47"/>
        <v>Target P rate 71%,Control Drainage2.0%Tile intakes4.2%,Preplant/starter 3.8%,Cover crop cs7.5%Cover crop ss 7.1%</v>
      </c>
      <c r="DA160" s="848" t="str">
        <f t="shared" ca="1" si="47"/>
        <v>Target P rate 71%,Control Drainage2.0%Tile intakes4.2%,Preplant/starter 3.8%,Use reduced tillage 13%</v>
      </c>
      <c r="DB160" s="848" t="str">
        <f t="shared" ca="1" si="47"/>
        <v>Target P rate 71%,Control Drainage2.0%Tile intakes4.2%,Preplant/starter 3.8%,Riparian buffers 0.8%</v>
      </c>
      <c r="DC160" s="848" t="str">
        <f t="shared" ca="1" si="47"/>
        <v>Target P rate 71%,Control Drainage2.0%Tile intakes4.2%,Preplant/starter 3.8%,Perennial crop 2.5%</v>
      </c>
      <c r="DD160" s="848" t="str">
        <f t="shared" ca="1" si="47"/>
        <v>Target P rate 71%,Control Drainage2.0%Tile intakes4.2%,Cover crop cs7.5%Cover crop ss 7.1%,Use reduced tillage 13%</v>
      </c>
      <c r="DE160" s="848" t="str">
        <f t="shared" ca="1" si="47"/>
        <v>Target P rate 71%,Control Drainage2.0%Tile intakes4.2%,Cover crop cs7.5%Cover crop ss 7.1%,Riparian buffers 0.8%</v>
      </c>
      <c r="DF160" s="848" t="str">
        <f t="shared" ca="1" si="47"/>
        <v>Target P rate 71%,Control Drainage2.0%Tile intakes4.2%,Cover crop cs7.5%Cover crop ss 7.1%,Perennial crop 2.5%</v>
      </c>
      <c r="DG160" s="848" t="str">
        <f t="shared" ref="DG160:EK160" ca="1" si="48">combinelab(DG142:DG149)</f>
        <v>Target P rate 71%,Control Drainage2.0%Tile intakes4.2%,Use reduced tillage 13%,Riparian buffers 0.8%</v>
      </c>
      <c r="DH160" s="848" t="str">
        <f t="shared" ca="1" si="48"/>
        <v>Target P rate 71%,Control Drainage2.0%Tile intakes4.2%,Use reduced tillage 13%,Perennial crop 2.5%</v>
      </c>
      <c r="DI160" s="848" t="str">
        <f t="shared" ca="1" si="48"/>
        <v>Target P rate 71%,Control Drainage2.0%Tile intakes4.2%,Riparian buffers 0.8%,Perennial crop 2.5%</v>
      </c>
      <c r="DJ160" s="848" t="str">
        <f t="shared" ca="1" si="48"/>
        <v>Target P rate 71%, Inj &amp; inc manure 2.4%,Preplant/starter 3.8%,Cover crop cs7.5%Cover crop ss 7.1%</v>
      </c>
      <c r="DK160" s="848" t="str">
        <f t="shared" ca="1" si="48"/>
        <v>Target P rate 71%, Inj &amp; inc manure 2.4%,Preplant/starter 3.8%,Use reduced tillage 13%</v>
      </c>
      <c r="DL160" s="848" t="str">
        <f t="shared" ca="1" si="48"/>
        <v>Target P rate 71%, Inj &amp; inc manure 2.4%,Preplant/starter 3.8%,Riparian buffers 0.8%</v>
      </c>
      <c r="DM160" s="848" t="str">
        <f t="shared" ca="1" si="48"/>
        <v>Target P rate 71%, Inj &amp; inc manure 2.4%,Preplant/starter 3.8%,Perennial crop 2.5%</v>
      </c>
      <c r="DN160" s="848" t="str">
        <f t="shared" ca="1" si="48"/>
        <v>Target P rate 71%, Inj &amp; inc manure 2.4%,Cover crop cs7.5%Cover crop ss 7.1%,Use reduced tillage 13%</v>
      </c>
      <c r="DO160" s="848" t="str">
        <f t="shared" ca="1" si="48"/>
        <v>Target P rate 71%, Inj &amp; inc manure 2.4%,Cover crop cs7.5%Cover crop ss 7.1%,Riparian buffers 0.8%</v>
      </c>
      <c r="DP160" s="848" t="str">
        <f t="shared" ca="1" si="48"/>
        <v>Target P rate 71%, Inj &amp; inc manure 2.4%,Cover crop cs7.5%Cover crop ss 7.1%,Perennial crop 2.5%</v>
      </c>
      <c r="DQ160" s="848" t="str">
        <f t="shared" ca="1" si="48"/>
        <v>Target P rate 71%, Inj &amp; inc manure 2.4%,Use reduced tillage 13%,Riparian buffers 0.8%</v>
      </c>
      <c r="DR160" s="848" t="str">
        <f t="shared" ca="1" si="48"/>
        <v>Target P rate 71%, Inj &amp; inc manure 2.4%,Use reduced tillage 13%,Perennial crop 2.5%</v>
      </c>
      <c r="DS160" s="848" t="str">
        <f t="shared" ca="1" si="48"/>
        <v>Target P rate 71%, Inj &amp; inc manure 2.4%,Riparian buffers 0.8%,Perennial crop 2.5%</v>
      </c>
      <c r="DT160" s="848" t="str">
        <f t="shared" ca="1" si="48"/>
        <v>Target P rate 71%,Preplant/starter 3.8%,Cover crop cs7.5%Cover crop ss 7.1%,Use reduced tillage 13%</v>
      </c>
      <c r="DU160" s="848" t="str">
        <f t="shared" ca="1" si="48"/>
        <v>Target P rate 71%,Preplant/starter 3.8%,Cover crop cs7.5%Cover crop ss 7.1%,Riparian buffers 0.8%</v>
      </c>
      <c r="DV160" s="848" t="str">
        <f t="shared" ca="1" si="48"/>
        <v>Target P rate 71%,Preplant/starter 3.8%,Cover crop cs7.5%Cover crop ss 7.1%,Perennial crop 2.5%</v>
      </c>
      <c r="DW160" s="848" t="str">
        <f t="shared" ca="1" si="48"/>
        <v>Target P rate 71%,Preplant/starter 3.8%,Use reduced tillage 13%,Riparian buffers 0.8%</v>
      </c>
      <c r="DX160" s="848" t="str">
        <f t="shared" ca="1" si="48"/>
        <v>Target P rate 71%,Preplant/starter 3.8%,Use reduced tillage 13%,Perennial crop 2.5%</v>
      </c>
      <c r="DY160" s="848" t="str">
        <f t="shared" ca="1" si="48"/>
        <v>Target P rate 71%,Preplant/starter 3.8%,Riparian buffers 0.8%,Perennial crop 2.5%</v>
      </c>
      <c r="DZ160" s="848" t="str">
        <f t="shared" ca="1" si="48"/>
        <v>Target P rate 71%,Cover crop cs7.5%Cover crop ss 7.1%,Use reduced tillage 13%,Riparian buffers 0.8%</v>
      </c>
      <c r="EA160" s="848" t="str">
        <f t="shared" ca="1" si="48"/>
        <v>Target P rate 71%,Cover crop cs7.5%Cover crop ss 7.1%,Use reduced tillage 13%,Perennial crop 2.5%</v>
      </c>
      <c r="EB160" s="848" t="str">
        <f t="shared" ca="1" si="48"/>
        <v>Target P rate 71%,Cover crop cs7.5%Cover crop ss 7.1%,Riparian buffers 0.8%,Perennial crop 2.5%</v>
      </c>
      <c r="EC160" s="848" t="str">
        <f t="shared" ca="1" si="48"/>
        <v>Target P rate 71%,Use reduced tillage 13%,Riparian buffers 0.8%,Perennial crop 2.5%</v>
      </c>
      <c r="ED160" s="848" t="str">
        <f t="shared" ca="1" si="48"/>
        <v>Control Drainage2.0%Tile intakes4.2%, Inj &amp; inc manure 2.4%,Preplant/starter 3.8%,Cover crop cs7.5%Cover crop ss 7.1%</v>
      </c>
      <c r="EE160" s="848" t="str">
        <f t="shared" ca="1" si="48"/>
        <v>Control Drainage2.0%Tile intakes4.2%, Inj &amp; inc manure 2.4%,Preplant/starter 3.8%,Use reduced tillage 13%</v>
      </c>
      <c r="EF160" s="848" t="str">
        <f t="shared" ca="1" si="48"/>
        <v>Control Drainage2.0%Tile intakes4.2%, Inj &amp; inc manure 2.4%,Preplant/starter 3.8%,Riparian buffers 0.8%</v>
      </c>
      <c r="EG160" s="848" t="str">
        <f t="shared" ca="1" si="48"/>
        <v>Control Drainage2.0%Tile intakes4.2%, Inj &amp; inc manure 2.4%,Preplant/starter 3.8%,Perennial crop 2.5%</v>
      </c>
      <c r="EH160" s="848" t="str">
        <f t="shared" ca="1" si="48"/>
        <v>Control Drainage2.0%Tile intakes4.2%, Inj &amp; inc manure 2.4%,Cover crop cs7.5%Cover crop ss 7.1%,Use reduced tillage 13%</v>
      </c>
      <c r="EI160" s="848" t="str">
        <f t="shared" ca="1" si="48"/>
        <v>Control Drainage2.0%Tile intakes4.2%, Inj &amp; inc manure 2.4%,Cover crop cs7.5%Cover crop ss 7.1%,Riparian buffers 0.8%</v>
      </c>
      <c r="EJ160" s="848" t="str">
        <f t="shared" ca="1" si="48"/>
        <v>Control Drainage2.0%Tile intakes4.2%, Inj &amp; inc manure 2.4%,Cover crop cs7.5%Cover crop ss 7.1%,Perennial crop 2.5%</v>
      </c>
      <c r="EK160" s="848" t="str">
        <f t="shared" ca="1" si="48"/>
        <v>Control Drainage2.0%Tile intakes4.2%, Inj &amp; inc manure 2.4%,Use reduced tillage 13%,Riparian buffers 0.8%</v>
      </c>
      <c r="EL160" s="848" t="str">
        <f t="shared" ref="EL160:GW160" ca="1" si="49">combinelab(EL142:EL149)</f>
        <v>Control Drainage2.0%Tile intakes4.2%, Inj &amp; inc manure 2.4%,Use reduced tillage 13%,Perennial crop 2.5%</v>
      </c>
      <c r="EM160" s="848" t="str">
        <f t="shared" ca="1" si="49"/>
        <v>Control Drainage2.0%Tile intakes4.2%, Inj &amp; inc manure 2.4%,Riparian buffers 0.8%,Perennial crop 2.5%</v>
      </c>
      <c r="EN160" s="848" t="str">
        <f t="shared" ca="1" si="49"/>
        <v>Control Drainage2.0%Tile intakes4.2%,Preplant/starter 3.8%,Cover crop cs7.5%Cover crop ss 7.1%,Use reduced tillage 13%</v>
      </c>
      <c r="EO160" s="848" t="str">
        <f t="shared" ca="1" si="49"/>
        <v>Control Drainage2.0%Tile intakes4.2%,Preplant/starter 3.8%,Cover crop cs7.5%Cover crop ss 7.1%,Riparian buffers 0.8%</v>
      </c>
      <c r="EP160" s="848" t="str">
        <f t="shared" ca="1" si="49"/>
        <v>Control Drainage2.0%Tile intakes4.2%,Preplant/starter 3.8%,Cover crop cs7.5%Cover crop ss 7.1%,Perennial crop 2.5%</v>
      </c>
      <c r="EQ160" s="848" t="str">
        <f t="shared" ca="1" si="49"/>
        <v>Control Drainage2.0%Tile intakes4.2%,Preplant/starter 3.8%,Use reduced tillage 13%,Riparian buffers 0.8%</v>
      </c>
      <c r="ER160" s="848" t="str">
        <f t="shared" ca="1" si="49"/>
        <v>Control Drainage2.0%Tile intakes4.2%,Preplant/starter 3.8%,Use reduced tillage 13%,Perennial crop 2.5%</v>
      </c>
      <c r="ES160" s="848" t="str">
        <f t="shared" ca="1" si="49"/>
        <v>Control Drainage2.0%Tile intakes4.2%,Preplant/starter 3.8%,Riparian buffers 0.8%,Perennial crop 2.5%</v>
      </c>
      <c r="ET160" s="848" t="str">
        <f t="shared" ca="1" si="49"/>
        <v>Control Drainage2.0%Tile intakes4.2%,Cover crop cs7.5%Cover crop ss 7.1%,Use reduced tillage 13%,Riparian buffers 0.8%</v>
      </c>
      <c r="EU160" s="848" t="str">
        <f t="shared" ca="1" si="49"/>
        <v>Control Drainage2.0%Tile intakes4.2%,Cover crop cs7.5%Cover crop ss 7.1%,Use reduced tillage 13%,Perennial crop 2.5%</v>
      </c>
      <c r="EV160" s="848" t="str">
        <f t="shared" ca="1" si="49"/>
        <v>Control Drainage2.0%Tile intakes4.2%,Cover crop cs7.5%Cover crop ss 7.1%,Riparian buffers 0.8%,Perennial crop 2.5%</v>
      </c>
      <c r="EW160" s="848" t="str">
        <f t="shared" ca="1" si="49"/>
        <v>Control Drainage2.0%Tile intakes4.2%,Use reduced tillage 13%,Riparian buffers 0.8%,Perennial crop 2.5%</v>
      </c>
      <c r="EX160" s="848" t="str">
        <f t="shared" ca="1" si="49"/>
        <v xml:space="preserve"> Inj &amp; inc manure 2.4%,Preplant/starter 3.8%,Cover crop cs7.5%Cover crop ss 7.1%,Use reduced tillage 13%</v>
      </c>
      <c r="EY160" s="848" t="str">
        <f t="shared" ca="1" si="49"/>
        <v xml:space="preserve"> Inj &amp; inc manure 2.4%,Preplant/starter 3.8%,Cover crop cs7.5%Cover crop ss 7.1%,Riparian buffers 0.8%</v>
      </c>
      <c r="EZ160" s="848" t="str">
        <f t="shared" ca="1" si="49"/>
        <v xml:space="preserve"> Inj &amp; inc manure 2.4%,Preplant/starter 3.8%,Cover crop cs7.5%Cover crop ss 7.1%,Perennial crop 2.5%</v>
      </c>
      <c r="FA160" s="848" t="str">
        <f t="shared" ca="1" si="49"/>
        <v xml:space="preserve"> Inj &amp; inc manure 2.4%,Preplant/starter 3.8%,Use reduced tillage 13%,Riparian buffers 0.8%</v>
      </c>
      <c r="FB160" s="848" t="str">
        <f t="shared" ca="1" si="49"/>
        <v xml:space="preserve"> Inj &amp; inc manure 2.4%,Preplant/starter 3.8%,Use reduced tillage 13%,Perennial crop 2.5%</v>
      </c>
      <c r="FC160" s="848" t="str">
        <f t="shared" ca="1" si="49"/>
        <v xml:space="preserve"> Inj &amp; inc manure 2.4%,Preplant/starter 3.8%,Riparian buffers 0.8%,Perennial crop 2.5%</v>
      </c>
      <c r="FD160" s="848" t="str">
        <f t="shared" ca="1" si="49"/>
        <v xml:space="preserve"> Inj &amp; inc manure 2.4%,Cover crop cs7.5%Cover crop ss 7.1%,Use reduced tillage 13%,Riparian buffers 0.8%</v>
      </c>
      <c r="FE160" s="848" t="str">
        <f t="shared" ca="1" si="49"/>
        <v xml:space="preserve"> Inj &amp; inc manure 2.4%,Cover crop cs7.5%Cover crop ss 7.1%,Use reduced tillage 13%,Perennial crop 2.5%</v>
      </c>
      <c r="FF160" s="848" t="str">
        <f t="shared" ca="1" si="49"/>
        <v xml:space="preserve"> Inj &amp; inc manure 2.4%,Cover crop cs7.5%Cover crop ss 7.1%,Riparian buffers 0.8%,Perennial crop 2.5%</v>
      </c>
      <c r="FG160" s="848" t="str">
        <f t="shared" ca="1" si="49"/>
        <v xml:space="preserve"> Inj &amp; inc manure 2.4%,Use reduced tillage 13%,Riparian buffers 0.8%,Perennial crop 2.5%</v>
      </c>
      <c r="FH160" s="848" t="str">
        <f t="shared" ca="1" si="49"/>
        <v>Preplant/starter 3.8%,Cover crop cs7.5%Cover crop ss 7.1%,Use reduced tillage 13%,Riparian buffers 0.8%</v>
      </c>
      <c r="FI160" s="848" t="str">
        <f t="shared" ca="1" si="49"/>
        <v>Preplant/starter 3.8%,Cover crop cs7.5%Cover crop ss 7.1%,Use reduced tillage 13%,Perennial crop 2.5%</v>
      </c>
      <c r="FJ160" s="848" t="str">
        <f t="shared" ca="1" si="49"/>
        <v>Preplant/starter 3.8%,Cover crop cs7.5%Cover crop ss 7.1%,Riparian buffers 0.8%,Perennial crop 2.5%</v>
      </c>
      <c r="FK160" s="848" t="str">
        <f t="shared" ca="1" si="49"/>
        <v>Preplant/starter 3.8%,Use reduced tillage 13%,Riparian buffers 0.8%,Perennial crop 2.5%</v>
      </c>
      <c r="FL160" s="848" t="str">
        <f t="shared" ca="1" si="49"/>
        <v>Cover crop cs7.5%Cover crop ss 7.1%,Use reduced tillage 13%,Riparian buffers 0.8%,Perennial crop 2.5%</v>
      </c>
      <c r="FM160" s="848" t="str">
        <f t="shared" ca="1" si="49"/>
        <v>Target P rate 71%,Control Drainage2.0%Tile intakes4.2%, Inj &amp; inc manure 2.4%,Preplant/starter 3.8%,Cover crop cs7.5%Cover crop ss 7.1%</v>
      </c>
      <c r="FN160" s="848" t="str">
        <f t="shared" ca="1" si="49"/>
        <v>Target P rate 71%,Control Drainage2.0%Tile intakes4.2%, Inj &amp; inc manure 2.4%,Preplant/starter 3.8%,Use reduced tillage 13%</v>
      </c>
      <c r="FO160" s="848" t="str">
        <f t="shared" ca="1" si="49"/>
        <v>Target P rate 71%,Control Drainage2.0%Tile intakes4.2%, Inj &amp; inc manure 2.4%,Preplant/starter 3.8%,Riparian buffers 0.8%</v>
      </c>
      <c r="FP160" s="848" t="str">
        <f t="shared" ca="1" si="49"/>
        <v>Target P rate 71%,Control Drainage2.0%Tile intakes4.2%, Inj &amp; inc manure 2.4%,Preplant/starter 3.8%,Perennial crop 2.5%</v>
      </c>
      <c r="FQ160" s="848" t="str">
        <f t="shared" ca="1" si="49"/>
        <v>Target P rate 71%,Control Drainage2.0%Tile intakes4.2%, Inj &amp; inc manure 2.4%,Cover crop cs7.5%Cover crop ss 7.1%,Use reduced tillage 13%</v>
      </c>
      <c r="FR160" s="848" t="str">
        <f t="shared" ca="1" si="49"/>
        <v>Target P rate 71%,Control Drainage2.0%Tile intakes4.2%, Inj &amp; inc manure 2.4%,Cover crop cs7.5%Cover crop ss 7.1%,Riparian buffers 0.8%</v>
      </c>
      <c r="FS160" s="848" t="str">
        <f t="shared" ca="1" si="49"/>
        <v>Target P rate 71%,Control Drainage2.0%Tile intakes4.2%, Inj &amp; inc manure 2.4%,Cover crop cs7.5%Cover crop ss 7.1%,Perennial crop 2.5%</v>
      </c>
      <c r="FT160" s="848" t="str">
        <f t="shared" ca="1" si="49"/>
        <v>Target P rate 71%,Control Drainage2.0%Tile intakes4.2%, Inj &amp; inc manure 2.4%,Use reduced tillage 13%,Riparian buffers 0.8%</v>
      </c>
      <c r="FU160" s="848" t="str">
        <f t="shared" ca="1" si="49"/>
        <v>Target P rate 71%,Control Drainage2.0%Tile intakes4.2%, Inj &amp; inc manure 2.4%,Use reduced tillage 13%,Perennial crop 2.5%</v>
      </c>
      <c r="FV160" s="848" t="str">
        <f t="shared" ca="1" si="49"/>
        <v>Target P rate 71%,Control Drainage2.0%Tile intakes4.2%, Inj &amp; inc manure 2.4%,Riparian buffers 0.8%,Perennial crop 2.5%</v>
      </c>
      <c r="FW160" s="848" t="str">
        <f t="shared" ca="1" si="49"/>
        <v>Target P rate 71%,Control Drainage2.0%Tile intakes4.2%,Preplant/starter 3.8%,Cover crop cs7.5%Cover crop ss 7.1%,Use reduced tillage 13%</v>
      </c>
      <c r="FX160" s="848" t="str">
        <f t="shared" ca="1" si="49"/>
        <v>Target P rate 71%,Control Drainage2.0%Tile intakes4.2%,Preplant/starter 3.8%,Cover crop cs7.5%Cover crop ss 7.1%,Riparian buffers 0.8%</v>
      </c>
      <c r="FY160" s="848" t="str">
        <f t="shared" ca="1" si="49"/>
        <v>Target P rate 71%,Control Drainage2.0%Tile intakes4.2%,Preplant/starter 3.8%,Cover crop cs7.5%Cover crop ss 7.1%,Perennial crop 2.5%</v>
      </c>
      <c r="FZ160" s="848" t="str">
        <f t="shared" ca="1" si="49"/>
        <v>Target P rate 71%,Control Drainage2.0%Tile intakes4.2%,Preplant/starter 3.8%,Use reduced tillage 13%,Riparian buffers 0.8%</v>
      </c>
      <c r="GA160" s="848" t="str">
        <f t="shared" ca="1" si="49"/>
        <v>Target P rate 71%,Control Drainage2.0%Tile intakes4.2%,Preplant/starter 3.8%,Use reduced tillage 13%,Perennial crop 2.5%</v>
      </c>
      <c r="GB160" s="848" t="str">
        <f t="shared" ca="1" si="49"/>
        <v>Target P rate 71%,Control Drainage2.0%Tile intakes4.2%,Preplant/starter 3.8%,Riparian buffers 0.8%,Perennial crop 2.5%</v>
      </c>
      <c r="GC160" s="848" t="str">
        <f t="shared" ca="1" si="49"/>
        <v>Target P rate 71%,Control Drainage2.0%Tile intakes4.2%,Cover crop cs7.5%Cover crop ss 7.1%,Use reduced tillage 13%,Riparian buffers 0.8%</v>
      </c>
      <c r="GD160" s="848" t="str">
        <f t="shared" ca="1" si="49"/>
        <v>Target P rate 71%,Control Drainage2.0%Tile intakes4.2%,Cover crop cs7.5%Cover crop ss 7.1%,Use reduced tillage 13%,Perennial crop 2.5%</v>
      </c>
      <c r="GE160" s="848" t="str">
        <f t="shared" ca="1" si="49"/>
        <v>Target P rate 71%,Control Drainage2.0%Tile intakes4.2%,Cover crop cs7.5%Cover crop ss 7.1%,Riparian buffers 0.8%,Perennial crop 2.5%</v>
      </c>
      <c r="GF160" s="848" t="str">
        <f t="shared" ca="1" si="49"/>
        <v>Target P rate 71%,Control Drainage2.0%Tile intakes4.2%,Use reduced tillage 13%,Riparian buffers 0.8%,Perennial crop 2.5%</v>
      </c>
      <c r="GG160" s="848" t="str">
        <f t="shared" ca="1" si="49"/>
        <v>Target P rate 71%, Inj &amp; inc manure 2.4%,Preplant/starter 3.8%,Cover crop cs7.5%Cover crop ss 7.1%,Use reduced tillage 13%</v>
      </c>
      <c r="GH160" s="848" t="str">
        <f t="shared" ca="1" si="49"/>
        <v>Target P rate 71%, Inj &amp; inc manure 2.4%,Preplant/starter 3.8%,Cover crop cs7.5%Cover crop ss 7.1%,Riparian buffers 0.8%</v>
      </c>
      <c r="GI160" s="848" t="str">
        <f t="shared" ca="1" si="49"/>
        <v>Target P rate 71%, Inj &amp; inc manure 2.4%,Preplant/starter 3.8%,Cover crop cs7.5%Cover crop ss 7.1%,Perennial crop 2.5%</v>
      </c>
      <c r="GJ160" s="848" t="str">
        <f t="shared" ca="1" si="49"/>
        <v>Target P rate 71%, Inj &amp; inc manure 2.4%,Preplant/starter 3.8%,Use reduced tillage 13%,Riparian buffers 0.8%</v>
      </c>
      <c r="GK160" s="848" t="str">
        <f t="shared" ca="1" si="49"/>
        <v>Target P rate 71%, Inj &amp; inc manure 2.4%,Preplant/starter 3.8%,Use reduced tillage 13%,Perennial crop 2.5%</v>
      </c>
      <c r="GL160" s="848" t="str">
        <f t="shared" ca="1" si="49"/>
        <v>Target P rate 71%, Inj &amp; inc manure 2.4%,Preplant/starter 3.8%,Riparian buffers 0.8%,Perennial crop 2.5%</v>
      </c>
      <c r="GM160" s="848" t="str">
        <f t="shared" ca="1" si="49"/>
        <v>Target P rate 71%, Inj &amp; inc manure 2.4%,Cover crop cs7.5%Cover crop ss 7.1%,Use reduced tillage 13%,Riparian buffers 0.8%</v>
      </c>
      <c r="GN160" s="848" t="str">
        <f t="shared" ca="1" si="49"/>
        <v>Target P rate 71%, Inj &amp; inc manure 2.4%,Cover crop cs7.5%Cover crop ss 7.1%,Use reduced tillage 13%,Perennial crop 2.5%</v>
      </c>
      <c r="GO160" s="848" t="str">
        <f t="shared" ca="1" si="49"/>
        <v>Target P rate 71%, Inj &amp; inc manure 2.4%,Cover crop cs7.5%Cover crop ss 7.1%,Riparian buffers 0.8%,Perennial crop 2.5%</v>
      </c>
      <c r="GP160" s="848" t="str">
        <f t="shared" ca="1" si="49"/>
        <v>Target P rate 71%, Inj &amp; inc manure 2.4%,Use reduced tillage 13%,Riparian buffers 0.8%,Perennial crop 2.5%</v>
      </c>
      <c r="GQ160" s="848" t="str">
        <f t="shared" ca="1" si="49"/>
        <v>Target P rate 71%,Preplant/starter 3.8%,Cover crop cs7.5%Cover crop ss 7.1%,Use reduced tillage 13%,Riparian buffers 0.8%</v>
      </c>
      <c r="GR160" s="848" t="str">
        <f t="shared" ca="1" si="49"/>
        <v>Target P rate 71%,Preplant/starter 3.8%,Cover crop cs7.5%Cover crop ss 7.1%,Use reduced tillage 13%,Perennial crop 2.5%</v>
      </c>
      <c r="GS160" s="848" t="str">
        <f t="shared" ca="1" si="49"/>
        <v>Target P rate 71%,Preplant/starter 3.8%,Cover crop cs7.5%Cover crop ss 7.1%,Riparian buffers 0.8%,Perennial crop 2.5%</v>
      </c>
      <c r="GT160" s="848" t="str">
        <f t="shared" ca="1" si="49"/>
        <v>Target P rate 71%,Preplant/starter 3.8%,Use reduced tillage 13%,Riparian buffers 0.8%,Perennial crop 2.5%</v>
      </c>
      <c r="GU160" s="848" t="str">
        <f t="shared" ca="1" si="49"/>
        <v>Target P rate 71%,Cover crop cs7.5%Cover crop ss 7.1%,Use reduced tillage 13%,Riparian buffers 0.8%,Perennial crop 2.5%</v>
      </c>
      <c r="GV160" s="848" t="str">
        <f t="shared" ca="1" si="49"/>
        <v>Control Drainage2.0%Tile intakes4.2%, Inj &amp; inc manure 2.4%,Preplant/starter 3.8%,Cover crop cs7.5%Cover crop ss 7.1%,Use reduced tillage 13%</v>
      </c>
      <c r="GW160" s="848" t="str">
        <f t="shared" ca="1" si="49"/>
        <v>Control Drainage2.0%Tile intakes4.2%, Inj &amp; inc manure 2.4%,Preplant/starter 3.8%,Cover crop cs7.5%Cover crop ss 7.1%,Riparian buffers 0.8%</v>
      </c>
      <c r="GX160" s="848" t="str">
        <f t="shared" ref="GX160:IY160" ca="1" si="50">combinelab(GX142:GX149)</f>
        <v>Control Drainage2.0%Tile intakes4.2%, Inj &amp; inc manure 2.4%,Preplant/starter 3.8%,Cover crop cs7.5%Cover crop ss 7.1%,Perennial crop 2.5%</v>
      </c>
      <c r="GY160" s="848" t="str">
        <f t="shared" ca="1" si="50"/>
        <v>Control Drainage2.0%Tile intakes4.2%, Inj &amp; inc manure 2.4%,Preplant/starter 3.8%,Use reduced tillage 13%,Riparian buffers 0.8%</v>
      </c>
      <c r="GZ160" s="848" t="str">
        <f t="shared" ca="1" si="50"/>
        <v>Control Drainage2.0%Tile intakes4.2%, Inj &amp; inc manure 2.4%,Preplant/starter 3.8%,Use reduced tillage 13%,Perennial crop 2.5%</v>
      </c>
      <c r="HA160" s="848" t="str">
        <f t="shared" ca="1" si="50"/>
        <v>Control Drainage2.0%Tile intakes4.2%, Inj &amp; inc manure 2.4%,Preplant/starter 3.8%,Riparian buffers 0.8%,Perennial crop 2.5%</v>
      </c>
      <c r="HB160" s="848" t="str">
        <f t="shared" ca="1" si="50"/>
        <v>Control Drainage2.0%Tile intakes4.2%, Inj &amp; inc manure 2.4%,Cover crop cs7.5%Cover crop ss 7.1%,Use reduced tillage 13%,Riparian buffers 0.8%</v>
      </c>
      <c r="HC160" s="848" t="str">
        <f t="shared" ca="1" si="50"/>
        <v>Control Drainage2.0%Tile intakes4.2%, Inj &amp; inc manure 2.4%,Cover crop cs7.5%Cover crop ss 7.1%,Use reduced tillage 13%,Perennial crop 2.5%</v>
      </c>
      <c r="HD160" s="848" t="str">
        <f t="shared" ca="1" si="50"/>
        <v>Control Drainage2.0%Tile intakes4.2%, Inj &amp; inc manure 2.4%,Cover crop cs7.5%Cover crop ss 7.1%,Riparian buffers 0.8%,Perennial crop 2.5%</v>
      </c>
      <c r="HE160" s="848" t="str">
        <f t="shared" ca="1" si="50"/>
        <v>Control Drainage2.0%Tile intakes4.2%, Inj &amp; inc manure 2.4%,Use reduced tillage 13%,Riparian buffers 0.8%,Perennial crop 2.5%</v>
      </c>
      <c r="HF160" s="848" t="str">
        <f t="shared" ca="1" si="50"/>
        <v>Control Drainage2.0%Tile intakes4.2%,Preplant/starter 3.8%,Cover crop cs7.5%Cover crop ss 7.1%,Use reduced tillage 13%,Riparian buffers 0.8%</v>
      </c>
      <c r="HG160" s="848" t="str">
        <f t="shared" ca="1" si="50"/>
        <v>Control Drainage2.0%Tile intakes4.2%,Preplant/starter 3.8%,Cover crop cs7.5%Cover crop ss 7.1%,Use reduced tillage 13%,Perennial crop 2.5%</v>
      </c>
      <c r="HH160" s="848" t="str">
        <f t="shared" ca="1" si="50"/>
        <v>Control Drainage2.0%Tile intakes4.2%,Preplant/starter 3.8%,Cover crop cs7.5%Cover crop ss 7.1%,Riparian buffers 0.8%,Perennial crop 2.5%</v>
      </c>
      <c r="HI160" s="848" t="str">
        <f t="shared" ca="1" si="50"/>
        <v>Control Drainage2.0%Tile intakes4.2%,Preplant/starter 3.8%,Use reduced tillage 13%,Riparian buffers 0.8%,Perennial crop 2.5%</v>
      </c>
      <c r="HJ160" s="848" t="str">
        <f t="shared" ca="1" si="50"/>
        <v>Control Drainage2.0%Tile intakes4.2%,Cover crop cs7.5%Cover crop ss 7.1%,Use reduced tillage 13%,Riparian buffers 0.8%,Perennial crop 2.5%</v>
      </c>
      <c r="HK160" s="848" t="str">
        <f t="shared" ca="1" si="50"/>
        <v xml:space="preserve"> Inj &amp; inc manure 2.4%,Preplant/starter 3.8%,Cover crop cs7.5%Cover crop ss 7.1%,Use reduced tillage 13%,Riparian buffers 0.8%</v>
      </c>
      <c r="HL160" s="848" t="str">
        <f t="shared" ca="1" si="50"/>
        <v xml:space="preserve"> Inj &amp; inc manure 2.4%,Preplant/starter 3.8%,Cover crop cs7.5%Cover crop ss 7.1%,Use reduced tillage 13%,Perennial crop 2.5%</v>
      </c>
      <c r="HM160" s="848" t="str">
        <f t="shared" ca="1" si="50"/>
        <v xml:space="preserve"> Inj &amp; inc manure 2.4%,Preplant/starter 3.8%,Cover crop cs7.5%Cover crop ss 7.1%,Riparian buffers 0.8%,Perennial crop 2.5%</v>
      </c>
      <c r="HN160" s="848" t="str">
        <f t="shared" ca="1" si="50"/>
        <v xml:space="preserve"> Inj &amp; inc manure 2.4%,Preplant/starter 3.8%,Use reduced tillage 13%,Riparian buffers 0.8%,Perennial crop 2.5%</v>
      </c>
      <c r="HO160" s="848" t="str">
        <f t="shared" ca="1" si="50"/>
        <v xml:space="preserve"> Inj &amp; inc manure 2.4%,Cover crop cs7.5%Cover crop ss 7.1%,Use reduced tillage 13%,Riparian buffers 0.8%,Perennial crop 2.5%</v>
      </c>
      <c r="HP160" s="848" t="str">
        <f t="shared" ca="1" si="50"/>
        <v>Preplant/starter 3.8%,Cover crop cs7.5%Cover crop ss 7.1%,Use reduced tillage 13%,Riparian buffers 0.8%,Perennial crop 2.5%</v>
      </c>
      <c r="HQ160" s="848" t="str">
        <f t="shared" ca="1" si="50"/>
        <v>Target P rate 71%,Control Drainage2.0%Tile intakes4.2%, Inj &amp; inc manure 2.4%,Preplant/starter 3.8%,Cover crop cs7.5%Cover crop ss 7.1%,Use reduced tillage 13%</v>
      </c>
      <c r="HR160" s="848" t="str">
        <f t="shared" ca="1" si="50"/>
        <v>Target P rate 71%,Control Drainage2.0%Tile intakes4.2%, Inj &amp; inc manure 2.4%,Preplant/starter 3.8%,Cover crop cs7.5%Cover crop ss 7.1%,Riparian buffers 0.8%</v>
      </c>
      <c r="HS160" s="848" t="str">
        <f t="shared" ca="1" si="50"/>
        <v>Target P rate 71%,Control Drainage2.0%Tile intakes4.2%, Inj &amp; inc manure 2.4%,Preplant/starter 3.8%,Cover crop cs7.5%Cover crop ss 7.1%,Perennial crop 2.5%</v>
      </c>
      <c r="HT160" s="848" t="str">
        <f t="shared" ca="1" si="50"/>
        <v>Target P rate 71%,Control Drainage2.0%Tile intakes4.2%, Inj &amp; inc manure 2.4%,Preplant/starter 3.8%,Use reduced tillage 13%,Riparian buffers 0.8%</v>
      </c>
      <c r="HU160" s="848" t="str">
        <f t="shared" ca="1" si="50"/>
        <v>Target P rate 71%,Control Drainage2.0%Tile intakes4.2%, Inj &amp; inc manure 2.4%,Preplant/starter 3.8%,Use reduced tillage 13%,Perennial crop 2.5%</v>
      </c>
      <c r="HV160" s="848" t="str">
        <f t="shared" ca="1" si="50"/>
        <v>Target P rate 71%,Control Drainage2.0%Tile intakes4.2%, Inj &amp; inc manure 2.4%,Preplant/starter 3.8%,Riparian buffers 0.8%,Perennial crop 2.5%</v>
      </c>
      <c r="HW160" s="848" t="str">
        <f t="shared" ca="1" si="50"/>
        <v>Target P rate 71%,Control Drainage2.0%Tile intakes4.2%, Inj &amp; inc manure 2.4%,Cover crop cs7.5%Cover crop ss 7.1%,Use reduced tillage 13%,Riparian buffers 0.8%</v>
      </c>
      <c r="HX160" s="848" t="str">
        <f t="shared" ca="1" si="50"/>
        <v>Target P rate 71%,Control Drainage2.0%Tile intakes4.2%, Inj &amp; inc manure 2.4%,Cover crop cs7.5%Cover crop ss 7.1%,Use reduced tillage 13%,Perennial crop 2.5%</v>
      </c>
      <c r="HY160" s="848" t="str">
        <f t="shared" ca="1" si="50"/>
        <v>Target P rate 71%,Control Drainage2.0%Tile intakes4.2%, Inj &amp; inc manure 2.4%,Cover crop cs7.5%Cover crop ss 7.1%,Riparian buffers 0.8%,Perennial crop 2.5%</v>
      </c>
      <c r="HZ160" s="848" t="str">
        <f t="shared" ca="1" si="50"/>
        <v>Target P rate 71%,Control Drainage2.0%Tile intakes4.2%, Inj &amp; inc manure 2.4%,Use reduced tillage 13%,Riparian buffers 0.8%,Perennial crop 2.5%</v>
      </c>
      <c r="IA160" s="848" t="str">
        <f t="shared" ca="1" si="50"/>
        <v>Target P rate 71%,Control Drainage2.0%Tile intakes4.2%,Preplant/starter 3.8%,Cover crop cs7.5%Cover crop ss 7.1%,Use reduced tillage 13%,Riparian buffers 0.8%</v>
      </c>
      <c r="IB160" s="848" t="str">
        <f t="shared" ca="1" si="50"/>
        <v>Target P rate 71%,Control Drainage2.0%Tile intakes4.2%,Preplant/starter 3.8%,Cover crop cs7.5%Cover crop ss 7.1%,Use reduced tillage 13%,Perennial crop 2.5%</v>
      </c>
      <c r="IC160" s="848" t="str">
        <f t="shared" ca="1" si="50"/>
        <v>Target P rate 71%,Control Drainage2.0%Tile intakes4.2%,Preplant/starter 3.8%,Cover crop cs7.5%Cover crop ss 7.1%,Riparian buffers 0.8%,Perennial crop 2.5%</v>
      </c>
      <c r="ID160" s="848" t="str">
        <f t="shared" ca="1" si="50"/>
        <v>Target P rate 71%,Control Drainage2.0%Tile intakes4.2%,Preplant/starter 3.8%,Use reduced tillage 13%,Riparian buffers 0.8%,Perennial crop 2.5%</v>
      </c>
      <c r="IE160" s="848" t="str">
        <f t="shared" ca="1" si="50"/>
        <v>Target P rate 71%,Control Drainage2.0%Tile intakes4.2%,Cover crop cs7.5%Cover crop ss 7.1%,Use reduced tillage 13%,Riparian buffers 0.8%,Perennial crop 2.5%</v>
      </c>
      <c r="IF160" s="848" t="str">
        <f t="shared" ca="1" si="50"/>
        <v>Target P rate 71%, Inj &amp; inc manure 2.4%,Preplant/starter 3.8%,Cover crop cs7.5%Cover crop ss 7.1%,Use reduced tillage 13%,Riparian buffers 0.8%</v>
      </c>
      <c r="IG160" s="848" t="str">
        <f t="shared" ca="1" si="50"/>
        <v>Target P rate 71%, Inj &amp; inc manure 2.4%,Preplant/starter 3.8%,Cover crop cs7.5%Cover crop ss 7.1%,Use reduced tillage 13%,Perennial crop 2.5%</v>
      </c>
      <c r="IH160" s="848" t="str">
        <f t="shared" ca="1" si="50"/>
        <v>Target P rate 71%, Inj &amp; inc manure 2.4%,Preplant/starter 3.8%,Cover crop cs7.5%Cover crop ss 7.1%,Riparian buffers 0.8%,Perennial crop 2.5%</v>
      </c>
      <c r="II160" s="848" t="str">
        <f t="shared" ca="1" si="50"/>
        <v>Target P rate 71%, Inj &amp; inc manure 2.4%,Preplant/starter 3.8%,Use reduced tillage 13%,Riparian buffers 0.8%,Perennial crop 2.5%</v>
      </c>
      <c r="IJ160" s="848" t="str">
        <f t="shared" ca="1" si="50"/>
        <v>Target P rate 71%, Inj &amp; inc manure 2.4%,Cover crop cs7.5%Cover crop ss 7.1%,Use reduced tillage 13%,Riparian buffers 0.8%,Perennial crop 2.5%</v>
      </c>
      <c r="IK160" s="848" t="str">
        <f t="shared" ca="1" si="50"/>
        <v>Target P rate 71%,Preplant/starter 3.8%,Cover crop cs7.5%Cover crop ss 7.1%,Use reduced tillage 13%,Riparian buffers 0.8%,Perennial crop 2.5%</v>
      </c>
      <c r="IL160" s="848" t="str">
        <f t="shared" ca="1" si="50"/>
        <v>Control Drainage2.0%Tile intakes4.2%, Inj &amp; inc manure 2.4%,Preplant/starter 3.8%,Cover crop cs7.5%Cover crop ss 7.1%,Use reduced tillage 13%,Riparian buffers 0.8%</v>
      </c>
      <c r="IM160" s="848" t="str">
        <f t="shared" ca="1" si="50"/>
        <v>Control Drainage2.0%Tile intakes4.2%, Inj &amp; inc manure 2.4%,Preplant/starter 3.8%,Cover crop cs7.5%Cover crop ss 7.1%,Use reduced tillage 13%,Perennial crop 2.5%</v>
      </c>
      <c r="IN160" s="848" t="str">
        <f t="shared" ca="1" si="50"/>
        <v>Control Drainage2.0%Tile intakes4.2%, Inj &amp; inc manure 2.4%,Preplant/starter 3.8%,Cover crop cs7.5%Cover crop ss 7.1%,Riparian buffers 0.8%,Perennial crop 2.5%</v>
      </c>
      <c r="IO160" s="848" t="str">
        <f t="shared" ca="1" si="50"/>
        <v>Control Drainage2.0%Tile intakes4.2%, Inj &amp; inc manure 2.4%,Preplant/starter 3.8%,Use reduced tillage 13%,Riparian buffers 0.8%,Perennial crop 2.5%</v>
      </c>
      <c r="IP160" s="848" t="str">
        <f t="shared" ca="1" si="50"/>
        <v>Control Drainage2.0%Tile intakes4.2%, Inj &amp; inc manure 2.4%,Cover crop cs7.5%Cover crop ss 7.1%,Use reduced tillage 13%,Riparian buffers 0.8%,Perennial crop 2.5%</v>
      </c>
      <c r="IQ160" s="848" t="str">
        <f t="shared" ca="1" si="50"/>
        <v>Control Drainage2.0%Tile intakes4.2%,Preplant/starter 3.8%,Cover crop cs7.5%Cover crop ss 7.1%,Use reduced tillage 13%,Riparian buffers 0.8%,Perennial crop 2.5%</v>
      </c>
      <c r="IR160" s="848" t="str">
        <f t="shared" ca="1" si="50"/>
        <v xml:space="preserve"> Inj &amp; inc manure 2.4%,Preplant/starter 3.8%,Cover crop cs7.5%Cover crop ss 7.1%,Use reduced tillage 13%,Riparian buffers 0.8%,Perennial crop 2.5%</v>
      </c>
      <c r="IS160" s="848" t="str">
        <f t="shared" ca="1" si="50"/>
        <v>Target P rate 71%,Control Drainage2.0%Tile intakes4.2%, Inj &amp; inc manure 2.4%,Preplant/starter 3.8%,Cover crop cs7.5%Cover crop ss 7.1%,Use reduced tillage 13%,Riparian buffers 0.8%</v>
      </c>
      <c r="IT160" s="848" t="str">
        <f t="shared" ca="1" si="50"/>
        <v>Target P rate 71%,Control Drainage2.0%Tile intakes4.2%, Inj &amp; inc manure 2.4%,Preplant/starter 3.8%,Cover crop cs7.5%Cover crop ss 7.1%,Use reduced tillage 13%,Perennial crop 2.5%</v>
      </c>
      <c r="IU160" s="848" t="str">
        <f t="shared" ca="1" si="50"/>
        <v>Target P rate 71%,Control Drainage2.0%Tile intakes4.2%, Inj &amp; inc manure 2.4%,Preplant/starter 3.8%,Cover crop cs7.5%Cover crop ss 7.1%,Riparian buffers 0.8%,Perennial crop 2.5%</v>
      </c>
      <c r="IV160" s="848" t="str">
        <f t="shared" ca="1" si="50"/>
        <v>Target P rate 71%,Control Drainage2.0%Tile intakes4.2%, Inj &amp; inc manure 2.4%,Preplant/starter 3.8%,Use reduced tillage 13%,Riparian buffers 0.8%,Perennial crop 2.5%</v>
      </c>
      <c r="IW160" s="848" t="str">
        <f t="shared" ca="1" si="50"/>
        <v>Target P rate 71%,Control Drainage2.0%Tile intakes4.2%, Inj &amp; inc manure 2.4%,Cover crop cs7.5%Cover crop ss 7.1%,Use reduced tillage 13%,Riparian buffers 0.8%,Perennial crop 2.5%</v>
      </c>
      <c r="IX160" s="848" t="str">
        <f t="shared" ca="1" si="50"/>
        <v>Target P rate 71%,Control Drainage2.0%Tile intakes4.2%,Preplant/starter 3.8%,Cover crop cs7.5%Cover crop ss 7.1%,Use reduced tillage 13%,Riparian buffers 0.8%,Perennial crop 2.5%</v>
      </c>
      <c r="IY160" s="848" t="str">
        <f t="shared" ca="1" si="50"/>
        <v>Target P rate 71%, Inj &amp; inc manure 2.4%,Preplant/starter 3.8%,Cover crop cs7.5%Cover crop ss 7.1%,Use reduced tillage 13%,Riparian buffers 0.8%,Perennial crop 2.5%</v>
      </c>
    </row>
    <row r="161" spans="1:259" s="190" customFormat="1" x14ac:dyDescent="0.25">
      <c r="A161" s="653" t="s">
        <v>765</v>
      </c>
      <c r="B161" s="209"/>
      <c r="C161" s="677">
        <f ca="1">IFERROR(INDEX(D161:OFFSET(D161,0,$IY$172),$C$172),0)</f>
        <v>0.8</v>
      </c>
      <c r="D161" s="678">
        <f>D10</f>
        <v>0.8</v>
      </c>
      <c r="E161" s="679">
        <v>0</v>
      </c>
      <c r="F161" s="679">
        <v>0</v>
      </c>
      <c r="G161" s="679">
        <v>0</v>
      </c>
      <c r="H161" s="679">
        <v>0</v>
      </c>
      <c r="I161" s="679">
        <v>0</v>
      </c>
      <c r="J161" s="679">
        <v>0</v>
      </c>
      <c r="K161" s="679">
        <v>0</v>
      </c>
      <c r="L161" s="679">
        <v>0</v>
      </c>
      <c r="M161" s="679">
        <v>0</v>
      </c>
      <c r="N161" s="680">
        <f>IF(COUNTIF(N$152:N$159,$I$152)&gt;0,$D$10,0)</f>
        <v>0.8</v>
      </c>
      <c r="O161" s="849">
        <f t="shared" ref="O161:AT161" si="51">IF(COUNTIF(O$152:O$159,$I$152)&gt;0,$D$10,0)</f>
        <v>0.8</v>
      </c>
      <c r="P161" s="845">
        <f t="shared" si="51"/>
        <v>0.8</v>
      </c>
      <c r="Q161" s="845">
        <f t="shared" si="51"/>
        <v>0.8</v>
      </c>
      <c r="R161" s="845">
        <f t="shared" si="51"/>
        <v>0.8</v>
      </c>
      <c r="S161" s="845">
        <f t="shared" si="51"/>
        <v>0.8</v>
      </c>
      <c r="T161" s="845">
        <f t="shared" si="51"/>
        <v>0.8</v>
      </c>
      <c r="U161" s="845">
        <f t="shared" si="51"/>
        <v>0.8</v>
      </c>
      <c r="V161" s="845">
        <f t="shared" si="51"/>
        <v>0</v>
      </c>
      <c r="W161" s="845">
        <f t="shared" si="51"/>
        <v>0</v>
      </c>
      <c r="X161" s="845">
        <f t="shared" si="51"/>
        <v>0</v>
      </c>
      <c r="Y161" s="845">
        <f t="shared" si="51"/>
        <v>0</v>
      </c>
      <c r="Z161" s="845">
        <f t="shared" si="51"/>
        <v>0</v>
      </c>
      <c r="AA161" s="846">
        <f t="shared" si="51"/>
        <v>0</v>
      </c>
      <c r="AB161" s="846">
        <f t="shared" si="51"/>
        <v>0</v>
      </c>
      <c r="AC161" s="846">
        <f t="shared" si="51"/>
        <v>0</v>
      </c>
      <c r="AD161" s="846">
        <f t="shared" si="51"/>
        <v>0</v>
      </c>
      <c r="AE161" s="846">
        <f t="shared" si="51"/>
        <v>0</v>
      </c>
      <c r="AF161" s="846">
        <f t="shared" si="51"/>
        <v>0</v>
      </c>
      <c r="AG161" s="846">
        <f t="shared" si="51"/>
        <v>0</v>
      </c>
      <c r="AH161" s="846">
        <f t="shared" si="51"/>
        <v>0</v>
      </c>
      <c r="AI161" s="846">
        <f t="shared" si="51"/>
        <v>0</v>
      </c>
      <c r="AJ161" s="846">
        <f t="shared" si="51"/>
        <v>0</v>
      </c>
      <c r="AK161" s="846">
        <f t="shared" si="51"/>
        <v>0</v>
      </c>
      <c r="AL161" s="846">
        <f t="shared" si="51"/>
        <v>0</v>
      </c>
      <c r="AM161" s="846">
        <f t="shared" si="51"/>
        <v>0</v>
      </c>
      <c r="AN161" s="846">
        <f t="shared" si="51"/>
        <v>0</v>
      </c>
      <c r="AO161" s="846">
        <f t="shared" si="51"/>
        <v>0</v>
      </c>
      <c r="AP161" s="846">
        <f t="shared" si="51"/>
        <v>0</v>
      </c>
      <c r="AQ161" s="846">
        <f t="shared" si="51"/>
        <v>0.8</v>
      </c>
      <c r="AR161" s="846">
        <f t="shared" si="51"/>
        <v>0.8</v>
      </c>
      <c r="AS161" s="846">
        <f t="shared" si="51"/>
        <v>0.8</v>
      </c>
      <c r="AT161" s="846">
        <f t="shared" si="51"/>
        <v>0.8</v>
      </c>
      <c r="AU161" s="846">
        <f t="shared" ref="AU161:BZ161" si="52">IF(COUNTIF(AU$152:AU$159,$I$152)&gt;0,$D$10,0)</f>
        <v>0.8</v>
      </c>
      <c r="AV161" s="846">
        <f t="shared" si="52"/>
        <v>0.8</v>
      </c>
      <c r="AW161" s="846">
        <f t="shared" si="52"/>
        <v>0.8</v>
      </c>
      <c r="AX161" s="846">
        <f t="shared" si="52"/>
        <v>0.8</v>
      </c>
      <c r="AY161" s="846">
        <f t="shared" si="52"/>
        <v>0.8</v>
      </c>
      <c r="AZ161" s="846">
        <f t="shared" si="52"/>
        <v>0.8</v>
      </c>
      <c r="BA161" s="846">
        <f t="shared" si="52"/>
        <v>0.8</v>
      </c>
      <c r="BB161" s="846">
        <f t="shared" si="52"/>
        <v>0.8</v>
      </c>
      <c r="BC161" s="846">
        <f t="shared" si="52"/>
        <v>0.8</v>
      </c>
      <c r="BD161" s="846">
        <f t="shared" si="52"/>
        <v>0.8</v>
      </c>
      <c r="BE161" s="846">
        <f t="shared" si="52"/>
        <v>0.8</v>
      </c>
      <c r="BF161" s="846">
        <f t="shared" si="52"/>
        <v>0.8</v>
      </c>
      <c r="BG161" s="846">
        <f t="shared" si="52"/>
        <v>0.8</v>
      </c>
      <c r="BH161" s="846">
        <f t="shared" si="52"/>
        <v>0.8</v>
      </c>
      <c r="BI161" s="846">
        <f t="shared" si="52"/>
        <v>0.8</v>
      </c>
      <c r="BJ161" s="846">
        <f t="shared" si="52"/>
        <v>0.8</v>
      </c>
      <c r="BK161" s="846">
        <f t="shared" si="52"/>
        <v>0.8</v>
      </c>
      <c r="BL161" s="846">
        <f t="shared" si="52"/>
        <v>0</v>
      </c>
      <c r="BM161" s="846">
        <f t="shared" si="52"/>
        <v>0</v>
      </c>
      <c r="BN161" s="846">
        <f t="shared" si="52"/>
        <v>0</v>
      </c>
      <c r="BO161" s="846">
        <f t="shared" si="52"/>
        <v>0</v>
      </c>
      <c r="BP161" s="846">
        <f t="shared" si="52"/>
        <v>0</v>
      </c>
      <c r="BQ161" s="846">
        <f t="shared" si="52"/>
        <v>0</v>
      </c>
      <c r="BR161" s="846">
        <f t="shared" si="52"/>
        <v>0</v>
      </c>
      <c r="BS161" s="846">
        <f t="shared" si="52"/>
        <v>0</v>
      </c>
      <c r="BT161" s="846">
        <f t="shared" si="52"/>
        <v>0</v>
      </c>
      <c r="BU161" s="846">
        <f t="shared" si="52"/>
        <v>0</v>
      </c>
      <c r="BV161" s="846">
        <f t="shared" si="52"/>
        <v>0</v>
      </c>
      <c r="BW161" s="846">
        <f t="shared" si="52"/>
        <v>0</v>
      </c>
      <c r="BX161" s="846">
        <f t="shared" si="52"/>
        <v>0</v>
      </c>
      <c r="BY161" s="846">
        <f t="shared" si="52"/>
        <v>0</v>
      </c>
      <c r="BZ161" s="846">
        <f t="shared" si="52"/>
        <v>0</v>
      </c>
      <c r="CA161" s="846">
        <f t="shared" ref="CA161:DF161" si="53">IF(COUNTIF(CA$152:CA$159,$I$152)&gt;0,$D$10,0)</f>
        <v>0</v>
      </c>
      <c r="CB161" s="846">
        <f t="shared" si="53"/>
        <v>0</v>
      </c>
      <c r="CC161" s="846">
        <f t="shared" si="53"/>
        <v>0</v>
      </c>
      <c r="CD161" s="846">
        <f t="shared" si="53"/>
        <v>0</v>
      </c>
      <c r="CE161" s="846">
        <f t="shared" si="53"/>
        <v>0</v>
      </c>
      <c r="CF161" s="846">
        <f t="shared" si="53"/>
        <v>0</v>
      </c>
      <c r="CG161" s="846">
        <f t="shared" si="53"/>
        <v>0</v>
      </c>
      <c r="CH161" s="846">
        <f t="shared" si="53"/>
        <v>0</v>
      </c>
      <c r="CI161" s="846">
        <f t="shared" si="53"/>
        <v>0</v>
      </c>
      <c r="CJ161" s="846">
        <f t="shared" si="53"/>
        <v>0</v>
      </c>
      <c r="CK161" s="846">
        <f t="shared" si="53"/>
        <v>0</v>
      </c>
      <c r="CL161" s="846">
        <f t="shared" si="53"/>
        <v>0</v>
      </c>
      <c r="CM161" s="846">
        <f t="shared" si="53"/>
        <v>0</v>
      </c>
      <c r="CN161" s="846">
        <f t="shared" si="53"/>
        <v>0</v>
      </c>
      <c r="CO161" s="846">
        <f t="shared" si="53"/>
        <v>0</v>
      </c>
      <c r="CP161" s="846">
        <f t="shared" si="53"/>
        <v>0</v>
      </c>
      <c r="CQ161" s="846">
        <f t="shared" si="53"/>
        <v>0</v>
      </c>
      <c r="CR161" s="846">
        <f t="shared" si="53"/>
        <v>0</v>
      </c>
      <c r="CS161" s="846">
        <f t="shared" si="53"/>
        <v>0</v>
      </c>
      <c r="CT161" s="846">
        <f t="shared" si="53"/>
        <v>0</v>
      </c>
      <c r="CU161" s="846">
        <f t="shared" si="53"/>
        <v>0.8</v>
      </c>
      <c r="CV161" s="846">
        <f t="shared" si="53"/>
        <v>0.8</v>
      </c>
      <c r="CW161" s="846">
        <f t="shared" si="53"/>
        <v>0.8</v>
      </c>
      <c r="CX161" s="846">
        <f t="shared" si="53"/>
        <v>0.8</v>
      </c>
      <c r="CY161" s="846">
        <f t="shared" si="53"/>
        <v>0.8</v>
      </c>
      <c r="CZ161" s="846">
        <f t="shared" si="53"/>
        <v>0.8</v>
      </c>
      <c r="DA161" s="846">
        <f t="shared" si="53"/>
        <v>0.8</v>
      </c>
      <c r="DB161" s="846">
        <f t="shared" si="53"/>
        <v>0.8</v>
      </c>
      <c r="DC161" s="846">
        <f t="shared" si="53"/>
        <v>0.8</v>
      </c>
      <c r="DD161" s="846">
        <f t="shared" si="53"/>
        <v>0.8</v>
      </c>
      <c r="DE161" s="846">
        <f t="shared" si="53"/>
        <v>0.8</v>
      </c>
      <c r="DF161" s="846">
        <f t="shared" si="53"/>
        <v>0.8</v>
      </c>
      <c r="DG161" s="846">
        <f t="shared" ref="DG161:FR161" si="54">IF(COUNTIF(DG$152:DG$159,$I$152)&gt;0,$D$10,0)</f>
        <v>0.8</v>
      </c>
      <c r="DH161" s="846">
        <f t="shared" si="54"/>
        <v>0.8</v>
      </c>
      <c r="DI161" s="846">
        <f t="shared" si="54"/>
        <v>0.8</v>
      </c>
      <c r="DJ161" s="846">
        <f t="shared" si="54"/>
        <v>0.8</v>
      </c>
      <c r="DK161" s="846">
        <f t="shared" si="54"/>
        <v>0.8</v>
      </c>
      <c r="DL161" s="846">
        <f t="shared" si="54"/>
        <v>0.8</v>
      </c>
      <c r="DM161" s="846">
        <f t="shared" si="54"/>
        <v>0.8</v>
      </c>
      <c r="DN161" s="846">
        <f t="shared" si="54"/>
        <v>0.8</v>
      </c>
      <c r="DO161" s="846">
        <f t="shared" si="54"/>
        <v>0.8</v>
      </c>
      <c r="DP161" s="846">
        <f t="shared" si="54"/>
        <v>0.8</v>
      </c>
      <c r="DQ161" s="846">
        <f t="shared" si="54"/>
        <v>0.8</v>
      </c>
      <c r="DR161" s="846">
        <f t="shared" si="54"/>
        <v>0.8</v>
      </c>
      <c r="DS161" s="846">
        <f t="shared" si="54"/>
        <v>0.8</v>
      </c>
      <c r="DT161" s="846">
        <f t="shared" si="54"/>
        <v>0.8</v>
      </c>
      <c r="DU161" s="846">
        <f t="shared" si="54"/>
        <v>0.8</v>
      </c>
      <c r="DV161" s="846">
        <f t="shared" si="54"/>
        <v>0.8</v>
      </c>
      <c r="DW161" s="846">
        <f t="shared" si="54"/>
        <v>0.8</v>
      </c>
      <c r="DX161" s="846">
        <f t="shared" si="54"/>
        <v>0.8</v>
      </c>
      <c r="DY161" s="846">
        <f t="shared" si="54"/>
        <v>0.8</v>
      </c>
      <c r="DZ161" s="846">
        <f t="shared" si="54"/>
        <v>0.8</v>
      </c>
      <c r="EA161" s="846">
        <f t="shared" si="54"/>
        <v>0.8</v>
      </c>
      <c r="EB161" s="846">
        <f t="shared" si="54"/>
        <v>0.8</v>
      </c>
      <c r="EC161" s="846">
        <f t="shared" si="54"/>
        <v>0.8</v>
      </c>
      <c r="ED161" s="846">
        <f t="shared" si="54"/>
        <v>0</v>
      </c>
      <c r="EE161" s="846">
        <f t="shared" si="54"/>
        <v>0</v>
      </c>
      <c r="EF161" s="846">
        <f t="shared" si="54"/>
        <v>0</v>
      </c>
      <c r="EG161" s="846">
        <f t="shared" si="54"/>
        <v>0</v>
      </c>
      <c r="EH161" s="846">
        <f t="shared" si="54"/>
        <v>0</v>
      </c>
      <c r="EI161" s="846">
        <f t="shared" si="54"/>
        <v>0</v>
      </c>
      <c r="EJ161" s="846">
        <f t="shared" si="54"/>
        <v>0</v>
      </c>
      <c r="EK161" s="846">
        <f t="shared" si="54"/>
        <v>0</v>
      </c>
      <c r="EL161" s="846">
        <f t="shared" si="54"/>
        <v>0</v>
      </c>
      <c r="EM161" s="846">
        <f t="shared" si="54"/>
        <v>0</v>
      </c>
      <c r="EN161" s="846">
        <f t="shared" si="54"/>
        <v>0</v>
      </c>
      <c r="EO161" s="846">
        <f t="shared" si="54"/>
        <v>0</v>
      </c>
      <c r="EP161" s="846">
        <f t="shared" si="54"/>
        <v>0</v>
      </c>
      <c r="EQ161" s="846">
        <f t="shared" si="54"/>
        <v>0</v>
      </c>
      <c r="ER161" s="846">
        <f t="shared" si="54"/>
        <v>0</v>
      </c>
      <c r="ES161" s="846">
        <f t="shared" si="54"/>
        <v>0</v>
      </c>
      <c r="ET161" s="846">
        <f t="shared" si="54"/>
        <v>0</v>
      </c>
      <c r="EU161" s="846">
        <f t="shared" si="54"/>
        <v>0</v>
      </c>
      <c r="EV161" s="846">
        <f t="shared" si="54"/>
        <v>0</v>
      </c>
      <c r="EW161" s="846">
        <f t="shared" si="54"/>
        <v>0</v>
      </c>
      <c r="EX161" s="846">
        <f t="shared" si="54"/>
        <v>0</v>
      </c>
      <c r="EY161" s="846">
        <f t="shared" si="54"/>
        <v>0</v>
      </c>
      <c r="EZ161" s="846">
        <f t="shared" si="54"/>
        <v>0</v>
      </c>
      <c r="FA161" s="846">
        <f t="shared" si="54"/>
        <v>0</v>
      </c>
      <c r="FB161" s="846">
        <f t="shared" si="54"/>
        <v>0</v>
      </c>
      <c r="FC161" s="846">
        <f t="shared" si="54"/>
        <v>0</v>
      </c>
      <c r="FD161" s="846">
        <f t="shared" si="54"/>
        <v>0</v>
      </c>
      <c r="FE161" s="846">
        <f t="shared" si="54"/>
        <v>0</v>
      </c>
      <c r="FF161" s="846">
        <f t="shared" si="54"/>
        <v>0</v>
      </c>
      <c r="FG161" s="846">
        <f t="shared" si="54"/>
        <v>0</v>
      </c>
      <c r="FH161" s="846">
        <f t="shared" si="54"/>
        <v>0</v>
      </c>
      <c r="FI161" s="846">
        <f t="shared" si="54"/>
        <v>0</v>
      </c>
      <c r="FJ161" s="846">
        <f t="shared" si="54"/>
        <v>0</v>
      </c>
      <c r="FK161" s="846">
        <f t="shared" si="54"/>
        <v>0</v>
      </c>
      <c r="FL161" s="846">
        <f t="shared" si="54"/>
        <v>0</v>
      </c>
      <c r="FM161" s="846">
        <f t="shared" si="54"/>
        <v>0.8</v>
      </c>
      <c r="FN161" s="846">
        <f t="shared" si="54"/>
        <v>0.8</v>
      </c>
      <c r="FO161" s="846">
        <f t="shared" si="54"/>
        <v>0.8</v>
      </c>
      <c r="FP161" s="846">
        <f t="shared" si="54"/>
        <v>0.8</v>
      </c>
      <c r="FQ161" s="846">
        <f t="shared" si="54"/>
        <v>0.8</v>
      </c>
      <c r="FR161" s="846">
        <f t="shared" si="54"/>
        <v>0.8</v>
      </c>
      <c r="FS161" s="846">
        <f t="shared" ref="FS161:ID161" si="55">IF(COUNTIF(FS$152:FS$159,$I$152)&gt;0,$D$10,0)</f>
        <v>0.8</v>
      </c>
      <c r="FT161" s="846">
        <f t="shared" si="55"/>
        <v>0.8</v>
      </c>
      <c r="FU161" s="846">
        <f t="shared" si="55"/>
        <v>0.8</v>
      </c>
      <c r="FV161" s="846">
        <f t="shared" si="55"/>
        <v>0.8</v>
      </c>
      <c r="FW161" s="846">
        <f t="shared" si="55"/>
        <v>0.8</v>
      </c>
      <c r="FX161" s="846">
        <f t="shared" si="55"/>
        <v>0.8</v>
      </c>
      <c r="FY161" s="846">
        <f t="shared" si="55"/>
        <v>0.8</v>
      </c>
      <c r="FZ161" s="846">
        <f t="shared" si="55"/>
        <v>0.8</v>
      </c>
      <c r="GA161" s="846">
        <f t="shared" si="55"/>
        <v>0.8</v>
      </c>
      <c r="GB161" s="846">
        <f t="shared" si="55"/>
        <v>0.8</v>
      </c>
      <c r="GC161" s="846">
        <f t="shared" si="55"/>
        <v>0.8</v>
      </c>
      <c r="GD161" s="846">
        <f t="shared" si="55"/>
        <v>0.8</v>
      </c>
      <c r="GE161" s="846">
        <f t="shared" si="55"/>
        <v>0.8</v>
      </c>
      <c r="GF161" s="846">
        <f t="shared" si="55"/>
        <v>0.8</v>
      </c>
      <c r="GG161" s="846">
        <f t="shared" si="55"/>
        <v>0.8</v>
      </c>
      <c r="GH161" s="846">
        <f t="shared" si="55"/>
        <v>0.8</v>
      </c>
      <c r="GI161" s="846">
        <f t="shared" si="55"/>
        <v>0.8</v>
      </c>
      <c r="GJ161" s="846">
        <f t="shared" si="55"/>
        <v>0.8</v>
      </c>
      <c r="GK161" s="846">
        <f t="shared" si="55"/>
        <v>0.8</v>
      </c>
      <c r="GL161" s="846">
        <f t="shared" si="55"/>
        <v>0.8</v>
      </c>
      <c r="GM161" s="846">
        <f t="shared" si="55"/>
        <v>0.8</v>
      </c>
      <c r="GN161" s="846">
        <f t="shared" si="55"/>
        <v>0.8</v>
      </c>
      <c r="GO161" s="846">
        <f t="shared" si="55"/>
        <v>0.8</v>
      </c>
      <c r="GP161" s="846">
        <f t="shared" si="55"/>
        <v>0.8</v>
      </c>
      <c r="GQ161" s="846">
        <f t="shared" si="55"/>
        <v>0.8</v>
      </c>
      <c r="GR161" s="846">
        <f t="shared" si="55"/>
        <v>0.8</v>
      </c>
      <c r="GS161" s="846">
        <f t="shared" si="55"/>
        <v>0.8</v>
      </c>
      <c r="GT161" s="846">
        <f t="shared" si="55"/>
        <v>0.8</v>
      </c>
      <c r="GU161" s="846">
        <f t="shared" si="55"/>
        <v>0.8</v>
      </c>
      <c r="GV161" s="846">
        <f t="shared" si="55"/>
        <v>0</v>
      </c>
      <c r="GW161" s="846">
        <f t="shared" si="55"/>
        <v>0</v>
      </c>
      <c r="GX161" s="846">
        <f t="shared" si="55"/>
        <v>0</v>
      </c>
      <c r="GY161" s="846">
        <f t="shared" si="55"/>
        <v>0</v>
      </c>
      <c r="GZ161" s="846">
        <f t="shared" si="55"/>
        <v>0</v>
      </c>
      <c r="HA161" s="846">
        <f t="shared" si="55"/>
        <v>0</v>
      </c>
      <c r="HB161" s="846">
        <f t="shared" si="55"/>
        <v>0</v>
      </c>
      <c r="HC161" s="846">
        <f t="shared" si="55"/>
        <v>0</v>
      </c>
      <c r="HD161" s="846">
        <f t="shared" si="55"/>
        <v>0</v>
      </c>
      <c r="HE161" s="846">
        <f t="shared" si="55"/>
        <v>0</v>
      </c>
      <c r="HF161" s="846">
        <f t="shared" si="55"/>
        <v>0</v>
      </c>
      <c r="HG161" s="846">
        <f t="shared" si="55"/>
        <v>0</v>
      </c>
      <c r="HH161" s="846">
        <f t="shared" si="55"/>
        <v>0</v>
      </c>
      <c r="HI161" s="846">
        <f t="shared" si="55"/>
        <v>0</v>
      </c>
      <c r="HJ161" s="846">
        <f t="shared" si="55"/>
        <v>0</v>
      </c>
      <c r="HK161" s="846">
        <f t="shared" si="55"/>
        <v>0</v>
      </c>
      <c r="HL161" s="846">
        <f t="shared" si="55"/>
        <v>0</v>
      </c>
      <c r="HM161" s="846">
        <f t="shared" si="55"/>
        <v>0</v>
      </c>
      <c r="HN161" s="846">
        <f t="shared" si="55"/>
        <v>0</v>
      </c>
      <c r="HO161" s="846">
        <f t="shared" si="55"/>
        <v>0</v>
      </c>
      <c r="HP161" s="846">
        <f t="shared" si="55"/>
        <v>0</v>
      </c>
      <c r="HQ161" s="846">
        <f t="shared" si="55"/>
        <v>0.8</v>
      </c>
      <c r="HR161" s="846">
        <f t="shared" si="55"/>
        <v>0.8</v>
      </c>
      <c r="HS161" s="846">
        <f t="shared" si="55"/>
        <v>0.8</v>
      </c>
      <c r="HT161" s="846">
        <f t="shared" si="55"/>
        <v>0.8</v>
      </c>
      <c r="HU161" s="846">
        <f t="shared" si="55"/>
        <v>0.8</v>
      </c>
      <c r="HV161" s="846">
        <f t="shared" si="55"/>
        <v>0.8</v>
      </c>
      <c r="HW161" s="846">
        <f t="shared" si="55"/>
        <v>0.8</v>
      </c>
      <c r="HX161" s="846">
        <f t="shared" si="55"/>
        <v>0.8</v>
      </c>
      <c r="HY161" s="846">
        <f t="shared" si="55"/>
        <v>0.8</v>
      </c>
      <c r="HZ161" s="846">
        <f t="shared" si="55"/>
        <v>0.8</v>
      </c>
      <c r="IA161" s="846">
        <f t="shared" si="55"/>
        <v>0.8</v>
      </c>
      <c r="IB161" s="846">
        <f t="shared" si="55"/>
        <v>0.8</v>
      </c>
      <c r="IC161" s="846">
        <f t="shared" si="55"/>
        <v>0.8</v>
      </c>
      <c r="ID161" s="846">
        <f t="shared" si="55"/>
        <v>0.8</v>
      </c>
      <c r="IE161" s="846">
        <f t="shared" ref="IE161:IY161" si="56">IF(COUNTIF(IE$152:IE$159,$I$152)&gt;0,$D$10,0)</f>
        <v>0.8</v>
      </c>
      <c r="IF161" s="846">
        <f t="shared" si="56"/>
        <v>0.8</v>
      </c>
      <c r="IG161" s="846">
        <f t="shared" si="56"/>
        <v>0.8</v>
      </c>
      <c r="IH161" s="846">
        <f t="shared" si="56"/>
        <v>0.8</v>
      </c>
      <c r="II161" s="846">
        <f t="shared" si="56"/>
        <v>0.8</v>
      </c>
      <c r="IJ161" s="846">
        <f t="shared" si="56"/>
        <v>0.8</v>
      </c>
      <c r="IK161" s="846">
        <f t="shared" si="56"/>
        <v>0.8</v>
      </c>
      <c r="IL161" s="846">
        <f t="shared" si="56"/>
        <v>0</v>
      </c>
      <c r="IM161" s="846">
        <f t="shared" si="56"/>
        <v>0</v>
      </c>
      <c r="IN161" s="846">
        <f t="shared" si="56"/>
        <v>0</v>
      </c>
      <c r="IO161" s="846">
        <f t="shared" si="56"/>
        <v>0</v>
      </c>
      <c r="IP161" s="846">
        <f t="shared" si="56"/>
        <v>0</v>
      </c>
      <c r="IQ161" s="846">
        <f t="shared" si="56"/>
        <v>0</v>
      </c>
      <c r="IR161" s="846">
        <f t="shared" si="56"/>
        <v>0</v>
      </c>
      <c r="IS161" s="846">
        <f t="shared" si="56"/>
        <v>0.8</v>
      </c>
      <c r="IT161" s="846">
        <f t="shared" si="56"/>
        <v>0.8</v>
      </c>
      <c r="IU161" s="846">
        <f t="shared" si="56"/>
        <v>0.8</v>
      </c>
      <c r="IV161" s="846">
        <f t="shared" si="56"/>
        <v>0.8</v>
      </c>
      <c r="IW161" s="846">
        <f t="shared" si="56"/>
        <v>0.8</v>
      </c>
      <c r="IX161" s="846">
        <f t="shared" si="56"/>
        <v>0.8</v>
      </c>
      <c r="IY161" s="846">
        <f t="shared" si="56"/>
        <v>0.8</v>
      </c>
    </row>
    <row r="162" spans="1:259" s="190" customFormat="1" x14ac:dyDescent="0.25">
      <c r="A162" s="654" t="s">
        <v>789</v>
      </c>
      <c r="B162" s="209"/>
      <c r="C162" s="677">
        <f ca="1">IFERROR(INDEX(D162:OFFSET(D162,0,$IY$172),$C$172),0)</f>
        <v>0.5</v>
      </c>
      <c r="D162" s="679">
        <v>0</v>
      </c>
      <c r="E162" s="679">
        <f>D11</f>
        <v>0.5</v>
      </c>
      <c r="F162" s="679">
        <v>0</v>
      </c>
      <c r="G162" s="679">
        <v>0</v>
      </c>
      <c r="H162" s="679">
        <v>0</v>
      </c>
      <c r="I162" s="679">
        <v>0</v>
      </c>
      <c r="J162" s="679">
        <v>0</v>
      </c>
      <c r="K162" s="679">
        <v>0</v>
      </c>
      <c r="L162" s="679">
        <v>0</v>
      </c>
      <c r="M162" s="679">
        <v>0</v>
      </c>
      <c r="N162" s="680">
        <f>IF(COUNTIF(N$152:N$159,$I$155)&gt;0,$D$11,0)</f>
        <v>0.5</v>
      </c>
      <c r="O162" s="849">
        <f t="shared" ref="O162:AT162" si="57">IF(COUNTIF(O$152:O$159,$I$155)&gt;0,$D$11,0)</f>
        <v>0</v>
      </c>
      <c r="P162" s="845">
        <f t="shared" si="57"/>
        <v>0</v>
      </c>
      <c r="Q162" s="845">
        <f t="shared" si="57"/>
        <v>0.5</v>
      </c>
      <c r="R162" s="845">
        <f t="shared" si="57"/>
        <v>0</v>
      </c>
      <c r="S162" s="845">
        <f t="shared" si="57"/>
        <v>0</v>
      </c>
      <c r="T162" s="845">
        <f t="shared" si="57"/>
        <v>0</v>
      </c>
      <c r="U162" s="845">
        <f t="shared" si="57"/>
        <v>0</v>
      </c>
      <c r="V162" s="845">
        <f t="shared" si="57"/>
        <v>0</v>
      </c>
      <c r="W162" s="845">
        <f t="shared" si="57"/>
        <v>0.5</v>
      </c>
      <c r="X162" s="845">
        <f t="shared" si="57"/>
        <v>0</v>
      </c>
      <c r="Y162" s="845">
        <f t="shared" si="57"/>
        <v>0</v>
      </c>
      <c r="Z162" s="845">
        <f t="shared" si="57"/>
        <v>0</v>
      </c>
      <c r="AA162" s="846">
        <f t="shared" si="57"/>
        <v>0</v>
      </c>
      <c r="AB162" s="846">
        <f t="shared" si="57"/>
        <v>0.5</v>
      </c>
      <c r="AC162" s="846">
        <f t="shared" si="57"/>
        <v>0</v>
      </c>
      <c r="AD162" s="846">
        <f t="shared" si="57"/>
        <v>0</v>
      </c>
      <c r="AE162" s="846">
        <f t="shared" si="57"/>
        <v>0</v>
      </c>
      <c r="AF162" s="846">
        <f t="shared" si="57"/>
        <v>0</v>
      </c>
      <c r="AG162" s="846">
        <f t="shared" si="57"/>
        <v>0.5</v>
      </c>
      <c r="AH162" s="846">
        <f t="shared" si="57"/>
        <v>0.5</v>
      </c>
      <c r="AI162" s="846">
        <f t="shared" si="57"/>
        <v>0.5</v>
      </c>
      <c r="AJ162" s="846">
        <f t="shared" si="57"/>
        <v>0.5</v>
      </c>
      <c r="AK162" s="846">
        <f t="shared" si="57"/>
        <v>0</v>
      </c>
      <c r="AL162" s="846">
        <f t="shared" si="57"/>
        <v>0</v>
      </c>
      <c r="AM162" s="846">
        <f t="shared" si="57"/>
        <v>0</v>
      </c>
      <c r="AN162" s="846">
        <f t="shared" si="57"/>
        <v>0</v>
      </c>
      <c r="AO162" s="846">
        <f t="shared" si="57"/>
        <v>0</v>
      </c>
      <c r="AP162" s="846">
        <f t="shared" si="57"/>
        <v>0</v>
      </c>
      <c r="AQ162" s="846">
        <f t="shared" si="57"/>
        <v>0</v>
      </c>
      <c r="AR162" s="846">
        <f t="shared" si="57"/>
        <v>0.5</v>
      </c>
      <c r="AS162" s="846">
        <f t="shared" si="57"/>
        <v>0</v>
      </c>
      <c r="AT162" s="846">
        <f t="shared" si="57"/>
        <v>0</v>
      </c>
      <c r="AU162" s="846">
        <f t="shared" ref="AU162:BZ162" si="58">IF(COUNTIF(AU$152:AU$159,$I$155)&gt;0,$D$11,0)</f>
        <v>0</v>
      </c>
      <c r="AV162" s="846">
        <f t="shared" si="58"/>
        <v>0</v>
      </c>
      <c r="AW162" s="846">
        <f t="shared" si="58"/>
        <v>0.5</v>
      </c>
      <c r="AX162" s="846">
        <f t="shared" si="58"/>
        <v>0</v>
      </c>
      <c r="AY162" s="846">
        <f t="shared" si="58"/>
        <v>0</v>
      </c>
      <c r="AZ162" s="846">
        <f t="shared" si="58"/>
        <v>0</v>
      </c>
      <c r="BA162" s="846">
        <f t="shared" si="58"/>
        <v>0</v>
      </c>
      <c r="BB162" s="846">
        <f t="shared" si="58"/>
        <v>0.5</v>
      </c>
      <c r="BC162" s="846">
        <f t="shared" si="58"/>
        <v>0.5</v>
      </c>
      <c r="BD162" s="846">
        <f t="shared" si="58"/>
        <v>0.5</v>
      </c>
      <c r="BE162" s="846">
        <f t="shared" si="58"/>
        <v>0.5</v>
      </c>
      <c r="BF162" s="846">
        <f t="shared" si="58"/>
        <v>0</v>
      </c>
      <c r="BG162" s="846">
        <f t="shared" si="58"/>
        <v>0</v>
      </c>
      <c r="BH162" s="846">
        <f t="shared" si="58"/>
        <v>0</v>
      </c>
      <c r="BI162" s="846">
        <f t="shared" si="58"/>
        <v>0</v>
      </c>
      <c r="BJ162" s="846">
        <f t="shared" si="58"/>
        <v>0</v>
      </c>
      <c r="BK162" s="846">
        <f t="shared" si="58"/>
        <v>0</v>
      </c>
      <c r="BL162" s="846">
        <f t="shared" si="58"/>
        <v>0.5</v>
      </c>
      <c r="BM162" s="846">
        <f t="shared" si="58"/>
        <v>0</v>
      </c>
      <c r="BN162" s="846">
        <f t="shared" si="58"/>
        <v>0</v>
      </c>
      <c r="BO162" s="846">
        <f t="shared" si="58"/>
        <v>0</v>
      </c>
      <c r="BP162" s="846">
        <f t="shared" si="58"/>
        <v>0</v>
      </c>
      <c r="BQ162" s="846">
        <f t="shared" si="58"/>
        <v>0.5</v>
      </c>
      <c r="BR162" s="846">
        <f t="shared" si="58"/>
        <v>0.5</v>
      </c>
      <c r="BS162" s="846">
        <f t="shared" si="58"/>
        <v>0.5</v>
      </c>
      <c r="BT162" s="846">
        <f t="shared" si="58"/>
        <v>0.5</v>
      </c>
      <c r="BU162" s="846">
        <f t="shared" si="58"/>
        <v>0</v>
      </c>
      <c r="BV162" s="846">
        <f t="shared" si="58"/>
        <v>0</v>
      </c>
      <c r="BW162" s="846">
        <f t="shared" si="58"/>
        <v>0</v>
      </c>
      <c r="BX162" s="846">
        <f t="shared" si="58"/>
        <v>0</v>
      </c>
      <c r="BY162" s="846">
        <f t="shared" si="58"/>
        <v>0</v>
      </c>
      <c r="BZ162" s="846">
        <f t="shared" si="58"/>
        <v>0</v>
      </c>
      <c r="CA162" s="846">
        <f t="shared" ref="CA162:DF162" si="59">IF(COUNTIF(CA$152:CA$159,$I$155)&gt;0,$D$11,0)</f>
        <v>0.5</v>
      </c>
      <c r="CB162" s="846">
        <f t="shared" si="59"/>
        <v>0.5</v>
      </c>
      <c r="CC162" s="846">
        <f t="shared" si="59"/>
        <v>0.5</v>
      </c>
      <c r="CD162" s="846">
        <f t="shared" si="59"/>
        <v>0.5</v>
      </c>
      <c r="CE162" s="846">
        <f t="shared" si="59"/>
        <v>0</v>
      </c>
      <c r="CF162" s="846">
        <f t="shared" si="59"/>
        <v>0</v>
      </c>
      <c r="CG162" s="846">
        <f t="shared" si="59"/>
        <v>0</v>
      </c>
      <c r="CH162" s="846">
        <f t="shared" si="59"/>
        <v>0</v>
      </c>
      <c r="CI162" s="846">
        <f t="shared" si="59"/>
        <v>0</v>
      </c>
      <c r="CJ162" s="846">
        <f t="shared" si="59"/>
        <v>0</v>
      </c>
      <c r="CK162" s="846">
        <f t="shared" si="59"/>
        <v>0.5</v>
      </c>
      <c r="CL162" s="846">
        <f t="shared" si="59"/>
        <v>0.5</v>
      </c>
      <c r="CM162" s="846">
        <f t="shared" si="59"/>
        <v>0.5</v>
      </c>
      <c r="CN162" s="846">
        <f t="shared" si="59"/>
        <v>0.5</v>
      </c>
      <c r="CO162" s="846">
        <f t="shared" si="59"/>
        <v>0.5</v>
      </c>
      <c r="CP162" s="846">
        <f t="shared" si="59"/>
        <v>0.5</v>
      </c>
      <c r="CQ162" s="846">
        <f t="shared" si="59"/>
        <v>0</v>
      </c>
      <c r="CR162" s="846">
        <f t="shared" si="59"/>
        <v>0</v>
      </c>
      <c r="CS162" s="846">
        <f t="shared" si="59"/>
        <v>0</v>
      </c>
      <c r="CT162" s="846">
        <f t="shared" si="59"/>
        <v>0</v>
      </c>
      <c r="CU162" s="846">
        <f t="shared" si="59"/>
        <v>0.5</v>
      </c>
      <c r="CV162" s="846">
        <f t="shared" si="59"/>
        <v>0</v>
      </c>
      <c r="CW162" s="846">
        <f t="shared" si="59"/>
        <v>0</v>
      </c>
      <c r="CX162" s="846">
        <f t="shared" si="59"/>
        <v>0</v>
      </c>
      <c r="CY162" s="846">
        <f t="shared" si="59"/>
        <v>0</v>
      </c>
      <c r="CZ162" s="846">
        <f t="shared" si="59"/>
        <v>0.5</v>
      </c>
      <c r="DA162" s="846">
        <f t="shared" si="59"/>
        <v>0.5</v>
      </c>
      <c r="DB162" s="846">
        <f t="shared" si="59"/>
        <v>0.5</v>
      </c>
      <c r="DC162" s="846">
        <f t="shared" si="59"/>
        <v>0.5</v>
      </c>
      <c r="DD162" s="846">
        <f t="shared" si="59"/>
        <v>0</v>
      </c>
      <c r="DE162" s="846">
        <f t="shared" si="59"/>
        <v>0</v>
      </c>
      <c r="DF162" s="846">
        <f t="shared" si="59"/>
        <v>0</v>
      </c>
      <c r="DG162" s="846">
        <f t="shared" ref="DG162:FR162" si="60">IF(COUNTIF(DG$152:DG$159,$I$155)&gt;0,$D$11,0)</f>
        <v>0</v>
      </c>
      <c r="DH162" s="846">
        <f t="shared" si="60"/>
        <v>0</v>
      </c>
      <c r="DI162" s="846">
        <f t="shared" si="60"/>
        <v>0</v>
      </c>
      <c r="DJ162" s="846">
        <f t="shared" si="60"/>
        <v>0.5</v>
      </c>
      <c r="DK162" s="846">
        <f t="shared" si="60"/>
        <v>0.5</v>
      </c>
      <c r="DL162" s="846">
        <f t="shared" si="60"/>
        <v>0.5</v>
      </c>
      <c r="DM162" s="846">
        <f t="shared" si="60"/>
        <v>0.5</v>
      </c>
      <c r="DN162" s="846">
        <f t="shared" si="60"/>
        <v>0</v>
      </c>
      <c r="DO162" s="846">
        <f t="shared" si="60"/>
        <v>0</v>
      </c>
      <c r="DP162" s="846">
        <f t="shared" si="60"/>
        <v>0</v>
      </c>
      <c r="DQ162" s="846">
        <f t="shared" si="60"/>
        <v>0</v>
      </c>
      <c r="DR162" s="846">
        <f t="shared" si="60"/>
        <v>0</v>
      </c>
      <c r="DS162" s="846">
        <f t="shared" si="60"/>
        <v>0</v>
      </c>
      <c r="DT162" s="846">
        <f t="shared" si="60"/>
        <v>0.5</v>
      </c>
      <c r="DU162" s="846">
        <f t="shared" si="60"/>
        <v>0.5</v>
      </c>
      <c r="DV162" s="846">
        <f t="shared" si="60"/>
        <v>0.5</v>
      </c>
      <c r="DW162" s="846">
        <f t="shared" si="60"/>
        <v>0.5</v>
      </c>
      <c r="DX162" s="846">
        <f t="shared" si="60"/>
        <v>0.5</v>
      </c>
      <c r="DY162" s="846">
        <f t="shared" si="60"/>
        <v>0.5</v>
      </c>
      <c r="DZ162" s="846">
        <f t="shared" si="60"/>
        <v>0</v>
      </c>
      <c r="EA162" s="846">
        <f t="shared" si="60"/>
        <v>0</v>
      </c>
      <c r="EB162" s="846">
        <f t="shared" si="60"/>
        <v>0</v>
      </c>
      <c r="EC162" s="846">
        <f t="shared" si="60"/>
        <v>0</v>
      </c>
      <c r="ED162" s="846">
        <f t="shared" si="60"/>
        <v>0.5</v>
      </c>
      <c r="EE162" s="846">
        <f t="shared" si="60"/>
        <v>0.5</v>
      </c>
      <c r="EF162" s="846">
        <f t="shared" si="60"/>
        <v>0.5</v>
      </c>
      <c r="EG162" s="846">
        <f t="shared" si="60"/>
        <v>0.5</v>
      </c>
      <c r="EH162" s="846">
        <f t="shared" si="60"/>
        <v>0</v>
      </c>
      <c r="EI162" s="846">
        <f t="shared" si="60"/>
        <v>0</v>
      </c>
      <c r="EJ162" s="846">
        <f t="shared" si="60"/>
        <v>0</v>
      </c>
      <c r="EK162" s="846">
        <f t="shared" si="60"/>
        <v>0</v>
      </c>
      <c r="EL162" s="846">
        <f t="shared" si="60"/>
        <v>0</v>
      </c>
      <c r="EM162" s="846">
        <f t="shared" si="60"/>
        <v>0</v>
      </c>
      <c r="EN162" s="846">
        <f t="shared" si="60"/>
        <v>0.5</v>
      </c>
      <c r="EO162" s="846">
        <f t="shared" si="60"/>
        <v>0.5</v>
      </c>
      <c r="EP162" s="846">
        <f t="shared" si="60"/>
        <v>0.5</v>
      </c>
      <c r="EQ162" s="846">
        <f t="shared" si="60"/>
        <v>0.5</v>
      </c>
      <c r="ER162" s="846">
        <f t="shared" si="60"/>
        <v>0.5</v>
      </c>
      <c r="ES162" s="846">
        <f t="shared" si="60"/>
        <v>0.5</v>
      </c>
      <c r="ET162" s="846">
        <f t="shared" si="60"/>
        <v>0</v>
      </c>
      <c r="EU162" s="846">
        <f t="shared" si="60"/>
        <v>0</v>
      </c>
      <c r="EV162" s="846">
        <f t="shared" si="60"/>
        <v>0</v>
      </c>
      <c r="EW162" s="846">
        <f t="shared" si="60"/>
        <v>0</v>
      </c>
      <c r="EX162" s="846">
        <f t="shared" si="60"/>
        <v>0.5</v>
      </c>
      <c r="EY162" s="846">
        <f t="shared" si="60"/>
        <v>0.5</v>
      </c>
      <c r="EZ162" s="846">
        <f t="shared" si="60"/>
        <v>0.5</v>
      </c>
      <c r="FA162" s="846">
        <f t="shared" si="60"/>
        <v>0.5</v>
      </c>
      <c r="FB162" s="846">
        <f t="shared" si="60"/>
        <v>0.5</v>
      </c>
      <c r="FC162" s="846">
        <f t="shared" si="60"/>
        <v>0.5</v>
      </c>
      <c r="FD162" s="846">
        <f t="shared" si="60"/>
        <v>0</v>
      </c>
      <c r="FE162" s="846">
        <f t="shared" si="60"/>
        <v>0</v>
      </c>
      <c r="FF162" s="846">
        <f t="shared" si="60"/>
        <v>0</v>
      </c>
      <c r="FG162" s="846">
        <f t="shared" si="60"/>
        <v>0</v>
      </c>
      <c r="FH162" s="846">
        <f t="shared" si="60"/>
        <v>0.5</v>
      </c>
      <c r="FI162" s="846">
        <f t="shared" si="60"/>
        <v>0.5</v>
      </c>
      <c r="FJ162" s="846">
        <f t="shared" si="60"/>
        <v>0.5</v>
      </c>
      <c r="FK162" s="846">
        <f t="shared" si="60"/>
        <v>0.5</v>
      </c>
      <c r="FL162" s="846">
        <f t="shared" si="60"/>
        <v>0</v>
      </c>
      <c r="FM162" s="846">
        <f t="shared" si="60"/>
        <v>0.5</v>
      </c>
      <c r="FN162" s="846">
        <f t="shared" si="60"/>
        <v>0.5</v>
      </c>
      <c r="FO162" s="846">
        <f t="shared" si="60"/>
        <v>0.5</v>
      </c>
      <c r="FP162" s="846">
        <f t="shared" si="60"/>
        <v>0.5</v>
      </c>
      <c r="FQ162" s="846">
        <f t="shared" si="60"/>
        <v>0</v>
      </c>
      <c r="FR162" s="846">
        <f t="shared" si="60"/>
        <v>0</v>
      </c>
      <c r="FS162" s="846">
        <f t="shared" ref="FS162:ID162" si="61">IF(COUNTIF(FS$152:FS$159,$I$155)&gt;0,$D$11,0)</f>
        <v>0</v>
      </c>
      <c r="FT162" s="846">
        <f t="shared" si="61"/>
        <v>0</v>
      </c>
      <c r="FU162" s="846">
        <f t="shared" si="61"/>
        <v>0</v>
      </c>
      <c r="FV162" s="846">
        <f t="shared" si="61"/>
        <v>0</v>
      </c>
      <c r="FW162" s="846">
        <f t="shared" si="61"/>
        <v>0.5</v>
      </c>
      <c r="FX162" s="846">
        <f t="shared" si="61"/>
        <v>0.5</v>
      </c>
      <c r="FY162" s="846">
        <f t="shared" si="61"/>
        <v>0.5</v>
      </c>
      <c r="FZ162" s="846">
        <f t="shared" si="61"/>
        <v>0.5</v>
      </c>
      <c r="GA162" s="846">
        <f t="shared" si="61"/>
        <v>0.5</v>
      </c>
      <c r="GB162" s="846">
        <f t="shared" si="61"/>
        <v>0.5</v>
      </c>
      <c r="GC162" s="846">
        <f t="shared" si="61"/>
        <v>0</v>
      </c>
      <c r="GD162" s="846">
        <f t="shared" si="61"/>
        <v>0</v>
      </c>
      <c r="GE162" s="846">
        <f t="shared" si="61"/>
        <v>0</v>
      </c>
      <c r="GF162" s="846">
        <f t="shared" si="61"/>
        <v>0</v>
      </c>
      <c r="GG162" s="846">
        <f t="shared" si="61"/>
        <v>0.5</v>
      </c>
      <c r="GH162" s="846">
        <f t="shared" si="61"/>
        <v>0.5</v>
      </c>
      <c r="GI162" s="846">
        <f t="shared" si="61"/>
        <v>0.5</v>
      </c>
      <c r="GJ162" s="846">
        <f t="shared" si="61"/>
        <v>0.5</v>
      </c>
      <c r="GK162" s="846">
        <f t="shared" si="61"/>
        <v>0.5</v>
      </c>
      <c r="GL162" s="846">
        <f t="shared" si="61"/>
        <v>0.5</v>
      </c>
      <c r="GM162" s="846">
        <f t="shared" si="61"/>
        <v>0</v>
      </c>
      <c r="GN162" s="846">
        <f t="shared" si="61"/>
        <v>0</v>
      </c>
      <c r="GO162" s="846">
        <f t="shared" si="61"/>
        <v>0</v>
      </c>
      <c r="GP162" s="846">
        <f t="shared" si="61"/>
        <v>0</v>
      </c>
      <c r="GQ162" s="846">
        <f t="shared" si="61"/>
        <v>0.5</v>
      </c>
      <c r="GR162" s="846">
        <f t="shared" si="61"/>
        <v>0.5</v>
      </c>
      <c r="GS162" s="846">
        <f t="shared" si="61"/>
        <v>0.5</v>
      </c>
      <c r="GT162" s="846">
        <f t="shared" si="61"/>
        <v>0.5</v>
      </c>
      <c r="GU162" s="846">
        <f t="shared" si="61"/>
        <v>0</v>
      </c>
      <c r="GV162" s="846">
        <f t="shared" si="61"/>
        <v>0.5</v>
      </c>
      <c r="GW162" s="846">
        <f t="shared" si="61"/>
        <v>0.5</v>
      </c>
      <c r="GX162" s="846">
        <f t="shared" si="61"/>
        <v>0.5</v>
      </c>
      <c r="GY162" s="846">
        <f t="shared" si="61"/>
        <v>0.5</v>
      </c>
      <c r="GZ162" s="846">
        <f t="shared" si="61"/>
        <v>0.5</v>
      </c>
      <c r="HA162" s="846">
        <f t="shared" si="61"/>
        <v>0.5</v>
      </c>
      <c r="HB162" s="846">
        <f t="shared" si="61"/>
        <v>0</v>
      </c>
      <c r="HC162" s="846">
        <f t="shared" si="61"/>
        <v>0</v>
      </c>
      <c r="HD162" s="846">
        <f t="shared" si="61"/>
        <v>0</v>
      </c>
      <c r="HE162" s="846">
        <f t="shared" si="61"/>
        <v>0</v>
      </c>
      <c r="HF162" s="846">
        <f t="shared" si="61"/>
        <v>0.5</v>
      </c>
      <c r="HG162" s="846">
        <f t="shared" si="61"/>
        <v>0.5</v>
      </c>
      <c r="HH162" s="846">
        <f t="shared" si="61"/>
        <v>0.5</v>
      </c>
      <c r="HI162" s="846">
        <f t="shared" si="61"/>
        <v>0.5</v>
      </c>
      <c r="HJ162" s="846">
        <f t="shared" si="61"/>
        <v>0</v>
      </c>
      <c r="HK162" s="846">
        <f t="shared" si="61"/>
        <v>0.5</v>
      </c>
      <c r="HL162" s="846">
        <f t="shared" si="61"/>
        <v>0.5</v>
      </c>
      <c r="HM162" s="846">
        <f t="shared" si="61"/>
        <v>0.5</v>
      </c>
      <c r="HN162" s="846">
        <f t="shared" si="61"/>
        <v>0.5</v>
      </c>
      <c r="HO162" s="846">
        <f t="shared" si="61"/>
        <v>0</v>
      </c>
      <c r="HP162" s="846">
        <f t="shared" si="61"/>
        <v>0.5</v>
      </c>
      <c r="HQ162" s="846">
        <f t="shared" si="61"/>
        <v>0.5</v>
      </c>
      <c r="HR162" s="846">
        <f t="shared" si="61"/>
        <v>0.5</v>
      </c>
      <c r="HS162" s="846">
        <f t="shared" si="61"/>
        <v>0.5</v>
      </c>
      <c r="HT162" s="846">
        <f t="shared" si="61"/>
        <v>0.5</v>
      </c>
      <c r="HU162" s="846">
        <f t="shared" si="61"/>
        <v>0.5</v>
      </c>
      <c r="HV162" s="846">
        <f t="shared" si="61"/>
        <v>0.5</v>
      </c>
      <c r="HW162" s="846">
        <f t="shared" si="61"/>
        <v>0</v>
      </c>
      <c r="HX162" s="846">
        <f t="shared" si="61"/>
        <v>0</v>
      </c>
      <c r="HY162" s="846">
        <f t="shared" si="61"/>
        <v>0</v>
      </c>
      <c r="HZ162" s="846">
        <f t="shared" si="61"/>
        <v>0</v>
      </c>
      <c r="IA162" s="846">
        <f t="shared" si="61"/>
        <v>0.5</v>
      </c>
      <c r="IB162" s="846">
        <f t="shared" si="61"/>
        <v>0.5</v>
      </c>
      <c r="IC162" s="846">
        <f t="shared" si="61"/>
        <v>0.5</v>
      </c>
      <c r="ID162" s="846">
        <f t="shared" si="61"/>
        <v>0.5</v>
      </c>
      <c r="IE162" s="846">
        <f t="shared" ref="IE162:IY162" si="62">IF(COUNTIF(IE$152:IE$159,$I$155)&gt;0,$D$11,0)</f>
        <v>0</v>
      </c>
      <c r="IF162" s="846">
        <f t="shared" si="62"/>
        <v>0.5</v>
      </c>
      <c r="IG162" s="846">
        <f t="shared" si="62"/>
        <v>0.5</v>
      </c>
      <c r="IH162" s="846">
        <f t="shared" si="62"/>
        <v>0.5</v>
      </c>
      <c r="II162" s="846">
        <f t="shared" si="62"/>
        <v>0.5</v>
      </c>
      <c r="IJ162" s="846">
        <f t="shared" si="62"/>
        <v>0</v>
      </c>
      <c r="IK162" s="846">
        <f t="shared" si="62"/>
        <v>0.5</v>
      </c>
      <c r="IL162" s="846">
        <f t="shared" si="62"/>
        <v>0.5</v>
      </c>
      <c r="IM162" s="846">
        <f t="shared" si="62"/>
        <v>0.5</v>
      </c>
      <c r="IN162" s="846">
        <f t="shared" si="62"/>
        <v>0.5</v>
      </c>
      <c r="IO162" s="846">
        <f t="shared" si="62"/>
        <v>0.5</v>
      </c>
      <c r="IP162" s="846">
        <f t="shared" si="62"/>
        <v>0</v>
      </c>
      <c r="IQ162" s="846">
        <f t="shared" si="62"/>
        <v>0.5</v>
      </c>
      <c r="IR162" s="846">
        <f t="shared" si="62"/>
        <v>0.5</v>
      </c>
      <c r="IS162" s="846">
        <f t="shared" si="62"/>
        <v>0.5</v>
      </c>
      <c r="IT162" s="846">
        <f t="shared" si="62"/>
        <v>0.5</v>
      </c>
      <c r="IU162" s="846">
        <f t="shared" si="62"/>
        <v>0.5</v>
      </c>
      <c r="IV162" s="846">
        <f t="shared" si="62"/>
        <v>0.5</v>
      </c>
      <c r="IW162" s="846">
        <f t="shared" si="62"/>
        <v>0</v>
      </c>
      <c r="IX162" s="846">
        <f t="shared" si="62"/>
        <v>0.5</v>
      </c>
      <c r="IY162" s="846">
        <f t="shared" si="62"/>
        <v>0.5</v>
      </c>
    </row>
    <row r="163" spans="1:259" s="190" customFormat="1" x14ac:dyDescent="0.25">
      <c r="A163" s="653" t="s">
        <v>764</v>
      </c>
      <c r="B163" s="209"/>
      <c r="C163" s="677">
        <f ca="1">IFERROR(INDEX(D163:OFFSET(D163,0,$IY$172),$C$172),0)</f>
        <v>0.4</v>
      </c>
      <c r="D163" s="679">
        <v>0</v>
      </c>
      <c r="E163" s="679">
        <v>0</v>
      </c>
      <c r="F163" s="679">
        <f>D12</f>
        <v>0.4</v>
      </c>
      <c r="G163" s="679">
        <v>0</v>
      </c>
      <c r="H163" s="679">
        <v>0</v>
      </c>
      <c r="I163" s="679">
        <v>0</v>
      </c>
      <c r="J163" s="679">
        <v>0</v>
      </c>
      <c r="K163" s="679">
        <v>0</v>
      </c>
      <c r="L163" s="679">
        <v>0</v>
      </c>
      <c r="M163" s="679">
        <v>0</v>
      </c>
      <c r="N163" s="680">
        <f>IF(COUNTIF(N$152:N$159,$I$157)&gt;0,$D$12,0)</f>
        <v>0.4</v>
      </c>
      <c r="O163" s="849">
        <f t="shared" ref="O163:AT163" si="63">IF(COUNTIF(O$152:O$159,$I$157)&gt;0,$D$12,0)</f>
        <v>0</v>
      </c>
      <c r="P163" s="845">
        <f t="shared" si="63"/>
        <v>0</v>
      </c>
      <c r="Q163" s="845">
        <f t="shared" si="63"/>
        <v>0</v>
      </c>
      <c r="R163" s="845">
        <f t="shared" si="63"/>
        <v>0</v>
      </c>
      <c r="S163" s="845">
        <f t="shared" si="63"/>
        <v>0.4</v>
      </c>
      <c r="T163" s="845">
        <f t="shared" si="63"/>
        <v>0</v>
      </c>
      <c r="U163" s="845">
        <f t="shared" si="63"/>
        <v>0</v>
      </c>
      <c r="V163" s="845">
        <f t="shared" si="63"/>
        <v>0</v>
      </c>
      <c r="W163" s="845">
        <f t="shared" si="63"/>
        <v>0</v>
      </c>
      <c r="X163" s="845">
        <f t="shared" si="63"/>
        <v>0</v>
      </c>
      <c r="Y163" s="845">
        <f t="shared" si="63"/>
        <v>0.4</v>
      </c>
      <c r="Z163" s="845">
        <f t="shared" si="63"/>
        <v>0</v>
      </c>
      <c r="AA163" s="846">
        <f t="shared" si="63"/>
        <v>0</v>
      </c>
      <c r="AB163" s="846">
        <f t="shared" si="63"/>
        <v>0</v>
      </c>
      <c r="AC163" s="846">
        <f t="shared" si="63"/>
        <v>0</v>
      </c>
      <c r="AD163" s="846">
        <f t="shared" si="63"/>
        <v>0.4</v>
      </c>
      <c r="AE163" s="846">
        <f t="shared" si="63"/>
        <v>0</v>
      </c>
      <c r="AF163" s="846">
        <f t="shared" si="63"/>
        <v>0</v>
      </c>
      <c r="AG163" s="846">
        <f t="shared" si="63"/>
        <v>0</v>
      </c>
      <c r="AH163" s="846">
        <f t="shared" si="63"/>
        <v>0.4</v>
      </c>
      <c r="AI163" s="846">
        <f t="shared" si="63"/>
        <v>0</v>
      </c>
      <c r="AJ163" s="846">
        <f t="shared" si="63"/>
        <v>0</v>
      </c>
      <c r="AK163" s="846">
        <f t="shared" si="63"/>
        <v>0.4</v>
      </c>
      <c r="AL163" s="846">
        <f t="shared" si="63"/>
        <v>0</v>
      </c>
      <c r="AM163" s="846">
        <f t="shared" si="63"/>
        <v>0</v>
      </c>
      <c r="AN163" s="846">
        <f t="shared" si="63"/>
        <v>0.4</v>
      </c>
      <c r="AO163" s="846">
        <f t="shared" si="63"/>
        <v>0.4</v>
      </c>
      <c r="AP163" s="846">
        <f t="shared" si="63"/>
        <v>0</v>
      </c>
      <c r="AQ163" s="846">
        <f t="shared" si="63"/>
        <v>0</v>
      </c>
      <c r="AR163" s="846">
        <f t="shared" si="63"/>
        <v>0</v>
      </c>
      <c r="AS163" s="846">
        <f t="shared" si="63"/>
        <v>0</v>
      </c>
      <c r="AT163" s="846">
        <f t="shared" si="63"/>
        <v>0.4</v>
      </c>
      <c r="AU163" s="846">
        <f t="shared" ref="AU163:BZ163" si="64">IF(COUNTIF(AU$152:AU$159,$I$157)&gt;0,$D$12,0)</f>
        <v>0</v>
      </c>
      <c r="AV163" s="846">
        <f t="shared" si="64"/>
        <v>0</v>
      </c>
      <c r="AW163" s="846">
        <f t="shared" si="64"/>
        <v>0</v>
      </c>
      <c r="AX163" s="846">
        <f t="shared" si="64"/>
        <v>0</v>
      </c>
      <c r="AY163" s="846">
        <f t="shared" si="64"/>
        <v>0.4</v>
      </c>
      <c r="AZ163" s="846">
        <f t="shared" si="64"/>
        <v>0</v>
      </c>
      <c r="BA163" s="846">
        <f t="shared" si="64"/>
        <v>0</v>
      </c>
      <c r="BB163" s="846">
        <f t="shared" si="64"/>
        <v>0</v>
      </c>
      <c r="BC163" s="846">
        <f t="shared" si="64"/>
        <v>0.4</v>
      </c>
      <c r="BD163" s="846">
        <f t="shared" si="64"/>
        <v>0</v>
      </c>
      <c r="BE163" s="846">
        <f t="shared" si="64"/>
        <v>0</v>
      </c>
      <c r="BF163" s="846">
        <f t="shared" si="64"/>
        <v>0.4</v>
      </c>
      <c r="BG163" s="846">
        <f t="shared" si="64"/>
        <v>0</v>
      </c>
      <c r="BH163" s="846">
        <f t="shared" si="64"/>
        <v>0</v>
      </c>
      <c r="BI163" s="846">
        <f t="shared" si="64"/>
        <v>0.4</v>
      </c>
      <c r="BJ163" s="846">
        <f t="shared" si="64"/>
        <v>0.4</v>
      </c>
      <c r="BK163" s="846">
        <f t="shared" si="64"/>
        <v>0</v>
      </c>
      <c r="BL163" s="846">
        <f t="shared" si="64"/>
        <v>0</v>
      </c>
      <c r="BM163" s="846">
        <f t="shared" si="64"/>
        <v>0</v>
      </c>
      <c r="BN163" s="846">
        <f t="shared" si="64"/>
        <v>0.4</v>
      </c>
      <c r="BO163" s="846">
        <f t="shared" si="64"/>
        <v>0</v>
      </c>
      <c r="BP163" s="846">
        <f t="shared" si="64"/>
        <v>0</v>
      </c>
      <c r="BQ163" s="846">
        <f t="shared" si="64"/>
        <v>0</v>
      </c>
      <c r="BR163" s="846">
        <f t="shared" si="64"/>
        <v>0.4</v>
      </c>
      <c r="BS163" s="846">
        <f t="shared" si="64"/>
        <v>0</v>
      </c>
      <c r="BT163" s="846">
        <f t="shared" si="64"/>
        <v>0</v>
      </c>
      <c r="BU163" s="846">
        <f t="shared" si="64"/>
        <v>0.4</v>
      </c>
      <c r="BV163" s="846">
        <f t="shared" si="64"/>
        <v>0</v>
      </c>
      <c r="BW163" s="846">
        <f t="shared" si="64"/>
        <v>0</v>
      </c>
      <c r="BX163" s="846">
        <f t="shared" si="64"/>
        <v>0.4</v>
      </c>
      <c r="BY163" s="846">
        <f t="shared" si="64"/>
        <v>0.4</v>
      </c>
      <c r="BZ163" s="846">
        <f t="shared" si="64"/>
        <v>0</v>
      </c>
      <c r="CA163" s="846">
        <f t="shared" ref="CA163:DF163" si="65">IF(COUNTIF(CA$152:CA$159,$I$157)&gt;0,$D$12,0)</f>
        <v>0</v>
      </c>
      <c r="CB163" s="846">
        <f t="shared" si="65"/>
        <v>0.4</v>
      </c>
      <c r="CC163" s="846">
        <f t="shared" si="65"/>
        <v>0</v>
      </c>
      <c r="CD163" s="846">
        <f t="shared" si="65"/>
        <v>0</v>
      </c>
      <c r="CE163" s="846">
        <f t="shared" si="65"/>
        <v>0.4</v>
      </c>
      <c r="CF163" s="846">
        <f t="shared" si="65"/>
        <v>0</v>
      </c>
      <c r="CG163" s="846">
        <f t="shared" si="65"/>
        <v>0</v>
      </c>
      <c r="CH163" s="846">
        <f t="shared" si="65"/>
        <v>0.4</v>
      </c>
      <c r="CI163" s="846">
        <f t="shared" si="65"/>
        <v>0.4</v>
      </c>
      <c r="CJ163" s="846">
        <f t="shared" si="65"/>
        <v>0</v>
      </c>
      <c r="CK163" s="846">
        <f t="shared" si="65"/>
        <v>0.4</v>
      </c>
      <c r="CL163" s="846">
        <f t="shared" si="65"/>
        <v>0</v>
      </c>
      <c r="CM163" s="846">
        <f t="shared" si="65"/>
        <v>0</v>
      </c>
      <c r="CN163" s="846">
        <f t="shared" si="65"/>
        <v>0.4</v>
      </c>
      <c r="CO163" s="846">
        <f t="shared" si="65"/>
        <v>0.4</v>
      </c>
      <c r="CP163" s="846">
        <f t="shared" si="65"/>
        <v>0</v>
      </c>
      <c r="CQ163" s="846">
        <f t="shared" si="65"/>
        <v>0.4</v>
      </c>
      <c r="CR163" s="846">
        <f t="shared" si="65"/>
        <v>0.4</v>
      </c>
      <c r="CS163" s="846">
        <f t="shared" si="65"/>
        <v>0</v>
      </c>
      <c r="CT163" s="846">
        <f t="shared" si="65"/>
        <v>0.4</v>
      </c>
      <c r="CU163" s="846">
        <f t="shared" si="65"/>
        <v>0</v>
      </c>
      <c r="CV163" s="846">
        <f t="shared" si="65"/>
        <v>0</v>
      </c>
      <c r="CW163" s="846">
        <f t="shared" si="65"/>
        <v>0.4</v>
      </c>
      <c r="CX163" s="846">
        <f t="shared" si="65"/>
        <v>0</v>
      </c>
      <c r="CY163" s="846">
        <f t="shared" si="65"/>
        <v>0</v>
      </c>
      <c r="CZ163" s="846">
        <f t="shared" si="65"/>
        <v>0</v>
      </c>
      <c r="DA163" s="846">
        <f t="shared" si="65"/>
        <v>0.4</v>
      </c>
      <c r="DB163" s="846">
        <f t="shared" si="65"/>
        <v>0</v>
      </c>
      <c r="DC163" s="846">
        <f t="shared" si="65"/>
        <v>0</v>
      </c>
      <c r="DD163" s="846">
        <f t="shared" si="65"/>
        <v>0.4</v>
      </c>
      <c r="DE163" s="846">
        <f t="shared" si="65"/>
        <v>0</v>
      </c>
      <c r="DF163" s="846">
        <f t="shared" si="65"/>
        <v>0</v>
      </c>
      <c r="DG163" s="846">
        <f t="shared" ref="DG163:FR163" si="66">IF(COUNTIF(DG$152:DG$159,$I$157)&gt;0,$D$12,0)</f>
        <v>0.4</v>
      </c>
      <c r="DH163" s="846">
        <f t="shared" si="66"/>
        <v>0.4</v>
      </c>
      <c r="DI163" s="846">
        <f t="shared" si="66"/>
        <v>0</v>
      </c>
      <c r="DJ163" s="846">
        <f t="shared" si="66"/>
        <v>0</v>
      </c>
      <c r="DK163" s="846">
        <f t="shared" si="66"/>
        <v>0.4</v>
      </c>
      <c r="DL163" s="846">
        <f t="shared" si="66"/>
        <v>0</v>
      </c>
      <c r="DM163" s="846">
        <f t="shared" si="66"/>
        <v>0</v>
      </c>
      <c r="DN163" s="846">
        <f t="shared" si="66"/>
        <v>0.4</v>
      </c>
      <c r="DO163" s="846">
        <f t="shared" si="66"/>
        <v>0</v>
      </c>
      <c r="DP163" s="846">
        <f t="shared" si="66"/>
        <v>0</v>
      </c>
      <c r="DQ163" s="846">
        <f t="shared" si="66"/>
        <v>0.4</v>
      </c>
      <c r="DR163" s="846">
        <f t="shared" si="66"/>
        <v>0.4</v>
      </c>
      <c r="DS163" s="846">
        <f t="shared" si="66"/>
        <v>0</v>
      </c>
      <c r="DT163" s="846">
        <f t="shared" si="66"/>
        <v>0.4</v>
      </c>
      <c r="DU163" s="846">
        <f t="shared" si="66"/>
        <v>0</v>
      </c>
      <c r="DV163" s="846">
        <f t="shared" si="66"/>
        <v>0</v>
      </c>
      <c r="DW163" s="846">
        <f t="shared" si="66"/>
        <v>0.4</v>
      </c>
      <c r="DX163" s="846">
        <f t="shared" si="66"/>
        <v>0.4</v>
      </c>
      <c r="DY163" s="846">
        <f t="shared" si="66"/>
        <v>0</v>
      </c>
      <c r="DZ163" s="846">
        <f t="shared" si="66"/>
        <v>0.4</v>
      </c>
      <c r="EA163" s="846">
        <f t="shared" si="66"/>
        <v>0.4</v>
      </c>
      <c r="EB163" s="846">
        <f t="shared" si="66"/>
        <v>0</v>
      </c>
      <c r="EC163" s="846">
        <f t="shared" si="66"/>
        <v>0.4</v>
      </c>
      <c r="ED163" s="846">
        <f t="shared" si="66"/>
        <v>0</v>
      </c>
      <c r="EE163" s="846">
        <f t="shared" si="66"/>
        <v>0.4</v>
      </c>
      <c r="EF163" s="846">
        <f t="shared" si="66"/>
        <v>0</v>
      </c>
      <c r="EG163" s="846">
        <f t="shared" si="66"/>
        <v>0</v>
      </c>
      <c r="EH163" s="846">
        <f t="shared" si="66"/>
        <v>0.4</v>
      </c>
      <c r="EI163" s="846">
        <f t="shared" si="66"/>
        <v>0</v>
      </c>
      <c r="EJ163" s="846">
        <f t="shared" si="66"/>
        <v>0</v>
      </c>
      <c r="EK163" s="846">
        <f t="shared" si="66"/>
        <v>0.4</v>
      </c>
      <c r="EL163" s="846">
        <f t="shared" si="66"/>
        <v>0.4</v>
      </c>
      <c r="EM163" s="846">
        <f t="shared" si="66"/>
        <v>0</v>
      </c>
      <c r="EN163" s="846">
        <f t="shared" si="66"/>
        <v>0.4</v>
      </c>
      <c r="EO163" s="846">
        <f t="shared" si="66"/>
        <v>0</v>
      </c>
      <c r="EP163" s="846">
        <f t="shared" si="66"/>
        <v>0</v>
      </c>
      <c r="EQ163" s="846">
        <f t="shared" si="66"/>
        <v>0.4</v>
      </c>
      <c r="ER163" s="846">
        <f t="shared" si="66"/>
        <v>0.4</v>
      </c>
      <c r="ES163" s="846">
        <f t="shared" si="66"/>
        <v>0</v>
      </c>
      <c r="ET163" s="846">
        <f t="shared" si="66"/>
        <v>0.4</v>
      </c>
      <c r="EU163" s="846">
        <f t="shared" si="66"/>
        <v>0.4</v>
      </c>
      <c r="EV163" s="846">
        <f t="shared" si="66"/>
        <v>0</v>
      </c>
      <c r="EW163" s="846">
        <f t="shared" si="66"/>
        <v>0.4</v>
      </c>
      <c r="EX163" s="846">
        <f t="shared" si="66"/>
        <v>0.4</v>
      </c>
      <c r="EY163" s="846">
        <f t="shared" si="66"/>
        <v>0</v>
      </c>
      <c r="EZ163" s="846">
        <f t="shared" si="66"/>
        <v>0</v>
      </c>
      <c r="FA163" s="846">
        <f t="shared" si="66"/>
        <v>0.4</v>
      </c>
      <c r="FB163" s="846">
        <f t="shared" si="66"/>
        <v>0.4</v>
      </c>
      <c r="FC163" s="846">
        <f t="shared" si="66"/>
        <v>0</v>
      </c>
      <c r="FD163" s="846">
        <f t="shared" si="66"/>
        <v>0.4</v>
      </c>
      <c r="FE163" s="846">
        <f t="shared" si="66"/>
        <v>0.4</v>
      </c>
      <c r="FF163" s="846">
        <f t="shared" si="66"/>
        <v>0</v>
      </c>
      <c r="FG163" s="846">
        <f t="shared" si="66"/>
        <v>0.4</v>
      </c>
      <c r="FH163" s="846">
        <f t="shared" si="66"/>
        <v>0.4</v>
      </c>
      <c r="FI163" s="846">
        <f t="shared" si="66"/>
        <v>0.4</v>
      </c>
      <c r="FJ163" s="846">
        <f t="shared" si="66"/>
        <v>0</v>
      </c>
      <c r="FK163" s="846">
        <f t="shared" si="66"/>
        <v>0.4</v>
      </c>
      <c r="FL163" s="846">
        <f t="shared" si="66"/>
        <v>0.4</v>
      </c>
      <c r="FM163" s="846">
        <f t="shared" si="66"/>
        <v>0</v>
      </c>
      <c r="FN163" s="846">
        <f t="shared" si="66"/>
        <v>0.4</v>
      </c>
      <c r="FO163" s="846">
        <f t="shared" si="66"/>
        <v>0</v>
      </c>
      <c r="FP163" s="846">
        <f t="shared" si="66"/>
        <v>0</v>
      </c>
      <c r="FQ163" s="846">
        <f t="shared" si="66"/>
        <v>0.4</v>
      </c>
      <c r="FR163" s="846">
        <f t="shared" si="66"/>
        <v>0</v>
      </c>
      <c r="FS163" s="846">
        <f t="shared" ref="FS163:ID163" si="67">IF(COUNTIF(FS$152:FS$159,$I$157)&gt;0,$D$12,0)</f>
        <v>0</v>
      </c>
      <c r="FT163" s="846">
        <f t="shared" si="67"/>
        <v>0.4</v>
      </c>
      <c r="FU163" s="846">
        <f t="shared" si="67"/>
        <v>0.4</v>
      </c>
      <c r="FV163" s="846">
        <f t="shared" si="67"/>
        <v>0</v>
      </c>
      <c r="FW163" s="846">
        <f t="shared" si="67"/>
        <v>0.4</v>
      </c>
      <c r="FX163" s="846">
        <f t="shared" si="67"/>
        <v>0</v>
      </c>
      <c r="FY163" s="846">
        <f t="shared" si="67"/>
        <v>0</v>
      </c>
      <c r="FZ163" s="846">
        <f t="shared" si="67"/>
        <v>0.4</v>
      </c>
      <c r="GA163" s="846">
        <f t="shared" si="67"/>
        <v>0.4</v>
      </c>
      <c r="GB163" s="846">
        <f t="shared" si="67"/>
        <v>0</v>
      </c>
      <c r="GC163" s="846">
        <f t="shared" si="67"/>
        <v>0.4</v>
      </c>
      <c r="GD163" s="846">
        <f t="shared" si="67"/>
        <v>0.4</v>
      </c>
      <c r="GE163" s="846">
        <f t="shared" si="67"/>
        <v>0</v>
      </c>
      <c r="GF163" s="846">
        <f t="shared" si="67"/>
        <v>0.4</v>
      </c>
      <c r="GG163" s="846">
        <f t="shared" si="67"/>
        <v>0.4</v>
      </c>
      <c r="GH163" s="846">
        <f t="shared" si="67"/>
        <v>0</v>
      </c>
      <c r="GI163" s="846">
        <f t="shared" si="67"/>
        <v>0</v>
      </c>
      <c r="GJ163" s="846">
        <f t="shared" si="67"/>
        <v>0.4</v>
      </c>
      <c r="GK163" s="846">
        <f t="shared" si="67"/>
        <v>0.4</v>
      </c>
      <c r="GL163" s="846">
        <f t="shared" si="67"/>
        <v>0</v>
      </c>
      <c r="GM163" s="846">
        <f t="shared" si="67"/>
        <v>0.4</v>
      </c>
      <c r="GN163" s="846">
        <f t="shared" si="67"/>
        <v>0.4</v>
      </c>
      <c r="GO163" s="846">
        <f t="shared" si="67"/>
        <v>0</v>
      </c>
      <c r="GP163" s="846">
        <f t="shared" si="67"/>
        <v>0.4</v>
      </c>
      <c r="GQ163" s="846">
        <f t="shared" si="67"/>
        <v>0.4</v>
      </c>
      <c r="GR163" s="846">
        <f t="shared" si="67"/>
        <v>0.4</v>
      </c>
      <c r="GS163" s="846">
        <f t="shared" si="67"/>
        <v>0</v>
      </c>
      <c r="GT163" s="846">
        <f t="shared" si="67"/>
        <v>0.4</v>
      </c>
      <c r="GU163" s="846">
        <f t="shared" si="67"/>
        <v>0.4</v>
      </c>
      <c r="GV163" s="846">
        <f t="shared" si="67"/>
        <v>0.4</v>
      </c>
      <c r="GW163" s="846">
        <f t="shared" si="67"/>
        <v>0</v>
      </c>
      <c r="GX163" s="846">
        <f t="shared" si="67"/>
        <v>0</v>
      </c>
      <c r="GY163" s="846">
        <f t="shared" si="67"/>
        <v>0.4</v>
      </c>
      <c r="GZ163" s="846">
        <f t="shared" si="67"/>
        <v>0.4</v>
      </c>
      <c r="HA163" s="846">
        <f t="shared" si="67"/>
        <v>0</v>
      </c>
      <c r="HB163" s="846">
        <f t="shared" si="67"/>
        <v>0.4</v>
      </c>
      <c r="HC163" s="846">
        <f t="shared" si="67"/>
        <v>0.4</v>
      </c>
      <c r="HD163" s="846">
        <f t="shared" si="67"/>
        <v>0</v>
      </c>
      <c r="HE163" s="846">
        <f t="shared" si="67"/>
        <v>0.4</v>
      </c>
      <c r="HF163" s="846">
        <f t="shared" si="67"/>
        <v>0.4</v>
      </c>
      <c r="HG163" s="846">
        <f t="shared" si="67"/>
        <v>0.4</v>
      </c>
      <c r="HH163" s="846">
        <f t="shared" si="67"/>
        <v>0</v>
      </c>
      <c r="HI163" s="846">
        <f t="shared" si="67"/>
        <v>0.4</v>
      </c>
      <c r="HJ163" s="846">
        <f t="shared" si="67"/>
        <v>0.4</v>
      </c>
      <c r="HK163" s="846">
        <f t="shared" si="67"/>
        <v>0.4</v>
      </c>
      <c r="HL163" s="846">
        <f t="shared" si="67"/>
        <v>0.4</v>
      </c>
      <c r="HM163" s="846">
        <f t="shared" si="67"/>
        <v>0</v>
      </c>
      <c r="HN163" s="846">
        <f t="shared" si="67"/>
        <v>0.4</v>
      </c>
      <c r="HO163" s="846">
        <f t="shared" si="67"/>
        <v>0.4</v>
      </c>
      <c r="HP163" s="846">
        <f t="shared" si="67"/>
        <v>0.4</v>
      </c>
      <c r="HQ163" s="846">
        <f t="shared" si="67"/>
        <v>0.4</v>
      </c>
      <c r="HR163" s="846">
        <f t="shared" si="67"/>
        <v>0</v>
      </c>
      <c r="HS163" s="846">
        <f t="shared" si="67"/>
        <v>0</v>
      </c>
      <c r="HT163" s="846">
        <f t="shared" si="67"/>
        <v>0.4</v>
      </c>
      <c r="HU163" s="846">
        <f t="shared" si="67"/>
        <v>0.4</v>
      </c>
      <c r="HV163" s="846">
        <f t="shared" si="67"/>
        <v>0</v>
      </c>
      <c r="HW163" s="846">
        <f t="shared" si="67"/>
        <v>0.4</v>
      </c>
      <c r="HX163" s="846">
        <f t="shared" si="67"/>
        <v>0.4</v>
      </c>
      <c r="HY163" s="846">
        <f t="shared" si="67"/>
        <v>0</v>
      </c>
      <c r="HZ163" s="846">
        <f t="shared" si="67"/>
        <v>0.4</v>
      </c>
      <c r="IA163" s="846">
        <f t="shared" si="67"/>
        <v>0.4</v>
      </c>
      <c r="IB163" s="846">
        <f t="shared" si="67"/>
        <v>0.4</v>
      </c>
      <c r="IC163" s="846">
        <f t="shared" si="67"/>
        <v>0</v>
      </c>
      <c r="ID163" s="846">
        <f t="shared" si="67"/>
        <v>0.4</v>
      </c>
      <c r="IE163" s="846">
        <f t="shared" ref="IE163:IY163" si="68">IF(COUNTIF(IE$152:IE$159,$I$157)&gt;0,$D$12,0)</f>
        <v>0.4</v>
      </c>
      <c r="IF163" s="846">
        <f t="shared" si="68"/>
        <v>0.4</v>
      </c>
      <c r="IG163" s="846">
        <f t="shared" si="68"/>
        <v>0.4</v>
      </c>
      <c r="IH163" s="846">
        <f t="shared" si="68"/>
        <v>0</v>
      </c>
      <c r="II163" s="846">
        <f t="shared" si="68"/>
        <v>0.4</v>
      </c>
      <c r="IJ163" s="846">
        <f t="shared" si="68"/>
        <v>0.4</v>
      </c>
      <c r="IK163" s="846">
        <f t="shared" si="68"/>
        <v>0.4</v>
      </c>
      <c r="IL163" s="846">
        <f t="shared" si="68"/>
        <v>0.4</v>
      </c>
      <c r="IM163" s="846">
        <f t="shared" si="68"/>
        <v>0.4</v>
      </c>
      <c r="IN163" s="846">
        <f t="shared" si="68"/>
        <v>0</v>
      </c>
      <c r="IO163" s="846">
        <f t="shared" si="68"/>
        <v>0.4</v>
      </c>
      <c r="IP163" s="846">
        <f t="shared" si="68"/>
        <v>0.4</v>
      </c>
      <c r="IQ163" s="846">
        <f t="shared" si="68"/>
        <v>0.4</v>
      </c>
      <c r="IR163" s="846">
        <f t="shared" si="68"/>
        <v>0.4</v>
      </c>
      <c r="IS163" s="846">
        <f t="shared" si="68"/>
        <v>0.4</v>
      </c>
      <c r="IT163" s="846">
        <f t="shared" si="68"/>
        <v>0.4</v>
      </c>
      <c r="IU163" s="846">
        <f t="shared" si="68"/>
        <v>0</v>
      </c>
      <c r="IV163" s="846">
        <f t="shared" si="68"/>
        <v>0.4</v>
      </c>
      <c r="IW163" s="846">
        <f t="shared" si="68"/>
        <v>0.4</v>
      </c>
      <c r="IX163" s="846">
        <f t="shared" si="68"/>
        <v>0.4</v>
      </c>
      <c r="IY163" s="846">
        <f t="shared" si="68"/>
        <v>0.4</v>
      </c>
    </row>
    <row r="164" spans="1:259" s="190" customFormat="1" x14ac:dyDescent="0.25">
      <c r="A164" s="654" t="s">
        <v>4</v>
      </c>
      <c r="B164" s="209"/>
      <c r="C164" s="677">
        <f ca="1">IFERROR(INDEX(D164:OFFSET(D164,0,$IY$172),$C$172),0)</f>
        <v>0.25</v>
      </c>
      <c r="D164" s="679">
        <v>0</v>
      </c>
      <c r="E164" s="679">
        <v>0</v>
      </c>
      <c r="F164" s="679">
        <v>0</v>
      </c>
      <c r="G164" s="679">
        <f>D13</f>
        <v>0.25</v>
      </c>
      <c r="H164" s="679">
        <v>0</v>
      </c>
      <c r="I164" s="679">
        <v>0</v>
      </c>
      <c r="J164" s="679">
        <v>0</v>
      </c>
      <c r="K164" s="679">
        <v>0</v>
      </c>
      <c r="L164" s="679">
        <v>0</v>
      </c>
      <c r="M164" s="679">
        <v>0</v>
      </c>
      <c r="N164" s="680">
        <f>IF(COUNTIF(N$152:N$159,$I$158)&gt;0,$D$13,0)</f>
        <v>0.25</v>
      </c>
      <c r="O164" s="849">
        <f t="shared" ref="O164:AT164" si="69">IF(COUNTIF(O$152:O$159,$I$158)&gt;0,$D$13,0)</f>
        <v>0</v>
      </c>
      <c r="P164" s="845">
        <f t="shared" si="69"/>
        <v>0</v>
      </c>
      <c r="Q164" s="845">
        <f t="shared" si="69"/>
        <v>0</v>
      </c>
      <c r="R164" s="845">
        <f t="shared" si="69"/>
        <v>0</v>
      </c>
      <c r="S164" s="845">
        <f t="shared" si="69"/>
        <v>0</v>
      </c>
      <c r="T164" s="845">
        <f t="shared" si="69"/>
        <v>0.25</v>
      </c>
      <c r="U164" s="845">
        <f t="shared" si="69"/>
        <v>0</v>
      </c>
      <c r="V164" s="845">
        <f t="shared" si="69"/>
        <v>0</v>
      </c>
      <c r="W164" s="845">
        <f t="shared" si="69"/>
        <v>0</v>
      </c>
      <c r="X164" s="845">
        <f t="shared" si="69"/>
        <v>0</v>
      </c>
      <c r="Y164" s="845">
        <f t="shared" si="69"/>
        <v>0</v>
      </c>
      <c r="Z164" s="845">
        <f t="shared" si="69"/>
        <v>0.25</v>
      </c>
      <c r="AA164" s="846">
        <f t="shared" si="69"/>
        <v>0</v>
      </c>
      <c r="AB164" s="846">
        <f t="shared" si="69"/>
        <v>0</v>
      </c>
      <c r="AC164" s="846">
        <f t="shared" si="69"/>
        <v>0</v>
      </c>
      <c r="AD164" s="846">
        <f t="shared" si="69"/>
        <v>0</v>
      </c>
      <c r="AE164" s="846">
        <f t="shared" si="69"/>
        <v>0.25</v>
      </c>
      <c r="AF164" s="846">
        <f t="shared" si="69"/>
        <v>0</v>
      </c>
      <c r="AG164" s="846">
        <f t="shared" si="69"/>
        <v>0</v>
      </c>
      <c r="AH164" s="846">
        <f t="shared" si="69"/>
        <v>0</v>
      </c>
      <c r="AI164" s="846">
        <f t="shared" si="69"/>
        <v>0.25</v>
      </c>
      <c r="AJ164" s="846">
        <f t="shared" si="69"/>
        <v>0</v>
      </c>
      <c r="AK164" s="846">
        <f t="shared" si="69"/>
        <v>0</v>
      </c>
      <c r="AL164" s="846">
        <f t="shared" si="69"/>
        <v>0.25</v>
      </c>
      <c r="AM164" s="846">
        <f t="shared" si="69"/>
        <v>0</v>
      </c>
      <c r="AN164" s="846">
        <f t="shared" si="69"/>
        <v>0.25</v>
      </c>
      <c r="AO164" s="846">
        <f t="shared" si="69"/>
        <v>0</v>
      </c>
      <c r="AP164" s="846">
        <f t="shared" si="69"/>
        <v>0.25</v>
      </c>
      <c r="AQ164" s="846">
        <f t="shared" si="69"/>
        <v>0</v>
      </c>
      <c r="AR164" s="846">
        <f t="shared" si="69"/>
        <v>0</v>
      </c>
      <c r="AS164" s="846">
        <f t="shared" si="69"/>
        <v>0</v>
      </c>
      <c r="AT164" s="846">
        <f t="shared" si="69"/>
        <v>0</v>
      </c>
      <c r="AU164" s="846">
        <f t="shared" ref="AU164:BZ164" si="70">IF(COUNTIF(AU$152:AU$159,$I$158)&gt;0,$D$13,0)</f>
        <v>0.25</v>
      </c>
      <c r="AV164" s="846">
        <f t="shared" si="70"/>
        <v>0</v>
      </c>
      <c r="AW164" s="846">
        <f t="shared" si="70"/>
        <v>0</v>
      </c>
      <c r="AX164" s="846">
        <f t="shared" si="70"/>
        <v>0</v>
      </c>
      <c r="AY164" s="846">
        <f t="shared" si="70"/>
        <v>0</v>
      </c>
      <c r="AZ164" s="846">
        <f t="shared" si="70"/>
        <v>0.25</v>
      </c>
      <c r="BA164" s="846">
        <f t="shared" si="70"/>
        <v>0</v>
      </c>
      <c r="BB164" s="846">
        <f t="shared" si="70"/>
        <v>0</v>
      </c>
      <c r="BC164" s="846">
        <f t="shared" si="70"/>
        <v>0</v>
      </c>
      <c r="BD164" s="846">
        <f t="shared" si="70"/>
        <v>0.25</v>
      </c>
      <c r="BE164" s="846">
        <f t="shared" si="70"/>
        <v>0</v>
      </c>
      <c r="BF164" s="846">
        <f t="shared" si="70"/>
        <v>0</v>
      </c>
      <c r="BG164" s="846">
        <f t="shared" si="70"/>
        <v>0.25</v>
      </c>
      <c r="BH164" s="846">
        <f t="shared" si="70"/>
        <v>0</v>
      </c>
      <c r="BI164" s="846">
        <f t="shared" si="70"/>
        <v>0.25</v>
      </c>
      <c r="BJ164" s="846">
        <f t="shared" si="70"/>
        <v>0</v>
      </c>
      <c r="BK164" s="846">
        <f t="shared" si="70"/>
        <v>0.25</v>
      </c>
      <c r="BL164" s="846">
        <f t="shared" si="70"/>
        <v>0</v>
      </c>
      <c r="BM164" s="846">
        <f t="shared" si="70"/>
        <v>0</v>
      </c>
      <c r="BN164" s="846">
        <f t="shared" si="70"/>
        <v>0</v>
      </c>
      <c r="BO164" s="846">
        <f t="shared" si="70"/>
        <v>0.25</v>
      </c>
      <c r="BP164" s="846">
        <f t="shared" si="70"/>
        <v>0</v>
      </c>
      <c r="BQ164" s="846">
        <f t="shared" si="70"/>
        <v>0</v>
      </c>
      <c r="BR164" s="846">
        <f t="shared" si="70"/>
        <v>0</v>
      </c>
      <c r="BS164" s="846">
        <f t="shared" si="70"/>
        <v>0.25</v>
      </c>
      <c r="BT164" s="846">
        <f t="shared" si="70"/>
        <v>0</v>
      </c>
      <c r="BU164" s="846">
        <f t="shared" si="70"/>
        <v>0</v>
      </c>
      <c r="BV164" s="846">
        <f t="shared" si="70"/>
        <v>0.25</v>
      </c>
      <c r="BW164" s="846">
        <f t="shared" si="70"/>
        <v>0</v>
      </c>
      <c r="BX164" s="846">
        <f t="shared" si="70"/>
        <v>0.25</v>
      </c>
      <c r="BY164" s="846">
        <f t="shared" si="70"/>
        <v>0</v>
      </c>
      <c r="BZ164" s="846">
        <f t="shared" si="70"/>
        <v>0.25</v>
      </c>
      <c r="CA164" s="846">
        <f t="shared" ref="CA164:DF164" si="71">IF(COUNTIF(CA$152:CA$159,$I$158)&gt;0,$D$13,0)</f>
        <v>0</v>
      </c>
      <c r="CB164" s="846">
        <f t="shared" si="71"/>
        <v>0</v>
      </c>
      <c r="CC164" s="846">
        <f t="shared" si="71"/>
        <v>0.25</v>
      </c>
      <c r="CD164" s="846">
        <f t="shared" si="71"/>
        <v>0</v>
      </c>
      <c r="CE164" s="846">
        <f t="shared" si="71"/>
        <v>0</v>
      </c>
      <c r="CF164" s="846">
        <f t="shared" si="71"/>
        <v>0.25</v>
      </c>
      <c r="CG164" s="846">
        <f t="shared" si="71"/>
        <v>0</v>
      </c>
      <c r="CH164" s="846">
        <f t="shared" si="71"/>
        <v>0.25</v>
      </c>
      <c r="CI164" s="846">
        <f t="shared" si="71"/>
        <v>0</v>
      </c>
      <c r="CJ164" s="846">
        <f t="shared" si="71"/>
        <v>0.25</v>
      </c>
      <c r="CK164" s="846">
        <f t="shared" si="71"/>
        <v>0</v>
      </c>
      <c r="CL164" s="846">
        <f t="shared" si="71"/>
        <v>0.25</v>
      </c>
      <c r="CM164" s="846">
        <f t="shared" si="71"/>
        <v>0</v>
      </c>
      <c r="CN164" s="846">
        <f t="shared" si="71"/>
        <v>0.25</v>
      </c>
      <c r="CO164" s="846">
        <f t="shared" si="71"/>
        <v>0</v>
      </c>
      <c r="CP164" s="846">
        <f t="shared" si="71"/>
        <v>0.25</v>
      </c>
      <c r="CQ164" s="846">
        <f t="shared" si="71"/>
        <v>0.25</v>
      </c>
      <c r="CR164" s="846">
        <f t="shared" si="71"/>
        <v>0</v>
      </c>
      <c r="CS164" s="846">
        <f t="shared" si="71"/>
        <v>0.25</v>
      </c>
      <c r="CT164" s="846">
        <f t="shared" si="71"/>
        <v>0.25</v>
      </c>
      <c r="CU164" s="846">
        <f t="shared" si="71"/>
        <v>0</v>
      </c>
      <c r="CV164" s="846">
        <f t="shared" si="71"/>
        <v>0</v>
      </c>
      <c r="CW164" s="846">
        <f t="shared" si="71"/>
        <v>0</v>
      </c>
      <c r="CX164" s="846">
        <f t="shared" si="71"/>
        <v>0.25</v>
      </c>
      <c r="CY164" s="846">
        <f t="shared" si="71"/>
        <v>0</v>
      </c>
      <c r="CZ164" s="846">
        <f t="shared" si="71"/>
        <v>0</v>
      </c>
      <c r="DA164" s="846">
        <f t="shared" si="71"/>
        <v>0</v>
      </c>
      <c r="DB164" s="846">
        <f t="shared" si="71"/>
        <v>0.25</v>
      </c>
      <c r="DC164" s="846">
        <f t="shared" si="71"/>
        <v>0</v>
      </c>
      <c r="DD164" s="846">
        <f t="shared" si="71"/>
        <v>0</v>
      </c>
      <c r="DE164" s="846">
        <f t="shared" si="71"/>
        <v>0.25</v>
      </c>
      <c r="DF164" s="846">
        <f t="shared" si="71"/>
        <v>0</v>
      </c>
      <c r="DG164" s="846">
        <f t="shared" ref="DG164:FR164" si="72">IF(COUNTIF(DG$152:DG$159,$I$158)&gt;0,$D$13,0)</f>
        <v>0.25</v>
      </c>
      <c r="DH164" s="846">
        <f t="shared" si="72"/>
        <v>0</v>
      </c>
      <c r="DI164" s="846">
        <f t="shared" si="72"/>
        <v>0.25</v>
      </c>
      <c r="DJ164" s="846">
        <f t="shared" si="72"/>
        <v>0</v>
      </c>
      <c r="DK164" s="846">
        <f t="shared" si="72"/>
        <v>0</v>
      </c>
      <c r="DL164" s="846">
        <f t="shared" si="72"/>
        <v>0.25</v>
      </c>
      <c r="DM164" s="846">
        <f t="shared" si="72"/>
        <v>0</v>
      </c>
      <c r="DN164" s="846">
        <f t="shared" si="72"/>
        <v>0</v>
      </c>
      <c r="DO164" s="846">
        <f t="shared" si="72"/>
        <v>0.25</v>
      </c>
      <c r="DP164" s="846">
        <f t="shared" si="72"/>
        <v>0</v>
      </c>
      <c r="DQ164" s="846">
        <f t="shared" si="72"/>
        <v>0.25</v>
      </c>
      <c r="DR164" s="846">
        <f t="shared" si="72"/>
        <v>0</v>
      </c>
      <c r="DS164" s="846">
        <f t="shared" si="72"/>
        <v>0.25</v>
      </c>
      <c r="DT164" s="846">
        <f t="shared" si="72"/>
        <v>0</v>
      </c>
      <c r="DU164" s="846">
        <f t="shared" si="72"/>
        <v>0.25</v>
      </c>
      <c r="DV164" s="846">
        <f t="shared" si="72"/>
        <v>0</v>
      </c>
      <c r="DW164" s="846">
        <f t="shared" si="72"/>
        <v>0.25</v>
      </c>
      <c r="DX164" s="846">
        <f t="shared" si="72"/>
        <v>0</v>
      </c>
      <c r="DY164" s="846">
        <f t="shared" si="72"/>
        <v>0.25</v>
      </c>
      <c r="DZ164" s="846">
        <f t="shared" si="72"/>
        <v>0.25</v>
      </c>
      <c r="EA164" s="846">
        <f t="shared" si="72"/>
        <v>0</v>
      </c>
      <c r="EB164" s="846">
        <f t="shared" si="72"/>
        <v>0.25</v>
      </c>
      <c r="EC164" s="846">
        <f t="shared" si="72"/>
        <v>0.25</v>
      </c>
      <c r="ED164" s="846">
        <f t="shared" si="72"/>
        <v>0</v>
      </c>
      <c r="EE164" s="846">
        <f t="shared" si="72"/>
        <v>0</v>
      </c>
      <c r="EF164" s="846">
        <f t="shared" si="72"/>
        <v>0.25</v>
      </c>
      <c r="EG164" s="846">
        <f t="shared" si="72"/>
        <v>0</v>
      </c>
      <c r="EH164" s="846">
        <f t="shared" si="72"/>
        <v>0</v>
      </c>
      <c r="EI164" s="846">
        <f t="shared" si="72"/>
        <v>0.25</v>
      </c>
      <c r="EJ164" s="846">
        <f t="shared" si="72"/>
        <v>0</v>
      </c>
      <c r="EK164" s="846">
        <f t="shared" si="72"/>
        <v>0.25</v>
      </c>
      <c r="EL164" s="846">
        <f t="shared" si="72"/>
        <v>0</v>
      </c>
      <c r="EM164" s="846">
        <f t="shared" si="72"/>
        <v>0.25</v>
      </c>
      <c r="EN164" s="846">
        <f t="shared" si="72"/>
        <v>0</v>
      </c>
      <c r="EO164" s="846">
        <f t="shared" si="72"/>
        <v>0.25</v>
      </c>
      <c r="EP164" s="846">
        <f t="shared" si="72"/>
        <v>0</v>
      </c>
      <c r="EQ164" s="846">
        <f t="shared" si="72"/>
        <v>0.25</v>
      </c>
      <c r="ER164" s="846">
        <f t="shared" si="72"/>
        <v>0</v>
      </c>
      <c r="ES164" s="846">
        <f t="shared" si="72"/>
        <v>0.25</v>
      </c>
      <c r="ET164" s="846">
        <f t="shared" si="72"/>
        <v>0.25</v>
      </c>
      <c r="EU164" s="846">
        <f t="shared" si="72"/>
        <v>0</v>
      </c>
      <c r="EV164" s="846">
        <f t="shared" si="72"/>
        <v>0.25</v>
      </c>
      <c r="EW164" s="846">
        <f t="shared" si="72"/>
        <v>0.25</v>
      </c>
      <c r="EX164" s="846">
        <f t="shared" si="72"/>
        <v>0</v>
      </c>
      <c r="EY164" s="846">
        <f t="shared" si="72"/>
        <v>0.25</v>
      </c>
      <c r="EZ164" s="846">
        <f t="shared" si="72"/>
        <v>0</v>
      </c>
      <c r="FA164" s="846">
        <f t="shared" si="72"/>
        <v>0.25</v>
      </c>
      <c r="FB164" s="846">
        <f t="shared" si="72"/>
        <v>0</v>
      </c>
      <c r="FC164" s="846">
        <f t="shared" si="72"/>
        <v>0.25</v>
      </c>
      <c r="FD164" s="846">
        <f t="shared" si="72"/>
        <v>0.25</v>
      </c>
      <c r="FE164" s="846">
        <f t="shared" si="72"/>
        <v>0</v>
      </c>
      <c r="FF164" s="846">
        <f t="shared" si="72"/>
        <v>0.25</v>
      </c>
      <c r="FG164" s="846">
        <f t="shared" si="72"/>
        <v>0.25</v>
      </c>
      <c r="FH164" s="846">
        <f t="shared" si="72"/>
        <v>0.25</v>
      </c>
      <c r="FI164" s="846">
        <f t="shared" si="72"/>
        <v>0</v>
      </c>
      <c r="FJ164" s="846">
        <f t="shared" si="72"/>
        <v>0.25</v>
      </c>
      <c r="FK164" s="846">
        <f t="shared" si="72"/>
        <v>0.25</v>
      </c>
      <c r="FL164" s="846">
        <f t="shared" si="72"/>
        <v>0.25</v>
      </c>
      <c r="FM164" s="846">
        <f t="shared" si="72"/>
        <v>0</v>
      </c>
      <c r="FN164" s="846">
        <f t="shared" si="72"/>
        <v>0</v>
      </c>
      <c r="FO164" s="846">
        <f t="shared" si="72"/>
        <v>0.25</v>
      </c>
      <c r="FP164" s="846">
        <f t="shared" si="72"/>
        <v>0</v>
      </c>
      <c r="FQ164" s="846">
        <f t="shared" si="72"/>
        <v>0</v>
      </c>
      <c r="FR164" s="846">
        <f t="shared" si="72"/>
        <v>0.25</v>
      </c>
      <c r="FS164" s="846">
        <f t="shared" ref="FS164:ID164" si="73">IF(COUNTIF(FS$152:FS$159,$I$158)&gt;0,$D$13,0)</f>
        <v>0</v>
      </c>
      <c r="FT164" s="846">
        <f t="shared" si="73"/>
        <v>0.25</v>
      </c>
      <c r="FU164" s="846">
        <f t="shared" si="73"/>
        <v>0</v>
      </c>
      <c r="FV164" s="846">
        <f t="shared" si="73"/>
        <v>0.25</v>
      </c>
      <c r="FW164" s="846">
        <f t="shared" si="73"/>
        <v>0</v>
      </c>
      <c r="FX164" s="846">
        <f t="shared" si="73"/>
        <v>0.25</v>
      </c>
      <c r="FY164" s="846">
        <f t="shared" si="73"/>
        <v>0</v>
      </c>
      <c r="FZ164" s="846">
        <f t="shared" si="73"/>
        <v>0.25</v>
      </c>
      <c r="GA164" s="846">
        <f t="shared" si="73"/>
        <v>0</v>
      </c>
      <c r="GB164" s="846">
        <f t="shared" si="73"/>
        <v>0.25</v>
      </c>
      <c r="GC164" s="846">
        <f t="shared" si="73"/>
        <v>0.25</v>
      </c>
      <c r="GD164" s="846">
        <f t="shared" si="73"/>
        <v>0</v>
      </c>
      <c r="GE164" s="846">
        <f t="shared" si="73"/>
        <v>0.25</v>
      </c>
      <c r="GF164" s="846">
        <f t="shared" si="73"/>
        <v>0.25</v>
      </c>
      <c r="GG164" s="846">
        <f t="shared" si="73"/>
        <v>0</v>
      </c>
      <c r="GH164" s="846">
        <f t="shared" si="73"/>
        <v>0.25</v>
      </c>
      <c r="GI164" s="846">
        <f t="shared" si="73"/>
        <v>0</v>
      </c>
      <c r="GJ164" s="846">
        <f t="shared" si="73"/>
        <v>0.25</v>
      </c>
      <c r="GK164" s="846">
        <f t="shared" si="73"/>
        <v>0</v>
      </c>
      <c r="GL164" s="846">
        <f t="shared" si="73"/>
        <v>0.25</v>
      </c>
      <c r="GM164" s="846">
        <f t="shared" si="73"/>
        <v>0.25</v>
      </c>
      <c r="GN164" s="846">
        <f t="shared" si="73"/>
        <v>0</v>
      </c>
      <c r="GO164" s="846">
        <f t="shared" si="73"/>
        <v>0.25</v>
      </c>
      <c r="GP164" s="846">
        <f t="shared" si="73"/>
        <v>0.25</v>
      </c>
      <c r="GQ164" s="846">
        <f t="shared" si="73"/>
        <v>0.25</v>
      </c>
      <c r="GR164" s="846">
        <f t="shared" si="73"/>
        <v>0</v>
      </c>
      <c r="GS164" s="846">
        <f t="shared" si="73"/>
        <v>0.25</v>
      </c>
      <c r="GT164" s="846">
        <f t="shared" si="73"/>
        <v>0.25</v>
      </c>
      <c r="GU164" s="846">
        <f t="shared" si="73"/>
        <v>0.25</v>
      </c>
      <c r="GV164" s="846">
        <f t="shared" si="73"/>
        <v>0</v>
      </c>
      <c r="GW164" s="846">
        <f t="shared" si="73"/>
        <v>0.25</v>
      </c>
      <c r="GX164" s="846">
        <f t="shared" si="73"/>
        <v>0</v>
      </c>
      <c r="GY164" s="846">
        <f t="shared" si="73"/>
        <v>0.25</v>
      </c>
      <c r="GZ164" s="846">
        <f t="shared" si="73"/>
        <v>0</v>
      </c>
      <c r="HA164" s="846">
        <f t="shared" si="73"/>
        <v>0.25</v>
      </c>
      <c r="HB164" s="846">
        <f t="shared" si="73"/>
        <v>0.25</v>
      </c>
      <c r="HC164" s="846">
        <f t="shared" si="73"/>
        <v>0</v>
      </c>
      <c r="HD164" s="846">
        <f t="shared" si="73"/>
        <v>0.25</v>
      </c>
      <c r="HE164" s="846">
        <f t="shared" si="73"/>
        <v>0.25</v>
      </c>
      <c r="HF164" s="846">
        <f t="shared" si="73"/>
        <v>0.25</v>
      </c>
      <c r="HG164" s="846">
        <f t="shared" si="73"/>
        <v>0</v>
      </c>
      <c r="HH164" s="846">
        <f t="shared" si="73"/>
        <v>0.25</v>
      </c>
      <c r="HI164" s="846">
        <f t="shared" si="73"/>
        <v>0.25</v>
      </c>
      <c r="HJ164" s="846">
        <f t="shared" si="73"/>
        <v>0.25</v>
      </c>
      <c r="HK164" s="846">
        <f t="shared" si="73"/>
        <v>0.25</v>
      </c>
      <c r="HL164" s="846">
        <f t="shared" si="73"/>
        <v>0</v>
      </c>
      <c r="HM164" s="846">
        <f t="shared" si="73"/>
        <v>0.25</v>
      </c>
      <c r="HN164" s="846">
        <f t="shared" si="73"/>
        <v>0.25</v>
      </c>
      <c r="HO164" s="846">
        <f t="shared" si="73"/>
        <v>0.25</v>
      </c>
      <c r="HP164" s="846">
        <f t="shared" si="73"/>
        <v>0.25</v>
      </c>
      <c r="HQ164" s="846">
        <f t="shared" si="73"/>
        <v>0</v>
      </c>
      <c r="HR164" s="846">
        <f t="shared" si="73"/>
        <v>0.25</v>
      </c>
      <c r="HS164" s="846">
        <f t="shared" si="73"/>
        <v>0</v>
      </c>
      <c r="HT164" s="846">
        <f t="shared" si="73"/>
        <v>0.25</v>
      </c>
      <c r="HU164" s="846">
        <f t="shared" si="73"/>
        <v>0</v>
      </c>
      <c r="HV164" s="846">
        <f t="shared" si="73"/>
        <v>0.25</v>
      </c>
      <c r="HW164" s="846">
        <f t="shared" si="73"/>
        <v>0.25</v>
      </c>
      <c r="HX164" s="846">
        <f t="shared" si="73"/>
        <v>0</v>
      </c>
      <c r="HY164" s="846">
        <f t="shared" si="73"/>
        <v>0.25</v>
      </c>
      <c r="HZ164" s="846">
        <f t="shared" si="73"/>
        <v>0.25</v>
      </c>
      <c r="IA164" s="846">
        <f t="shared" si="73"/>
        <v>0.25</v>
      </c>
      <c r="IB164" s="846">
        <f t="shared" si="73"/>
        <v>0</v>
      </c>
      <c r="IC164" s="846">
        <f t="shared" si="73"/>
        <v>0.25</v>
      </c>
      <c r="ID164" s="846">
        <f t="shared" si="73"/>
        <v>0.25</v>
      </c>
      <c r="IE164" s="846">
        <f t="shared" ref="IE164:IY164" si="74">IF(COUNTIF(IE$152:IE$159,$I$158)&gt;0,$D$13,0)</f>
        <v>0.25</v>
      </c>
      <c r="IF164" s="846">
        <f t="shared" si="74"/>
        <v>0.25</v>
      </c>
      <c r="IG164" s="846">
        <f t="shared" si="74"/>
        <v>0</v>
      </c>
      <c r="IH164" s="846">
        <f t="shared" si="74"/>
        <v>0.25</v>
      </c>
      <c r="II164" s="846">
        <f t="shared" si="74"/>
        <v>0.25</v>
      </c>
      <c r="IJ164" s="846">
        <f t="shared" si="74"/>
        <v>0.25</v>
      </c>
      <c r="IK164" s="846">
        <f t="shared" si="74"/>
        <v>0.25</v>
      </c>
      <c r="IL164" s="846">
        <f t="shared" si="74"/>
        <v>0.25</v>
      </c>
      <c r="IM164" s="846">
        <f t="shared" si="74"/>
        <v>0</v>
      </c>
      <c r="IN164" s="846">
        <f t="shared" si="74"/>
        <v>0.25</v>
      </c>
      <c r="IO164" s="846">
        <f t="shared" si="74"/>
        <v>0.25</v>
      </c>
      <c r="IP164" s="846">
        <f t="shared" si="74"/>
        <v>0.25</v>
      </c>
      <c r="IQ164" s="846">
        <f t="shared" si="74"/>
        <v>0.25</v>
      </c>
      <c r="IR164" s="846">
        <f t="shared" si="74"/>
        <v>0.25</v>
      </c>
      <c r="IS164" s="846">
        <f t="shared" si="74"/>
        <v>0.25</v>
      </c>
      <c r="IT164" s="846">
        <f t="shared" si="74"/>
        <v>0</v>
      </c>
      <c r="IU164" s="846">
        <f t="shared" si="74"/>
        <v>0.25</v>
      </c>
      <c r="IV164" s="846">
        <f t="shared" si="74"/>
        <v>0.25</v>
      </c>
      <c r="IW164" s="846">
        <f t="shared" si="74"/>
        <v>0.25</v>
      </c>
      <c r="IX164" s="846">
        <f t="shared" si="74"/>
        <v>0.25</v>
      </c>
      <c r="IY164" s="846">
        <f t="shared" si="74"/>
        <v>0.25</v>
      </c>
    </row>
    <row r="165" spans="1:259" s="190" customFormat="1" x14ac:dyDescent="0.25">
      <c r="A165" s="655" t="str">
        <f>"Perennial crop % of " &amp; IF(B268 = 1,"marginal ", "all ")&amp;"corn &amp; soy"</f>
        <v>Perennial crop % of marginal corn &amp; soy</v>
      </c>
      <c r="B165" s="209"/>
      <c r="C165" s="677">
        <f ca="1">IFERROR(INDEX(D165:OFFSET(D165,0,$IY$172),$C$172),0)</f>
        <v>0.3</v>
      </c>
      <c r="D165" s="679">
        <v>0</v>
      </c>
      <c r="E165" s="679">
        <v>0</v>
      </c>
      <c r="F165" s="679">
        <v>0</v>
      </c>
      <c r="G165" s="679">
        <v>0</v>
      </c>
      <c r="H165" s="679">
        <f>D14</f>
        <v>0.3</v>
      </c>
      <c r="I165" s="679">
        <v>0</v>
      </c>
      <c r="J165" s="679">
        <v>0</v>
      </c>
      <c r="K165" s="679">
        <v>0</v>
      </c>
      <c r="L165" s="679">
        <v>0</v>
      </c>
      <c r="M165" s="679">
        <v>0</v>
      </c>
      <c r="N165" s="680">
        <f>IF(COUNTIF(N$152:N$159,$I$159)&gt;0,$D$14,0)</f>
        <v>0.3</v>
      </c>
      <c r="O165" s="849">
        <f t="shared" ref="O165:AT165" si="75">IF(COUNTIF(O$152:O$159,$I$159)&gt;0,$D$14,0)</f>
        <v>0</v>
      </c>
      <c r="P165" s="845">
        <f t="shared" si="75"/>
        <v>0</v>
      </c>
      <c r="Q165" s="845">
        <f t="shared" si="75"/>
        <v>0</v>
      </c>
      <c r="R165" s="845">
        <f t="shared" si="75"/>
        <v>0</v>
      </c>
      <c r="S165" s="845">
        <f t="shared" si="75"/>
        <v>0</v>
      </c>
      <c r="T165" s="845">
        <f t="shared" si="75"/>
        <v>0</v>
      </c>
      <c r="U165" s="845">
        <f t="shared" si="75"/>
        <v>0.3</v>
      </c>
      <c r="V165" s="845">
        <f t="shared" si="75"/>
        <v>0</v>
      </c>
      <c r="W165" s="845">
        <f t="shared" si="75"/>
        <v>0</v>
      </c>
      <c r="X165" s="845">
        <f t="shared" si="75"/>
        <v>0</v>
      </c>
      <c r="Y165" s="845">
        <f t="shared" si="75"/>
        <v>0</v>
      </c>
      <c r="Z165" s="845">
        <f t="shared" si="75"/>
        <v>0</v>
      </c>
      <c r="AA165" s="846">
        <f t="shared" si="75"/>
        <v>0.3</v>
      </c>
      <c r="AB165" s="846">
        <f t="shared" si="75"/>
        <v>0</v>
      </c>
      <c r="AC165" s="846">
        <f t="shared" si="75"/>
        <v>0</v>
      </c>
      <c r="AD165" s="846">
        <f t="shared" si="75"/>
        <v>0</v>
      </c>
      <c r="AE165" s="846">
        <f t="shared" si="75"/>
        <v>0</v>
      </c>
      <c r="AF165" s="846">
        <f t="shared" si="75"/>
        <v>0.3</v>
      </c>
      <c r="AG165" s="846">
        <f t="shared" si="75"/>
        <v>0</v>
      </c>
      <c r="AH165" s="846">
        <f t="shared" si="75"/>
        <v>0</v>
      </c>
      <c r="AI165" s="846">
        <f t="shared" si="75"/>
        <v>0</v>
      </c>
      <c r="AJ165" s="846">
        <f t="shared" si="75"/>
        <v>0.3</v>
      </c>
      <c r="AK165" s="846">
        <f t="shared" si="75"/>
        <v>0</v>
      </c>
      <c r="AL165" s="846">
        <f t="shared" si="75"/>
        <v>0</v>
      </c>
      <c r="AM165" s="846">
        <f t="shared" si="75"/>
        <v>0.3</v>
      </c>
      <c r="AN165" s="846">
        <f t="shared" si="75"/>
        <v>0</v>
      </c>
      <c r="AO165" s="846">
        <f t="shared" si="75"/>
        <v>0.3</v>
      </c>
      <c r="AP165" s="846">
        <f t="shared" si="75"/>
        <v>0.3</v>
      </c>
      <c r="AQ165" s="846">
        <f t="shared" si="75"/>
        <v>0</v>
      </c>
      <c r="AR165" s="846">
        <f t="shared" si="75"/>
        <v>0</v>
      </c>
      <c r="AS165" s="846">
        <f t="shared" si="75"/>
        <v>0</v>
      </c>
      <c r="AT165" s="846">
        <f t="shared" si="75"/>
        <v>0</v>
      </c>
      <c r="AU165" s="846">
        <f t="shared" ref="AU165:BZ165" si="76">IF(COUNTIF(AU$152:AU$159,$I$159)&gt;0,$D$14,0)</f>
        <v>0</v>
      </c>
      <c r="AV165" s="846">
        <f t="shared" si="76"/>
        <v>0.3</v>
      </c>
      <c r="AW165" s="846">
        <f t="shared" si="76"/>
        <v>0</v>
      </c>
      <c r="AX165" s="846">
        <f t="shared" si="76"/>
        <v>0</v>
      </c>
      <c r="AY165" s="846">
        <f t="shared" si="76"/>
        <v>0</v>
      </c>
      <c r="AZ165" s="846">
        <f t="shared" si="76"/>
        <v>0</v>
      </c>
      <c r="BA165" s="846">
        <f t="shared" si="76"/>
        <v>0.3</v>
      </c>
      <c r="BB165" s="846">
        <f t="shared" si="76"/>
        <v>0</v>
      </c>
      <c r="BC165" s="846">
        <f t="shared" si="76"/>
        <v>0</v>
      </c>
      <c r="BD165" s="846">
        <f t="shared" si="76"/>
        <v>0</v>
      </c>
      <c r="BE165" s="846">
        <f t="shared" si="76"/>
        <v>0.3</v>
      </c>
      <c r="BF165" s="846">
        <f t="shared" si="76"/>
        <v>0</v>
      </c>
      <c r="BG165" s="846">
        <f t="shared" si="76"/>
        <v>0</v>
      </c>
      <c r="BH165" s="846">
        <f t="shared" si="76"/>
        <v>0.3</v>
      </c>
      <c r="BI165" s="846">
        <f t="shared" si="76"/>
        <v>0</v>
      </c>
      <c r="BJ165" s="846">
        <f t="shared" si="76"/>
        <v>0.3</v>
      </c>
      <c r="BK165" s="846">
        <f t="shared" si="76"/>
        <v>0.3</v>
      </c>
      <c r="BL165" s="846">
        <f t="shared" si="76"/>
        <v>0</v>
      </c>
      <c r="BM165" s="846">
        <f t="shared" si="76"/>
        <v>0</v>
      </c>
      <c r="BN165" s="846">
        <f t="shared" si="76"/>
        <v>0</v>
      </c>
      <c r="BO165" s="846">
        <f t="shared" si="76"/>
        <v>0</v>
      </c>
      <c r="BP165" s="846">
        <f t="shared" si="76"/>
        <v>0.3</v>
      </c>
      <c r="BQ165" s="846">
        <f t="shared" si="76"/>
        <v>0</v>
      </c>
      <c r="BR165" s="846">
        <f t="shared" si="76"/>
        <v>0</v>
      </c>
      <c r="BS165" s="846">
        <f t="shared" si="76"/>
        <v>0</v>
      </c>
      <c r="BT165" s="846">
        <f t="shared" si="76"/>
        <v>0.3</v>
      </c>
      <c r="BU165" s="846">
        <f t="shared" si="76"/>
        <v>0</v>
      </c>
      <c r="BV165" s="846">
        <f t="shared" si="76"/>
        <v>0</v>
      </c>
      <c r="BW165" s="846">
        <f t="shared" si="76"/>
        <v>0.3</v>
      </c>
      <c r="BX165" s="846">
        <f t="shared" si="76"/>
        <v>0</v>
      </c>
      <c r="BY165" s="846">
        <f t="shared" si="76"/>
        <v>0.3</v>
      </c>
      <c r="BZ165" s="846">
        <f t="shared" si="76"/>
        <v>0.3</v>
      </c>
      <c r="CA165" s="846">
        <f t="shared" ref="CA165:DF165" si="77">IF(COUNTIF(CA$152:CA$159,$I$159)&gt;0,$D$14,0)</f>
        <v>0</v>
      </c>
      <c r="CB165" s="846">
        <f t="shared" si="77"/>
        <v>0</v>
      </c>
      <c r="CC165" s="846">
        <f t="shared" si="77"/>
        <v>0</v>
      </c>
      <c r="CD165" s="846">
        <f t="shared" si="77"/>
        <v>0.3</v>
      </c>
      <c r="CE165" s="846">
        <f t="shared" si="77"/>
        <v>0</v>
      </c>
      <c r="CF165" s="846">
        <f t="shared" si="77"/>
        <v>0</v>
      </c>
      <c r="CG165" s="846">
        <f t="shared" si="77"/>
        <v>0.3</v>
      </c>
      <c r="CH165" s="846">
        <f t="shared" si="77"/>
        <v>0</v>
      </c>
      <c r="CI165" s="846">
        <f t="shared" si="77"/>
        <v>0.3</v>
      </c>
      <c r="CJ165" s="846">
        <f t="shared" si="77"/>
        <v>0.3</v>
      </c>
      <c r="CK165" s="846">
        <f t="shared" si="77"/>
        <v>0</v>
      </c>
      <c r="CL165" s="846">
        <f t="shared" si="77"/>
        <v>0</v>
      </c>
      <c r="CM165" s="846">
        <f t="shared" si="77"/>
        <v>0.3</v>
      </c>
      <c r="CN165" s="846">
        <f t="shared" si="77"/>
        <v>0</v>
      </c>
      <c r="CO165" s="846">
        <f t="shared" si="77"/>
        <v>0.3</v>
      </c>
      <c r="CP165" s="846">
        <f t="shared" si="77"/>
        <v>0.3</v>
      </c>
      <c r="CQ165" s="846">
        <f t="shared" si="77"/>
        <v>0</v>
      </c>
      <c r="CR165" s="846">
        <f t="shared" si="77"/>
        <v>0.3</v>
      </c>
      <c r="CS165" s="846">
        <f t="shared" si="77"/>
        <v>0.3</v>
      </c>
      <c r="CT165" s="846">
        <f t="shared" si="77"/>
        <v>0.3</v>
      </c>
      <c r="CU165" s="846">
        <f t="shared" si="77"/>
        <v>0</v>
      </c>
      <c r="CV165" s="846">
        <f t="shared" si="77"/>
        <v>0</v>
      </c>
      <c r="CW165" s="846">
        <f t="shared" si="77"/>
        <v>0</v>
      </c>
      <c r="CX165" s="846">
        <f t="shared" si="77"/>
        <v>0</v>
      </c>
      <c r="CY165" s="846">
        <f t="shared" si="77"/>
        <v>0.3</v>
      </c>
      <c r="CZ165" s="846">
        <f t="shared" si="77"/>
        <v>0</v>
      </c>
      <c r="DA165" s="846">
        <f t="shared" si="77"/>
        <v>0</v>
      </c>
      <c r="DB165" s="846">
        <f t="shared" si="77"/>
        <v>0</v>
      </c>
      <c r="DC165" s="846">
        <f t="shared" si="77"/>
        <v>0.3</v>
      </c>
      <c r="DD165" s="846">
        <f t="shared" si="77"/>
        <v>0</v>
      </c>
      <c r="DE165" s="846">
        <f t="shared" si="77"/>
        <v>0</v>
      </c>
      <c r="DF165" s="846">
        <f t="shared" si="77"/>
        <v>0.3</v>
      </c>
      <c r="DG165" s="846">
        <f t="shared" ref="DG165:FR165" si="78">IF(COUNTIF(DG$152:DG$159,$I$159)&gt;0,$D$14,0)</f>
        <v>0</v>
      </c>
      <c r="DH165" s="846">
        <f t="shared" si="78"/>
        <v>0.3</v>
      </c>
      <c r="DI165" s="846">
        <f t="shared" si="78"/>
        <v>0.3</v>
      </c>
      <c r="DJ165" s="846">
        <f t="shared" si="78"/>
        <v>0</v>
      </c>
      <c r="DK165" s="846">
        <f t="shared" si="78"/>
        <v>0</v>
      </c>
      <c r="DL165" s="846">
        <f t="shared" si="78"/>
        <v>0</v>
      </c>
      <c r="DM165" s="846">
        <f t="shared" si="78"/>
        <v>0.3</v>
      </c>
      <c r="DN165" s="846">
        <f t="shared" si="78"/>
        <v>0</v>
      </c>
      <c r="DO165" s="846">
        <f t="shared" si="78"/>
        <v>0</v>
      </c>
      <c r="DP165" s="846">
        <f t="shared" si="78"/>
        <v>0.3</v>
      </c>
      <c r="DQ165" s="846">
        <f t="shared" si="78"/>
        <v>0</v>
      </c>
      <c r="DR165" s="846">
        <f t="shared" si="78"/>
        <v>0.3</v>
      </c>
      <c r="DS165" s="846">
        <f t="shared" si="78"/>
        <v>0.3</v>
      </c>
      <c r="DT165" s="846">
        <f t="shared" si="78"/>
        <v>0</v>
      </c>
      <c r="DU165" s="846">
        <f t="shared" si="78"/>
        <v>0</v>
      </c>
      <c r="DV165" s="846">
        <f t="shared" si="78"/>
        <v>0.3</v>
      </c>
      <c r="DW165" s="846">
        <f t="shared" si="78"/>
        <v>0</v>
      </c>
      <c r="DX165" s="846">
        <f t="shared" si="78"/>
        <v>0.3</v>
      </c>
      <c r="DY165" s="846">
        <f t="shared" si="78"/>
        <v>0.3</v>
      </c>
      <c r="DZ165" s="846">
        <f t="shared" si="78"/>
        <v>0</v>
      </c>
      <c r="EA165" s="846">
        <f t="shared" si="78"/>
        <v>0.3</v>
      </c>
      <c r="EB165" s="846">
        <f t="shared" si="78"/>
        <v>0.3</v>
      </c>
      <c r="EC165" s="846">
        <f t="shared" si="78"/>
        <v>0.3</v>
      </c>
      <c r="ED165" s="846">
        <f t="shared" si="78"/>
        <v>0</v>
      </c>
      <c r="EE165" s="846">
        <f t="shared" si="78"/>
        <v>0</v>
      </c>
      <c r="EF165" s="846">
        <f t="shared" si="78"/>
        <v>0</v>
      </c>
      <c r="EG165" s="846">
        <f t="shared" si="78"/>
        <v>0.3</v>
      </c>
      <c r="EH165" s="846">
        <f t="shared" si="78"/>
        <v>0</v>
      </c>
      <c r="EI165" s="846">
        <f t="shared" si="78"/>
        <v>0</v>
      </c>
      <c r="EJ165" s="846">
        <f t="shared" si="78"/>
        <v>0.3</v>
      </c>
      <c r="EK165" s="846">
        <f t="shared" si="78"/>
        <v>0</v>
      </c>
      <c r="EL165" s="846">
        <f t="shared" si="78"/>
        <v>0.3</v>
      </c>
      <c r="EM165" s="846">
        <f t="shared" si="78"/>
        <v>0.3</v>
      </c>
      <c r="EN165" s="846">
        <f t="shared" si="78"/>
        <v>0</v>
      </c>
      <c r="EO165" s="846">
        <f t="shared" si="78"/>
        <v>0</v>
      </c>
      <c r="EP165" s="846">
        <f t="shared" si="78"/>
        <v>0.3</v>
      </c>
      <c r="EQ165" s="846">
        <f t="shared" si="78"/>
        <v>0</v>
      </c>
      <c r="ER165" s="846">
        <f t="shared" si="78"/>
        <v>0.3</v>
      </c>
      <c r="ES165" s="846">
        <f t="shared" si="78"/>
        <v>0.3</v>
      </c>
      <c r="ET165" s="846">
        <f t="shared" si="78"/>
        <v>0</v>
      </c>
      <c r="EU165" s="846">
        <f t="shared" si="78"/>
        <v>0.3</v>
      </c>
      <c r="EV165" s="846">
        <f t="shared" si="78"/>
        <v>0.3</v>
      </c>
      <c r="EW165" s="846">
        <f t="shared" si="78"/>
        <v>0.3</v>
      </c>
      <c r="EX165" s="846">
        <f t="shared" si="78"/>
        <v>0</v>
      </c>
      <c r="EY165" s="846">
        <f t="shared" si="78"/>
        <v>0</v>
      </c>
      <c r="EZ165" s="846">
        <f t="shared" si="78"/>
        <v>0.3</v>
      </c>
      <c r="FA165" s="846">
        <f t="shared" si="78"/>
        <v>0</v>
      </c>
      <c r="FB165" s="846">
        <f t="shared" si="78"/>
        <v>0.3</v>
      </c>
      <c r="FC165" s="846">
        <f t="shared" si="78"/>
        <v>0.3</v>
      </c>
      <c r="FD165" s="846">
        <f t="shared" si="78"/>
        <v>0</v>
      </c>
      <c r="FE165" s="846">
        <f t="shared" si="78"/>
        <v>0.3</v>
      </c>
      <c r="FF165" s="846">
        <f t="shared" si="78"/>
        <v>0.3</v>
      </c>
      <c r="FG165" s="846">
        <f t="shared" si="78"/>
        <v>0.3</v>
      </c>
      <c r="FH165" s="846">
        <f t="shared" si="78"/>
        <v>0</v>
      </c>
      <c r="FI165" s="846">
        <f t="shared" si="78"/>
        <v>0.3</v>
      </c>
      <c r="FJ165" s="846">
        <f t="shared" si="78"/>
        <v>0.3</v>
      </c>
      <c r="FK165" s="846">
        <f t="shared" si="78"/>
        <v>0.3</v>
      </c>
      <c r="FL165" s="846">
        <f t="shared" si="78"/>
        <v>0.3</v>
      </c>
      <c r="FM165" s="846">
        <f t="shared" si="78"/>
        <v>0</v>
      </c>
      <c r="FN165" s="846">
        <f t="shared" si="78"/>
        <v>0</v>
      </c>
      <c r="FO165" s="846">
        <f t="shared" si="78"/>
        <v>0</v>
      </c>
      <c r="FP165" s="846">
        <f t="shared" si="78"/>
        <v>0.3</v>
      </c>
      <c r="FQ165" s="846">
        <f t="shared" si="78"/>
        <v>0</v>
      </c>
      <c r="FR165" s="846">
        <f t="shared" si="78"/>
        <v>0</v>
      </c>
      <c r="FS165" s="846">
        <f t="shared" ref="FS165:ID165" si="79">IF(COUNTIF(FS$152:FS$159,$I$159)&gt;0,$D$14,0)</f>
        <v>0.3</v>
      </c>
      <c r="FT165" s="846">
        <f t="shared" si="79"/>
        <v>0</v>
      </c>
      <c r="FU165" s="846">
        <f t="shared" si="79"/>
        <v>0.3</v>
      </c>
      <c r="FV165" s="846">
        <f t="shared" si="79"/>
        <v>0.3</v>
      </c>
      <c r="FW165" s="846">
        <f t="shared" si="79"/>
        <v>0</v>
      </c>
      <c r="FX165" s="846">
        <f t="shared" si="79"/>
        <v>0</v>
      </c>
      <c r="FY165" s="846">
        <f t="shared" si="79"/>
        <v>0.3</v>
      </c>
      <c r="FZ165" s="846">
        <f t="shared" si="79"/>
        <v>0</v>
      </c>
      <c r="GA165" s="846">
        <f t="shared" si="79"/>
        <v>0.3</v>
      </c>
      <c r="GB165" s="846">
        <f t="shared" si="79"/>
        <v>0.3</v>
      </c>
      <c r="GC165" s="846">
        <f t="shared" si="79"/>
        <v>0</v>
      </c>
      <c r="GD165" s="846">
        <f t="shared" si="79"/>
        <v>0.3</v>
      </c>
      <c r="GE165" s="846">
        <f t="shared" si="79"/>
        <v>0.3</v>
      </c>
      <c r="GF165" s="846">
        <f t="shared" si="79"/>
        <v>0.3</v>
      </c>
      <c r="GG165" s="846">
        <f t="shared" si="79"/>
        <v>0</v>
      </c>
      <c r="GH165" s="846">
        <f t="shared" si="79"/>
        <v>0</v>
      </c>
      <c r="GI165" s="846">
        <f t="shared" si="79"/>
        <v>0.3</v>
      </c>
      <c r="GJ165" s="846">
        <f t="shared" si="79"/>
        <v>0</v>
      </c>
      <c r="GK165" s="846">
        <f t="shared" si="79"/>
        <v>0.3</v>
      </c>
      <c r="GL165" s="846">
        <f t="shared" si="79"/>
        <v>0.3</v>
      </c>
      <c r="GM165" s="846">
        <f t="shared" si="79"/>
        <v>0</v>
      </c>
      <c r="GN165" s="846">
        <f t="shared" si="79"/>
        <v>0.3</v>
      </c>
      <c r="GO165" s="846">
        <f t="shared" si="79"/>
        <v>0.3</v>
      </c>
      <c r="GP165" s="846">
        <f t="shared" si="79"/>
        <v>0.3</v>
      </c>
      <c r="GQ165" s="846">
        <f t="shared" si="79"/>
        <v>0</v>
      </c>
      <c r="GR165" s="846">
        <f t="shared" si="79"/>
        <v>0.3</v>
      </c>
      <c r="GS165" s="846">
        <f t="shared" si="79"/>
        <v>0.3</v>
      </c>
      <c r="GT165" s="846">
        <f t="shared" si="79"/>
        <v>0.3</v>
      </c>
      <c r="GU165" s="846">
        <f t="shared" si="79"/>
        <v>0.3</v>
      </c>
      <c r="GV165" s="846">
        <f t="shared" si="79"/>
        <v>0</v>
      </c>
      <c r="GW165" s="846">
        <f t="shared" si="79"/>
        <v>0</v>
      </c>
      <c r="GX165" s="846">
        <f t="shared" si="79"/>
        <v>0.3</v>
      </c>
      <c r="GY165" s="846">
        <f t="shared" si="79"/>
        <v>0</v>
      </c>
      <c r="GZ165" s="846">
        <f t="shared" si="79"/>
        <v>0.3</v>
      </c>
      <c r="HA165" s="846">
        <f t="shared" si="79"/>
        <v>0.3</v>
      </c>
      <c r="HB165" s="846">
        <f t="shared" si="79"/>
        <v>0</v>
      </c>
      <c r="HC165" s="846">
        <f t="shared" si="79"/>
        <v>0.3</v>
      </c>
      <c r="HD165" s="846">
        <f t="shared" si="79"/>
        <v>0.3</v>
      </c>
      <c r="HE165" s="846">
        <f t="shared" si="79"/>
        <v>0.3</v>
      </c>
      <c r="HF165" s="846">
        <f t="shared" si="79"/>
        <v>0</v>
      </c>
      <c r="HG165" s="846">
        <f t="shared" si="79"/>
        <v>0.3</v>
      </c>
      <c r="HH165" s="846">
        <f t="shared" si="79"/>
        <v>0.3</v>
      </c>
      <c r="HI165" s="846">
        <f t="shared" si="79"/>
        <v>0.3</v>
      </c>
      <c r="HJ165" s="846">
        <f t="shared" si="79"/>
        <v>0.3</v>
      </c>
      <c r="HK165" s="846">
        <f t="shared" si="79"/>
        <v>0</v>
      </c>
      <c r="HL165" s="846">
        <f t="shared" si="79"/>
        <v>0.3</v>
      </c>
      <c r="HM165" s="846">
        <f t="shared" si="79"/>
        <v>0.3</v>
      </c>
      <c r="HN165" s="846">
        <f t="shared" si="79"/>
        <v>0.3</v>
      </c>
      <c r="HO165" s="846">
        <f t="shared" si="79"/>
        <v>0.3</v>
      </c>
      <c r="HP165" s="846">
        <f t="shared" si="79"/>
        <v>0.3</v>
      </c>
      <c r="HQ165" s="846">
        <f t="shared" si="79"/>
        <v>0</v>
      </c>
      <c r="HR165" s="846">
        <f t="shared" si="79"/>
        <v>0</v>
      </c>
      <c r="HS165" s="846">
        <f t="shared" si="79"/>
        <v>0.3</v>
      </c>
      <c r="HT165" s="846">
        <f t="shared" si="79"/>
        <v>0</v>
      </c>
      <c r="HU165" s="846">
        <f t="shared" si="79"/>
        <v>0.3</v>
      </c>
      <c r="HV165" s="846">
        <f t="shared" si="79"/>
        <v>0.3</v>
      </c>
      <c r="HW165" s="846">
        <f t="shared" si="79"/>
        <v>0</v>
      </c>
      <c r="HX165" s="846">
        <f t="shared" si="79"/>
        <v>0.3</v>
      </c>
      <c r="HY165" s="846">
        <f t="shared" si="79"/>
        <v>0.3</v>
      </c>
      <c r="HZ165" s="846">
        <f t="shared" si="79"/>
        <v>0.3</v>
      </c>
      <c r="IA165" s="846">
        <f t="shared" si="79"/>
        <v>0</v>
      </c>
      <c r="IB165" s="846">
        <f t="shared" si="79"/>
        <v>0.3</v>
      </c>
      <c r="IC165" s="846">
        <f t="shared" si="79"/>
        <v>0.3</v>
      </c>
      <c r="ID165" s="846">
        <f t="shared" si="79"/>
        <v>0.3</v>
      </c>
      <c r="IE165" s="846">
        <f t="shared" ref="IE165:IY165" si="80">IF(COUNTIF(IE$152:IE$159,$I$159)&gt;0,$D$14,0)</f>
        <v>0.3</v>
      </c>
      <c r="IF165" s="846">
        <f t="shared" si="80"/>
        <v>0</v>
      </c>
      <c r="IG165" s="846">
        <f t="shared" si="80"/>
        <v>0.3</v>
      </c>
      <c r="IH165" s="846">
        <f t="shared" si="80"/>
        <v>0.3</v>
      </c>
      <c r="II165" s="846">
        <f t="shared" si="80"/>
        <v>0.3</v>
      </c>
      <c r="IJ165" s="846">
        <f t="shared" si="80"/>
        <v>0.3</v>
      </c>
      <c r="IK165" s="846">
        <f t="shared" si="80"/>
        <v>0.3</v>
      </c>
      <c r="IL165" s="846">
        <f t="shared" si="80"/>
        <v>0</v>
      </c>
      <c r="IM165" s="846">
        <f t="shared" si="80"/>
        <v>0.3</v>
      </c>
      <c r="IN165" s="846">
        <f t="shared" si="80"/>
        <v>0.3</v>
      </c>
      <c r="IO165" s="846">
        <f t="shared" si="80"/>
        <v>0.3</v>
      </c>
      <c r="IP165" s="846">
        <f t="shared" si="80"/>
        <v>0.3</v>
      </c>
      <c r="IQ165" s="846">
        <f t="shared" si="80"/>
        <v>0.3</v>
      </c>
      <c r="IR165" s="846">
        <f t="shared" si="80"/>
        <v>0.3</v>
      </c>
      <c r="IS165" s="846">
        <f t="shared" si="80"/>
        <v>0</v>
      </c>
      <c r="IT165" s="846">
        <f t="shared" si="80"/>
        <v>0.3</v>
      </c>
      <c r="IU165" s="846">
        <f t="shared" si="80"/>
        <v>0.3</v>
      </c>
      <c r="IV165" s="846">
        <f t="shared" si="80"/>
        <v>0.3</v>
      </c>
      <c r="IW165" s="846">
        <f t="shared" si="80"/>
        <v>0.3</v>
      </c>
      <c r="IX165" s="846">
        <f t="shared" si="80"/>
        <v>0.3</v>
      </c>
      <c r="IY165" s="846">
        <f t="shared" si="80"/>
        <v>0.3</v>
      </c>
    </row>
    <row r="166" spans="1:259" s="190" customFormat="1" x14ac:dyDescent="0.25">
      <c r="A166" s="4" t="s">
        <v>840</v>
      </c>
      <c r="B166" s="209"/>
      <c r="C166" s="677">
        <f ca="1">IFERROR(INDEX(D166:OFFSET(D166,0,$IY$172),$C$172),0)</f>
        <v>0.1</v>
      </c>
      <c r="D166" s="679">
        <v>0</v>
      </c>
      <c r="E166" s="679">
        <v>0</v>
      </c>
      <c r="F166" s="679">
        <v>0</v>
      </c>
      <c r="G166" s="679">
        <v>0</v>
      </c>
      <c r="H166" s="679">
        <v>0</v>
      </c>
      <c r="I166" s="679">
        <f>D15</f>
        <v>0.1</v>
      </c>
      <c r="J166" s="679">
        <v>0</v>
      </c>
      <c r="K166" s="679">
        <v>0</v>
      </c>
      <c r="L166" s="679">
        <v>0</v>
      </c>
      <c r="M166" s="679">
        <v>0</v>
      </c>
      <c r="N166" s="680">
        <f>IF(COUNTIF(N$152:N$159,$I$156)&gt;0,$D$15,0)</f>
        <v>0.1</v>
      </c>
      <c r="O166" s="849">
        <f t="shared" ref="O166:AT166" si="81">IF(COUNTIF(O$152:O$159,$I$156)&gt;0,$D$15,0)</f>
        <v>0</v>
      </c>
      <c r="P166" s="845">
        <f t="shared" si="81"/>
        <v>0</v>
      </c>
      <c r="Q166" s="845">
        <f t="shared" si="81"/>
        <v>0</v>
      </c>
      <c r="R166" s="845">
        <f t="shared" si="81"/>
        <v>0.1</v>
      </c>
      <c r="S166" s="845">
        <f t="shared" si="81"/>
        <v>0</v>
      </c>
      <c r="T166" s="845">
        <f t="shared" si="81"/>
        <v>0</v>
      </c>
      <c r="U166" s="845">
        <f t="shared" si="81"/>
        <v>0</v>
      </c>
      <c r="V166" s="845">
        <f t="shared" si="81"/>
        <v>0</v>
      </c>
      <c r="W166" s="845">
        <f t="shared" si="81"/>
        <v>0</v>
      </c>
      <c r="X166" s="845">
        <f t="shared" si="81"/>
        <v>0.1</v>
      </c>
      <c r="Y166" s="845">
        <f t="shared" si="81"/>
        <v>0</v>
      </c>
      <c r="Z166" s="845">
        <f t="shared" si="81"/>
        <v>0</v>
      </c>
      <c r="AA166" s="846">
        <f t="shared" si="81"/>
        <v>0</v>
      </c>
      <c r="AB166" s="846">
        <f t="shared" si="81"/>
        <v>0</v>
      </c>
      <c r="AC166" s="846">
        <f t="shared" si="81"/>
        <v>0.1</v>
      </c>
      <c r="AD166" s="846">
        <f t="shared" si="81"/>
        <v>0</v>
      </c>
      <c r="AE166" s="846">
        <f t="shared" si="81"/>
        <v>0</v>
      </c>
      <c r="AF166" s="846">
        <f t="shared" si="81"/>
        <v>0</v>
      </c>
      <c r="AG166" s="846">
        <f t="shared" si="81"/>
        <v>0.1</v>
      </c>
      <c r="AH166" s="846">
        <f t="shared" si="81"/>
        <v>0</v>
      </c>
      <c r="AI166" s="846">
        <f t="shared" si="81"/>
        <v>0</v>
      </c>
      <c r="AJ166" s="846">
        <f t="shared" si="81"/>
        <v>0</v>
      </c>
      <c r="AK166" s="846">
        <f t="shared" si="81"/>
        <v>0.1</v>
      </c>
      <c r="AL166" s="846">
        <f t="shared" si="81"/>
        <v>0.1</v>
      </c>
      <c r="AM166" s="846">
        <f t="shared" si="81"/>
        <v>0.1</v>
      </c>
      <c r="AN166" s="846">
        <f t="shared" si="81"/>
        <v>0</v>
      </c>
      <c r="AO166" s="846">
        <f t="shared" si="81"/>
        <v>0</v>
      </c>
      <c r="AP166" s="846">
        <f t="shared" si="81"/>
        <v>0</v>
      </c>
      <c r="AQ166" s="846">
        <f t="shared" si="81"/>
        <v>0</v>
      </c>
      <c r="AR166" s="846">
        <f t="shared" si="81"/>
        <v>0</v>
      </c>
      <c r="AS166" s="846">
        <f t="shared" si="81"/>
        <v>0.1</v>
      </c>
      <c r="AT166" s="846">
        <f t="shared" si="81"/>
        <v>0</v>
      </c>
      <c r="AU166" s="846">
        <f t="shared" ref="AU166:BZ166" si="82">IF(COUNTIF(AU$152:AU$159,$I$156)&gt;0,$D$15,0)</f>
        <v>0</v>
      </c>
      <c r="AV166" s="846">
        <f t="shared" si="82"/>
        <v>0</v>
      </c>
      <c r="AW166" s="846">
        <f t="shared" si="82"/>
        <v>0</v>
      </c>
      <c r="AX166" s="846">
        <f t="shared" si="82"/>
        <v>0.1</v>
      </c>
      <c r="AY166" s="846">
        <f t="shared" si="82"/>
        <v>0</v>
      </c>
      <c r="AZ166" s="846">
        <f t="shared" si="82"/>
        <v>0</v>
      </c>
      <c r="BA166" s="846">
        <f t="shared" si="82"/>
        <v>0</v>
      </c>
      <c r="BB166" s="846">
        <f t="shared" si="82"/>
        <v>0.1</v>
      </c>
      <c r="BC166" s="846">
        <f t="shared" si="82"/>
        <v>0</v>
      </c>
      <c r="BD166" s="846">
        <f t="shared" si="82"/>
        <v>0</v>
      </c>
      <c r="BE166" s="846">
        <f t="shared" si="82"/>
        <v>0</v>
      </c>
      <c r="BF166" s="846">
        <f t="shared" si="82"/>
        <v>0.1</v>
      </c>
      <c r="BG166" s="846">
        <f t="shared" si="82"/>
        <v>0.1</v>
      </c>
      <c r="BH166" s="846">
        <f t="shared" si="82"/>
        <v>0.1</v>
      </c>
      <c r="BI166" s="846">
        <f t="shared" si="82"/>
        <v>0</v>
      </c>
      <c r="BJ166" s="846">
        <f t="shared" si="82"/>
        <v>0</v>
      </c>
      <c r="BK166" s="846">
        <f t="shared" si="82"/>
        <v>0</v>
      </c>
      <c r="BL166" s="846">
        <f t="shared" si="82"/>
        <v>0</v>
      </c>
      <c r="BM166" s="846">
        <f t="shared" si="82"/>
        <v>0.1</v>
      </c>
      <c r="BN166" s="846">
        <f t="shared" si="82"/>
        <v>0</v>
      </c>
      <c r="BO166" s="846">
        <f t="shared" si="82"/>
        <v>0</v>
      </c>
      <c r="BP166" s="846">
        <f t="shared" si="82"/>
        <v>0</v>
      </c>
      <c r="BQ166" s="846">
        <f t="shared" si="82"/>
        <v>0.1</v>
      </c>
      <c r="BR166" s="846">
        <f t="shared" si="82"/>
        <v>0</v>
      </c>
      <c r="BS166" s="846">
        <f t="shared" si="82"/>
        <v>0</v>
      </c>
      <c r="BT166" s="846">
        <f t="shared" si="82"/>
        <v>0</v>
      </c>
      <c r="BU166" s="846">
        <f t="shared" si="82"/>
        <v>0.1</v>
      </c>
      <c r="BV166" s="846">
        <f t="shared" si="82"/>
        <v>0.1</v>
      </c>
      <c r="BW166" s="846">
        <f t="shared" si="82"/>
        <v>0.1</v>
      </c>
      <c r="BX166" s="846">
        <f t="shared" si="82"/>
        <v>0</v>
      </c>
      <c r="BY166" s="846">
        <f t="shared" si="82"/>
        <v>0</v>
      </c>
      <c r="BZ166" s="846">
        <f t="shared" si="82"/>
        <v>0</v>
      </c>
      <c r="CA166" s="846">
        <f t="shared" ref="CA166:DF166" si="83">IF(COUNTIF(CA$152:CA$159,$I$156)&gt;0,$D$15,0)</f>
        <v>0.1</v>
      </c>
      <c r="CB166" s="846">
        <f t="shared" si="83"/>
        <v>0</v>
      </c>
      <c r="CC166" s="846">
        <f t="shared" si="83"/>
        <v>0</v>
      </c>
      <c r="CD166" s="846">
        <f t="shared" si="83"/>
        <v>0</v>
      </c>
      <c r="CE166" s="846">
        <f t="shared" si="83"/>
        <v>0.1</v>
      </c>
      <c r="CF166" s="846">
        <f t="shared" si="83"/>
        <v>0.1</v>
      </c>
      <c r="CG166" s="846">
        <f t="shared" si="83"/>
        <v>0.1</v>
      </c>
      <c r="CH166" s="846">
        <f t="shared" si="83"/>
        <v>0</v>
      </c>
      <c r="CI166" s="846">
        <f t="shared" si="83"/>
        <v>0</v>
      </c>
      <c r="CJ166" s="846">
        <f t="shared" si="83"/>
        <v>0</v>
      </c>
      <c r="CK166" s="846">
        <f t="shared" si="83"/>
        <v>0.1</v>
      </c>
      <c r="CL166" s="846">
        <f t="shared" si="83"/>
        <v>0.1</v>
      </c>
      <c r="CM166" s="846">
        <f t="shared" si="83"/>
        <v>0.1</v>
      </c>
      <c r="CN166" s="846">
        <f t="shared" si="83"/>
        <v>0</v>
      </c>
      <c r="CO166" s="846">
        <f t="shared" si="83"/>
        <v>0</v>
      </c>
      <c r="CP166" s="846">
        <f t="shared" si="83"/>
        <v>0</v>
      </c>
      <c r="CQ166" s="846">
        <f t="shared" si="83"/>
        <v>0.1</v>
      </c>
      <c r="CR166" s="846">
        <f t="shared" si="83"/>
        <v>0.1</v>
      </c>
      <c r="CS166" s="846">
        <f t="shared" si="83"/>
        <v>0.1</v>
      </c>
      <c r="CT166" s="846">
        <f t="shared" si="83"/>
        <v>0</v>
      </c>
      <c r="CU166" s="846">
        <f t="shared" si="83"/>
        <v>0</v>
      </c>
      <c r="CV166" s="846">
        <f t="shared" si="83"/>
        <v>0.1</v>
      </c>
      <c r="CW166" s="846">
        <f t="shared" si="83"/>
        <v>0</v>
      </c>
      <c r="CX166" s="846">
        <f t="shared" si="83"/>
        <v>0</v>
      </c>
      <c r="CY166" s="846">
        <f t="shared" si="83"/>
        <v>0</v>
      </c>
      <c r="CZ166" s="846">
        <f t="shared" si="83"/>
        <v>0.1</v>
      </c>
      <c r="DA166" s="846">
        <f t="shared" si="83"/>
        <v>0</v>
      </c>
      <c r="DB166" s="846">
        <f t="shared" si="83"/>
        <v>0</v>
      </c>
      <c r="DC166" s="846">
        <f t="shared" si="83"/>
        <v>0</v>
      </c>
      <c r="DD166" s="846">
        <f t="shared" si="83"/>
        <v>0.1</v>
      </c>
      <c r="DE166" s="846">
        <f t="shared" si="83"/>
        <v>0.1</v>
      </c>
      <c r="DF166" s="846">
        <f t="shared" si="83"/>
        <v>0.1</v>
      </c>
      <c r="DG166" s="846">
        <f t="shared" ref="DG166:FR166" si="84">IF(COUNTIF(DG$152:DG$159,$I$156)&gt;0,$D$15,0)</f>
        <v>0</v>
      </c>
      <c r="DH166" s="846">
        <f t="shared" si="84"/>
        <v>0</v>
      </c>
      <c r="DI166" s="846">
        <f t="shared" si="84"/>
        <v>0</v>
      </c>
      <c r="DJ166" s="846">
        <f t="shared" si="84"/>
        <v>0.1</v>
      </c>
      <c r="DK166" s="846">
        <f t="shared" si="84"/>
        <v>0</v>
      </c>
      <c r="DL166" s="846">
        <f t="shared" si="84"/>
        <v>0</v>
      </c>
      <c r="DM166" s="846">
        <f t="shared" si="84"/>
        <v>0</v>
      </c>
      <c r="DN166" s="846">
        <f t="shared" si="84"/>
        <v>0.1</v>
      </c>
      <c r="DO166" s="846">
        <f t="shared" si="84"/>
        <v>0.1</v>
      </c>
      <c r="DP166" s="846">
        <f t="shared" si="84"/>
        <v>0.1</v>
      </c>
      <c r="DQ166" s="846">
        <f t="shared" si="84"/>
        <v>0</v>
      </c>
      <c r="DR166" s="846">
        <f t="shared" si="84"/>
        <v>0</v>
      </c>
      <c r="DS166" s="846">
        <f t="shared" si="84"/>
        <v>0</v>
      </c>
      <c r="DT166" s="846">
        <f t="shared" si="84"/>
        <v>0.1</v>
      </c>
      <c r="DU166" s="846">
        <f t="shared" si="84"/>
        <v>0.1</v>
      </c>
      <c r="DV166" s="846">
        <f t="shared" si="84"/>
        <v>0.1</v>
      </c>
      <c r="DW166" s="846">
        <f t="shared" si="84"/>
        <v>0</v>
      </c>
      <c r="DX166" s="846">
        <f t="shared" si="84"/>
        <v>0</v>
      </c>
      <c r="DY166" s="846">
        <f t="shared" si="84"/>
        <v>0</v>
      </c>
      <c r="DZ166" s="846">
        <f t="shared" si="84"/>
        <v>0.1</v>
      </c>
      <c r="EA166" s="846">
        <f t="shared" si="84"/>
        <v>0.1</v>
      </c>
      <c r="EB166" s="846">
        <f t="shared" si="84"/>
        <v>0.1</v>
      </c>
      <c r="EC166" s="846">
        <f t="shared" si="84"/>
        <v>0</v>
      </c>
      <c r="ED166" s="846">
        <f t="shared" si="84"/>
        <v>0.1</v>
      </c>
      <c r="EE166" s="846">
        <f t="shared" si="84"/>
        <v>0</v>
      </c>
      <c r="EF166" s="846">
        <f t="shared" si="84"/>
        <v>0</v>
      </c>
      <c r="EG166" s="846">
        <f t="shared" si="84"/>
        <v>0</v>
      </c>
      <c r="EH166" s="846">
        <f t="shared" si="84"/>
        <v>0.1</v>
      </c>
      <c r="EI166" s="846">
        <f t="shared" si="84"/>
        <v>0.1</v>
      </c>
      <c r="EJ166" s="846">
        <f t="shared" si="84"/>
        <v>0.1</v>
      </c>
      <c r="EK166" s="846">
        <f t="shared" si="84"/>
        <v>0</v>
      </c>
      <c r="EL166" s="846">
        <f t="shared" si="84"/>
        <v>0</v>
      </c>
      <c r="EM166" s="846">
        <f t="shared" si="84"/>
        <v>0</v>
      </c>
      <c r="EN166" s="846">
        <f t="shared" si="84"/>
        <v>0.1</v>
      </c>
      <c r="EO166" s="846">
        <f t="shared" si="84"/>
        <v>0.1</v>
      </c>
      <c r="EP166" s="846">
        <f t="shared" si="84"/>
        <v>0.1</v>
      </c>
      <c r="EQ166" s="846">
        <f t="shared" si="84"/>
        <v>0</v>
      </c>
      <c r="ER166" s="846">
        <f t="shared" si="84"/>
        <v>0</v>
      </c>
      <c r="ES166" s="846">
        <f t="shared" si="84"/>
        <v>0</v>
      </c>
      <c r="ET166" s="846">
        <f t="shared" si="84"/>
        <v>0.1</v>
      </c>
      <c r="EU166" s="846">
        <f t="shared" si="84"/>
        <v>0.1</v>
      </c>
      <c r="EV166" s="846">
        <f t="shared" si="84"/>
        <v>0.1</v>
      </c>
      <c r="EW166" s="846">
        <f t="shared" si="84"/>
        <v>0</v>
      </c>
      <c r="EX166" s="846">
        <f t="shared" si="84"/>
        <v>0.1</v>
      </c>
      <c r="EY166" s="846">
        <f t="shared" si="84"/>
        <v>0.1</v>
      </c>
      <c r="EZ166" s="846">
        <f t="shared" si="84"/>
        <v>0.1</v>
      </c>
      <c r="FA166" s="846">
        <f t="shared" si="84"/>
        <v>0</v>
      </c>
      <c r="FB166" s="846">
        <f t="shared" si="84"/>
        <v>0</v>
      </c>
      <c r="FC166" s="846">
        <f t="shared" si="84"/>
        <v>0</v>
      </c>
      <c r="FD166" s="846">
        <f t="shared" si="84"/>
        <v>0.1</v>
      </c>
      <c r="FE166" s="846">
        <f t="shared" si="84"/>
        <v>0.1</v>
      </c>
      <c r="FF166" s="846">
        <f t="shared" si="84"/>
        <v>0.1</v>
      </c>
      <c r="FG166" s="846">
        <f t="shared" si="84"/>
        <v>0</v>
      </c>
      <c r="FH166" s="846">
        <f t="shared" si="84"/>
        <v>0.1</v>
      </c>
      <c r="FI166" s="846">
        <f t="shared" si="84"/>
        <v>0.1</v>
      </c>
      <c r="FJ166" s="846">
        <f t="shared" si="84"/>
        <v>0.1</v>
      </c>
      <c r="FK166" s="846">
        <f t="shared" si="84"/>
        <v>0</v>
      </c>
      <c r="FL166" s="846">
        <f t="shared" si="84"/>
        <v>0.1</v>
      </c>
      <c r="FM166" s="846">
        <f t="shared" si="84"/>
        <v>0.1</v>
      </c>
      <c r="FN166" s="846">
        <f t="shared" si="84"/>
        <v>0</v>
      </c>
      <c r="FO166" s="846">
        <f t="shared" si="84"/>
        <v>0</v>
      </c>
      <c r="FP166" s="846">
        <f t="shared" si="84"/>
        <v>0</v>
      </c>
      <c r="FQ166" s="846">
        <f t="shared" si="84"/>
        <v>0.1</v>
      </c>
      <c r="FR166" s="846">
        <f t="shared" si="84"/>
        <v>0.1</v>
      </c>
      <c r="FS166" s="846">
        <f t="shared" ref="FS166:ID166" si="85">IF(COUNTIF(FS$152:FS$159,$I$156)&gt;0,$D$15,0)</f>
        <v>0.1</v>
      </c>
      <c r="FT166" s="846">
        <f t="shared" si="85"/>
        <v>0</v>
      </c>
      <c r="FU166" s="846">
        <f t="shared" si="85"/>
        <v>0</v>
      </c>
      <c r="FV166" s="846">
        <f t="shared" si="85"/>
        <v>0</v>
      </c>
      <c r="FW166" s="846">
        <f t="shared" si="85"/>
        <v>0.1</v>
      </c>
      <c r="FX166" s="846">
        <f t="shared" si="85"/>
        <v>0.1</v>
      </c>
      <c r="FY166" s="846">
        <f t="shared" si="85"/>
        <v>0.1</v>
      </c>
      <c r="FZ166" s="846">
        <f t="shared" si="85"/>
        <v>0</v>
      </c>
      <c r="GA166" s="846">
        <f t="shared" si="85"/>
        <v>0</v>
      </c>
      <c r="GB166" s="846">
        <f t="shared" si="85"/>
        <v>0</v>
      </c>
      <c r="GC166" s="846">
        <f t="shared" si="85"/>
        <v>0.1</v>
      </c>
      <c r="GD166" s="846">
        <f t="shared" si="85"/>
        <v>0.1</v>
      </c>
      <c r="GE166" s="846">
        <f t="shared" si="85"/>
        <v>0.1</v>
      </c>
      <c r="GF166" s="846">
        <f t="shared" si="85"/>
        <v>0</v>
      </c>
      <c r="GG166" s="846">
        <f t="shared" si="85"/>
        <v>0.1</v>
      </c>
      <c r="GH166" s="846">
        <f t="shared" si="85"/>
        <v>0.1</v>
      </c>
      <c r="GI166" s="846">
        <f t="shared" si="85"/>
        <v>0.1</v>
      </c>
      <c r="GJ166" s="846">
        <f t="shared" si="85"/>
        <v>0</v>
      </c>
      <c r="GK166" s="846">
        <f t="shared" si="85"/>
        <v>0</v>
      </c>
      <c r="GL166" s="846">
        <f t="shared" si="85"/>
        <v>0</v>
      </c>
      <c r="GM166" s="846">
        <f t="shared" si="85"/>
        <v>0.1</v>
      </c>
      <c r="GN166" s="846">
        <f t="shared" si="85"/>
        <v>0.1</v>
      </c>
      <c r="GO166" s="846">
        <f t="shared" si="85"/>
        <v>0.1</v>
      </c>
      <c r="GP166" s="846">
        <f t="shared" si="85"/>
        <v>0</v>
      </c>
      <c r="GQ166" s="846">
        <f t="shared" si="85"/>
        <v>0.1</v>
      </c>
      <c r="GR166" s="846">
        <f t="shared" si="85"/>
        <v>0.1</v>
      </c>
      <c r="GS166" s="846">
        <f t="shared" si="85"/>
        <v>0.1</v>
      </c>
      <c r="GT166" s="846">
        <f t="shared" si="85"/>
        <v>0</v>
      </c>
      <c r="GU166" s="846">
        <f t="shared" si="85"/>
        <v>0.1</v>
      </c>
      <c r="GV166" s="846">
        <f t="shared" si="85"/>
        <v>0.1</v>
      </c>
      <c r="GW166" s="846">
        <f t="shared" si="85"/>
        <v>0.1</v>
      </c>
      <c r="GX166" s="846">
        <f t="shared" si="85"/>
        <v>0.1</v>
      </c>
      <c r="GY166" s="846">
        <f t="shared" si="85"/>
        <v>0</v>
      </c>
      <c r="GZ166" s="846">
        <f t="shared" si="85"/>
        <v>0</v>
      </c>
      <c r="HA166" s="846">
        <f t="shared" si="85"/>
        <v>0</v>
      </c>
      <c r="HB166" s="846">
        <f t="shared" si="85"/>
        <v>0.1</v>
      </c>
      <c r="HC166" s="846">
        <f t="shared" si="85"/>
        <v>0.1</v>
      </c>
      <c r="HD166" s="846">
        <f t="shared" si="85"/>
        <v>0.1</v>
      </c>
      <c r="HE166" s="846">
        <f t="shared" si="85"/>
        <v>0</v>
      </c>
      <c r="HF166" s="846">
        <f t="shared" si="85"/>
        <v>0.1</v>
      </c>
      <c r="HG166" s="846">
        <f t="shared" si="85"/>
        <v>0.1</v>
      </c>
      <c r="HH166" s="846">
        <f t="shared" si="85"/>
        <v>0.1</v>
      </c>
      <c r="HI166" s="846">
        <f t="shared" si="85"/>
        <v>0</v>
      </c>
      <c r="HJ166" s="846">
        <f t="shared" si="85"/>
        <v>0.1</v>
      </c>
      <c r="HK166" s="846">
        <f t="shared" si="85"/>
        <v>0.1</v>
      </c>
      <c r="HL166" s="846">
        <f t="shared" si="85"/>
        <v>0.1</v>
      </c>
      <c r="HM166" s="846">
        <f t="shared" si="85"/>
        <v>0.1</v>
      </c>
      <c r="HN166" s="846">
        <f t="shared" si="85"/>
        <v>0</v>
      </c>
      <c r="HO166" s="846">
        <f t="shared" si="85"/>
        <v>0.1</v>
      </c>
      <c r="HP166" s="846">
        <f t="shared" si="85"/>
        <v>0.1</v>
      </c>
      <c r="HQ166" s="846">
        <f t="shared" si="85"/>
        <v>0.1</v>
      </c>
      <c r="HR166" s="846">
        <f t="shared" si="85"/>
        <v>0.1</v>
      </c>
      <c r="HS166" s="846">
        <f t="shared" si="85"/>
        <v>0.1</v>
      </c>
      <c r="HT166" s="846">
        <f t="shared" si="85"/>
        <v>0</v>
      </c>
      <c r="HU166" s="846">
        <f t="shared" si="85"/>
        <v>0</v>
      </c>
      <c r="HV166" s="846">
        <f t="shared" si="85"/>
        <v>0</v>
      </c>
      <c r="HW166" s="846">
        <f t="shared" si="85"/>
        <v>0.1</v>
      </c>
      <c r="HX166" s="846">
        <f t="shared" si="85"/>
        <v>0.1</v>
      </c>
      <c r="HY166" s="846">
        <f t="shared" si="85"/>
        <v>0.1</v>
      </c>
      <c r="HZ166" s="846">
        <f t="shared" si="85"/>
        <v>0</v>
      </c>
      <c r="IA166" s="846">
        <f t="shared" si="85"/>
        <v>0.1</v>
      </c>
      <c r="IB166" s="846">
        <f t="shared" si="85"/>
        <v>0.1</v>
      </c>
      <c r="IC166" s="846">
        <f t="shared" si="85"/>
        <v>0.1</v>
      </c>
      <c r="ID166" s="846">
        <f t="shared" si="85"/>
        <v>0</v>
      </c>
      <c r="IE166" s="846">
        <f t="shared" ref="IE166:IY166" si="86">IF(COUNTIF(IE$152:IE$159,$I$156)&gt;0,$D$15,0)</f>
        <v>0.1</v>
      </c>
      <c r="IF166" s="846">
        <f t="shared" si="86"/>
        <v>0.1</v>
      </c>
      <c r="IG166" s="846">
        <f t="shared" si="86"/>
        <v>0.1</v>
      </c>
      <c r="IH166" s="846">
        <f t="shared" si="86"/>
        <v>0.1</v>
      </c>
      <c r="II166" s="846">
        <f t="shared" si="86"/>
        <v>0</v>
      </c>
      <c r="IJ166" s="846">
        <f t="shared" si="86"/>
        <v>0.1</v>
      </c>
      <c r="IK166" s="846">
        <f t="shared" si="86"/>
        <v>0.1</v>
      </c>
      <c r="IL166" s="846">
        <f t="shared" si="86"/>
        <v>0.1</v>
      </c>
      <c r="IM166" s="846">
        <f t="shared" si="86"/>
        <v>0.1</v>
      </c>
      <c r="IN166" s="846">
        <f t="shared" si="86"/>
        <v>0.1</v>
      </c>
      <c r="IO166" s="846">
        <f t="shared" si="86"/>
        <v>0</v>
      </c>
      <c r="IP166" s="846">
        <f t="shared" si="86"/>
        <v>0.1</v>
      </c>
      <c r="IQ166" s="846">
        <f t="shared" si="86"/>
        <v>0.1</v>
      </c>
      <c r="IR166" s="846">
        <f t="shared" si="86"/>
        <v>0.1</v>
      </c>
      <c r="IS166" s="846">
        <f t="shared" si="86"/>
        <v>0.1</v>
      </c>
      <c r="IT166" s="846">
        <f t="shared" si="86"/>
        <v>0.1</v>
      </c>
      <c r="IU166" s="846">
        <f t="shared" si="86"/>
        <v>0.1</v>
      </c>
      <c r="IV166" s="846">
        <f t="shared" si="86"/>
        <v>0</v>
      </c>
      <c r="IW166" s="846">
        <f t="shared" si="86"/>
        <v>0.1</v>
      </c>
      <c r="IX166" s="846">
        <f t="shared" si="86"/>
        <v>0.1</v>
      </c>
      <c r="IY166" s="846">
        <f t="shared" si="86"/>
        <v>0.1</v>
      </c>
    </row>
    <row r="167" spans="1:259" s="190" customFormat="1" x14ac:dyDescent="0.25">
      <c r="A167" s="4" t="s">
        <v>841</v>
      </c>
      <c r="B167" s="209"/>
      <c r="C167" s="677">
        <f ca="1">IFERROR(INDEX(D167:OFFSET(D167,0,$IY$172),$C$172),0)</f>
        <v>0.5</v>
      </c>
      <c r="D167" s="679">
        <v>0</v>
      </c>
      <c r="E167" s="679">
        <v>0</v>
      </c>
      <c r="F167" s="679">
        <v>0</v>
      </c>
      <c r="G167" s="679">
        <v>0</v>
      </c>
      <c r="H167" s="679">
        <v>0</v>
      </c>
      <c r="I167" s="679">
        <v>0</v>
      </c>
      <c r="J167" s="679">
        <f>D16</f>
        <v>0.5</v>
      </c>
      <c r="K167" s="679">
        <v>0</v>
      </c>
      <c r="L167" s="679">
        <v>0</v>
      </c>
      <c r="M167" s="679">
        <v>0</v>
      </c>
      <c r="N167" s="680">
        <f>IF(COUNTIF(N$152:N$159,$I$156)&gt;0,$D$16,0)</f>
        <v>0.5</v>
      </c>
      <c r="O167" s="849">
        <f t="shared" ref="O167:AT167" si="87">IF(COUNTIF(O$152:O$159,$I$156)&gt;0,$D$16,0)</f>
        <v>0</v>
      </c>
      <c r="P167" s="845">
        <f t="shared" si="87"/>
        <v>0</v>
      </c>
      <c r="Q167" s="845">
        <f t="shared" si="87"/>
        <v>0</v>
      </c>
      <c r="R167" s="845">
        <f t="shared" si="87"/>
        <v>0.5</v>
      </c>
      <c r="S167" s="845">
        <f t="shared" si="87"/>
        <v>0</v>
      </c>
      <c r="T167" s="845">
        <f t="shared" si="87"/>
        <v>0</v>
      </c>
      <c r="U167" s="845">
        <f t="shared" si="87"/>
        <v>0</v>
      </c>
      <c r="V167" s="845">
        <f t="shared" si="87"/>
        <v>0</v>
      </c>
      <c r="W167" s="845">
        <f t="shared" si="87"/>
        <v>0</v>
      </c>
      <c r="X167" s="845">
        <f t="shared" si="87"/>
        <v>0.5</v>
      </c>
      <c r="Y167" s="845">
        <f t="shared" si="87"/>
        <v>0</v>
      </c>
      <c r="Z167" s="845">
        <f t="shared" si="87"/>
        <v>0</v>
      </c>
      <c r="AA167" s="846">
        <f t="shared" si="87"/>
        <v>0</v>
      </c>
      <c r="AB167" s="846">
        <f t="shared" si="87"/>
        <v>0</v>
      </c>
      <c r="AC167" s="846">
        <f t="shared" si="87"/>
        <v>0.5</v>
      </c>
      <c r="AD167" s="846">
        <f t="shared" si="87"/>
        <v>0</v>
      </c>
      <c r="AE167" s="846">
        <f t="shared" si="87"/>
        <v>0</v>
      </c>
      <c r="AF167" s="846">
        <f t="shared" si="87"/>
        <v>0</v>
      </c>
      <c r="AG167" s="846">
        <f t="shared" si="87"/>
        <v>0.5</v>
      </c>
      <c r="AH167" s="846">
        <f t="shared" si="87"/>
        <v>0</v>
      </c>
      <c r="AI167" s="846">
        <f t="shared" si="87"/>
        <v>0</v>
      </c>
      <c r="AJ167" s="846">
        <f t="shared" si="87"/>
        <v>0</v>
      </c>
      <c r="AK167" s="846">
        <f t="shared" si="87"/>
        <v>0.5</v>
      </c>
      <c r="AL167" s="846">
        <f t="shared" si="87"/>
        <v>0.5</v>
      </c>
      <c r="AM167" s="846">
        <f t="shared" si="87"/>
        <v>0.5</v>
      </c>
      <c r="AN167" s="846">
        <f t="shared" si="87"/>
        <v>0</v>
      </c>
      <c r="AO167" s="846">
        <f t="shared" si="87"/>
        <v>0</v>
      </c>
      <c r="AP167" s="846">
        <f t="shared" si="87"/>
        <v>0</v>
      </c>
      <c r="AQ167" s="846">
        <f t="shared" si="87"/>
        <v>0</v>
      </c>
      <c r="AR167" s="846">
        <f t="shared" si="87"/>
        <v>0</v>
      </c>
      <c r="AS167" s="846">
        <f t="shared" si="87"/>
        <v>0.5</v>
      </c>
      <c r="AT167" s="846">
        <f t="shared" si="87"/>
        <v>0</v>
      </c>
      <c r="AU167" s="846">
        <f t="shared" ref="AU167:BZ167" si="88">IF(COUNTIF(AU$152:AU$159,$I$156)&gt;0,$D$16,0)</f>
        <v>0</v>
      </c>
      <c r="AV167" s="846">
        <f t="shared" si="88"/>
        <v>0</v>
      </c>
      <c r="AW167" s="846">
        <f t="shared" si="88"/>
        <v>0</v>
      </c>
      <c r="AX167" s="846">
        <f t="shared" si="88"/>
        <v>0.5</v>
      </c>
      <c r="AY167" s="846">
        <f t="shared" si="88"/>
        <v>0</v>
      </c>
      <c r="AZ167" s="846">
        <f t="shared" si="88"/>
        <v>0</v>
      </c>
      <c r="BA167" s="846">
        <f t="shared" si="88"/>
        <v>0</v>
      </c>
      <c r="BB167" s="846">
        <f t="shared" si="88"/>
        <v>0.5</v>
      </c>
      <c r="BC167" s="846">
        <f t="shared" si="88"/>
        <v>0</v>
      </c>
      <c r="BD167" s="846">
        <f t="shared" si="88"/>
        <v>0</v>
      </c>
      <c r="BE167" s="846">
        <f t="shared" si="88"/>
        <v>0</v>
      </c>
      <c r="BF167" s="846">
        <f t="shared" si="88"/>
        <v>0.5</v>
      </c>
      <c r="BG167" s="846">
        <f t="shared" si="88"/>
        <v>0.5</v>
      </c>
      <c r="BH167" s="846">
        <f t="shared" si="88"/>
        <v>0.5</v>
      </c>
      <c r="BI167" s="846">
        <f t="shared" si="88"/>
        <v>0</v>
      </c>
      <c r="BJ167" s="846">
        <f t="shared" si="88"/>
        <v>0</v>
      </c>
      <c r="BK167" s="846">
        <f t="shared" si="88"/>
        <v>0</v>
      </c>
      <c r="BL167" s="846">
        <f t="shared" si="88"/>
        <v>0</v>
      </c>
      <c r="BM167" s="846">
        <f t="shared" si="88"/>
        <v>0.5</v>
      </c>
      <c r="BN167" s="846">
        <f t="shared" si="88"/>
        <v>0</v>
      </c>
      <c r="BO167" s="846">
        <f t="shared" si="88"/>
        <v>0</v>
      </c>
      <c r="BP167" s="846">
        <f t="shared" si="88"/>
        <v>0</v>
      </c>
      <c r="BQ167" s="846">
        <f t="shared" si="88"/>
        <v>0.5</v>
      </c>
      <c r="BR167" s="846">
        <f t="shared" si="88"/>
        <v>0</v>
      </c>
      <c r="BS167" s="846">
        <f t="shared" si="88"/>
        <v>0</v>
      </c>
      <c r="BT167" s="846">
        <f t="shared" si="88"/>
        <v>0</v>
      </c>
      <c r="BU167" s="846">
        <f t="shared" si="88"/>
        <v>0.5</v>
      </c>
      <c r="BV167" s="846">
        <f t="shared" si="88"/>
        <v>0.5</v>
      </c>
      <c r="BW167" s="846">
        <f t="shared" si="88"/>
        <v>0.5</v>
      </c>
      <c r="BX167" s="846">
        <f t="shared" si="88"/>
        <v>0</v>
      </c>
      <c r="BY167" s="846">
        <f t="shared" si="88"/>
        <v>0</v>
      </c>
      <c r="BZ167" s="846">
        <f t="shared" si="88"/>
        <v>0</v>
      </c>
      <c r="CA167" s="846">
        <f t="shared" ref="CA167:DF167" si="89">IF(COUNTIF(CA$152:CA$159,$I$156)&gt;0,$D$16,0)</f>
        <v>0.5</v>
      </c>
      <c r="CB167" s="846">
        <f t="shared" si="89"/>
        <v>0</v>
      </c>
      <c r="CC167" s="846">
        <f t="shared" si="89"/>
        <v>0</v>
      </c>
      <c r="CD167" s="846">
        <f t="shared" si="89"/>
        <v>0</v>
      </c>
      <c r="CE167" s="846">
        <f t="shared" si="89"/>
        <v>0.5</v>
      </c>
      <c r="CF167" s="846">
        <f t="shared" si="89"/>
        <v>0.5</v>
      </c>
      <c r="CG167" s="846">
        <f t="shared" si="89"/>
        <v>0.5</v>
      </c>
      <c r="CH167" s="846">
        <f t="shared" si="89"/>
        <v>0</v>
      </c>
      <c r="CI167" s="846">
        <f t="shared" si="89"/>
        <v>0</v>
      </c>
      <c r="CJ167" s="846">
        <f t="shared" si="89"/>
        <v>0</v>
      </c>
      <c r="CK167" s="846">
        <f t="shared" si="89"/>
        <v>0.5</v>
      </c>
      <c r="CL167" s="846">
        <f t="shared" si="89"/>
        <v>0.5</v>
      </c>
      <c r="CM167" s="846">
        <f t="shared" si="89"/>
        <v>0.5</v>
      </c>
      <c r="CN167" s="846">
        <f t="shared" si="89"/>
        <v>0</v>
      </c>
      <c r="CO167" s="846">
        <f t="shared" si="89"/>
        <v>0</v>
      </c>
      <c r="CP167" s="846">
        <f t="shared" si="89"/>
        <v>0</v>
      </c>
      <c r="CQ167" s="846">
        <f t="shared" si="89"/>
        <v>0.5</v>
      </c>
      <c r="CR167" s="846">
        <f t="shared" si="89"/>
        <v>0.5</v>
      </c>
      <c r="CS167" s="846">
        <f t="shared" si="89"/>
        <v>0.5</v>
      </c>
      <c r="CT167" s="846">
        <f t="shared" si="89"/>
        <v>0</v>
      </c>
      <c r="CU167" s="846">
        <f t="shared" si="89"/>
        <v>0</v>
      </c>
      <c r="CV167" s="846">
        <f t="shared" si="89"/>
        <v>0.5</v>
      </c>
      <c r="CW167" s="846">
        <f t="shared" si="89"/>
        <v>0</v>
      </c>
      <c r="CX167" s="846">
        <f t="shared" si="89"/>
        <v>0</v>
      </c>
      <c r="CY167" s="846">
        <f t="shared" si="89"/>
        <v>0</v>
      </c>
      <c r="CZ167" s="846">
        <f t="shared" si="89"/>
        <v>0.5</v>
      </c>
      <c r="DA167" s="846">
        <f t="shared" si="89"/>
        <v>0</v>
      </c>
      <c r="DB167" s="846">
        <f t="shared" si="89"/>
        <v>0</v>
      </c>
      <c r="DC167" s="846">
        <f t="shared" si="89"/>
        <v>0</v>
      </c>
      <c r="DD167" s="846">
        <f t="shared" si="89"/>
        <v>0.5</v>
      </c>
      <c r="DE167" s="846">
        <f t="shared" si="89"/>
        <v>0.5</v>
      </c>
      <c r="DF167" s="846">
        <f t="shared" si="89"/>
        <v>0.5</v>
      </c>
      <c r="DG167" s="846">
        <f t="shared" ref="DG167:FR167" si="90">IF(COUNTIF(DG$152:DG$159,$I$156)&gt;0,$D$16,0)</f>
        <v>0</v>
      </c>
      <c r="DH167" s="846">
        <f t="shared" si="90"/>
        <v>0</v>
      </c>
      <c r="DI167" s="846">
        <f t="shared" si="90"/>
        <v>0</v>
      </c>
      <c r="DJ167" s="846">
        <f t="shared" si="90"/>
        <v>0.5</v>
      </c>
      <c r="DK167" s="846">
        <f t="shared" si="90"/>
        <v>0</v>
      </c>
      <c r="DL167" s="846">
        <f t="shared" si="90"/>
        <v>0</v>
      </c>
      <c r="DM167" s="846">
        <f t="shared" si="90"/>
        <v>0</v>
      </c>
      <c r="DN167" s="846">
        <f t="shared" si="90"/>
        <v>0.5</v>
      </c>
      <c r="DO167" s="846">
        <f t="shared" si="90"/>
        <v>0.5</v>
      </c>
      <c r="DP167" s="846">
        <f t="shared" si="90"/>
        <v>0.5</v>
      </c>
      <c r="DQ167" s="846">
        <f t="shared" si="90"/>
        <v>0</v>
      </c>
      <c r="DR167" s="846">
        <f t="shared" si="90"/>
        <v>0</v>
      </c>
      <c r="DS167" s="846">
        <f t="shared" si="90"/>
        <v>0</v>
      </c>
      <c r="DT167" s="846">
        <f t="shared" si="90"/>
        <v>0.5</v>
      </c>
      <c r="DU167" s="846">
        <f t="shared" si="90"/>
        <v>0.5</v>
      </c>
      <c r="DV167" s="846">
        <f t="shared" si="90"/>
        <v>0.5</v>
      </c>
      <c r="DW167" s="846">
        <f t="shared" si="90"/>
        <v>0</v>
      </c>
      <c r="DX167" s="846">
        <f t="shared" si="90"/>
        <v>0</v>
      </c>
      <c r="DY167" s="846">
        <f t="shared" si="90"/>
        <v>0</v>
      </c>
      <c r="DZ167" s="846">
        <f t="shared" si="90"/>
        <v>0.5</v>
      </c>
      <c r="EA167" s="846">
        <f t="shared" si="90"/>
        <v>0.5</v>
      </c>
      <c r="EB167" s="846">
        <f t="shared" si="90"/>
        <v>0.5</v>
      </c>
      <c r="EC167" s="846">
        <f t="shared" si="90"/>
        <v>0</v>
      </c>
      <c r="ED167" s="846">
        <f t="shared" si="90"/>
        <v>0.5</v>
      </c>
      <c r="EE167" s="846">
        <f t="shared" si="90"/>
        <v>0</v>
      </c>
      <c r="EF167" s="846">
        <f t="shared" si="90"/>
        <v>0</v>
      </c>
      <c r="EG167" s="846">
        <f t="shared" si="90"/>
        <v>0</v>
      </c>
      <c r="EH167" s="846">
        <f t="shared" si="90"/>
        <v>0.5</v>
      </c>
      <c r="EI167" s="846">
        <f t="shared" si="90"/>
        <v>0.5</v>
      </c>
      <c r="EJ167" s="846">
        <f t="shared" si="90"/>
        <v>0.5</v>
      </c>
      <c r="EK167" s="846">
        <f t="shared" si="90"/>
        <v>0</v>
      </c>
      <c r="EL167" s="846">
        <f t="shared" si="90"/>
        <v>0</v>
      </c>
      <c r="EM167" s="846">
        <f t="shared" si="90"/>
        <v>0</v>
      </c>
      <c r="EN167" s="846">
        <f t="shared" si="90"/>
        <v>0.5</v>
      </c>
      <c r="EO167" s="846">
        <f t="shared" si="90"/>
        <v>0.5</v>
      </c>
      <c r="EP167" s="846">
        <f t="shared" si="90"/>
        <v>0.5</v>
      </c>
      <c r="EQ167" s="846">
        <f t="shared" si="90"/>
        <v>0</v>
      </c>
      <c r="ER167" s="846">
        <f t="shared" si="90"/>
        <v>0</v>
      </c>
      <c r="ES167" s="846">
        <f t="shared" si="90"/>
        <v>0</v>
      </c>
      <c r="ET167" s="846">
        <f t="shared" si="90"/>
        <v>0.5</v>
      </c>
      <c r="EU167" s="846">
        <f t="shared" si="90"/>
        <v>0.5</v>
      </c>
      <c r="EV167" s="846">
        <f t="shared" si="90"/>
        <v>0.5</v>
      </c>
      <c r="EW167" s="846">
        <f t="shared" si="90"/>
        <v>0</v>
      </c>
      <c r="EX167" s="846">
        <f t="shared" si="90"/>
        <v>0.5</v>
      </c>
      <c r="EY167" s="846">
        <f t="shared" si="90"/>
        <v>0.5</v>
      </c>
      <c r="EZ167" s="846">
        <f t="shared" si="90"/>
        <v>0.5</v>
      </c>
      <c r="FA167" s="846">
        <f t="shared" si="90"/>
        <v>0</v>
      </c>
      <c r="FB167" s="846">
        <f t="shared" si="90"/>
        <v>0</v>
      </c>
      <c r="FC167" s="846">
        <f t="shared" si="90"/>
        <v>0</v>
      </c>
      <c r="FD167" s="846">
        <f t="shared" si="90"/>
        <v>0.5</v>
      </c>
      <c r="FE167" s="846">
        <f t="shared" si="90"/>
        <v>0.5</v>
      </c>
      <c r="FF167" s="846">
        <f t="shared" si="90"/>
        <v>0.5</v>
      </c>
      <c r="FG167" s="846">
        <f t="shared" si="90"/>
        <v>0</v>
      </c>
      <c r="FH167" s="846">
        <f t="shared" si="90"/>
        <v>0.5</v>
      </c>
      <c r="FI167" s="846">
        <f t="shared" si="90"/>
        <v>0.5</v>
      </c>
      <c r="FJ167" s="846">
        <f t="shared" si="90"/>
        <v>0.5</v>
      </c>
      <c r="FK167" s="846">
        <f t="shared" si="90"/>
        <v>0</v>
      </c>
      <c r="FL167" s="846">
        <f t="shared" si="90"/>
        <v>0.5</v>
      </c>
      <c r="FM167" s="846">
        <f t="shared" si="90"/>
        <v>0.5</v>
      </c>
      <c r="FN167" s="846">
        <f t="shared" si="90"/>
        <v>0</v>
      </c>
      <c r="FO167" s="846">
        <f t="shared" si="90"/>
        <v>0</v>
      </c>
      <c r="FP167" s="846">
        <f t="shared" si="90"/>
        <v>0</v>
      </c>
      <c r="FQ167" s="846">
        <f t="shared" si="90"/>
        <v>0.5</v>
      </c>
      <c r="FR167" s="846">
        <f t="shared" si="90"/>
        <v>0.5</v>
      </c>
      <c r="FS167" s="846">
        <f t="shared" ref="FS167:ID167" si="91">IF(COUNTIF(FS$152:FS$159,$I$156)&gt;0,$D$16,0)</f>
        <v>0.5</v>
      </c>
      <c r="FT167" s="846">
        <f t="shared" si="91"/>
        <v>0</v>
      </c>
      <c r="FU167" s="846">
        <f t="shared" si="91"/>
        <v>0</v>
      </c>
      <c r="FV167" s="846">
        <f t="shared" si="91"/>
        <v>0</v>
      </c>
      <c r="FW167" s="846">
        <f t="shared" si="91"/>
        <v>0.5</v>
      </c>
      <c r="FX167" s="846">
        <f t="shared" si="91"/>
        <v>0.5</v>
      </c>
      <c r="FY167" s="846">
        <f t="shared" si="91"/>
        <v>0.5</v>
      </c>
      <c r="FZ167" s="846">
        <f t="shared" si="91"/>
        <v>0</v>
      </c>
      <c r="GA167" s="846">
        <f t="shared" si="91"/>
        <v>0</v>
      </c>
      <c r="GB167" s="846">
        <f t="shared" si="91"/>
        <v>0</v>
      </c>
      <c r="GC167" s="846">
        <f t="shared" si="91"/>
        <v>0.5</v>
      </c>
      <c r="GD167" s="846">
        <f t="shared" si="91"/>
        <v>0.5</v>
      </c>
      <c r="GE167" s="846">
        <f t="shared" si="91"/>
        <v>0.5</v>
      </c>
      <c r="GF167" s="846">
        <f t="shared" si="91"/>
        <v>0</v>
      </c>
      <c r="GG167" s="846">
        <f t="shared" si="91"/>
        <v>0.5</v>
      </c>
      <c r="GH167" s="846">
        <f t="shared" si="91"/>
        <v>0.5</v>
      </c>
      <c r="GI167" s="846">
        <f t="shared" si="91"/>
        <v>0.5</v>
      </c>
      <c r="GJ167" s="846">
        <f t="shared" si="91"/>
        <v>0</v>
      </c>
      <c r="GK167" s="846">
        <f t="shared" si="91"/>
        <v>0</v>
      </c>
      <c r="GL167" s="846">
        <f t="shared" si="91"/>
        <v>0</v>
      </c>
      <c r="GM167" s="846">
        <f t="shared" si="91"/>
        <v>0.5</v>
      </c>
      <c r="GN167" s="846">
        <f t="shared" si="91"/>
        <v>0.5</v>
      </c>
      <c r="GO167" s="846">
        <f t="shared" si="91"/>
        <v>0.5</v>
      </c>
      <c r="GP167" s="846">
        <f t="shared" si="91"/>
        <v>0</v>
      </c>
      <c r="GQ167" s="846">
        <f t="shared" si="91"/>
        <v>0.5</v>
      </c>
      <c r="GR167" s="846">
        <f t="shared" si="91"/>
        <v>0.5</v>
      </c>
      <c r="GS167" s="846">
        <f t="shared" si="91"/>
        <v>0.5</v>
      </c>
      <c r="GT167" s="846">
        <f t="shared" si="91"/>
        <v>0</v>
      </c>
      <c r="GU167" s="846">
        <f t="shared" si="91"/>
        <v>0.5</v>
      </c>
      <c r="GV167" s="846">
        <f t="shared" si="91"/>
        <v>0.5</v>
      </c>
      <c r="GW167" s="846">
        <f t="shared" si="91"/>
        <v>0.5</v>
      </c>
      <c r="GX167" s="846">
        <f t="shared" si="91"/>
        <v>0.5</v>
      </c>
      <c r="GY167" s="846">
        <f t="shared" si="91"/>
        <v>0</v>
      </c>
      <c r="GZ167" s="846">
        <f t="shared" si="91"/>
        <v>0</v>
      </c>
      <c r="HA167" s="846">
        <f t="shared" si="91"/>
        <v>0</v>
      </c>
      <c r="HB167" s="846">
        <f t="shared" si="91"/>
        <v>0.5</v>
      </c>
      <c r="HC167" s="846">
        <f t="shared" si="91"/>
        <v>0.5</v>
      </c>
      <c r="HD167" s="846">
        <f t="shared" si="91"/>
        <v>0.5</v>
      </c>
      <c r="HE167" s="846">
        <f t="shared" si="91"/>
        <v>0</v>
      </c>
      <c r="HF167" s="846">
        <f t="shared" si="91"/>
        <v>0.5</v>
      </c>
      <c r="HG167" s="846">
        <f t="shared" si="91"/>
        <v>0.5</v>
      </c>
      <c r="HH167" s="846">
        <f t="shared" si="91"/>
        <v>0.5</v>
      </c>
      <c r="HI167" s="846">
        <f t="shared" si="91"/>
        <v>0</v>
      </c>
      <c r="HJ167" s="846">
        <f t="shared" si="91"/>
        <v>0.5</v>
      </c>
      <c r="HK167" s="846">
        <f t="shared" si="91"/>
        <v>0.5</v>
      </c>
      <c r="HL167" s="846">
        <f t="shared" si="91"/>
        <v>0.5</v>
      </c>
      <c r="HM167" s="846">
        <f t="shared" si="91"/>
        <v>0.5</v>
      </c>
      <c r="HN167" s="846">
        <f t="shared" si="91"/>
        <v>0</v>
      </c>
      <c r="HO167" s="846">
        <f t="shared" si="91"/>
        <v>0.5</v>
      </c>
      <c r="HP167" s="846">
        <f t="shared" si="91"/>
        <v>0.5</v>
      </c>
      <c r="HQ167" s="846">
        <f t="shared" si="91"/>
        <v>0.5</v>
      </c>
      <c r="HR167" s="846">
        <f t="shared" si="91"/>
        <v>0.5</v>
      </c>
      <c r="HS167" s="846">
        <f t="shared" si="91"/>
        <v>0.5</v>
      </c>
      <c r="HT167" s="846">
        <f t="shared" si="91"/>
        <v>0</v>
      </c>
      <c r="HU167" s="846">
        <f t="shared" si="91"/>
        <v>0</v>
      </c>
      <c r="HV167" s="846">
        <f t="shared" si="91"/>
        <v>0</v>
      </c>
      <c r="HW167" s="846">
        <f t="shared" si="91"/>
        <v>0.5</v>
      </c>
      <c r="HX167" s="846">
        <f t="shared" si="91"/>
        <v>0.5</v>
      </c>
      <c r="HY167" s="846">
        <f t="shared" si="91"/>
        <v>0.5</v>
      </c>
      <c r="HZ167" s="846">
        <f t="shared" si="91"/>
        <v>0</v>
      </c>
      <c r="IA167" s="846">
        <f t="shared" si="91"/>
        <v>0.5</v>
      </c>
      <c r="IB167" s="846">
        <f t="shared" si="91"/>
        <v>0.5</v>
      </c>
      <c r="IC167" s="846">
        <f t="shared" si="91"/>
        <v>0.5</v>
      </c>
      <c r="ID167" s="846">
        <f t="shared" si="91"/>
        <v>0</v>
      </c>
      <c r="IE167" s="846">
        <f t="shared" ref="IE167:IY167" si="92">IF(COUNTIF(IE$152:IE$159,$I$156)&gt;0,$D$16,0)</f>
        <v>0.5</v>
      </c>
      <c r="IF167" s="846">
        <f t="shared" si="92"/>
        <v>0.5</v>
      </c>
      <c r="IG167" s="846">
        <f t="shared" si="92"/>
        <v>0.5</v>
      </c>
      <c r="IH167" s="846">
        <f t="shared" si="92"/>
        <v>0.5</v>
      </c>
      <c r="II167" s="846">
        <f t="shared" si="92"/>
        <v>0</v>
      </c>
      <c r="IJ167" s="846">
        <f t="shared" si="92"/>
        <v>0.5</v>
      </c>
      <c r="IK167" s="846">
        <f t="shared" si="92"/>
        <v>0.5</v>
      </c>
      <c r="IL167" s="846">
        <f t="shared" si="92"/>
        <v>0.5</v>
      </c>
      <c r="IM167" s="846">
        <f t="shared" si="92"/>
        <v>0.5</v>
      </c>
      <c r="IN167" s="846">
        <f t="shared" si="92"/>
        <v>0.5</v>
      </c>
      <c r="IO167" s="846">
        <f t="shared" si="92"/>
        <v>0</v>
      </c>
      <c r="IP167" s="846">
        <f t="shared" si="92"/>
        <v>0.5</v>
      </c>
      <c r="IQ167" s="846">
        <f t="shared" si="92"/>
        <v>0.5</v>
      </c>
      <c r="IR167" s="846">
        <f t="shared" si="92"/>
        <v>0.5</v>
      </c>
      <c r="IS167" s="846">
        <f t="shared" si="92"/>
        <v>0.5</v>
      </c>
      <c r="IT167" s="846">
        <f t="shared" si="92"/>
        <v>0.5</v>
      </c>
      <c r="IU167" s="846">
        <f t="shared" si="92"/>
        <v>0.5</v>
      </c>
      <c r="IV167" s="846">
        <f t="shared" si="92"/>
        <v>0</v>
      </c>
      <c r="IW167" s="846">
        <f t="shared" si="92"/>
        <v>0.5</v>
      </c>
      <c r="IX167" s="846">
        <f t="shared" si="92"/>
        <v>0.5</v>
      </c>
      <c r="IY167" s="846">
        <f t="shared" si="92"/>
        <v>0.5</v>
      </c>
    </row>
    <row r="168" spans="1:259" s="190" customFormat="1" x14ac:dyDescent="0.25">
      <c r="A168" s="654" t="s">
        <v>1018</v>
      </c>
      <c r="B168" s="209"/>
      <c r="C168" s="677">
        <f ca="1">IFERROR(INDEX(D168:OFFSET(D168,0,$IY$172),$C$172),0)</f>
        <v>0.2</v>
      </c>
      <c r="D168" s="679">
        <v>0</v>
      </c>
      <c r="E168" s="679">
        <v>0</v>
      </c>
      <c r="F168" s="679">
        <v>0</v>
      </c>
      <c r="G168" s="679">
        <v>0</v>
      </c>
      <c r="H168" s="679">
        <v>0</v>
      </c>
      <c r="I168" s="679">
        <v>0</v>
      </c>
      <c r="J168" s="679">
        <v>0</v>
      </c>
      <c r="K168" s="679">
        <f>D17</f>
        <v>0.2</v>
      </c>
      <c r="L168" s="679">
        <v>0</v>
      </c>
      <c r="M168" s="679">
        <v>0</v>
      </c>
      <c r="N168" s="680">
        <f>IF(COUNTIF(N$152:N$159,$I$153)&gt;0,$D$17,0)</f>
        <v>0.2</v>
      </c>
      <c r="O168" s="849">
        <f t="shared" ref="O168:AT168" si="93">IF(COUNTIF(O$152:O$159,$I$153)&gt;0,$D$17,0)</f>
        <v>0.2</v>
      </c>
      <c r="P168" s="845">
        <f t="shared" si="93"/>
        <v>0</v>
      </c>
      <c r="Q168" s="845">
        <f t="shared" si="93"/>
        <v>0</v>
      </c>
      <c r="R168" s="845">
        <f t="shared" si="93"/>
        <v>0</v>
      </c>
      <c r="S168" s="845">
        <f t="shared" si="93"/>
        <v>0</v>
      </c>
      <c r="T168" s="845">
        <f t="shared" si="93"/>
        <v>0</v>
      </c>
      <c r="U168" s="845">
        <f t="shared" si="93"/>
        <v>0</v>
      </c>
      <c r="V168" s="845">
        <f t="shared" si="93"/>
        <v>0.2</v>
      </c>
      <c r="W168" s="845">
        <f t="shared" si="93"/>
        <v>0.2</v>
      </c>
      <c r="X168" s="845">
        <f t="shared" si="93"/>
        <v>0.2</v>
      </c>
      <c r="Y168" s="845">
        <f t="shared" si="93"/>
        <v>0.2</v>
      </c>
      <c r="Z168" s="845">
        <f t="shared" si="93"/>
        <v>0.2</v>
      </c>
      <c r="AA168" s="846">
        <f t="shared" si="93"/>
        <v>0.2</v>
      </c>
      <c r="AB168" s="846">
        <f t="shared" si="93"/>
        <v>0</v>
      </c>
      <c r="AC168" s="846">
        <f t="shared" si="93"/>
        <v>0</v>
      </c>
      <c r="AD168" s="846">
        <f t="shared" si="93"/>
        <v>0</v>
      </c>
      <c r="AE168" s="846">
        <f t="shared" si="93"/>
        <v>0</v>
      </c>
      <c r="AF168" s="846">
        <f t="shared" si="93"/>
        <v>0</v>
      </c>
      <c r="AG168" s="846">
        <f t="shared" si="93"/>
        <v>0</v>
      </c>
      <c r="AH168" s="846">
        <f t="shared" si="93"/>
        <v>0</v>
      </c>
      <c r="AI168" s="846">
        <f t="shared" si="93"/>
        <v>0</v>
      </c>
      <c r="AJ168" s="846">
        <f t="shared" si="93"/>
        <v>0</v>
      </c>
      <c r="AK168" s="846">
        <f t="shared" si="93"/>
        <v>0</v>
      </c>
      <c r="AL168" s="846">
        <f t="shared" si="93"/>
        <v>0</v>
      </c>
      <c r="AM168" s="846">
        <f t="shared" si="93"/>
        <v>0</v>
      </c>
      <c r="AN168" s="846">
        <f t="shared" si="93"/>
        <v>0</v>
      </c>
      <c r="AO168" s="846">
        <f t="shared" si="93"/>
        <v>0</v>
      </c>
      <c r="AP168" s="846">
        <f t="shared" si="93"/>
        <v>0</v>
      </c>
      <c r="AQ168" s="846">
        <f t="shared" si="93"/>
        <v>0.2</v>
      </c>
      <c r="AR168" s="846">
        <f t="shared" si="93"/>
        <v>0.2</v>
      </c>
      <c r="AS168" s="846">
        <f t="shared" si="93"/>
        <v>0.2</v>
      </c>
      <c r="AT168" s="846">
        <f t="shared" si="93"/>
        <v>0.2</v>
      </c>
      <c r="AU168" s="846">
        <f t="shared" ref="AU168:BZ168" si="94">IF(COUNTIF(AU$152:AU$159,$I$153)&gt;0,$D$17,0)</f>
        <v>0.2</v>
      </c>
      <c r="AV168" s="846">
        <f t="shared" si="94"/>
        <v>0.2</v>
      </c>
      <c r="AW168" s="846">
        <f t="shared" si="94"/>
        <v>0</v>
      </c>
      <c r="AX168" s="846">
        <f t="shared" si="94"/>
        <v>0</v>
      </c>
      <c r="AY168" s="846">
        <f t="shared" si="94"/>
        <v>0</v>
      </c>
      <c r="AZ168" s="846">
        <f t="shared" si="94"/>
        <v>0</v>
      </c>
      <c r="BA168" s="846">
        <f t="shared" si="94"/>
        <v>0</v>
      </c>
      <c r="BB168" s="846">
        <f t="shared" si="94"/>
        <v>0</v>
      </c>
      <c r="BC168" s="846">
        <f t="shared" si="94"/>
        <v>0</v>
      </c>
      <c r="BD168" s="846">
        <f t="shared" si="94"/>
        <v>0</v>
      </c>
      <c r="BE168" s="846">
        <f t="shared" si="94"/>
        <v>0</v>
      </c>
      <c r="BF168" s="846">
        <f t="shared" si="94"/>
        <v>0</v>
      </c>
      <c r="BG168" s="846">
        <f t="shared" si="94"/>
        <v>0</v>
      </c>
      <c r="BH168" s="846">
        <f t="shared" si="94"/>
        <v>0</v>
      </c>
      <c r="BI168" s="846">
        <f t="shared" si="94"/>
        <v>0</v>
      </c>
      <c r="BJ168" s="846">
        <f t="shared" si="94"/>
        <v>0</v>
      </c>
      <c r="BK168" s="846">
        <f t="shared" si="94"/>
        <v>0</v>
      </c>
      <c r="BL168" s="846">
        <f t="shared" si="94"/>
        <v>0.2</v>
      </c>
      <c r="BM168" s="846">
        <f t="shared" si="94"/>
        <v>0.2</v>
      </c>
      <c r="BN168" s="846">
        <f t="shared" si="94"/>
        <v>0.2</v>
      </c>
      <c r="BO168" s="846">
        <f t="shared" si="94"/>
        <v>0.2</v>
      </c>
      <c r="BP168" s="846">
        <f t="shared" si="94"/>
        <v>0.2</v>
      </c>
      <c r="BQ168" s="846">
        <f t="shared" si="94"/>
        <v>0.2</v>
      </c>
      <c r="BR168" s="846">
        <f t="shared" si="94"/>
        <v>0.2</v>
      </c>
      <c r="BS168" s="846">
        <f t="shared" si="94"/>
        <v>0.2</v>
      </c>
      <c r="BT168" s="846">
        <f t="shared" si="94"/>
        <v>0.2</v>
      </c>
      <c r="BU168" s="846">
        <f t="shared" si="94"/>
        <v>0.2</v>
      </c>
      <c r="BV168" s="846">
        <f t="shared" si="94"/>
        <v>0.2</v>
      </c>
      <c r="BW168" s="846">
        <f t="shared" si="94"/>
        <v>0.2</v>
      </c>
      <c r="BX168" s="846">
        <f t="shared" si="94"/>
        <v>0.2</v>
      </c>
      <c r="BY168" s="846">
        <f t="shared" si="94"/>
        <v>0.2</v>
      </c>
      <c r="BZ168" s="846">
        <f t="shared" si="94"/>
        <v>0.2</v>
      </c>
      <c r="CA168" s="846">
        <f t="shared" ref="CA168:DF168" si="95">IF(COUNTIF(CA$152:CA$159,$I$153)&gt;0,$D$17,0)</f>
        <v>0</v>
      </c>
      <c r="CB168" s="846">
        <f t="shared" si="95"/>
        <v>0</v>
      </c>
      <c r="CC168" s="846">
        <f t="shared" si="95"/>
        <v>0</v>
      </c>
      <c r="CD168" s="846">
        <f t="shared" si="95"/>
        <v>0</v>
      </c>
      <c r="CE168" s="846">
        <f t="shared" si="95"/>
        <v>0</v>
      </c>
      <c r="CF168" s="846">
        <f t="shared" si="95"/>
        <v>0</v>
      </c>
      <c r="CG168" s="846">
        <f t="shared" si="95"/>
        <v>0</v>
      </c>
      <c r="CH168" s="846">
        <f t="shared" si="95"/>
        <v>0</v>
      </c>
      <c r="CI168" s="846">
        <f t="shared" si="95"/>
        <v>0</v>
      </c>
      <c r="CJ168" s="846">
        <f t="shared" si="95"/>
        <v>0</v>
      </c>
      <c r="CK168" s="846">
        <f t="shared" si="95"/>
        <v>0</v>
      </c>
      <c r="CL168" s="846">
        <f t="shared" si="95"/>
        <v>0</v>
      </c>
      <c r="CM168" s="846">
        <f t="shared" si="95"/>
        <v>0</v>
      </c>
      <c r="CN168" s="846">
        <f t="shared" si="95"/>
        <v>0</v>
      </c>
      <c r="CO168" s="846">
        <f t="shared" si="95"/>
        <v>0</v>
      </c>
      <c r="CP168" s="846">
        <f t="shared" si="95"/>
        <v>0</v>
      </c>
      <c r="CQ168" s="846">
        <f t="shared" si="95"/>
        <v>0</v>
      </c>
      <c r="CR168" s="846">
        <f t="shared" si="95"/>
        <v>0</v>
      </c>
      <c r="CS168" s="846">
        <f t="shared" si="95"/>
        <v>0</v>
      </c>
      <c r="CT168" s="846">
        <f t="shared" si="95"/>
        <v>0</v>
      </c>
      <c r="CU168" s="846">
        <f t="shared" si="95"/>
        <v>0.2</v>
      </c>
      <c r="CV168" s="846">
        <f t="shared" si="95"/>
        <v>0.2</v>
      </c>
      <c r="CW168" s="846">
        <f t="shared" si="95"/>
        <v>0.2</v>
      </c>
      <c r="CX168" s="846">
        <f t="shared" si="95"/>
        <v>0.2</v>
      </c>
      <c r="CY168" s="846">
        <f t="shared" si="95"/>
        <v>0.2</v>
      </c>
      <c r="CZ168" s="846">
        <f t="shared" si="95"/>
        <v>0.2</v>
      </c>
      <c r="DA168" s="846">
        <f t="shared" si="95"/>
        <v>0.2</v>
      </c>
      <c r="DB168" s="846">
        <f t="shared" si="95"/>
        <v>0.2</v>
      </c>
      <c r="DC168" s="846">
        <f t="shared" si="95"/>
        <v>0.2</v>
      </c>
      <c r="DD168" s="846">
        <f t="shared" si="95"/>
        <v>0.2</v>
      </c>
      <c r="DE168" s="846">
        <f t="shared" si="95"/>
        <v>0.2</v>
      </c>
      <c r="DF168" s="846">
        <f t="shared" si="95"/>
        <v>0.2</v>
      </c>
      <c r="DG168" s="846">
        <f t="shared" ref="DG168:FR168" si="96">IF(COUNTIF(DG$152:DG$159,$I$153)&gt;0,$D$17,0)</f>
        <v>0.2</v>
      </c>
      <c r="DH168" s="846">
        <f t="shared" si="96"/>
        <v>0.2</v>
      </c>
      <c r="DI168" s="846">
        <f t="shared" si="96"/>
        <v>0.2</v>
      </c>
      <c r="DJ168" s="846">
        <f t="shared" si="96"/>
        <v>0</v>
      </c>
      <c r="DK168" s="846">
        <f t="shared" si="96"/>
        <v>0</v>
      </c>
      <c r="DL168" s="846">
        <f t="shared" si="96"/>
        <v>0</v>
      </c>
      <c r="DM168" s="846">
        <f t="shared" si="96"/>
        <v>0</v>
      </c>
      <c r="DN168" s="846">
        <f t="shared" si="96"/>
        <v>0</v>
      </c>
      <c r="DO168" s="846">
        <f t="shared" si="96"/>
        <v>0</v>
      </c>
      <c r="DP168" s="846">
        <f t="shared" si="96"/>
        <v>0</v>
      </c>
      <c r="DQ168" s="846">
        <f t="shared" si="96"/>
        <v>0</v>
      </c>
      <c r="DR168" s="846">
        <f t="shared" si="96"/>
        <v>0</v>
      </c>
      <c r="DS168" s="846">
        <f t="shared" si="96"/>
        <v>0</v>
      </c>
      <c r="DT168" s="846">
        <f t="shared" si="96"/>
        <v>0</v>
      </c>
      <c r="DU168" s="846">
        <f t="shared" si="96"/>
        <v>0</v>
      </c>
      <c r="DV168" s="846">
        <f t="shared" si="96"/>
        <v>0</v>
      </c>
      <c r="DW168" s="846">
        <f t="shared" si="96"/>
        <v>0</v>
      </c>
      <c r="DX168" s="846">
        <f t="shared" si="96"/>
        <v>0</v>
      </c>
      <c r="DY168" s="846">
        <f t="shared" si="96"/>
        <v>0</v>
      </c>
      <c r="DZ168" s="846">
        <f t="shared" si="96"/>
        <v>0</v>
      </c>
      <c r="EA168" s="846">
        <f t="shared" si="96"/>
        <v>0</v>
      </c>
      <c r="EB168" s="846">
        <f t="shared" si="96"/>
        <v>0</v>
      </c>
      <c r="EC168" s="846">
        <f t="shared" si="96"/>
        <v>0</v>
      </c>
      <c r="ED168" s="846">
        <f t="shared" si="96"/>
        <v>0.2</v>
      </c>
      <c r="EE168" s="846">
        <f t="shared" si="96"/>
        <v>0.2</v>
      </c>
      <c r="EF168" s="846">
        <f t="shared" si="96"/>
        <v>0.2</v>
      </c>
      <c r="EG168" s="846">
        <f t="shared" si="96"/>
        <v>0.2</v>
      </c>
      <c r="EH168" s="846">
        <f t="shared" si="96"/>
        <v>0.2</v>
      </c>
      <c r="EI168" s="846">
        <f t="shared" si="96"/>
        <v>0.2</v>
      </c>
      <c r="EJ168" s="846">
        <f t="shared" si="96"/>
        <v>0.2</v>
      </c>
      <c r="EK168" s="846">
        <f t="shared" si="96"/>
        <v>0.2</v>
      </c>
      <c r="EL168" s="846">
        <f t="shared" si="96"/>
        <v>0.2</v>
      </c>
      <c r="EM168" s="846">
        <f t="shared" si="96"/>
        <v>0.2</v>
      </c>
      <c r="EN168" s="846">
        <f t="shared" si="96"/>
        <v>0.2</v>
      </c>
      <c r="EO168" s="846">
        <f t="shared" si="96"/>
        <v>0.2</v>
      </c>
      <c r="EP168" s="846">
        <f t="shared" si="96"/>
        <v>0.2</v>
      </c>
      <c r="EQ168" s="846">
        <f t="shared" si="96"/>
        <v>0.2</v>
      </c>
      <c r="ER168" s="846">
        <f t="shared" si="96"/>
        <v>0.2</v>
      </c>
      <c r="ES168" s="846">
        <f t="shared" si="96"/>
        <v>0.2</v>
      </c>
      <c r="ET168" s="846">
        <f t="shared" si="96"/>
        <v>0.2</v>
      </c>
      <c r="EU168" s="846">
        <f t="shared" si="96"/>
        <v>0.2</v>
      </c>
      <c r="EV168" s="846">
        <f t="shared" si="96"/>
        <v>0.2</v>
      </c>
      <c r="EW168" s="846">
        <f t="shared" si="96"/>
        <v>0.2</v>
      </c>
      <c r="EX168" s="846">
        <f t="shared" si="96"/>
        <v>0</v>
      </c>
      <c r="EY168" s="846">
        <f t="shared" si="96"/>
        <v>0</v>
      </c>
      <c r="EZ168" s="846">
        <f t="shared" si="96"/>
        <v>0</v>
      </c>
      <c r="FA168" s="846">
        <f t="shared" si="96"/>
        <v>0</v>
      </c>
      <c r="FB168" s="846">
        <f t="shared" si="96"/>
        <v>0</v>
      </c>
      <c r="FC168" s="846">
        <f t="shared" si="96"/>
        <v>0</v>
      </c>
      <c r="FD168" s="846">
        <f t="shared" si="96"/>
        <v>0</v>
      </c>
      <c r="FE168" s="846">
        <f t="shared" si="96"/>
        <v>0</v>
      </c>
      <c r="FF168" s="846">
        <f t="shared" si="96"/>
        <v>0</v>
      </c>
      <c r="FG168" s="846">
        <f t="shared" si="96"/>
        <v>0</v>
      </c>
      <c r="FH168" s="846">
        <f t="shared" si="96"/>
        <v>0</v>
      </c>
      <c r="FI168" s="846">
        <f t="shared" si="96"/>
        <v>0</v>
      </c>
      <c r="FJ168" s="846">
        <f t="shared" si="96"/>
        <v>0</v>
      </c>
      <c r="FK168" s="846">
        <f t="shared" si="96"/>
        <v>0</v>
      </c>
      <c r="FL168" s="846">
        <f t="shared" si="96"/>
        <v>0</v>
      </c>
      <c r="FM168" s="846">
        <f t="shared" si="96"/>
        <v>0.2</v>
      </c>
      <c r="FN168" s="846">
        <f t="shared" si="96"/>
        <v>0.2</v>
      </c>
      <c r="FO168" s="846">
        <f t="shared" si="96"/>
        <v>0.2</v>
      </c>
      <c r="FP168" s="846">
        <f t="shared" si="96"/>
        <v>0.2</v>
      </c>
      <c r="FQ168" s="846">
        <f t="shared" si="96"/>
        <v>0.2</v>
      </c>
      <c r="FR168" s="846">
        <f t="shared" si="96"/>
        <v>0.2</v>
      </c>
      <c r="FS168" s="846">
        <f t="shared" ref="FS168:ID168" si="97">IF(COUNTIF(FS$152:FS$159,$I$153)&gt;0,$D$17,0)</f>
        <v>0.2</v>
      </c>
      <c r="FT168" s="846">
        <f t="shared" si="97"/>
        <v>0.2</v>
      </c>
      <c r="FU168" s="846">
        <f t="shared" si="97"/>
        <v>0.2</v>
      </c>
      <c r="FV168" s="846">
        <f t="shared" si="97"/>
        <v>0.2</v>
      </c>
      <c r="FW168" s="846">
        <f t="shared" si="97"/>
        <v>0.2</v>
      </c>
      <c r="FX168" s="846">
        <f t="shared" si="97"/>
        <v>0.2</v>
      </c>
      <c r="FY168" s="846">
        <f t="shared" si="97"/>
        <v>0.2</v>
      </c>
      <c r="FZ168" s="846">
        <f t="shared" si="97"/>
        <v>0.2</v>
      </c>
      <c r="GA168" s="846">
        <f t="shared" si="97"/>
        <v>0.2</v>
      </c>
      <c r="GB168" s="846">
        <f t="shared" si="97"/>
        <v>0.2</v>
      </c>
      <c r="GC168" s="846">
        <f t="shared" si="97"/>
        <v>0.2</v>
      </c>
      <c r="GD168" s="846">
        <f t="shared" si="97"/>
        <v>0.2</v>
      </c>
      <c r="GE168" s="846">
        <f t="shared" si="97"/>
        <v>0.2</v>
      </c>
      <c r="GF168" s="846">
        <f t="shared" si="97"/>
        <v>0.2</v>
      </c>
      <c r="GG168" s="846">
        <f t="shared" si="97"/>
        <v>0</v>
      </c>
      <c r="GH168" s="846">
        <f t="shared" si="97"/>
        <v>0</v>
      </c>
      <c r="GI168" s="846">
        <f t="shared" si="97"/>
        <v>0</v>
      </c>
      <c r="GJ168" s="846">
        <f t="shared" si="97"/>
        <v>0</v>
      </c>
      <c r="GK168" s="846">
        <f t="shared" si="97"/>
        <v>0</v>
      </c>
      <c r="GL168" s="846">
        <f t="shared" si="97"/>
        <v>0</v>
      </c>
      <c r="GM168" s="846">
        <f t="shared" si="97"/>
        <v>0</v>
      </c>
      <c r="GN168" s="846">
        <f t="shared" si="97"/>
        <v>0</v>
      </c>
      <c r="GO168" s="846">
        <f t="shared" si="97"/>
        <v>0</v>
      </c>
      <c r="GP168" s="846">
        <f t="shared" si="97"/>
        <v>0</v>
      </c>
      <c r="GQ168" s="846">
        <f t="shared" si="97"/>
        <v>0</v>
      </c>
      <c r="GR168" s="846">
        <f t="shared" si="97"/>
        <v>0</v>
      </c>
      <c r="GS168" s="846">
        <f t="shared" si="97"/>
        <v>0</v>
      </c>
      <c r="GT168" s="846">
        <f t="shared" si="97"/>
        <v>0</v>
      </c>
      <c r="GU168" s="846">
        <f t="shared" si="97"/>
        <v>0</v>
      </c>
      <c r="GV168" s="846">
        <f t="shared" si="97"/>
        <v>0.2</v>
      </c>
      <c r="GW168" s="846">
        <f t="shared" si="97"/>
        <v>0.2</v>
      </c>
      <c r="GX168" s="846">
        <f t="shared" si="97"/>
        <v>0.2</v>
      </c>
      <c r="GY168" s="846">
        <f t="shared" si="97"/>
        <v>0.2</v>
      </c>
      <c r="GZ168" s="846">
        <f t="shared" si="97"/>
        <v>0.2</v>
      </c>
      <c r="HA168" s="846">
        <f t="shared" si="97"/>
        <v>0.2</v>
      </c>
      <c r="HB168" s="846">
        <f t="shared" si="97"/>
        <v>0.2</v>
      </c>
      <c r="HC168" s="846">
        <f t="shared" si="97"/>
        <v>0.2</v>
      </c>
      <c r="HD168" s="846">
        <f t="shared" si="97"/>
        <v>0.2</v>
      </c>
      <c r="HE168" s="846">
        <f t="shared" si="97"/>
        <v>0.2</v>
      </c>
      <c r="HF168" s="846">
        <f t="shared" si="97"/>
        <v>0.2</v>
      </c>
      <c r="HG168" s="846">
        <f t="shared" si="97"/>
        <v>0.2</v>
      </c>
      <c r="HH168" s="846">
        <f t="shared" si="97"/>
        <v>0.2</v>
      </c>
      <c r="HI168" s="846">
        <f t="shared" si="97"/>
        <v>0.2</v>
      </c>
      <c r="HJ168" s="846">
        <f t="shared" si="97"/>
        <v>0.2</v>
      </c>
      <c r="HK168" s="846">
        <f t="shared" si="97"/>
        <v>0</v>
      </c>
      <c r="HL168" s="846">
        <f t="shared" si="97"/>
        <v>0</v>
      </c>
      <c r="HM168" s="846">
        <f t="shared" si="97"/>
        <v>0</v>
      </c>
      <c r="HN168" s="846">
        <f t="shared" si="97"/>
        <v>0</v>
      </c>
      <c r="HO168" s="846">
        <f t="shared" si="97"/>
        <v>0</v>
      </c>
      <c r="HP168" s="846">
        <f t="shared" si="97"/>
        <v>0</v>
      </c>
      <c r="HQ168" s="846">
        <f t="shared" si="97"/>
        <v>0.2</v>
      </c>
      <c r="HR168" s="846">
        <f t="shared" si="97"/>
        <v>0.2</v>
      </c>
      <c r="HS168" s="846">
        <f t="shared" si="97"/>
        <v>0.2</v>
      </c>
      <c r="HT168" s="846">
        <f t="shared" si="97"/>
        <v>0.2</v>
      </c>
      <c r="HU168" s="846">
        <f t="shared" si="97"/>
        <v>0.2</v>
      </c>
      <c r="HV168" s="846">
        <f t="shared" si="97"/>
        <v>0.2</v>
      </c>
      <c r="HW168" s="846">
        <f t="shared" si="97"/>
        <v>0.2</v>
      </c>
      <c r="HX168" s="846">
        <f t="shared" si="97"/>
        <v>0.2</v>
      </c>
      <c r="HY168" s="846">
        <f t="shared" si="97"/>
        <v>0.2</v>
      </c>
      <c r="HZ168" s="846">
        <f t="shared" si="97"/>
        <v>0.2</v>
      </c>
      <c r="IA168" s="846">
        <f t="shared" si="97"/>
        <v>0.2</v>
      </c>
      <c r="IB168" s="846">
        <f t="shared" si="97"/>
        <v>0.2</v>
      </c>
      <c r="IC168" s="846">
        <f t="shared" si="97"/>
        <v>0.2</v>
      </c>
      <c r="ID168" s="846">
        <f t="shared" si="97"/>
        <v>0.2</v>
      </c>
      <c r="IE168" s="846">
        <f t="shared" ref="IE168:IY168" si="98">IF(COUNTIF(IE$152:IE$159,$I$153)&gt;0,$D$17,0)</f>
        <v>0.2</v>
      </c>
      <c r="IF168" s="846">
        <f t="shared" si="98"/>
        <v>0</v>
      </c>
      <c r="IG168" s="846">
        <f t="shared" si="98"/>
        <v>0</v>
      </c>
      <c r="IH168" s="846">
        <f t="shared" si="98"/>
        <v>0</v>
      </c>
      <c r="II168" s="846">
        <f t="shared" si="98"/>
        <v>0</v>
      </c>
      <c r="IJ168" s="846">
        <f t="shared" si="98"/>
        <v>0</v>
      </c>
      <c r="IK168" s="846">
        <f t="shared" si="98"/>
        <v>0</v>
      </c>
      <c r="IL168" s="846">
        <f t="shared" si="98"/>
        <v>0.2</v>
      </c>
      <c r="IM168" s="846">
        <f t="shared" si="98"/>
        <v>0.2</v>
      </c>
      <c r="IN168" s="846">
        <f t="shared" si="98"/>
        <v>0.2</v>
      </c>
      <c r="IO168" s="846">
        <f t="shared" si="98"/>
        <v>0.2</v>
      </c>
      <c r="IP168" s="846">
        <f t="shared" si="98"/>
        <v>0.2</v>
      </c>
      <c r="IQ168" s="846">
        <f t="shared" si="98"/>
        <v>0.2</v>
      </c>
      <c r="IR168" s="846">
        <f t="shared" si="98"/>
        <v>0</v>
      </c>
      <c r="IS168" s="846">
        <f t="shared" si="98"/>
        <v>0.2</v>
      </c>
      <c r="IT168" s="846">
        <f t="shared" si="98"/>
        <v>0.2</v>
      </c>
      <c r="IU168" s="846">
        <f t="shared" si="98"/>
        <v>0.2</v>
      </c>
      <c r="IV168" s="846">
        <f t="shared" si="98"/>
        <v>0.2</v>
      </c>
      <c r="IW168" s="846">
        <f t="shared" si="98"/>
        <v>0.2</v>
      </c>
      <c r="IX168" s="846">
        <f t="shared" si="98"/>
        <v>0.2</v>
      </c>
      <c r="IY168" s="846">
        <f t="shared" si="98"/>
        <v>0</v>
      </c>
    </row>
    <row r="169" spans="1:259" s="190" customFormat="1" x14ac:dyDescent="0.25">
      <c r="A169" s="654" t="s">
        <v>2</v>
      </c>
      <c r="B169" s="209"/>
      <c r="C169" s="677">
        <f ca="1">IFERROR(INDEX(D169:OFFSET(D169,0,$IY$172),$C$172),0)</f>
        <v>0.8</v>
      </c>
      <c r="D169" s="679">
        <v>0</v>
      </c>
      <c r="E169" s="679">
        <v>0</v>
      </c>
      <c r="F169" s="679">
        <v>0</v>
      </c>
      <c r="G169" s="679">
        <v>0</v>
      </c>
      <c r="H169" s="679">
        <v>0</v>
      </c>
      <c r="I169" s="679">
        <v>0</v>
      </c>
      <c r="J169" s="679">
        <v>0</v>
      </c>
      <c r="K169" s="679">
        <v>0</v>
      </c>
      <c r="L169" s="679">
        <f>D18</f>
        <v>0.8</v>
      </c>
      <c r="M169" s="679">
        <v>0</v>
      </c>
      <c r="N169" s="680">
        <f>IF(COUNTIF(N$152:N$159,$I$153)&gt;0,$D$18,0)</f>
        <v>0.8</v>
      </c>
      <c r="O169" s="849">
        <f t="shared" ref="O169:AT169" si="99">IF(COUNTIF(O$152:O$159,$I$153)&gt;0,$D$18,0)</f>
        <v>0.8</v>
      </c>
      <c r="P169" s="845">
        <f t="shared" si="99"/>
        <v>0</v>
      </c>
      <c r="Q169" s="845">
        <f t="shared" si="99"/>
        <v>0</v>
      </c>
      <c r="R169" s="845">
        <f t="shared" si="99"/>
        <v>0</v>
      </c>
      <c r="S169" s="845">
        <f t="shared" si="99"/>
        <v>0</v>
      </c>
      <c r="T169" s="845">
        <f t="shared" si="99"/>
        <v>0</v>
      </c>
      <c r="U169" s="845">
        <f t="shared" si="99"/>
        <v>0</v>
      </c>
      <c r="V169" s="845">
        <f t="shared" si="99"/>
        <v>0.8</v>
      </c>
      <c r="W169" s="845">
        <f t="shared" si="99"/>
        <v>0.8</v>
      </c>
      <c r="X169" s="845">
        <f t="shared" si="99"/>
        <v>0.8</v>
      </c>
      <c r="Y169" s="845">
        <f t="shared" si="99"/>
        <v>0.8</v>
      </c>
      <c r="Z169" s="845">
        <f t="shared" si="99"/>
        <v>0.8</v>
      </c>
      <c r="AA169" s="846">
        <f t="shared" si="99"/>
        <v>0.8</v>
      </c>
      <c r="AB169" s="846">
        <f t="shared" si="99"/>
        <v>0</v>
      </c>
      <c r="AC169" s="846">
        <f t="shared" si="99"/>
        <v>0</v>
      </c>
      <c r="AD169" s="846">
        <f t="shared" si="99"/>
        <v>0</v>
      </c>
      <c r="AE169" s="846">
        <f t="shared" si="99"/>
        <v>0</v>
      </c>
      <c r="AF169" s="846">
        <f t="shared" si="99"/>
        <v>0</v>
      </c>
      <c r="AG169" s="846">
        <f t="shared" si="99"/>
        <v>0</v>
      </c>
      <c r="AH169" s="846">
        <f t="shared" si="99"/>
        <v>0</v>
      </c>
      <c r="AI169" s="846">
        <f t="shared" si="99"/>
        <v>0</v>
      </c>
      <c r="AJ169" s="846">
        <f t="shared" si="99"/>
        <v>0</v>
      </c>
      <c r="AK169" s="846">
        <f t="shared" si="99"/>
        <v>0</v>
      </c>
      <c r="AL169" s="846">
        <f t="shared" si="99"/>
        <v>0</v>
      </c>
      <c r="AM169" s="846">
        <f t="shared" si="99"/>
        <v>0</v>
      </c>
      <c r="AN169" s="846">
        <f t="shared" si="99"/>
        <v>0</v>
      </c>
      <c r="AO169" s="846">
        <f t="shared" si="99"/>
        <v>0</v>
      </c>
      <c r="AP169" s="846">
        <f t="shared" si="99"/>
        <v>0</v>
      </c>
      <c r="AQ169" s="846">
        <f t="shared" si="99"/>
        <v>0.8</v>
      </c>
      <c r="AR169" s="846">
        <f t="shared" si="99"/>
        <v>0.8</v>
      </c>
      <c r="AS169" s="846">
        <f t="shared" si="99"/>
        <v>0.8</v>
      </c>
      <c r="AT169" s="846">
        <f t="shared" si="99"/>
        <v>0.8</v>
      </c>
      <c r="AU169" s="846">
        <f t="shared" ref="AU169:BZ169" si="100">IF(COUNTIF(AU$152:AU$159,$I$153)&gt;0,$D$18,0)</f>
        <v>0.8</v>
      </c>
      <c r="AV169" s="846">
        <f t="shared" si="100"/>
        <v>0.8</v>
      </c>
      <c r="AW169" s="846">
        <f t="shared" si="100"/>
        <v>0</v>
      </c>
      <c r="AX169" s="846">
        <f t="shared" si="100"/>
        <v>0</v>
      </c>
      <c r="AY169" s="846">
        <f t="shared" si="100"/>
        <v>0</v>
      </c>
      <c r="AZ169" s="846">
        <f t="shared" si="100"/>
        <v>0</v>
      </c>
      <c r="BA169" s="846">
        <f t="shared" si="100"/>
        <v>0</v>
      </c>
      <c r="BB169" s="846">
        <f t="shared" si="100"/>
        <v>0</v>
      </c>
      <c r="BC169" s="846">
        <f t="shared" si="100"/>
        <v>0</v>
      </c>
      <c r="BD169" s="846">
        <f t="shared" si="100"/>
        <v>0</v>
      </c>
      <c r="BE169" s="846">
        <f t="shared" si="100"/>
        <v>0</v>
      </c>
      <c r="BF169" s="846">
        <f t="shared" si="100"/>
        <v>0</v>
      </c>
      <c r="BG169" s="846">
        <f t="shared" si="100"/>
        <v>0</v>
      </c>
      <c r="BH169" s="846">
        <f t="shared" si="100"/>
        <v>0</v>
      </c>
      <c r="BI169" s="846">
        <f t="shared" si="100"/>
        <v>0</v>
      </c>
      <c r="BJ169" s="846">
        <f t="shared" si="100"/>
        <v>0</v>
      </c>
      <c r="BK169" s="846">
        <f t="shared" si="100"/>
        <v>0</v>
      </c>
      <c r="BL169" s="846">
        <f t="shared" si="100"/>
        <v>0.8</v>
      </c>
      <c r="BM169" s="846">
        <f t="shared" si="100"/>
        <v>0.8</v>
      </c>
      <c r="BN169" s="846">
        <f t="shared" si="100"/>
        <v>0.8</v>
      </c>
      <c r="BO169" s="846">
        <f t="shared" si="100"/>
        <v>0.8</v>
      </c>
      <c r="BP169" s="846">
        <f t="shared" si="100"/>
        <v>0.8</v>
      </c>
      <c r="BQ169" s="846">
        <f t="shared" si="100"/>
        <v>0.8</v>
      </c>
      <c r="BR169" s="846">
        <f t="shared" si="100"/>
        <v>0.8</v>
      </c>
      <c r="BS169" s="846">
        <f t="shared" si="100"/>
        <v>0.8</v>
      </c>
      <c r="BT169" s="846">
        <f t="shared" si="100"/>
        <v>0.8</v>
      </c>
      <c r="BU169" s="846">
        <f t="shared" si="100"/>
        <v>0.8</v>
      </c>
      <c r="BV169" s="846">
        <f t="shared" si="100"/>
        <v>0.8</v>
      </c>
      <c r="BW169" s="846">
        <f t="shared" si="100"/>
        <v>0.8</v>
      </c>
      <c r="BX169" s="846">
        <f t="shared" si="100"/>
        <v>0.8</v>
      </c>
      <c r="BY169" s="846">
        <f t="shared" si="100"/>
        <v>0.8</v>
      </c>
      <c r="BZ169" s="846">
        <f t="shared" si="100"/>
        <v>0.8</v>
      </c>
      <c r="CA169" s="846">
        <f t="shared" ref="CA169:DF169" si="101">IF(COUNTIF(CA$152:CA$159,$I$153)&gt;0,$D$18,0)</f>
        <v>0</v>
      </c>
      <c r="CB169" s="846">
        <f t="shared" si="101"/>
        <v>0</v>
      </c>
      <c r="CC169" s="846">
        <f t="shared" si="101"/>
        <v>0</v>
      </c>
      <c r="CD169" s="846">
        <f t="shared" si="101"/>
        <v>0</v>
      </c>
      <c r="CE169" s="846">
        <f t="shared" si="101"/>
        <v>0</v>
      </c>
      <c r="CF169" s="846">
        <f t="shared" si="101"/>
        <v>0</v>
      </c>
      <c r="CG169" s="846">
        <f t="shared" si="101"/>
        <v>0</v>
      </c>
      <c r="CH169" s="846">
        <f t="shared" si="101"/>
        <v>0</v>
      </c>
      <c r="CI169" s="846">
        <f t="shared" si="101"/>
        <v>0</v>
      </c>
      <c r="CJ169" s="846">
        <f t="shared" si="101"/>
        <v>0</v>
      </c>
      <c r="CK169" s="846">
        <f t="shared" si="101"/>
        <v>0</v>
      </c>
      <c r="CL169" s="846">
        <f t="shared" si="101"/>
        <v>0</v>
      </c>
      <c r="CM169" s="846">
        <f t="shared" si="101"/>
        <v>0</v>
      </c>
      <c r="CN169" s="846">
        <f t="shared" si="101"/>
        <v>0</v>
      </c>
      <c r="CO169" s="846">
        <f t="shared" si="101"/>
        <v>0</v>
      </c>
      <c r="CP169" s="846">
        <f t="shared" si="101"/>
        <v>0</v>
      </c>
      <c r="CQ169" s="846">
        <f t="shared" si="101"/>
        <v>0</v>
      </c>
      <c r="CR169" s="846">
        <f t="shared" si="101"/>
        <v>0</v>
      </c>
      <c r="CS169" s="846">
        <f t="shared" si="101"/>
        <v>0</v>
      </c>
      <c r="CT169" s="846">
        <f t="shared" si="101"/>
        <v>0</v>
      </c>
      <c r="CU169" s="846">
        <f t="shared" si="101"/>
        <v>0.8</v>
      </c>
      <c r="CV169" s="846">
        <f t="shared" si="101"/>
        <v>0.8</v>
      </c>
      <c r="CW169" s="846">
        <f t="shared" si="101"/>
        <v>0.8</v>
      </c>
      <c r="CX169" s="846">
        <f t="shared" si="101"/>
        <v>0.8</v>
      </c>
      <c r="CY169" s="846">
        <f t="shared" si="101"/>
        <v>0.8</v>
      </c>
      <c r="CZ169" s="846">
        <f t="shared" si="101"/>
        <v>0.8</v>
      </c>
      <c r="DA169" s="846">
        <f t="shared" si="101"/>
        <v>0.8</v>
      </c>
      <c r="DB169" s="846">
        <f t="shared" si="101"/>
        <v>0.8</v>
      </c>
      <c r="DC169" s="846">
        <f t="shared" si="101"/>
        <v>0.8</v>
      </c>
      <c r="DD169" s="846">
        <f t="shared" si="101"/>
        <v>0.8</v>
      </c>
      <c r="DE169" s="846">
        <f t="shared" si="101"/>
        <v>0.8</v>
      </c>
      <c r="DF169" s="846">
        <f t="shared" si="101"/>
        <v>0.8</v>
      </c>
      <c r="DG169" s="846">
        <f t="shared" ref="DG169:FR169" si="102">IF(COUNTIF(DG$152:DG$159,$I$153)&gt;0,$D$18,0)</f>
        <v>0.8</v>
      </c>
      <c r="DH169" s="846">
        <f t="shared" si="102"/>
        <v>0.8</v>
      </c>
      <c r="DI169" s="846">
        <f t="shared" si="102"/>
        <v>0.8</v>
      </c>
      <c r="DJ169" s="846">
        <f t="shared" si="102"/>
        <v>0</v>
      </c>
      <c r="DK169" s="846">
        <f t="shared" si="102"/>
        <v>0</v>
      </c>
      <c r="DL169" s="846">
        <f t="shared" si="102"/>
        <v>0</v>
      </c>
      <c r="DM169" s="846">
        <f t="shared" si="102"/>
        <v>0</v>
      </c>
      <c r="DN169" s="846">
        <f t="shared" si="102"/>
        <v>0</v>
      </c>
      <c r="DO169" s="846">
        <f t="shared" si="102"/>
        <v>0</v>
      </c>
      <c r="DP169" s="846">
        <f t="shared" si="102"/>
        <v>0</v>
      </c>
      <c r="DQ169" s="846">
        <f t="shared" si="102"/>
        <v>0</v>
      </c>
      <c r="DR169" s="846">
        <f t="shared" si="102"/>
        <v>0</v>
      </c>
      <c r="DS169" s="846">
        <f t="shared" si="102"/>
        <v>0</v>
      </c>
      <c r="DT169" s="846">
        <f t="shared" si="102"/>
        <v>0</v>
      </c>
      <c r="DU169" s="846">
        <f t="shared" si="102"/>
        <v>0</v>
      </c>
      <c r="DV169" s="846">
        <f t="shared" si="102"/>
        <v>0</v>
      </c>
      <c r="DW169" s="846">
        <f t="shared" si="102"/>
        <v>0</v>
      </c>
      <c r="DX169" s="846">
        <f t="shared" si="102"/>
        <v>0</v>
      </c>
      <c r="DY169" s="846">
        <f t="shared" si="102"/>
        <v>0</v>
      </c>
      <c r="DZ169" s="846">
        <f t="shared" si="102"/>
        <v>0</v>
      </c>
      <c r="EA169" s="846">
        <f t="shared" si="102"/>
        <v>0</v>
      </c>
      <c r="EB169" s="846">
        <f t="shared" si="102"/>
        <v>0</v>
      </c>
      <c r="EC169" s="846">
        <f t="shared" si="102"/>
        <v>0</v>
      </c>
      <c r="ED169" s="846">
        <f t="shared" si="102"/>
        <v>0.8</v>
      </c>
      <c r="EE169" s="846">
        <f t="shared" si="102"/>
        <v>0.8</v>
      </c>
      <c r="EF169" s="846">
        <f t="shared" si="102"/>
        <v>0.8</v>
      </c>
      <c r="EG169" s="846">
        <f t="shared" si="102"/>
        <v>0.8</v>
      </c>
      <c r="EH169" s="846">
        <f t="shared" si="102"/>
        <v>0.8</v>
      </c>
      <c r="EI169" s="846">
        <f t="shared" si="102"/>
        <v>0.8</v>
      </c>
      <c r="EJ169" s="846">
        <f t="shared" si="102"/>
        <v>0.8</v>
      </c>
      <c r="EK169" s="846">
        <f t="shared" si="102"/>
        <v>0.8</v>
      </c>
      <c r="EL169" s="846">
        <f t="shared" si="102"/>
        <v>0.8</v>
      </c>
      <c r="EM169" s="846">
        <f t="shared" si="102"/>
        <v>0.8</v>
      </c>
      <c r="EN169" s="846">
        <f t="shared" si="102"/>
        <v>0.8</v>
      </c>
      <c r="EO169" s="846">
        <f t="shared" si="102"/>
        <v>0.8</v>
      </c>
      <c r="EP169" s="846">
        <f t="shared" si="102"/>
        <v>0.8</v>
      </c>
      <c r="EQ169" s="846">
        <f t="shared" si="102"/>
        <v>0.8</v>
      </c>
      <c r="ER169" s="846">
        <f t="shared" si="102"/>
        <v>0.8</v>
      </c>
      <c r="ES169" s="846">
        <f t="shared" si="102"/>
        <v>0.8</v>
      </c>
      <c r="ET169" s="846">
        <f t="shared" si="102"/>
        <v>0.8</v>
      </c>
      <c r="EU169" s="846">
        <f t="shared" si="102"/>
        <v>0.8</v>
      </c>
      <c r="EV169" s="846">
        <f t="shared" si="102"/>
        <v>0.8</v>
      </c>
      <c r="EW169" s="846">
        <f t="shared" si="102"/>
        <v>0.8</v>
      </c>
      <c r="EX169" s="846">
        <f t="shared" si="102"/>
        <v>0</v>
      </c>
      <c r="EY169" s="846">
        <f t="shared" si="102"/>
        <v>0</v>
      </c>
      <c r="EZ169" s="846">
        <f t="shared" si="102"/>
        <v>0</v>
      </c>
      <c r="FA169" s="846">
        <f t="shared" si="102"/>
        <v>0</v>
      </c>
      <c r="FB169" s="846">
        <f t="shared" si="102"/>
        <v>0</v>
      </c>
      <c r="FC169" s="846">
        <f t="shared" si="102"/>
        <v>0</v>
      </c>
      <c r="FD169" s="846">
        <f t="shared" si="102"/>
        <v>0</v>
      </c>
      <c r="FE169" s="846">
        <f t="shared" si="102"/>
        <v>0</v>
      </c>
      <c r="FF169" s="846">
        <f t="shared" si="102"/>
        <v>0</v>
      </c>
      <c r="FG169" s="846">
        <f t="shared" si="102"/>
        <v>0</v>
      </c>
      <c r="FH169" s="846">
        <f t="shared" si="102"/>
        <v>0</v>
      </c>
      <c r="FI169" s="846">
        <f t="shared" si="102"/>
        <v>0</v>
      </c>
      <c r="FJ169" s="846">
        <f t="shared" si="102"/>
        <v>0</v>
      </c>
      <c r="FK169" s="846">
        <f t="shared" si="102"/>
        <v>0</v>
      </c>
      <c r="FL169" s="846">
        <f t="shared" si="102"/>
        <v>0</v>
      </c>
      <c r="FM169" s="846">
        <f t="shared" si="102"/>
        <v>0.8</v>
      </c>
      <c r="FN169" s="846">
        <f t="shared" si="102"/>
        <v>0.8</v>
      </c>
      <c r="FO169" s="846">
        <f t="shared" si="102"/>
        <v>0.8</v>
      </c>
      <c r="FP169" s="846">
        <f t="shared" si="102"/>
        <v>0.8</v>
      </c>
      <c r="FQ169" s="846">
        <f t="shared" si="102"/>
        <v>0.8</v>
      </c>
      <c r="FR169" s="846">
        <f t="shared" si="102"/>
        <v>0.8</v>
      </c>
      <c r="FS169" s="846">
        <f t="shared" ref="FS169:ID169" si="103">IF(COUNTIF(FS$152:FS$159,$I$153)&gt;0,$D$18,0)</f>
        <v>0.8</v>
      </c>
      <c r="FT169" s="846">
        <f t="shared" si="103"/>
        <v>0.8</v>
      </c>
      <c r="FU169" s="846">
        <f t="shared" si="103"/>
        <v>0.8</v>
      </c>
      <c r="FV169" s="846">
        <f t="shared" si="103"/>
        <v>0.8</v>
      </c>
      <c r="FW169" s="846">
        <f t="shared" si="103"/>
        <v>0.8</v>
      </c>
      <c r="FX169" s="846">
        <f t="shared" si="103"/>
        <v>0.8</v>
      </c>
      <c r="FY169" s="846">
        <f t="shared" si="103"/>
        <v>0.8</v>
      </c>
      <c r="FZ169" s="846">
        <f t="shared" si="103"/>
        <v>0.8</v>
      </c>
      <c r="GA169" s="846">
        <f t="shared" si="103"/>
        <v>0.8</v>
      </c>
      <c r="GB169" s="846">
        <f t="shared" si="103"/>
        <v>0.8</v>
      </c>
      <c r="GC169" s="846">
        <f t="shared" si="103"/>
        <v>0.8</v>
      </c>
      <c r="GD169" s="846">
        <f t="shared" si="103"/>
        <v>0.8</v>
      </c>
      <c r="GE169" s="846">
        <f t="shared" si="103"/>
        <v>0.8</v>
      </c>
      <c r="GF169" s="846">
        <f t="shared" si="103"/>
        <v>0.8</v>
      </c>
      <c r="GG169" s="846">
        <f t="shared" si="103"/>
        <v>0</v>
      </c>
      <c r="GH169" s="846">
        <f t="shared" si="103"/>
        <v>0</v>
      </c>
      <c r="GI169" s="846">
        <f t="shared" si="103"/>
        <v>0</v>
      </c>
      <c r="GJ169" s="846">
        <f t="shared" si="103"/>
        <v>0</v>
      </c>
      <c r="GK169" s="846">
        <f t="shared" si="103"/>
        <v>0</v>
      </c>
      <c r="GL169" s="846">
        <f t="shared" si="103"/>
        <v>0</v>
      </c>
      <c r="GM169" s="846">
        <f t="shared" si="103"/>
        <v>0</v>
      </c>
      <c r="GN169" s="846">
        <f t="shared" si="103"/>
        <v>0</v>
      </c>
      <c r="GO169" s="846">
        <f t="shared" si="103"/>
        <v>0</v>
      </c>
      <c r="GP169" s="846">
        <f t="shared" si="103"/>
        <v>0</v>
      </c>
      <c r="GQ169" s="846">
        <f t="shared" si="103"/>
        <v>0</v>
      </c>
      <c r="GR169" s="846">
        <f t="shared" si="103"/>
        <v>0</v>
      </c>
      <c r="GS169" s="846">
        <f t="shared" si="103"/>
        <v>0</v>
      </c>
      <c r="GT169" s="846">
        <f t="shared" si="103"/>
        <v>0</v>
      </c>
      <c r="GU169" s="846">
        <f t="shared" si="103"/>
        <v>0</v>
      </c>
      <c r="GV169" s="846">
        <f t="shared" si="103"/>
        <v>0.8</v>
      </c>
      <c r="GW169" s="846">
        <f t="shared" si="103"/>
        <v>0.8</v>
      </c>
      <c r="GX169" s="846">
        <f t="shared" si="103"/>
        <v>0.8</v>
      </c>
      <c r="GY169" s="846">
        <f t="shared" si="103"/>
        <v>0.8</v>
      </c>
      <c r="GZ169" s="846">
        <f t="shared" si="103"/>
        <v>0.8</v>
      </c>
      <c r="HA169" s="846">
        <f t="shared" si="103"/>
        <v>0.8</v>
      </c>
      <c r="HB169" s="846">
        <f t="shared" si="103"/>
        <v>0.8</v>
      </c>
      <c r="HC169" s="846">
        <f t="shared" si="103"/>
        <v>0.8</v>
      </c>
      <c r="HD169" s="846">
        <f t="shared" si="103"/>
        <v>0.8</v>
      </c>
      <c r="HE169" s="846">
        <f t="shared" si="103"/>
        <v>0.8</v>
      </c>
      <c r="HF169" s="846">
        <f t="shared" si="103"/>
        <v>0.8</v>
      </c>
      <c r="HG169" s="846">
        <f t="shared" si="103"/>
        <v>0.8</v>
      </c>
      <c r="HH169" s="846">
        <f t="shared" si="103"/>
        <v>0.8</v>
      </c>
      <c r="HI169" s="846">
        <f t="shared" si="103"/>
        <v>0.8</v>
      </c>
      <c r="HJ169" s="846">
        <f t="shared" si="103"/>
        <v>0.8</v>
      </c>
      <c r="HK169" s="846">
        <f t="shared" si="103"/>
        <v>0</v>
      </c>
      <c r="HL169" s="846">
        <f t="shared" si="103"/>
        <v>0</v>
      </c>
      <c r="HM169" s="846">
        <f t="shared" si="103"/>
        <v>0</v>
      </c>
      <c r="HN169" s="846">
        <f t="shared" si="103"/>
        <v>0</v>
      </c>
      <c r="HO169" s="846">
        <f t="shared" si="103"/>
        <v>0</v>
      </c>
      <c r="HP169" s="846">
        <f t="shared" si="103"/>
        <v>0</v>
      </c>
      <c r="HQ169" s="846">
        <f t="shared" si="103"/>
        <v>0.8</v>
      </c>
      <c r="HR169" s="846">
        <f t="shared" si="103"/>
        <v>0.8</v>
      </c>
      <c r="HS169" s="846">
        <f t="shared" si="103"/>
        <v>0.8</v>
      </c>
      <c r="HT169" s="846">
        <f t="shared" si="103"/>
        <v>0.8</v>
      </c>
      <c r="HU169" s="846">
        <f t="shared" si="103"/>
        <v>0.8</v>
      </c>
      <c r="HV169" s="846">
        <f t="shared" si="103"/>
        <v>0.8</v>
      </c>
      <c r="HW169" s="846">
        <f t="shared" si="103"/>
        <v>0.8</v>
      </c>
      <c r="HX169" s="846">
        <f t="shared" si="103"/>
        <v>0.8</v>
      </c>
      <c r="HY169" s="846">
        <f t="shared" si="103"/>
        <v>0.8</v>
      </c>
      <c r="HZ169" s="846">
        <f t="shared" si="103"/>
        <v>0.8</v>
      </c>
      <c r="IA169" s="846">
        <f t="shared" si="103"/>
        <v>0.8</v>
      </c>
      <c r="IB169" s="846">
        <f t="shared" si="103"/>
        <v>0.8</v>
      </c>
      <c r="IC169" s="846">
        <f t="shared" si="103"/>
        <v>0.8</v>
      </c>
      <c r="ID169" s="846">
        <f t="shared" si="103"/>
        <v>0.8</v>
      </c>
      <c r="IE169" s="846">
        <f t="shared" ref="IE169:IY169" si="104">IF(COUNTIF(IE$152:IE$159,$I$153)&gt;0,$D$18,0)</f>
        <v>0.8</v>
      </c>
      <c r="IF169" s="846">
        <f t="shared" si="104"/>
        <v>0</v>
      </c>
      <c r="IG169" s="846">
        <f t="shared" si="104"/>
        <v>0</v>
      </c>
      <c r="IH169" s="846">
        <f t="shared" si="104"/>
        <v>0</v>
      </c>
      <c r="II169" s="846">
        <f t="shared" si="104"/>
        <v>0</v>
      </c>
      <c r="IJ169" s="846">
        <f t="shared" si="104"/>
        <v>0</v>
      </c>
      <c r="IK169" s="846">
        <f t="shared" si="104"/>
        <v>0</v>
      </c>
      <c r="IL169" s="846">
        <f t="shared" si="104"/>
        <v>0.8</v>
      </c>
      <c r="IM169" s="846">
        <f t="shared" si="104"/>
        <v>0.8</v>
      </c>
      <c r="IN169" s="846">
        <f t="shared" si="104"/>
        <v>0.8</v>
      </c>
      <c r="IO169" s="846">
        <f t="shared" si="104"/>
        <v>0.8</v>
      </c>
      <c r="IP169" s="846">
        <f t="shared" si="104"/>
        <v>0.8</v>
      </c>
      <c r="IQ169" s="846">
        <f t="shared" si="104"/>
        <v>0.8</v>
      </c>
      <c r="IR169" s="846">
        <f t="shared" si="104"/>
        <v>0</v>
      </c>
      <c r="IS169" s="846">
        <f t="shared" si="104"/>
        <v>0.8</v>
      </c>
      <c r="IT169" s="846">
        <f t="shared" si="104"/>
        <v>0.8</v>
      </c>
      <c r="IU169" s="846">
        <f t="shared" si="104"/>
        <v>0.8</v>
      </c>
      <c r="IV169" s="846">
        <f t="shared" si="104"/>
        <v>0.8</v>
      </c>
      <c r="IW169" s="846">
        <f t="shared" si="104"/>
        <v>0.8</v>
      </c>
      <c r="IX169" s="846">
        <f t="shared" si="104"/>
        <v>0.8</v>
      </c>
      <c r="IY169" s="846">
        <f t="shared" si="104"/>
        <v>0</v>
      </c>
    </row>
    <row r="170" spans="1:259" s="190" customFormat="1" x14ac:dyDescent="0.25">
      <c r="A170" s="654" t="s">
        <v>766</v>
      </c>
      <c r="B170" s="209"/>
      <c r="C170" s="677">
        <f ca="1">IFERROR(INDEX(D170:OFFSET(D170,0,$IY$172),$C$172),0)</f>
        <v>0.5</v>
      </c>
      <c r="D170" s="679">
        <v>0</v>
      </c>
      <c r="E170" s="679">
        <v>0</v>
      </c>
      <c r="F170" s="679">
        <v>0</v>
      </c>
      <c r="G170" s="679">
        <v>0</v>
      </c>
      <c r="H170" s="679">
        <v>0</v>
      </c>
      <c r="I170" s="679">
        <v>0</v>
      </c>
      <c r="J170" s="679">
        <v>0</v>
      </c>
      <c r="K170" s="679">
        <v>0</v>
      </c>
      <c r="L170" s="679">
        <v>0</v>
      </c>
      <c r="M170" s="679">
        <f>D19</f>
        <v>0.5</v>
      </c>
      <c r="N170" s="680">
        <f>IF(COUNTIF(N$152:N$159,$I$154)&gt;0,$D$19,0)</f>
        <v>0.5</v>
      </c>
      <c r="O170" s="849">
        <f t="shared" ref="O170:AT170" si="105">IF(COUNTIF(O$152:O$159,$I$154)&gt;0,$D$19,0)</f>
        <v>0</v>
      </c>
      <c r="P170" s="845">
        <f t="shared" si="105"/>
        <v>0.5</v>
      </c>
      <c r="Q170" s="845">
        <f t="shared" si="105"/>
        <v>0</v>
      </c>
      <c r="R170" s="845">
        <f t="shared" si="105"/>
        <v>0</v>
      </c>
      <c r="S170" s="845">
        <f t="shared" si="105"/>
        <v>0</v>
      </c>
      <c r="T170" s="845">
        <f t="shared" si="105"/>
        <v>0</v>
      </c>
      <c r="U170" s="845">
        <f t="shared" si="105"/>
        <v>0</v>
      </c>
      <c r="V170" s="845">
        <f t="shared" si="105"/>
        <v>0.5</v>
      </c>
      <c r="W170" s="845">
        <f t="shared" si="105"/>
        <v>0</v>
      </c>
      <c r="X170" s="845">
        <f t="shared" si="105"/>
        <v>0</v>
      </c>
      <c r="Y170" s="845">
        <f t="shared" si="105"/>
        <v>0</v>
      </c>
      <c r="Z170" s="845">
        <f t="shared" si="105"/>
        <v>0</v>
      </c>
      <c r="AA170" s="846">
        <f t="shared" si="105"/>
        <v>0</v>
      </c>
      <c r="AB170" s="846">
        <f t="shared" si="105"/>
        <v>0.5</v>
      </c>
      <c r="AC170" s="846">
        <f t="shared" si="105"/>
        <v>0.5</v>
      </c>
      <c r="AD170" s="846">
        <f t="shared" si="105"/>
        <v>0.5</v>
      </c>
      <c r="AE170" s="846">
        <f t="shared" si="105"/>
        <v>0.5</v>
      </c>
      <c r="AF170" s="846">
        <f t="shared" si="105"/>
        <v>0.5</v>
      </c>
      <c r="AG170" s="846">
        <f t="shared" si="105"/>
        <v>0</v>
      </c>
      <c r="AH170" s="846">
        <f t="shared" si="105"/>
        <v>0</v>
      </c>
      <c r="AI170" s="846">
        <f t="shared" si="105"/>
        <v>0</v>
      </c>
      <c r="AJ170" s="846">
        <f t="shared" si="105"/>
        <v>0</v>
      </c>
      <c r="AK170" s="846">
        <f t="shared" si="105"/>
        <v>0</v>
      </c>
      <c r="AL170" s="846">
        <f t="shared" si="105"/>
        <v>0</v>
      </c>
      <c r="AM170" s="846">
        <f t="shared" si="105"/>
        <v>0</v>
      </c>
      <c r="AN170" s="846">
        <f t="shared" si="105"/>
        <v>0</v>
      </c>
      <c r="AO170" s="846">
        <f t="shared" si="105"/>
        <v>0</v>
      </c>
      <c r="AP170" s="846">
        <f t="shared" si="105"/>
        <v>0</v>
      </c>
      <c r="AQ170" s="846">
        <f t="shared" si="105"/>
        <v>0.5</v>
      </c>
      <c r="AR170" s="846">
        <f t="shared" si="105"/>
        <v>0</v>
      </c>
      <c r="AS170" s="846">
        <f t="shared" si="105"/>
        <v>0</v>
      </c>
      <c r="AT170" s="846">
        <f t="shared" si="105"/>
        <v>0</v>
      </c>
      <c r="AU170" s="846">
        <f t="shared" ref="AU170:BZ170" si="106">IF(COUNTIF(AU$152:AU$159,$I$154)&gt;0,$D$19,0)</f>
        <v>0</v>
      </c>
      <c r="AV170" s="846">
        <f t="shared" si="106"/>
        <v>0</v>
      </c>
      <c r="AW170" s="846">
        <f t="shared" si="106"/>
        <v>0.5</v>
      </c>
      <c r="AX170" s="846">
        <f t="shared" si="106"/>
        <v>0.5</v>
      </c>
      <c r="AY170" s="846">
        <f t="shared" si="106"/>
        <v>0.5</v>
      </c>
      <c r="AZ170" s="846">
        <f t="shared" si="106"/>
        <v>0.5</v>
      </c>
      <c r="BA170" s="846">
        <f t="shared" si="106"/>
        <v>0.5</v>
      </c>
      <c r="BB170" s="846">
        <f t="shared" si="106"/>
        <v>0</v>
      </c>
      <c r="BC170" s="846">
        <f t="shared" si="106"/>
        <v>0</v>
      </c>
      <c r="BD170" s="846">
        <f t="shared" si="106"/>
        <v>0</v>
      </c>
      <c r="BE170" s="846">
        <f t="shared" si="106"/>
        <v>0</v>
      </c>
      <c r="BF170" s="846">
        <f t="shared" si="106"/>
        <v>0</v>
      </c>
      <c r="BG170" s="846">
        <f t="shared" si="106"/>
        <v>0</v>
      </c>
      <c r="BH170" s="846">
        <f t="shared" si="106"/>
        <v>0</v>
      </c>
      <c r="BI170" s="846">
        <f t="shared" si="106"/>
        <v>0</v>
      </c>
      <c r="BJ170" s="846">
        <f t="shared" si="106"/>
        <v>0</v>
      </c>
      <c r="BK170" s="846">
        <f t="shared" si="106"/>
        <v>0</v>
      </c>
      <c r="BL170" s="846">
        <f t="shared" si="106"/>
        <v>0.5</v>
      </c>
      <c r="BM170" s="846">
        <f t="shared" si="106"/>
        <v>0.5</v>
      </c>
      <c r="BN170" s="846">
        <f t="shared" si="106"/>
        <v>0.5</v>
      </c>
      <c r="BO170" s="846">
        <f t="shared" si="106"/>
        <v>0.5</v>
      </c>
      <c r="BP170" s="846">
        <f t="shared" si="106"/>
        <v>0.5</v>
      </c>
      <c r="BQ170" s="846">
        <f t="shared" si="106"/>
        <v>0</v>
      </c>
      <c r="BR170" s="846">
        <f t="shared" si="106"/>
        <v>0</v>
      </c>
      <c r="BS170" s="846">
        <f t="shared" si="106"/>
        <v>0</v>
      </c>
      <c r="BT170" s="846">
        <f t="shared" si="106"/>
        <v>0</v>
      </c>
      <c r="BU170" s="846">
        <f t="shared" si="106"/>
        <v>0</v>
      </c>
      <c r="BV170" s="846">
        <f t="shared" si="106"/>
        <v>0</v>
      </c>
      <c r="BW170" s="846">
        <f t="shared" si="106"/>
        <v>0</v>
      </c>
      <c r="BX170" s="846">
        <f t="shared" si="106"/>
        <v>0</v>
      </c>
      <c r="BY170" s="846">
        <f t="shared" si="106"/>
        <v>0</v>
      </c>
      <c r="BZ170" s="846">
        <f t="shared" si="106"/>
        <v>0</v>
      </c>
      <c r="CA170" s="846">
        <f t="shared" ref="CA170:DF170" si="107">IF(COUNTIF(CA$152:CA$159,$I$154)&gt;0,$D$19,0)</f>
        <v>0.5</v>
      </c>
      <c r="CB170" s="846">
        <f t="shared" si="107"/>
        <v>0.5</v>
      </c>
      <c r="CC170" s="846">
        <f t="shared" si="107"/>
        <v>0.5</v>
      </c>
      <c r="CD170" s="846">
        <f t="shared" si="107"/>
        <v>0.5</v>
      </c>
      <c r="CE170" s="846">
        <f t="shared" si="107"/>
        <v>0.5</v>
      </c>
      <c r="CF170" s="846">
        <f t="shared" si="107"/>
        <v>0.5</v>
      </c>
      <c r="CG170" s="846">
        <f t="shared" si="107"/>
        <v>0.5</v>
      </c>
      <c r="CH170" s="846">
        <f t="shared" si="107"/>
        <v>0.5</v>
      </c>
      <c r="CI170" s="846">
        <f t="shared" si="107"/>
        <v>0.5</v>
      </c>
      <c r="CJ170" s="846">
        <f t="shared" si="107"/>
        <v>0.5</v>
      </c>
      <c r="CK170" s="846">
        <f t="shared" si="107"/>
        <v>0</v>
      </c>
      <c r="CL170" s="846">
        <f t="shared" si="107"/>
        <v>0</v>
      </c>
      <c r="CM170" s="846">
        <f t="shared" si="107"/>
        <v>0</v>
      </c>
      <c r="CN170" s="846">
        <f t="shared" si="107"/>
        <v>0</v>
      </c>
      <c r="CO170" s="846">
        <f t="shared" si="107"/>
        <v>0</v>
      </c>
      <c r="CP170" s="846">
        <f t="shared" si="107"/>
        <v>0</v>
      </c>
      <c r="CQ170" s="846">
        <f t="shared" si="107"/>
        <v>0</v>
      </c>
      <c r="CR170" s="846">
        <f t="shared" si="107"/>
        <v>0</v>
      </c>
      <c r="CS170" s="846">
        <f t="shared" si="107"/>
        <v>0</v>
      </c>
      <c r="CT170" s="846">
        <f t="shared" si="107"/>
        <v>0</v>
      </c>
      <c r="CU170" s="846">
        <f t="shared" si="107"/>
        <v>0.5</v>
      </c>
      <c r="CV170" s="846">
        <f t="shared" si="107"/>
        <v>0.5</v>
      </c>
      <c r="CW170" s="846">
        <f t="shared" si="107"/>
        <v>0.5</v>
      </c>
      <c r="CX170" s="846">
        <f t="shared" si="107"/>
        <v>0.5</v>
      </c>
      <c r="CY170" s="846">
        <f t="shared" si="107"/>
        <v>0.5</v>
      </c>
      <c r="CZ170" s="846">
        <f t="shared" si="107"/>
        <v>0</v>
      </c>
      <c r="DA170" s="846">
        <f t="shared" si="107"/>
        <v>0</v>
      </c>
      <c r="DB170" s="846">
        <f t="shared" si="107"/>
        <v>0</v>
      </c>
      <c r="DC170" s="846">
        <f t="shared" si="107"/>
        <v>0</v>
      </c>
      <c r="DD170" s="846">
        <f t="shared" si="107"/>
        <v>0</v>
      </c>
      <c r="DE170" s="846">
        <f t="shared" si="107"/>
        <v>0</v>
      </c>
      <c r="DF170" s="846">
        <f t="shared" si="107"/>
        <v>0</v>
      </c>
      <c r="DG170" s="846">
        <f t="shared" ref="DG170:FR170" si="108">IF(COUNTIF(DG$152:DG$159,$I$154)&gt;0,$D$19,0)</f>
        <v>0</v>
      </c>
      <c r="DH170" s="846">
        <f t="shared" si="108"/>
        <v>0</v>
      </c>
      <c r="DI170" s="846">
        <f t="shared" si="108"/>
        <v>0</v>
      </c>
      <c r="DJ170" s="846">
        <f t="shared" si="108"/>
        <v>0.5</v>
      </c>
      <c r="DK170" s="846">
        <f t="shared" si="108"/>
        <v>0.5</v>
      </c>
      <c r="DL170" s="846">
        <f t="shared" si="108"/>
        <v>0.5</v>
      </c>
      <c r="DM170" s="846">
        <f t="shared" si="108"/>
        <v>0.5</v>
      </c>
      <c r="DN170" s="846">
        <f t="shared" si="108"/>
        <v>0.5</v>
      </c>
      <c r="DO170" s="846">
        <f t="shared" si="108"/>
        <v>0.5</v>
      </c>
      <c r="DP170" s="846">
        <f t="shared" si="108"/>
        <v>0.5</v>
      </c>
      <c r="DQ170" s="846">
        <f t="shared" si="108"/>
        <v>0.5</v>
      </c>
      <c r="DR170" s="846">
        <f t="shared" si="108"/>
        <v>0.5</v>
      </c>
      <c r="DS170" s="846">
        <f t="shared" si="108"/>
        <v>0.5</v>
      </c>
      <c r="DT170" s="846">
        <f t="shared" si="108"/>
        <v>0</v>
      </c>
      <c r="DU170" s="846">
        <f t="shared" si="108"/>
        <v>0</v>
      </c>
      <c r="DV170" s="846">
        <f t="shared" si="108"/>
        <v>0</v>
      </c>
      <c r="DW170" s="846">
        <f t="shared" si="108"/>
        <v>0</v>
      </c>
      <c r="DX170" s="846">
        <f t="shared" si="108"/>
        <v>0</v>
      </c>
      <c r="DY170" s="846">
        <f t="shared" si="108"/>
        <v>0</v>
      </c>
      <c r="DZ170" s="846">
        <f t="shared" si="108"/>
        <v>0</v>
      </c>
      <c r="EA170" s="846">
        <f t="shared" si="108"/>
        <v>0</v>
      </c>
      <c r="EB170" s="846">
        <f t="shared" si="108"/>
        <v>0</v>
      </c>
      <c r="EC170" s="846">
        <f t="shared" si="108"/>
        <v>0</v>
      </c>
      <c r="ED170" s="846">
        <f t="shared" si="108"/>
        <v>0.5</v>
      </c>
      <c r="EE170" s="846">
        <f t="shared" si="108"/>
        <v>0.5</v>
      </c>
      <c r="EF170" s="846">
        <f t="shared" si="108"/>
        <v>0.5</v>
      </c>
      <c r="EG170" s="846">
        <f t="shared" si="108"/>
        <v>0.5</v>
      </c>
      <c r="EH170" s="846">
        <f t="shared" si="108"/>
        <v>0.5</v>
      </c>
      <c r="EI170" s="846">
        <f t="shared" si="108"/>
        <v>0.5</v>
      </c>
      <c r="EJ170" s="846">
        <f t="shared" si="108"/>
        <v>0.5</v>
      </c>
      <c r="EK170" s="846">
        <f t="shared" si="108"/>
        <v>0.5</v>
      </c>
      <c r="EL170" s="846">
        <f t="shared" si="108"/>
        <v>0.5</v>
      </c>
      <c r="EM170" s="846">
        <f t="shared" si="108"/>
        <v>0.5</v>
      </c>
      <c r="EN170" s="846">
        <f t="shared" si="108"/>
        <v>0</v>
      </c>
      <c r="EO170" s="846">
        <f t="shared" si="108"/>
        <v>0</v>
      </c>
      <c r="EP170" s="846">
        <f t="shared" si="108"/>
        <v>0</v>
      </c>
      <c r="EQ170" s="846">
        <f t="shared" si="108"/>
        <v>0</v>
      </c>
      <c r="ER170" s="846">
        <f t="shared" si="108"/>
        <v>0</v>
      </c>
      <c r="ES170" s="846">
        <f t="shared" si="108"/>
        <v>0</v>
      </c>
      <c r="ET170" s="846">
        <f t="shared" si="108"/>
        <v>0</v>
      </c>
      <c r="EU170" s="846">
        <f t="shared" si="108"/>
        <v>0</v>
      </c>
      <c r="EV170" s="846">
        <f t="shared" si="108"/>
        <v>0</v>
      </c>
      <c r="EW170" s="846">
        <f t="shared" si="108"/>
        <v>0</v>
      </c>
      <c r="EX170" s="846">
        <f t="shared" si="108"/>
        <v>0.5</v>
      </c>
      <c r="EY170" s="846">
        <f t="shared" si="108"/>
        <v>0.5</v>
      </c>
      <c r="EZ170" s="846">
        <f t="shared" si="108"/>
        <v>0.5</v>
      </c>
      <c r="FA170" s="846">
        <f t="shared" si="108"/>
        <v>0.5</v>
      </c>
      <c r="FB170" s="846">
        <f t="shared" si="108"/>
        <v>0.5</v>
      </c>
      <c r="FC170" s="846">
        <f t="shared" si="108"/>
        <v>0.5</v>
      </c>
      <c r="FD170" s="846">
        <f t="shared" si="108"/>
        <v>0.5</v>
      </c>
      <c r="FE170" s="846">
        <f t="shared" si="108"/>
        <v>0.5</v>
      </c>
      <c r="FF170" s="846">
        <f t="shared" si="108"/>
        <v>0.5</v>
      </c>
      <c r="FG170" s="846">
        <f t="shared" si="108"/>
        <v>0.5</v>
      </c>
      <c r="FH170" s="846">
        <f t="shared" si="108"/>
        <v>0</v>
      </c>
      <c r="FI170" s="846">
        <f t="shared" si="108"/>
        <v>0</v>
      </c>
      <c r="FJ170" s="846">
        <f t="shared" si="108"/>
        <v>0</v>
      </c>
      <c r="FK170" s="846">
        <f t="shared" si="108"/>
        <v>0</v>
      </c>
      <c r="FL170" s="846">
        <f t="shared" si="108"/>
        <v>0</v>
      </c>
      <c r="FM170" s="846">
        <f t="shared" si="108"/>
        <v>0.5</v>
      </c>
      <c r="FN170" s="846">
        <f t="shared" si="108"/>
        <v>0.5</v>
      </c>
      <c r="FO170" s="846">
        <f t="shared" si="108"/>
        <v>0.5</v>
      </c>
      <c r="FP170" s="846">
        <f t="shared" si="108"/>
        <v>0.5</v>
      </c>
      <c r="FQ170" s="846">
        <f t="shared" si="108"/>
        <v>0.5</v>
      </c>
      <c r="FR170" s="846">
        <f t="shared" si="108"/>
        <v>0.5</v>
      </c>
      <c r="FS170" s="846">
        <f t="shared" ref="FS170:ID170" si="109">IF(COUNTIF(FS$152:FS$159,$I$154)&gt;0,$D$19,0)</f>
        <v>0.5</v>
      </c>
      <c r="FT170" s="846">
        <f t="shared" si="109"/>
        <v>0.5</v>
      </c>
      <c r="FU170" s="846">
        <f t="shared" si="109"/>
        <v>0.5</v>
      </c>
      <c r="FV170" s="846">
        <f t="shared" si="109"/>
        <v>0.5</v>
      </c>
      <c r="FW170" s="846">
        <f t="shared" si="109"/>
        <v>0</v>
      </c>
      <c r="FX170" s="846">
        <f t="shared" si="109"/>
        <v>0</v>
      </c>
      <c r="FY170" s="846">
        <f t="shared" si="109"/>
        <v>0</v>
      </c>
      <c r="FZ170" s="846">
        <f t="shared" si="109"/>
        <v>0</v>
      </c>
      <c r="GA170" s="846">
        <f t="shared" si="109"/>
        <v>0</v>
      </c>
      <c r="GB170" s="846">
        <f t="shared" si="109"/>
        <v>0</v>
      </c>
      <c r="GC170" s="846">
        <f t="shared" si="109"/>
        <v>0</v>
      </c>
      <c r="GD170" s="846">
        <f t="shared" si="109"/>
        <v>0</v>
      </c>
      <c r="GE170" s="846">
        <f t="shared" si="109"/>
        <v>0</v>
      </c>
      <c r="GF170" s="846">
        <f t="shared" si="109"/>
        <v>0</v>
      </c>
      <c r="GG170" s="846">
        <f t="shared" si="109"/>
        <v>0.5</v>
      </c>
      <c r="GH170" s="846">
        <f t="shared" si="109"/>
        <v>0.5</v>
      </c>
      <c r="GI170" s="846">
        <f t="shared" si="109"/>
        <v>0.5</v>
      </c>
      <c r="GJ170" s="846">
        <f t="shared" si="109"/>
        <v>0.5</v>
      </c>
      <c r="GK170" s="846">
        <f t="shared" si="109"/>
        <v>0.5</v>
      </c>
      <c r="GL170" s="846">
        <f t="shared" si="109"/>
        <v>0.5</v>
      </c>
      <c r="GM170" s="846">
        <f t="shared" si="109"/>
        <v>0.5</v>
      </c>
      <c r="GN170" s="846">
        <f t="shared" si="109"/>
        <v>0.5</v>
      </c>
      <c r="GO170" s="846">
        <f t="shared" si="109"/>
        <v>0.5</v>
      </c>
      <c r="GP170" s="846">
        <f t="shared" si="109"/>
        <v>0.5</v>
      </c>
      <c r="GQ170" s="846">
        <f t="shared" si="109"/>
        <v>0</v>
      </c>
      <c r="GR170" s="846">
        <f t="shared" si="109"/>
        <v>0</v>
      </c>
      <c r="GS170" s="846">
        <f t="shared" si="109"/>
        <v>0</v>
      </c>
      <c r="GT170" s="846">
        <f t="shared" si="109"/>
        <v>0</v>
      </c>
      <c r="GU170" s="846">
        <f t="shared" si="109"/>
        <v>0</v>
      </c>
      <c r="GV170" s="846">
        <f t="shared" si="109"/>
        <v>0.5</v>
      </c>
      <c r="GW170" s="846">
        <f t="shared" si="109"/>
        <v>0.5</v>
      </c>
      <c r="GX170" s="846">
        <f t="shared" si="109"/>
        <v>0.5</v>
      </c>
      <c r="GY170" s="846">
        <f t="shared" si="109"/>
        <v>0.5</v>
      </c>
      <c r="GZ170" s="846">
        <f t="shared" si="109"/>
        <v>0.5</v>
      </c>
      <c r="HA170" s="846">
        <f t="shared" si="109"/>
        <v>0.5</v>
      </c>
      <c r="HB170" s="846">
        <f t="shared" si="109"/>
        <v>0.5</v>
      </c>
      <c r="HC170" s="846">
        <f t="shared" si="109"/>
        <v>0.5</v>
      </c>
      <c r="HD170" s="846">
        <f t="shared" si="109"/>
        <v>0.5</v>
      </c>
      <c r="HE170" s="846">
        <f t="shared" si="109"/>
        <v>0.5</v>
      </c>
      <c r="HF170" s="846">
        <f t="shared" si="109"/>
        <v>0</v>
      </c>
      <c r="HG170" s="846">
        <f t="shared" si="109"/>
        <v>0</v>
      </c>
      <c r="HH170" s="846">
        <f t="shared" si="109"/>
        <v>0</v>
      </c>
      <c r="HI170" s="846">
        <f t="shared" si="109"/>
        <v>0</v>
      </c>
      <c r="HJ170" s="846">
        <f t="shared" si="109"/>
        <v>0</v>
      </c>
      <c r="HK170" s="846">
        <f t="shared" si="109"/>
        <v>0.5</v>
      </c>
      <c r="HL170" s="846">
        <f t="shared" si="109"/>
        <v>0.5</v>
      </c>
      <c r="HM170" s="846">
        <f t="shared" si="109"/>
        <v>0.5</v>
      </c>
      <c r="HN170" s="846">
        <f t="shared" si="109"/>
        <v>0.5</v>
      </c>
      <c r="HO170" s="846">
        <f t="shared" si="109"/>
        <v>0.5</v>
      </c>
      <c r="HP170" s="846">
        <f t="shared" si="109"/>
        <v>0</v>
      </c>
      <c r="HQ170" s="846">
        <f t="shared" si="109"/>
        <v>0.5</v>
      </c>
      <c r="HR170" s="846">
        <f t="shared" si="109"/>
        <v>0.5</v>
      </c>
      <c r="HS170" s="846">
        <f t="shared" si="109"/>
        <v>0.5</v>
      </c>
      <c r="HT170" s="846">
        <f t="shared" si="109"/>
        <v>0.5</v>
      </c>
      <c r="HU170" s="846">
        <f t="shared" si="109"/>
        <v>0.5</v>
      </c>
      <c r="HV170" s="846">
        <f t="shared" si="109"/>
        <v>0.5</v>
      </c>
      <c r="HW170" s="846">
        <f t="shared" si="109"/>
        <v>0.5</v>
      </c>
      <c r="HX170" s="846">
        <f t="shared" si="109"/>
        <v>0.5</v>
      </c>
      <c r="HY170" s="846">
        <f t="shared" si="109"/>
        <v>0.5</v>
      </c>
      <c r="HZ170" s="846">
        <f t="shared" si="109"/>
        <v>0.5</v>
      </c>
      <c r="IA170" s="846">
        <f t="shared" si="109"/>
        <v>0</v>
      </c>
      <c r="IB170" s="846">
        <f t="shared" si="109"/>
        <v>0</v>
      </c>
      <c r="IC170" s="846">
        <f t="shared" si="109"/>
        <v>0</v>
      </c>
      <c r="ID170" s="846">
        <f t="shared" si="109"/>
        <v>0</v>
      </c>
      <c r="IE170" s="846">
        <f t="shared" ref="IE170:IY170" si="110">IF(COUNTIF(IE$152:IE$159,$I$154)&gt;0,$D$19,0)</f>
        <v>0</v>
      </c>
      <c r="IF170" s="846">
        <f t="shared" si="110"/>
        <v>0.5</v>
      </c>
      <c r="IG170" s="846">
        <f t="shared" si="110"/>
        <v>0.5</v>
      </c>
      <c r="IH170" s="846">
        <f t="shared" si="110"/>
        <v>0.5</v>
      </c>
      <c r="II170" s="846">
        <f t="shared" si="110"/>
        <v>0.5</v>
      </c>
      <c r="IJ170" s="846">
        <f t="shared" si="110"/>
        <v>0.5</v>
      </c>
      <c r="IK170" s="846">
        <f t="shared" si="110"/>
        <v>0</v>
      </c>
      <c r="IL170" s="846">
        <f t="shared" si="110"/>
        <v>0.5</v>
      </c>
      <c r="IM170" s="846">
        <f t="shared" si="110"/>
        <v>0.5</v>
      </c>
      <c r="IN170" s="846">
        <f t="shared" si="110"/>
        <v>0.5</v>
      </c>
      <c r="IO170" s="846">
        <f t="shared" si="110"/>
        <v>0.5</v>
      </c>
      <c r="IP170" s="846">
        <f t="shared" si="110"/>
        <v>0.5</v>
      </c>
      <c r="IQ170" s="846">
        <f t="shared" si="110"/>
        <v>0</v>
      </c>
      <c r="IR170" s="846">
        <f t="shared" si="110"/>
        <v>0.5</v>
      </c>
      <c r="IS170" s="846">
        <f t="shared" si="110"/>
        <v>0.5</v>
      </c>
      <c r="IT170" s="846">
        <f t="shared" si="110"/>
        <v>0.5</v>
      </c>
      <c r="IU170" s="846">
        <f t="shared" si="110"/>
        <v>0.5</v>
      </c>
      <c r="IV170" s="846">
        <f t="shared" si="110"/>
        <v>0.5</v>
      </c>
      <c r="IW170" s="846">
        <f t="shared" si="110"/>
        <v>0.5</v>
      </c>
      <c r="IX170" s="846">
        <f t="shared" si="110"/>
        <v>0</v>
      </c>
      <c r="IY170" s="846">
        <f t="shared" si="110"/>
        <v>0.5</v>
      </c>
    </row>
    <row r="171" spans="1:259" s="190" customFormat="1" x14ac:dyDescent="0.25">
      <c r="A171" s="788" t="s">
        <v>1201</v>
      </c>
      <c r="B171" s="209"/>
      <c r="C171" s="681">
        <f ca="1">IFERROR(INDEX(D171:OFFSET(D171,0,$IY$172),$C$172),0)</f>
        <v>0</v>
      </c>
      <c r="D171" s="682">
        <f t="array" ref="D171:M171">TRANSPOSE(F10:F19)</f>
        <v>13977.476858657075</v>
      </c>
      <c r="E171" s="682">
        <v>756.0896176740489</v>
      </c>
      <c r="F171" s="682">
        <v>2501.4319063432335</v>
      </c>
      <c r="G171" s="682">
        <v>161.97653109594356</v>
      </c>
      <c r="H171" s="682">
        <v>492.69947980744547</v>
      </c>
      <c r="I171" s="682">
        <v>1469.5757274854668</v>
      </c>
      <c r="J171" s="682">
        <v>1388.0443992333385</v>
      </c>
      <c r="K171" s="682">
        <v>399.05682563700009</v>
      </c>
      <c r="L171" s="682">
        <f ca="1"/>
        <v>2247.2599936141305</v>
      </c>
      <c r="M171" s="682">
        <v>473.53883000747498</v>
      </c>
      <c r="N171" s="209"/>
      <c r="O171" s="843"/>
      <c r="P171" s="843"/>
      <c r="Q171" s="843"/>
      <c r="R171" s="843"/>
      <c r="S171" s="843"/>
      <c r="T171" s="843"/>
      <c r="U171" s="843"/>
      <c r="V171" s="843"/>
      <c r="W171" s="843"/>
      <c r="X171" s="843"/>
      <c r="Y171" s="843"/>
      <c r="Z171" s="843"/>
      <c r="AA171" s="844"/>
      <c r="AB171" s="844"/>
      <c r="AC171" s="844"/>
      <c r="AD171" s="844"/>
      <c r="AE171" s="844"/>
      <c r="AF171" s="844"/>
      <c r="AG171" s="844"/>
      <c r="AH171" s="844"/>
      <c r="AI171" s="844"/>
      <c r="AJ171" s="844"/>
      <c r="AK171" s="844"/>
      <c r="AL171" s="844"/>
      <c r="AM171" s="844"/>
      <c r="AN171" s="844"/>
      <c r="AO171" s="844"/>
      <c r="AP171" s="844"/>
      <c r="AQ171" s="844"/>
      <c r="AR171" s="844"/>
      <c r="AS171" s="844"/>
      <c r="AT171" s="844"/>
      <c r="AU171" s="844"/>
      <c r="AV171" s="844"/>
      <c r="AW171" s="844"/>
      <c r="AX171" s="844"/>
      <c r="AY171" s="844"/>
      <c r="AZ171" s="844"/>
      <c r="BA171" s="844"/>
      <c r="BB171" s="844"/>
      <c r="BC171" s="844"/>
      <c r="BD171" s="844"/>
      <c r="BE171" s="844"/>
      <c r="BF171" s="844"/>
      <c r="BG171" s="844"/>
      <c r="BH171" s="844"/>
      <c r="BI171" s="844"/>
      <c r="BJ171" s="844"/>
      <c r="BK171" s="844"/>
      <c r="BL171" s="844"/>
      <c r="BM171" s="844"/>
      <c r="BN171" s="844"/>
      <c r="BO171" s="844"/>
      <c r="BP171" s="844"/>
      <c r="BQ171" s="844"/>
      <c r="BR171" s="844"/>
      <c r="BS171" s="844"/>
      <c r="BT171" s="844"/>
      <c r="BU171" s="844"/>
      <c r="BV171" s="844"/>
      <c r="BW171" s="844"/>
      <c r="BX171" s="844"/>
      <c r="BY171" s="844"/>
      <c r="BZ171" s="844"/>
      <c r="CA171" s="844"/>
      <c r="CB171" s="844"/>
      <c r="CC171" s="844"/>
      <c r="CD171" s="844"/>
      <c r="CE171" s="844"/>
      <c r="CF171" s="844"/>
      <c r="CG171" s="844"/>
      <c r="CH171" s="844"/>
      <c r="CI171" s="844"/>
      <c r="CJ171" s="844"/>
      <c r="CK171" s="844"/>
      <c r="CL171" s="844"/>
      <c r="CM171" s="844"/>
      <c r="CN171" s="844"/>
      <c r="CO171" s="844"/>
      <c r="CP171" s="844"/>
      <c r="CQ171" s="844"/>
      <c r="CR171" s="844"/>
      <c r="CS171" s="844"/>
      <c r="CT171" s="844"/>
      <c r="CU171" s="844"/>
      <c r="CV171" s="844"/>
      <c r="CW171" s="844"/>
      <c r="CX171" s="844"/>
      <c r="CY171" s="844"/>
      <c r="CZ171" s="844"/>
      <c r="DA171" s="844"/>
      <c r="DB171" s="844"/>
      <c r="DC171" s="844"/>
      <c r="DD171" s="844"/>
      <c r="DE171" s="844"/>
      <c r="DF171" s="844"/>
      <c r="DG171" s="844"/>
      <c r="DH171" s="844"/>
      <c r="DI171" s="844"/>
      <c r="DJ171" s="844"/>
      <c r="DK171" s="844"/>
      <c r="DL171" s="844"/>
      <c r="DM171" s="844"/>
      <c r="DN171" s="844"/>
      <c r="DO171" s="844"/>
      <c r="DP171" s="844"/>
      <c r="DQ171" s="844"/>
      <c r="DR171" s="844"/>
      <c r="DS171" s="844"/>
      <c r="DT171" s="844"/>
      <c r="DU171" s="844"/>
      <c r="DV171" s="844"/>
      <c r="DW171" s="844"/>
      <c r="DX171" s="844"/>
      <c r="DY171" s="844"/>
      <c r="DZ171" s="844"/>
      <c r="EA171" s="844"/>
      <c r="EB171" s="844"/>
      <c r="EC171" s="844"/>
      <c r="ED171" s="844"/>
      <c r="EE171" s="844"/>
      <c r="EF171" s="844"/>
      <c r="EG171" s="844"/>
      <c r="EH171" s="844"/>
      <c r="EI171" s="844"/>
      <c r="EJ171" s="844"/>
      <c r="EK171" s="844"/>
      <c r="EL171" s="844"/>
      <c r="EM171" s="844"/>
      <c r="EN171" s="844"/>
      <c r="EO171" s="844"/>
      <c r="EP171" s="844"/>
      <c r="EQ171" s="844"/>
      <c r="ER171" s="844"/>
      <c r="ES171" s="844"/>
      <c r="ET171" s="844"/>
      <c r="EU171" s="844"/>
      <c r="EV171" s="844"/>
      <c r="EW171" s="844"/>
      <c r="EX171" s="844"/>
      <c r="EY171" s="844"/>
      <c r="EZ171" s="844"/>
      <c r="FA171" s="844"/>
      <c r="FB171" s="844"/>
      <c r="FC171" s="844"/>
      <c r="FD171" s="844"/>
      <c r="FE171" s="844"/>
      <c r="FF171" s="844"/>
      <c r="FG171" s="844"/>
      <c r="FH171" s="844"/>
      <c r="FI171" s="844"/>
      <c r="FJ171" s="844"/>
      <c r="FK171" s="844"/>
      <c r="FL171" s="844"/>
      <c r="FM171" s="844"/>
      <c r="FN171" s="844"/>
      <c r="FO171" s="844"/>
      <c r="FP171" s="844"/>
      <c r="FQ171" s="844"/>
      <c r="FR171" s="844"/>
      <c r="FS171" s="844"/>
      <c r="FT171" s="844"/>
      <c r="FU171" s="844"/>
      <c r="FV171" s="844"/>
      <c r="FW171" s="844"/>
      <c r="FX171" s="844"/>
      <c r="FY171" s="844"/>
      <c r="FZ171" s="844"/>
      <c r="GA171" s="844"/>
      <c r="GB171" s="844"/>
      <c r="GC171" s="844"/>
      <c r="GD171" s="844"/>
      <c r="GE171" s="844"/>
      <c r="GF171" s="844"/>
      <c r="GG171" s="844"/>
      <c r="GH171" s="844"/>
      <c r="GI171" s="844"/>
      <c r="GJ171" s="844"/>
      <c r="GK171" s="844"/>
      <c r="GL171" s="844"/>
      <c r="GM171" s="844"/>
      <c r="GN171" s="844"/>
      <c r="GO171" s="844"/>
      <c r="GP171" s="844"/>
      <c r="GQ171" s="844"/>
      <c r="GR171" s="844"/>
      <c r="GS171" s="844"/>
      <c r="GT171" s="844"/>
      <c r="GU171" s="844"/>
      <c r="GV171" s="844"/>
      <c r="GW171" s="844"/>
      <c r="GX171" s="844"/>
      <c r="GY171" s="844"/>
      <c r="GZ171" s="844"/>
      <c r="HA171" s="844"/>
      <c r="HB171" s="844"/>
      <c r="HC171" s="844"/>
      <c r="HD171" s="844"/>
      <c r="HE171" s="844"/>
      <c r="HF171" s="844"/>
      <c r="HG171" s="844"/>
      <c r="HH171" s="844"/>
      <c r="HI171" s="844"/>
      <c r="HJ171" s="844"/>
      <c r="HK171" s="844"/>
      <c r="HL171" s="844"/>
      <c r="HM171" s="844"/>
      <c r="HN171" s="844"/>
      <c r="HO171" s="844"/>
      <c r="HP171" s="844"/>
      <c r="HQ171" s="844"/>
      <c r="HR171" s="844"/>
      <c r="HS171" s="844"/>
      <c r="HT171" s="844"/>
      <c r="HU171" s="844"/>
      <c r="HV171" s="844"/>
      <c r="HW171" s="844"/>
      <c r="HX171" s="844"/>
      <c r="HY171" s="844"/>
      <c r="HZ171" s="844"/>
      <c r="IA171" s="844"/>
      <c r="IB171" s="844"/>
      <c r="IC171" s="844"/>
      <c r="ID171" s="844"/>
      <c r="IE171" s="844"/>
      <c r="IF171" s="844"/>
      <c r="IG171" s="844"/>
      <c r="IH171" s="844"/>
      <c r="II171" s="844"/>
      <c r="IJ171" s="844"/>
      <c r="IK171" s="844"/>
      <c r="IL171" s="844"/>
      <c r="IM171" s="844"/>
      <c r="IN171" s="844"/>
      <c r="IO171" s="844"/>
      <c r="IP171" s="844"/>
      <c r="IQ171" s="844"/>
      <c r="IR171" s="844"/>
      <c r="IS171" s="844"/>
      <c r="IT171" s="844"/>
      <c r="IU171" s="844"/>
      <c r="IV171" s="844"/>
      <c r="IW171" s="844"/>
      <c r="IX171" s="844"/>
      <c r="IY171" s="844"/>
    </row>
    <row r="172" spans="1:259" s="190" customFormat="1" x14ac:dyDescent="0.25">
      <c r="A172" s="209" t="s">
        <v>929</v>
      </c>
      <c r="B172" s="209"/>
      <c r="C172" s="612">
        <v>11</v>
      </c>
      <c r="D172" s="683">
        <v>1</v>
      </c>
      <c r="E172" s="683">
        <v>2</v>
      </c>
      <c r="F172" s="683">
        <v>3</v>
      </c>
      <c r="G172" s="683">
        <v>4</v>
      </c>
      <c r="H172" s="683">
        <v>5</v>
      </c>
      <c r="I172" s="683">
        <v>6</v>
      </c>
      <c r="J172" s="683">
        <v>7</v>
      </c>
      <c r="K172" s="683">
        <v>8</v>
      </c>
      <c r="L172" s="683">
        <v>9</v>
      </c>
      <c r="M172" s="683">
        <v>10</v>
      </c>
      <c r="N172" s="683">
        <v>11</v>
      </c>
      <c r="O172" s="845">
        <v>12</v>
      </c>
      <c r="P172" s="845">
        <v>13</v>
      </c>
      <c r="Q172" s="845">
        <v>14</v>
      </c>
      <c r="R172" s="845">
        <v>15</v>
      </c>
      <c r="S172" s="845">
        <v>16</v>
      </c>
      <c r="T172" s="845">
        <v>17</v>
      </c>
      <c r="U172" s="845">
        <v>18</v>
      </c>
      <c r="V172" s="845">
        <v>19</v>
      </c>
      <c r="W172" s="845">
        <v>20</v>
      </c>
      <c r="X172" s="845">
        <v>21</v>
      </c>
      <c r="Y172" s="845">
        <v>22</v>
      </c>
      <c r="Z172" s="845">
        <v>23</v>
      </c>
      <c r="AA172" s="846">
        <v>24</v>
      </c>
      <c r="AB172" s="846">
        <v>25</v>
      </c>
      <c r="AC172" s="846">
        <v>26</v>
      </c>
      <c r="AD172" s="846">
        <v>27</v>
      </c>
      <c r="AE172" s="846">
        <v>28</v>
      </c>
      <c r="AF172" s="846">
        <v>29</v>
      </c>
      <c r="AG172" s="846">
        <v>30</v>
      </c>
      <c r="AH172" s="846">
        <v>31</v>
      </c>
      <c r="AI172" s="846">
        <v>32</v>
      </c>
      <c r="AJ172" s="846">
        <v>33</v>
      </c>
      <c r="AK172" s="846">
        <v>34</v>
      </c>
      <c r="AL172" s="846">
        <v>35</v>
      </c>
      <c r="AM172" s="846">
        <v>36</v>
      </c>
      <c r="AN172" s="846">
        <v>37</v>
      </c>
      <c r="AO172" s="846">
        <v>38</v>
      </c>
      <c r="AP172" s="846">
        <v>39</v>
      </c>
      <c r="AQ172" s="846">
        <v>40</v>
      </c>
      <c r="AR172" s="846">
        <v>41</v>
      </c>
      <c r="AS172" s="846">
        <v>42</v>
      </c>
      <c r="AT172" s="846">
        <v>43</v>
      </c>
      <c r="AU172" s="846">
        <v>44</v>
      </c>
      <c r="AV172" s="846">
        <v>45</v>
      </c>
      <c r="AW172" s="846">
        <v>46</v>
      </c>
      <c r="AX172" s="846">
        <v>47</v>
      </c>
      <c r="AY172" s="846">
        <v>48</v>
      </c>
      <c r="AZ172" s="846">
        <v>49</v>
      </c>
      <c r="BA172" s="846">
        <v>50</v>
      </c>
      <c r="BB172" s="846">
        <v>51</v>
      </c>
      <c r="BC172" s="846">
        <v>52</v>
      </c>
      <c r="BD172" s="846">
        <v>53</v>
      </c>
      <c r="BE172" s="846">
        <v>54</v>
      </c>
      <c r="BF172" s="846">
        <v>55</v>
      </c>
      <c r="BG172" s="846">
        <v>56</v>
      </c>
      <c r="BH172" s="846">
        <v>57</v>
      </c>
      <c r="BI172" s="846">
        <v>58</v>
      </c>
      <c r="BJ172" s="846">
        <v>59</v>
      </c>
      <c r="BK172" s="846">
        <v>60</v>
      </c>
      <c r="BL172" s="846">
        <v>61</v>
      </c>
      <c r="BM172" s="846">
        <v>62</v>
      </c>
      <c r="BN172" s="846">
        <v>63</v>
      </c>
      <c r="BO172" s="846">
        <v>64</v>
      </c>
      <c r="BP172" s="846">
        <v>65</v>
      </c>
      <c r="BQ172" s="846">
        <v>66</v>
      </c>
      <c r="BR172" s="846">
        <v>67</v>
      </c>
      <c r="BS172" s="846">
        <v>68</v>
      </c>
      <c r="BT172" s="846">
        <v>69</v>
      </c>
      <c r="BU172" s="846">
        <v>70</v>
      </c>
      <c r="BV172" s="846">
        <v>71</v>
      </c>
      <c r="BW172" s="846">
        <v>72</v>
      </c>
      <c r="BX172" s="846">
        <v>73</v>
      </c>
      <c r="BY172" s="846">
        <v>74</v>
      </c>
      <c r="BZ172" s="846">
        <v>75</v>
      </c>
      <c r="CA172" s="846">
        <v>76</v>
      </c>
      <c r="CB172" s="846">
        <v>77</v>
      </c>
      <c r="CC172" s="846">
        <v>78</v>
      </c>
      <c r="CD172" s="846">
        <v>79</v>
      </c>
      <c r="CE172" s="846">
        <v>80</v>
      </c>
      <c r="CF172" s="846">
        <v>81</v>
      </c>
      <c r="CG172" s="846">
        <v>82</v>
      </c>
      <c r="CH172" s="846">
        <v>83</v>
      </c>
      <c r="CI172" s="846">
        <v>84</v>
      </c>
      <c r="CJ172" s="846">
        <v>85</v>
      </c>
      <c r="CK172" s="846">
        <v>86</v>
      </c>
      <c r="CL172" s="846">
        <v>87</v>
      </c>
      <c r="CM172" s="846">
        <v>88</v>
      </c>
      <c r="CN172" s="846">
        <v>89</v>
      </c>
      <c r="CO172" s="846">
        <v>90</v>
      </c>
      <c r="CP172" s="846">
        <v>91</v>
      </c>
      <c r="CQ172" s="846">
        <v>92</v>
      </c>
      <c r="CR172" s="846">
        <v>93</v>
      </c>
      <c r="CS172" s="846">
        <v>94</v>
      </c>
      <c r="CT172" s="846">
        <v>95</v>
      </c>
      <c r="CU172" s="846">
        <v>96</v>
      </c>
      <c r="CV172" s="846">
        <v>97</v>
      </c>
      <c r="CW172" s="846">
        <v>98</v>
      </c>
      <c r="CX172" s="846">
        <v>99</v>
      </c>
      <c r="CY172" s="846">
        <v>100</v>
      </c>
      <c r="CZ172" s="846">
        <v>101</v>
      </c>
      <c r="DA172" s="846">
        <v>102</v>
      </c>
      <c r="DB172" s="846">
        <v>103</v>
      </c>
      <c r="DC172" s="846">
        <v>104</v>
      </c>
      <c r="DD172" s="846">
        <v>105</v>
      </c>
      <c r="DE172" s="846">
        <v>106</v>
      </c>
      <c r="DF172" s="846">
        <v>107</v>
      </c>
      <c r="DG172" s="846">
        <v>108</v>
      </c>
      <c r="DH172" s="846">
        <v>109</v>
      </c>
      <c r="DI172" s="846">
        <v>110</v>
      </c>
      <c r="DJ172" s="846">
        <v>111</v>
      </c>
      <c r="DK172" s="846">
        <v>112</v>
      </c>
      <c r="DL172" s="846">
        <v>113</v>
      </c>
      <c r="DM172" s="846">
        <v>114</v>
      </c>
      <c r="DN172" s="846">
        <v>115</v>
      </c>
      <c r="DO172" s="846">
        <v>116</v>
      </c>
      <c r="DP172" s="846">
        <v>117</v>
      </c>
      <c r="DQ172" s="846">
        <v>118</v>
      </c>
      <c r="DR172" s="846">
        <v>119</v>
      </c>
      <c r="DS172" s="846">
        <v>120</v>
      </c>
      <c r="DT172" s="846">
        <v>121</v>
      </c>
      <c r="DU172" s="846">
        <v>122</v>
      </c>
      <c r="DV172" s="846">
        <v>123</v>
      </c>
      <c r="DW172" s="846">
        <v>124</v>
      </c>
      <c r="DX172" s="846">
        <v>125</v>
      </c>
      <c r="DY172" s="846">
        <v>126</v>
      </c>
      <c r="DZ172" s="846">
        <v>127</v>
      </c>
      <c r="EA172" s="846">
        <v>128</v>
      </c>
      <c r="EB172" s="846">
        <v>129</v>
      </c>
      <c r="EC172" s="846">
        <v>130</v>
      </c>
      <c r="ED172" s="846">
        <v>131</v>
      </c>
      <c r="EE172" s="846">
        <v>132</v>
      </c>
      <c r="EF172" s="846">
        <v>133</v>
      </c>
      <c r="EG172" s="846">
        <v>134</v>
      </c>
      <c r="EH172" s="846">
        <v>135</v>
      </c>
      <c r="EI172" s="846">
        <v>136</v>
      </c>
      <c r="EJ172" s="846">
        <v>137</v>
      </c>
      <c r="EK172" s="846">
        <v>138</v>
      </c>
      <c r="EL172" s="846">
        <v>139</v>
      </c>
      <c r="EM172" s="846">
        <v>140</v>
      </c>
      <c r="EN172" s="846">
        <v>141</v>
      </c>
      <c r="EO172" s="846">
        <v>142</v>
      </c>
      <c r="EP172" s="846">
        <v>143</v>
      </c>
      <c r="EQ172" s="846">
        <v>144</v>
      </c>
      <c r="ER172" s="846">
        <v>145</v>
      </c>
      <c r="ES172" s="846">
        <v>146</v>
      </c>
      <c r="ET172" s="846">
        <v>147</v>
      </c>
      <c r="EU172" s="846">
        <v>148</v>
      </c>
      <c r="EV172" s="846">
        <v>149</v>
      </c>
      <c r="EW172" s="846">
        <v>150</v>
      </c>
      <c r="EX172" s="846">
        <v>151</v>
      </c>
      <c r="EY172" s="846">
        <v>152</v>
      </c>
      <c r="EZ172" s="846">
        <v>153</v>
      </c>
      <c r="FA172" s="846">
        <v>154</v>
      </c>
      <c r="FB172" s="846">
        <v>155</v>
      </c>
      <c r="FC172" s="846">
        <v>156</v>
      </c>
      <c r="FD172" s="846">
        <v>157</v>
      </c>
      <c r="FE172" s="846">
        <v>158</v>
      </c>
      <c r="FF172" s="846">
        <v>159</v>
      </c>
      <c r="FG172" s="846">
        <v>160</v>
      </c>
      <c r="FH172" s="846">
        <v>161</v>
      </c>
      <c r="FI172" s="846">
        <v>162</v>
      </c>
      <c r="FJ172" s="846">
        <v>163</v>
      </c>
      <c r="FK172" s="846">
        <v>164</v>
      </c>
      <c r="FL172" s="846">
        <v>165</v>
      </c>
      <c r="FM172" s="846">
        <v>166</v>
      </c>
      <c r="FN172" s="846">
        <v>167</v>
      </c>
      <c r="FO172" s="846">
        <v>168</v>
      </c>
      <c r="FP172" s="846">
        <v>169</v>
      </c>
      <c r="FQ172" s="846">
        <v>170</v>
      </c>
      <c r="FR172" s="846">
        <v>171</v>
      </c>
      <c r="FS172" s="846">
        <v>172</v>
      </c>
      <c r="FT172" s="846">
        <v>173</v>
      </c>
      <c r="FU172" s="846">
        <v>174</v>
      </c>
      <c r="FV172" s="846">
        <v>175</v>
      </c>
      <c r="FW172" s="846">
        <v>176</v>
      </c>
      <c r="FX172" s="846">
        <v>177</v>
      </c>
      <c r="FY172" s="846">
        <v>178</v>
      </c>
      <c r="FZ172" s="846">
        <v>179</v>
      </c>
      <c r="GA172" s="846">
        <v>180</v>
      </c>
      <c r="GB172" s="846">
        <v>181</v>
      </c>
      <c r="GC172" s="846">
        <v>182</v>
      </c>
      <c r="GD172" s="846">
        <v>183</v>
      </c>
      <c r="GE172" s="846">
        <v>184</v>
      </c>
      <c r="GF172" s="846">
        <v>185</v>
      </c>
      <c r="GG172" s="846">
        <v>186</v>
      </c>
      <c r="GH172" s="846">
        <v>187</v>
      </c>
      <c r="GI172" s="846">
        <v>188</v>
      </c>
      <c r="GJ172" s="846">
        <v>189</v>
      </c>
      <c r="GK172" s="846">
        <v>190</v>
      </c>
      <c r="GL172" s="846">
        <v>191</v>
      </c>
      <c r="GM172" s="846">
        <v>192</v>
      </c>
      <c r="GN172" s="846">
        <v>193</v>
      </c>
      <c r="GO172" s="846">
        <v>194</v>
      </c>
      <c r="GP172" s="846">
        <v>195</v>
      </c>
      <c r="GQ172" s="846">
        <v>196</v>
      </c>
      <c r="GR172" s="846">
        <v>197</v>
      </c>
      <c r="GS172" s="846">
        <v>198</v>
      </c>
      <c r="GT172" s="846">
        <v>199</v>
      </c>
      <c r="GU172" s="846">
        <v>200</v>
      </c>
      <c r="GV172" s="846">
        <v>201</v>
      </c>
      <c r="GW172" s="846">
        <v>202</v>
      </c>
      <c r="GX172" s="846">
        <v>203</v>
      </c>
      <c r="GY172" s="846">
        <v>204</v>
      </c>
      <c r="GZ172" s="846">
        <v>205</v>
      </c>
      <c r="HA172" s="846">
        <v>206</v>
      </c>
      <c r="HB172" s="846">
        <v>207</v>
      </c>
      <c r="HC172" s="846">
        <v>208</v>
      </c>
      <c r="HD172" s="846">
        <v>209</v>
      </c>
      <c r="HE172" s="846">
        <v>210</v>
      </c>
      <c r="HF172" s="846">
        <v>211</v>
      </c>
      <c r="HG172" s="846">
        <v>212</v>
      </c>
      <c r="HH172" s="846">
        <v>213</v>
      </c>
      <c r="HI172" s="846">
        <v>214</v>
      </c>
      <c r="HJ172" s="846">
        <v>215</v>
      </c>
      <c r="HK172" s="846">
        <v>216</v>
      </c>
      <c r="HL172" s="846">
        <v>217</v>
      </c>
      <c r="HM172" s="846">
        <v>218</v>
      </c>
      <c r="HN172" s="846">
        <v>219</v>
      </c>
      <c r="HO172" s="846">
        <v>220</v>
      </c>
      <c r="HP172" s="846">
        <v>221</v>
      </c>
      <c r="HQ172" s="846">
        <v>222</v>
      </c>
      <c r="HR172" s="846">
        <v>223</v>
      </c>
      <c r="HS172" s="846">
        <v>224</v>
      </c>
      <c r="HT172" s="846">
        <v>225</v>
      </c>
      <c r="HU172" s="846">
        <v>226</v>
      </c>
      <c r="HV172" s="846">
        <v>227</v>
      </c>
      <c r="HW172" s="846">
        <v>228</v>
      </c>
      <c r="HX172" s="846">
        <v>229</v>
      </c>
      <c r="HY172" s="846">
        <v>230</v>
      </c>
      <c r="HZ172" s="846">
        <v>231</v>
      </c>
      <c r="IA172" s="846">
        <v>232</v>
      </c>
      <c r="IB172" s="846">
        <v>233</v>
      </c>
      <c r="IC172" s="846">
        <v>234</v>
      </c>
      <c r="ID172" s="846">
        <v>235</v>
      </c>
      <c r="IE172" s="846">
        <v>236</v>
      </c>
      <c r="IF172" s="846">
        <v>237</v>
      </c>
      <c r="IG172" s="846">
        <v>238</v>
      </c>
      <c r="IH172" s="846">
        <v>239</v>
      </c>
      <c r="II172" s="846">
        <v>240</v>
      </c>
      <c r="IJ172" s="846">
        <v>241</v>
      </c>
      <c r="IK172" s="846">
        <v>242</v>
      </c>
      <c r="IL172" s="846">
        <v>243</v>
      </c>
      <c r="IM172" s="846">
        <v>244</v>
      </c>
      <c r="IN172" s="846">
        <v>245</v>
      </c>
      <c r="IO172" s="846">
        <v>246</v>
      </c>
      <c r="IP172" s="846">
        <v>247</v>
      </c>
      <c r="IQ172" s="846">
        <v>248</v>
      </c>
      <c r="IR172" s="846">
        <v>249</v>
      </c>
      <c r="IS172" s="846">
        <v>250</v>
      </c>
      <c r="IT172" s="846">
        <v>251</v>
      </c>
      <c r="IU172" s="846">
        <v>252</v>
      </c>
      <c r="IV172" s="846">
        <v>253</v>
      </c>
      <c r="IW172" s="846">
        <v>254</v>
      </c>
      <c r="IX172" s="846">
        <v>255</v>
      </c>
      <c r="IY172" s="846">
        <v>256</v>
      </c>
    </row>
    <row r="173" spans="1:259" x14ac:dyDescent="0.25">
      <c r="A173" s="684" t="s">
        <v>930</v>
      </c>
      <c r="B173" s="209"/>
      <c r="C173" s="685">
        <f ca="1">-SUM('P Export'!AO32:AO41,'P Export'!AO48:AO50)/1000000</f>
        <v>1.4253092861433065</v>
      </c>
      <c r="D173" s="209">
        <f t="dataTable" ref="D173:N175" dt2D="0" dtr="1" r1="C172" ca="1"/>
        <v>0.39304824461863536</v>
      </c>
      <c r="E173" s="209">
        <v>1.9572719019507922E-2</v>
      </c>
      <c r="F173" s="209">
        <v>0.21134726245158658</v>
      </c>
      <c r="G173" s="209">
        <v>0.21915047765781773</v>
      </c>
      <c r="H173" s="209">
        <v>8.7200974539367634E-2</v>
      </c>
      <c r="I173" s="209">
        <v>3.3843947357240028E-2</v>
      </c>
      <c r="J173" s="209">
        <v>9.6949765774892768E-2</v>
      </c>
      <c r="K173" s="209">
        <v>6.4147267512587147E-2</v>
      </c>
      <c r="L173" s="209">
        <v>0.2764987266878291</v>
      </c>
      <c r="M173" s="209">
        <v>8.4752706653247453E-2</v>
      </c>
      <c r="N173" s="209">
        <v>1.4253092861433065</v>
      </c>
      <c r="O173" s="841"/>
      <c r="P173" s="841"/>
      <c r="Q173" s="841"/>
      <c r="R173" s="841"/>
      <c r="S173" s="841"/>
      <c r="T173" s="841"/>
      <c r="U173" s="841"/>
      <c r="V173" s="841"/>
      <c r="W173" s="841"/>
      <c r="X173" s="841"/>
      <c r="Y173" s="841"/>
      <c r="Z173" s="841"/>
      <c r="AA173" s="842"/>
      <c r="AB173" s="842"/>
      <c r="AC173" s="842"/>
      <c r="AD173" s="842"/>
      <c r="AE173" s="842"/>
      <c r="AF173" s="842"/>
      <c r="AG173" s="842"/>
      <c r="AH173" s="842"/>
      <c r="AI173" s="842"/>
      <c r="AJ173" s="842"/>
      <c r="AK173" s="842"/>
      <c r="AL173" s="842"/>
      <c r="AM173" s="842"/>
      <c r="AN173" s="842"/>
      <c r="AO173" s="842"/>
      <c r="AP173" s="842"/>
      <c r="AQ173" s="842"/>
      <c r="AR173" s="842"/>
      <c r="AS173" s="842"/>
      <c r="AT173" s="842"/>
      <c r="AU173" s="842"/>
      <c r="AV173" s="842"/>
      <c r="AW173" s="842"/>
      <c r="AX173" s="842"/>
      <c r="AY173" s="842"/>
      <c r="AZ173" s="842"/>
      <c r="BA173" s="842"/>
      <c r="BB173" s="842"/>
      <c r="BC173" s="842"/>
      <c r="BD173" s="842"/>
      <c r="BE173" s="842"/>
      <c r="BF173" s="842"/>
      <c r="BG173" s="842"/>
      <c r="BH173" s="842"/>
      <c r="BI173" s="842"/>
      <c r="BJ173" s="842"/>
      <c r="BK173" s="842"/>
      <c r="BL173" s="842"/>
      <c r="BM173" s="842"/>
      <c r="BN173" s="842"/>
      <c r="BO173" s="842"/>
      <c r="BP173" s="842"/>
      <c r="BQ173" s="842"/>
      <c r="BR173" s="842"/>
      <c r="BS173" s="842"/>
      <c r="BT173" s="842"/>
      <c r="BU173" s="842"/>
      <c r="BV173" s="842"/>
      <c r="BW173" s="842"/>
      <c r="BX173" s="842"/>
      <c r="BY173" s="842"/>
      <c r="BZ173" s="842"/>
      <c r="CA173" s="842"/>
      <c r="CB173" s="842"/>
      <c r="CC173" s="842"/>
      <c r="CD173" s="842"/>
      <c r="CE173" s="842"/>
      <c r="CF173" s="842"/>
      <c r="CG173" s="842"/>
      <c r="CH173" s="842"/>
      <c r="CI173" s="842"/>
      <c r="CJ173" s="842"/>
      <c r="CK173" s="842"/>
      <c r="CL173" s="842"/>
      <c r="CM173" s="842"/>
      <c r="CN173" s="842"/>
      <c r="CO173" s="842"/>
      <c r="CP173" s="842"/>
      <c r="CQ173" s="842"/>
      <c r="CR173" s="842"/>
      <c r="CS173" s="842"/>
      <c r="CT173" s="842"/>
      <c r="CU173" s="842"/>
      <c r="CV173" s="842"/>
      <c r="CW173" s="842"/>
      <c r="CX173" s="842"/>
      <c r="CY173" s="842"/>
      <c r="CZ173" s="842"/>
      <c r="DA173" s="842"/>
      <c r="DB173" s="842"/>
      <c r="DC173" s="842"/>
      <c r="DD173" s="842"/>
      <c r="DE173" s="842"/>
      <c r="DF173" s="842"/>
      <c r="DG173" s="842"/>
      <c r="DH173" s="842"/>
      <c r="DI173" s="842"/>
      <c r="DJ173" s="842"/>
      <c r="DK173" s="842"/>
      <c r="DL173" s="842"/>
      <c r="DM173" s="842"/>
      <c r="DN173" s="842"/>
      <c r="DO173" s="842"/>
      <c r="DP173" s="842"/>
      <c r="DQ173" s="842"/>
      <c r="DR173" s="842"/>
      <c r="DS173" s="842"/>
      <c r="DT173" s="842"/>
      <c r="DU173" s="842"/>
      <c r="DV173" s="842"/>
      <c r="DW173" s="842"/>
      <c r="DX173" s="842"/>
      <c r="DY173" s="842"/>
      <c r="DZ173" s="842"/>
      <c r="EA173" s="842"/>
      <c r="EB173" s="842"/>
      <c r="EC173" s="842"/>
      <c r="ED173" s="842"/>
      <c r="EE173" s="842"/>
      <c r="EF173" s="842"/>
      <c r="EG173" s="842"/>
      <c r="EH173" s="842"/>
      <c r="EI173" s="842"/>
      <c r="EJ173" s="842"/>
      <c r="EK173" s="842"/>
      <c r="EL173" s="842"/>
      <c r="EM173" s="842"/>
      <c r="EN173" s="842"/>
      <c r="EO173" s="842"/>
      <c r="EP173" s="842"/>
      <c r="EQ173" s="842"/>
      <c r="ER173" s="842"/>
      <c r="ES173" s="842"/>
      <c r="ET173" s="842"/>
      <c r="EU173" s="842"/>
      <c r="EV173" s="842"/>
      <c r="EW173" s="842"/>
      <c r="EX173" s="842"/>
      <c r="EY173" s="842"/>
      <c r="EZ173" s="842"/>
      <c r="FA173" s="842"/>
      <c r="FB173" s="842"/>
      <c r="FC173" s="842"/>
      <c r="FD173" s="842"/>
      <c r="FE173" s="842"/>
      <c r="FF173" s="842"/>
      <c r="FG173" s="842"/>
      <c r="FH173" s="842"/>
      <c r="FI173" s="842"/>
      <c r="FJ173" s="842"/>
      <c r="FK173" s="842"/>
      <c r="FL173" s="842"/>
      <c r="FM173" s="842"/>
      <c r="FN173" s="842"/>
      <c r="FO173" s="842"/>
      <c r="FP173" s="842"/>
      <c r="FQ173" s="842"/>
      <c r="FR173" s="842"/>
      <c r="FS173" s="842"/>
      <c r="FT173" s="842"/>
      <c r="FU173" s="842"/>
      <c r="FV173" s="842"/>
      <c r="FW173" s="842"/>
      <c r="FX173" s="842"/>
      <c r="FY173" s="842"/>
      <c r="FZ173" s="842"/>
      <c r="GA173" s="842"/>
      <c r="GB173" s="842"/>
      <c r="GC173" s="842"/>
      <c r="GD173" s="842"/>
      <c r="GE173" s="842"/>
      <c r="GF173" s="842"/>
      <c r="GG173" s="842"/>
      <c r="GH173" s="842"/>
      <c r="GI173" s="842"/>
      <c r="GJ173" s="842"/>
      <c r="GK173" s="842"/>
      <c r="GL173" s="842"/>
      <c r="GM173" s="842"/>
      <c r="GN173" s="842"/>
      <c r="GO173" s="842"/>
      <c r="GP173" s="842"/>
      <c r="GQ173" s="842"/>
      <c r="GR173" s="842"/>
      <c r="GS173" s="842"/>
      <c r="GT173" s="842"/>
      <c r="GU173" s="842"/>
      <c r="GV173" s="842"/>
      <c r="GW173" s="842"/>
      <c r="GX173" s="842"/>
      <c r="GY173" s="842"/>
      <c r="GZ173" s="842"/>
      <c r="HA173" s="842"/>
      <c r="HB173" s="842"/>
      <c r="HC173" s="842"/>
      <c r="HD173" s="842"/>
      <c r="HE173" s="842"/>
      <c r="HF173" s="842"/>
      <c r="HG173" s="842"/>
      <c r="HH173" s="842"/>
      <c r="HI173" s="842"/>
      <c r="HJ173" s="842"/>
      <c r="HK173" s="842"/>
      <c r="HL173" s="842"/>
      <c r="HM173" s="842"/>
      <c r="HN173" s="842"/>
      <c r="HO173" s="842"/>
      <c r="HP173" s="842"/>
      <c r="HQ173" s="842"/>
      <c r="HR173" s="842"/>
      <c r="HS173" s="842"/>
      <c r="HT173" s="842"/>
      <c r="HU173" s="842"/>
      <c r="HV173" s="842"/>
      <c r="HW173" s="842"/>
      <c r="HX173" s="842"/>
      <c r="HY173" s="842"/>
      <c r="HZ173" s="842"/>
      <c r="IA173" s="842"/>
      <c r="IB173" s="842"/>
      <c r="IC173" s="842"/>
      <c r="ID173" s="842"/>
      <c r="IE173" s="842"/>
      <c r="IF173" s="842"/>
      <c r="IG173" s="842"/>
      <c r="IH173" s="842"/>
      <c r="II173" s="842"/>
      <c r="IJ173" s="842"/>
      <c r="IK173" s="842"/>
      <c r="IL173" s="842"/>
      <c r="IM173" s="842"/>
      <c r="IN173" s="842"/>
      <c r="IO173" s="842"/>
      <c r="IP173" s="842"/>
      <c r="IQ173" s="842"/>
      <c r="IR173" s="842"/>
      <c r="IS173" s="842"/>
      <c r="IT173" s="842"/>
      <c r="IU173" s="842"/>
      <c r="IV173" s="842"/>
      <c r="IW173" s="842"/>
      <c r="IX173" s="842"/>
      <c r="IY173" s="842"/>
    </row>
    <row r="174" spans="1:259" x14ac:dyDescent="0.25">
      <c r="A174" s="209" t="s">
        <v>931</v>
      </c>
      <c r="B174" s="209"/>
      <c r="C174" s="686">
        <f ca="1">IFERROR(IF(C172&gt;0,C175/C173,0),0)</f>
        <v>33.649504669306104</v>
      </c>
      <c r="D174" s="209">
        <v>-430.3204043807707</v>
      </c>
      <c r="E174" s="209">
        <v>1511.8161706018514</v>
      </c>
      <c r="F174" s="209">
        <v>-177.25602038466974</v>
      </c>
      <c r="G174" s="209">
        <v>46.879739668965946</v>
      </c>
      <c r="H174" s="209">
        <v>113.91844383949839</v>
      </c>
      <c r="I174" s="209">
        <v>2883.8796760528553</v>
      </c>
      <c r="J174" s="209">
        <v>945.0035267142739</v>
      </c>
      <c r="K174" s="209">
        <v>64.485373775206426</v>
      </c>
      <c r="L174" s="209">
        <v>5.6689156928079756</v>
      </c>
      <c r="M174" s="209">
        <v>83.791259778553325</v>
      </c>
      <c r="N174" s="209">
        <v>33.649504669306104</v>
      </c>
      <c r="O174" s="841"/>
      <c r="P174" s="841"/>
      <c r="Q174" s="841"/>
      <c r="R174" s="841"/>
      <c r="S174" s="841"/>
      <c r="T174" s="841"/>
      <c r="U174" s="841"/>
      <c r="V174" s="841"/>
      <c r="W174" s="841"/>
      <c r="X174" s="841"/>
      <c r="Y174" s="841"/>
      <c r="Z174" s="841"/>
      <c r="AA174" s="842"/>
      <c r="AB174" s="842"/>
      <c r="AC174" s="842"/>
      <c r="AD174" s="842"/>
      <c r="AE174" s="842"/>
      <c r="AF174" s="842"/>
      <c r="AG174" s="842"/>
      <c r="AH174" s="842"/>
      <c r="AI174" s="842"/>
      <c r="AJ174" s="842"/>
      <c r="AK174" s="842"/>
      <c r="AL174" s="842"/>
      <c r="AM174" s="842"/>
      <c r="AN174" s="842"/>
      <c r="AO174" s="842"/>
      <c r="AP174" s="842"/>
      <c r="AQ174" s="842"/>
      <c r="AR174" s="842"/>
      <c r="AS174" s="842"/>
      <c r="AT174" s="842"/>
      <c r="AU174" s="842"/>
      <c r="AV174" s="842"/>
      <c r="AW174" s="842"/>
      <c r="AX174" s="842"/>
      <c r="AY174" s="842"/>
      <c r="AZ174" s="842"/>
      <c r="BA174" s="842"/>
      <c r="BB174" s="842"/>
      <c r="BC174" s="842"/>
      <c r="BD174" s="842"/>
      <c r="BE174" s="842"/>
      <c r="BF174" s="842"/>
      <c r="BG174" s="842"/>
      <c r="BH174" s="842"/>
      <c r="BI174" s="842"/>
      <c r="BJ174" s="842"/>
      <c r="BK174" s="842"/>
      <c r="BL174" s="842"/>
      <c r="BM174" s="842"/>
      <c r="BN174" s="842"/>
      <c r="BO174" s="842"/>
      <c r="BP174" s="842"/>
      <c r="BQ174" s="842"/>
      <c r="BR174" s="842"/>
      <c r="BS174" s="842"/>
      <c r="BT174" s="842"/>
      <c r="BU174" s="842"/>
      <c r="BV174" s="842"/>
      <c r="BW174" s="842"/>
      <c r="BX174" s="842"/>
      <c r="BY174" s="842"/>
      <c r="BZ174" s="842"/>
      <c r="CA174" s="842"/>
      <c r="CB174" s="842"/>
      <c r="CC174" s="842"/>
      <c r="CD174" s="842"/>
      <c r="CE174" s="842"/>
      <c r="CF174" s="842"/>
      <c r="CG174" s="842"/>
      <c r="CH174" s="842"/>
      <c r="CI174" s="842"/>
      <c r="CJ174" s="842"/>
      <c r="CK174" s="842"/>
      <c r="CL174" s="842"/>
      <c r="CM174" s="842"/>
      <c r="CN174" s="842"/>
      <c r="CO174" s="842"/>
      <c r="CP174" s="842"/>
      <c r="CQ174" s="842"/>
      <c r="CR174" s="842"/>
      <c r="CS174" s="842"/>
      <c r="CT174" s="842"/>
      <c r="CU174" s="842"/>
      <c r="CV174" s="842"/>
      <c r="CW174" s="842"/>
      <c r="CX174" s="842"/>
      <c r="CY174" s="842"/>
      <c r="CZ174" s="842"/>
      <c r="DA174" s="842"/>
      <c r="DB174" s="842"/>
      <c r="DC174" s="842"/>
      <c r="DD174" s="842"/>
      <c r="DE174" s="842"/>
      <c r="DF174" s="842"/>
      <c r="DG174" s="842"/>
      <c r="DH174" s="842"/>
      <c r="DI174" s="842"/>
      <c r="DJ174" s="842"/>
      <c r="DK174" s="842"/>
      <c r="DL174" s="842"/>
      <c r="DM174" s="842"/>
      <c r="DN174" s="842"/>
      <c r="DO174" s="842"/>
      <c r="DP174" s="842"/>
      <c r="DQ174" s="842"/>
      <c r="DR174" s="842"/>
      <c r="DS174" s="842"/>
      <c r="DT174" s="842"/>
      <c r="DU174" s="842"/>
      <c r="DV174" s="842"/>
      <c r="DW174" s="842"/>
      <c r="DX174" s="842"/>
      <c r="DY174" s="842"/>
      <c r="DZ174" s="842"/>
      <c r="EA174" s="842"/>
      <c r="EB174" s="842"/>
      <c r="EC174" s="842"/>
      <c r="ED174" s="842"/>
      <c r="EE174" s="842"/>
      <c r="EF174" s="842"/>
      <c r="EG174" s="842"/>
      <c r="EH174" s="842"/>
      <c r="EI174" s="842"/>
      <c r="EJ174" s="842"/>
      <c r="EK174" s="842"/>
      <c r="EL174" s="842"/>
      <c r="EM174" s="842"/>
      <c r="EN174" s="842"/>
      <c r="EO174" s="842"/>
      <c r="EP174" s="842"/>
      <c r="EQ174" s="842"/>
      <c r="ER174" s="842"/>
      <c r="ES174" s="842"/>
      <c r="ET174" s="842"/>
      <c r="EU174" s="842"/>
      <c r="EV174" s="842"/>
      <c r="EW174" s="842"/>
      <c r="EX174" s="842"/>
      <c r="EY174" s="842"/>
      <c r="EZ174" s="842"/>
      <c r="FA174" s="842"/>
      <c r="FB174" s="842"/>
      <c r="FC174" s="842"/>
      <c r="FD174" s="842"/>
      <c r="FE174" s="842"/>
      <c r="FF174" s="842"/>
      <c r="FG174" s="842"/>
      <c r="FH174" s="842"/>
      <c r="FI174" s="842"/>
      <c r="FJ174" s="842"/>
      <c r="FK174" s="842"/>
      <c r="FL174" s="842"/>
      <c r="FM174" s="842"/>
      <c r="FN174" s="842"/>
      <c r="FO174" s="842"/>
      <c r="FP174" s="842"/>
      <c r="FQ174" s="842"/>
      <c r="FR174" s="842"/>
      <c r="FS174" s="842"/>
      <c r="FT174" s="842"/>
      <c r="FU174" s="842"/>
      <c r="FV174" s="842"/>
      <c r="FW174" s="842"/>
      <c r="FX174" s="842"/>
      <c r="FY174" s="842"/>
      <c r="FZ174" s="842"/>
      <c r="GA174" s="842"/>
      <c r="GB174" s="842"/>
      <c r="GC174" s="842"/>
      <c r="GD174" s="842"/>
      <c r="GE174" s="842"/>
      <c r="GF174" s="842"/>
      <c r="GG174" s="842"/>
      <c r="GH174" s="842"/>
      <c r="GI174" s="842"/>
      <c r="GJ174" s="842"/>
      <c r="GK174" s="842"/>
      <c r="GL174" s="842"/>
      <c r="GM174" s="842"/>
      <c r="GN174" s="842"/>
      <c r="GO174" s="842"/>
      <c r="GP174" s="842"/>
      <c r="GQ174" s="842"/>
      <c r="GR174" s="842"/>
      <c r="GS174" s="842"/>
      <c r="GT174" s="842"/>
      <c r="GU174" s="842"/>
      <c r="GV174" s="842"/>
      <c r="GW174" s="842"/>
      <c r="GX174" s="842"/>
      <c r="GY174" s="842"/>
      <c r="GZ174" s="842"/>
      <c r="HA174" s="842"/>
      <c r="HB174" s="842"/>
      <c r="HC174" s="842"/>
      <c r="HD174" s="842"/>
      <c r="HE174" s="842"/>
      <c r="HF174" s="842"/>
      <c r="HG174" s="842"/>
      <c r="HH174" s="842"/>
      <c r="HI174" s="842"/>
      <c r="HJ174" s="842"/>
      <c r="HK174" s="842"/>
      <c r="HL174" s="842"/>
      <c r="HM174" s="842"/>
      <c r="HN174" s="842"/>
      <c r="HO174" s="842"/>
      <c r="HP174" s="842"/>
      <c r="HQ174" s="842"/>
      <c r="HR174" s="842"/>
      <c r="HS174" s="842"/>
      <c r="HT174" s="842"/>
      <c r="HU174" s="842"/>
      <c r="HV174" s="842"/>
      <c r="HW174" s="842"/>
      <c r="HX174" s="842"/>
      <c r="HY174" s="842"/>
      <c r="HZ174" s="842"/>
      <c r="IA174" s="842"/>
      <c r="IB174" s="842"/>
      <c r="IC174" s="842"/>
      <c r="ID174" s="842"/>
      <c r="IE174" s="842"/>
      <c r="IF174" s="842"/>
      <c r="IG174" s="842"/>
      <c r="IH174" s="842"/>
      <c r="II174" s="842"/>
      <c r="IJ174" s="842"/>
      <c r="IK174" s="842"/>
      <c r="IL174" s="842"/>
      <c r="IM174" s="842"/>
      <c r="IN174" s="842"/>
      <c r="IO174" s="842"/>
      <c r="IP174" s="842"/>
      <c r="IQ174" s="842"/>
      <c r="IR174" s="842"/>
      <c r="IS174" s="842"/>
      <c r="IT174" s="842"/>
      <c r="IU174" s="842"/>
      <c r="IV174" s="842"/>
      <c r="IW174" s="842"/>
      <c r="IX174" s="842"/>
      <c r="IY174" s="842"/>
    </row>
    <row r="175" spans="1:259" x14ac:dyDescent="0.25">
      <c r="A175" s="209" t="s">
        <v>959</v>
      </c>
      <c r="B175" s="209"/>
      <c r="C175" s="549">
        <f ca="1">('Fertilizer Rate'!AO101+'Fertilizer Method'!AP54+Erosion!AP142-Buffer!AO122+Erosion!AP102+Covercrop!B47+Covercrop!C47+Covercrop!F47+C_Drain!AO24-Inlets!AO31+'Manure Method'!AQ89-'Manure Method'!AS85)/1000000</f>
        <v>47.960951479284546</v>
      </c>
      <c r="D175" s="209">
        <v>-169.13667956544325</v>
      </c>
      <c r="E175" s="209">
        <v>29.590353116338488</v>
      </c>
      <c r="F175" s="209">
        <v>-37.462574661362574</v>
      </c>
      <c r="G175" s="209">
        <v>10.273717340928034</v>
      </c>
      <c r="H175" s="209">
        <v>9.9337993208124811</v>
      </c>
      <c r="I175" s="209">
        <v>97.601871940947262</v>
      </c>
      <c r="J175" s="209">
        <v>91.61787057139648</v>
      </c>
      <c r="K175" s="209">
        <v>4.1365605222073381</v>
      </c>
      <c r="L175" s="209">
        <v>1.5674479707620579</v>
      </c>
      <c r="M175" s="209">
        <v>7.1015360601177822</v>
      </c>
      <c r="N175" s="209">
        <v>47.960951479284546</v>
      </c>
      <c r="O175" s="841"/>
      <c r="P175" s="841"/>
      <c r="Q175" s="841"/>
      <c r="R175" s="841"/>
      <c r="S175" s="841"/>
      <c r="T175" s="841"/>
      <c r="U175" s="841"/>
      <c r="V175" s="841"/>
      <c r="W175" s="841"/>
      <c r="X175" s="841"/>
      <c r="Y175" s="841"/>
      <c r="Z175" s="841"/>
      <c r="AA175" s="842"/>
      <c r="AB175" s="842"/>
      <c r="AC175" s="842"/>
      <c r="AD175" s="842"/>
      <c r="AE175" s="842"/>
      <c r="AF175" s="842"/>
      <c r="AG175" s="842"/>
      <c r="AH175" s="842"/>
      <c r="AI175" s="842"/>
      <c r="AJ175" s="842"/>
      <c r="AK175" s="842"/>
      <c r="AL175" s="842"/>
      <c r="AM175" s="842"/>
      <c r="AN175" s="842"/>
      <c r="AO175" s="842"/>
      <c r="AP175" s="842"/>
      <c r="AQ175" s="842"/>
      <c r="AR175" s="842"/>
      <c r="AS175" s="842"/>
      <c r="AT175" s="842"/>
      <c r="AU175" s="842"/>
      <c r="AV175" s="842"/>
      <c r="AW175" s="842"/>
      <c r="AX175" s="842"/>
      <c r="AY175" s="842"/>
      <c r="AZ175" s="842"/>
      <c r="BA175" s="842"/>
      <c r="BB175" s="842"/>
      <c r="BC175" s="842"/>
      <c r="BD175" s="842"/>
      <c r="BE175" s="842"/>
      <c r="BF175" s="842"/>
      <c r="BG175" s="842"/>
      <c r="BH175" s="842"/>
      <c r="BI175" s="842"/>
      <c r="BJ175" s="842"/>
      <c r="BK175" s="842"/>
      <c r="BL175" s="842"/>
      <c r="BM175" s="842"/>
      <c r="BN175" s="842"/>
      <c r="BO175" s="842"/>
      <c r="BP175" s="842"/>
      <c r="BQ175" s="842"/>
      <c r="BR175" s="842"/>
      <c r="BS175" s="842"/>
      <c r="BT175" s="842"/>
      <c r="BU175" s="842"/>
      <c r="BV175" s="842"/>
      <c r="BW175" s="842"/>
      <c r="BX175" s="842"/>
      <c r="BY175" s="842"/>
      <c r="BZ175" s="842"/>
      <c r="CA175" s="842"/>
      <c r="CB175" s="842"/>
      <c r="CC175" s="842"/>
      <c r="CD175" s="842"/>
      <c r="CE175" s="842"/>
      <c r="CF175" s="842"/>
      <c r="CG175" s="842"/>
      <c r="CH175" s="842"/>
      <c r="CI175" s="842"/>
      <c r="CJ175" s="842"/>
      <c r="CK175" s="842"/>
      <c r="CL175" s="842"/>
      <c r="CM175" s="842"/>
      <c r="CN175" s="842"/>
      <c r="CO175" s="842"/>
      <c r="CP175" s="842"/>
      <c r="CQ175" s="842"/>
      <c r="CR175" s="842"/>
      <c r="CS175" s="842"/>
      <c r="CT175" s="842"/>
      <c r="CU175" s="842"/>
      <c r="CV175" s="842"/>
      <c r="CW175" s="842"/>
      <c r="CX175" s="842"/>
      <c r="CY175" s="842"/>
      <c r="CZ175" s="842"/>
      <c r="DA175" s="842"/>
      <c r="DB175" s="842"/>
      <c r="DC175" s="842"/>
      <c r="DD175" s="842"/>
      <c r="DE175" s="842"/>
      <c r="DF175" s="842"/>
      <c r="DG175" s="842"/>
      <c r="DH175" s="842"/>
      <c r="DI175" s="842"/>
      <c r="DJ175" s="842"/>
      <c r="DK175" s="842"/>
      <c r="DL175" s="842"/>
      <c r="DM175" s="842"/>
      <c r="DN175" s="842"/>
      <c r="DO175" s="842"/>
      <c r="DP175" s="842"/>
      <c r="DQ175" s="842"/>
      <c r="DR175" s="842"/>
      <c r="DS175" s="842"/>
      <c r="DT175" s="842"/>
      <c r="DU175" s="842"/>
      <c r="DV175" s="842"/>
      <c r="DW175" s="842"/>
      <c r="DX175" s="842"/>
      <c r="DY175" s="842"/>
      <c r="DZ175" s="842"/>
      <c r="EA175" s="842"/>
      <c r="EB175" s="842"/>
      <c r="EC175" s="842"/>
      <c r="ED175" s="842"/>
      <c r="EE175" s="842"/>
      <c r="EF175" s="842"/>
      <c r="EG175" s="842"/>
      <c r="EH175" s="842"/>
      <c r="EI175" s="842"/>
      <c r="EJ175" s="842"/>
      <c r="EK175" s="842"/>
      <c r="EL175" s="842"/>
      <c r="EM175" s="842"/>
      <c r="EN175" s="842"/>
      <c r="EO175" s="842"/>
      <c r="EP175" s="842"/>
      <c r="EQ175" s="842"/>
      <c r="ER175" s="842"/>
      <c r="ES175" s="842"/>
      <c r="ET175" s="842"/>
      <c r="EU175" s="842"/>
      <c r="EV175" s="842"/>
      <c r="EW175" s="842"/>
      <c r="EX175" s="842"/>
      <c r="EY175" s="842"/>
      <c r="EZ175" s="842"/>
      <c r="FA175" s="842"/>
      <c r="FB175" s="842"/>
      <c r="FC175" s="842"/>
      <c r="FD175" s="842"/>
      <c r="FE175" s="842"/>
      <c r="FF175" s="842"/>
      <c r="FG175" s="842"/>
      <c r="FH175" s="842"/>
      <c r="FI175" s="842"/>
      <c r="FJ175" s="842"/>
      <c r="FK175" s="842"/>
      <c r="FL175" s="842"/>
      <c r="FM175" s="842"/>
      <c r="FN175" s="842"/>
      <c r="FO175" s="842"/>
      <c r="FP175" s="842"/>
      <c r="FQ175" s="842"/>
      <c r="FR175" s="842"/>
      <c r="FS175" s="842"/>
      <c r="FT175" s="842"/>
      <c r="FU175" s="842"/>
      <c r="FV175" s="842"/>
      <c r="FW175" s="842"/>
      <c r="FX175" s="842"/>
      <c r="FY175" s="842"/>
      <c r="FZ175" s="842"/>
      <c r="GA175" s="842"/>
      <c r="GB175" s="842"/>
      <c r="GC175" s="842"/>
      <c r="GD175" s="842"/>
      <c r="GE175" s="842"/>
      <c r="GF175" s="842"/>
      <c r="GG175" s="842"/>
      <c r="GH175" s="842"/>
      <c r="GI175" s="842"/>
      <c r="GJ175" s="842"/>
      <c r="GK175" s="842"/>
      <c r="GL175" s="842"/>
      <c r="GM175" s="842"/>
      <c r="GN175" s="842"/>
      <c r="GO175" s="842"/>
      <c r="GP175" s="842"/>
      <c r="GQ175" s="842"/>
      <c r="GR175" s="842"/>
      <c r="GS175" s="842"/>
      <c r="GT175" s="842"/>
      <c r="GU175" s="842"/>
      <c r="GV175" s="842"/>
      <c r="GW175" s="842"/>
      <c r="GX175" s="842"/>
      <c r="GY175" s="842"/>
      <c r="GZ175" s="842"/>
      <c r="HA175" s="842"/>
      <c r="HB175" s="842"/>
      <c r="HC175" s="842"/>
      <c r="HD175" s="842"/>
      <c r="HE175" s="842"/>
      <c r="HF175" s="842"/>
      <c r="HG175" s="842"/>
      <c r="HH175" s="842"/>
      <c r="HI175" s="842"/>
      <c r="HJ175" s="842"/>
      <c r="HK175" s="842"/>
      <c r="HL175" s="842"/>
      <c r="HM175" s="842"/>
      <c r="HN175" s="842"/>
      <c r="HO175" s="842"/>
      <c r="HP175" s="842"/>
      <c r="HQ175" s="842"/>
      <c r="HR175" s="842"/>
      <c r="HS175" s="842"/>
      <c r="HT175" s="842"/>
      <c r="HU175" s="842"/>
      <c r="HV175" s="842"/>
      <c r="HW175" s="842"/>
      <c r="HX175" s="842"/>
      <c r="HY175" s="842"/>
      <c r="HZ175" s="842"/>
      <c r="IA175" s="842"/>
      <c r="IB175" s="842"/>
      <c r="IC175" s="842"/>
      <c r="ID175" s="842"/>
      <c r="IE175" s="842"/>
      <c r="IF175" s="842"/>
      <c r="IG175" s="842"/>
      <c r="IH175" s="842"/>
      <c r="II175" s="842"/>
      <c r="IJ175" s="842"/>
      <c r="IK175" s="842"/>
      <c r="IL175" s="842"/>
      <c r="IM175" s="842"/>
      <c r="IN175" s="842"/>
      <c r="IO175" s="842"/>
      <c r="IP175" s="842"/>
      <c r="IQ175" s="842"/>
      <c r="IR175" s="842"/>
      <c r="IS175" s="842"/>
      <c r="IT175" s="842"/>
      <c r="IU175" s="842"/>
      <c r="IV175" s="842"/>
      <c r="IW175" s="842"/>
      <c r="IX175" s="842"/>
      <c r="IY175" s="842"/>
    </row>
    <row r="176" spans="1:259" x14ac:dyDescent="0.25">
      <c r="A176" s="209"/>
      <c r="B176" s="209"/>
      <c r="C176" s="670"/>
      <c r="D176" s="209"/>
      <c r="E176" s="209"/>
      <c r="F176" s="209"/>
      <c r="G176" s="209"/>
      <c r="H176" s="209"/>
      <c r="I176" s="209"/>
      <c r="J176" s="209"/>
      <c r="K176" s="209"/>
      <c r="L176" s="209"/>
      <c r="M176" s="209"/>
      <c r="N176" s="209"/>
      <c r="O176" s="209"/>
      <c r="P176" s="209"/>
      <c r="Q176" s="209"/>
      <c r="R176" s="209"/>
      <c r="S176" s="209"/>
      <c r="T176" s="209"/>
      <c r="U176" s="209"/>
      <c r="V176" s="209"/>
      <c r="W176" s="209"/>
      <c r="X176" s="209"/>
      <c r="Y176" s="209"/>
      <c r="Z176" s="209"/>
    </row>
    <row r="177" spans="1:26" x14ac:dyDescent="0.25">
      <c r="A177" s="209"/>
      <c r="B177" s="209"/>
      <c r="C177" s="209"/>
      <c r="D177" s="209"/>
      <c r="E177" s="209"/>
      <c r="F177" s="209"/>
      <c r="G177" s="209"/>
      <c r="H177" s="209"/>
      <c r="I177" s="209"/>
      <c r="J177" s="209"/>
      <c r="K177" s="209"/>
      <c r="L177" s="209"/>
      <c r="M177" s="209"/>
      <c r="N177" s="209"/>
      <c r="O177" s="209"/>
      <c r="P177" s="209"/>
      <c r="Q177" s="209"/>
      <c r="R177" s="209"/>
      <c r="S177" s="209"/>
      <c r="T177" s="209"/>
      <c r="U177" s="209"/>
      <c r="V177" s="209"/>
      <c r="W177" s="209"/>
      <c r="X177" s="209"/>
      <c r="Y177" s="209"/>
      <c r="Z177" s="209"/>
    </row>
    <row r="178" spans="1:26" x14ac:dyDescent="0.25">
      <c r="A178" s="209" t="s">
        <v>967</v>
      </c>
      <c r="B178" s="209"/>
      <c r="C178" s="209"/>
      <c r="D178" s="209"/>
      <c r="E178" s="209"/>
      <c r="F178" s="209"/>
      <c r="G178" s="209"/>
      <c r="H178" s="209"/>
      <c r="I178" s="209"/>
      <c r="J178" s="209"/>
      <c r="K178" s="209"/>
      <c r="L178" s="209"/>
      <c r="M178" s="209"/>
      <c r="N178" s="209"/>
      <c r="O178" s="209"/>
      <c r="P178" s="209"/>
      <c r="Q178" s="209"/>
      <c r="R178" s="209"/>
      <c r="S178" s="209"/>
      <c r="T178" s="209"/>
      <c r="U178" s="209"/>
      <c r="V178" s="209"/>
      <c r="W178" s="209"/>
      <c r="X178" s="209"/>
      <c r="Y178" s="209"/>
      <c r="Z178" s="209"/>
    </row>
    <row r="179" spans="1:26" x14ac:dyDescent="0.25">
      <c r="A179" s="653" t="s">
        <v>764</v>
      </c>
      <c r="B179" s="209"/>
      <c r="C179" s="677">
        <f ca="1">IF(F278=1,C163,MIN(C163,1-C165))</f>
        <v>0.4</v>
      </c>
      <c r="D179" s="209"/>
      <c r="E179" s="209"/>
      <c r="F179" s="209"/>
      <c r="G179" s="209"/>
      <c r="H179" s="209"/>
      <c r="I179" s="209"/>
      <c r="J179" s="209"/>
      <c r="K179" s="209"/>
      <c r="L179" s="209"/>
      <c r="M179" s="209"/>
      <c r="N179" s="209"/>
      <c r="O179" s="209"/>
      <c r="P179" s="209"/>
      <c r="Q179" s="209"/>
      <c r="R179" s="209"/>
      <c r="S179" s="209"/>
      <c r="T179" s="209"/>
      <c r="U179" s="209"/>
      <c r="V179" s="209"/>
      <c r="W179" s="209"/>
      <c r="X179" s="209"/>
      <c r="Y179" s="209"/>
      <c r="Z179" s="209"/>
    </row>
    <row r="180" spans="1:26" x14ac:dyDescent="0.25">
      <c r="A180" s="655" t="s">
        <v>834</v>
      </c>
      <c r="B180" s="209"/>
      <c r="C180" s="677">
        <f ca="1">IF(F278=2,C165,MIN(C165,1-C163))</f>
        <v>0.3</v>
      </c>
      <c r="D180" s="209"/>
      <c r="E180" s="209"/>
      <c r="F180" s="209"/>
      <c r="G180" s="209"/>
      <c r="H180" s="209"/>
      <c r="I180" s="209"/>
      <c r="J180" s="209"/>
      <c r="K180" s="209"/>
      <c r="L180" s="209"/>
      <c r="M180" s="209"/>
      <c r="N180" s="209"/>
      <c r="O180" s="209"/>
      <c r="P180" s="209"/>
      <c r="Q180" s="209"/>
      <c r="R180" s="209"/>
      <c r="S180" s="209"/>
      <c r="T180" s="209"/>
      <c r="U180" s="209"/>
      <c r="V180" s="209"/>
      <c r="W180" s="209"/>
      <c r="X180" s="209"/>
      <c r="Y180" s="209"/>
      <c r="Z180" s="209"/>
    </row>
    <row r="181" spans="1:26" x14ac:dyDescent="0.25">
      <c r="A181" s="209"/>
      <c r="B181" s="209"/>
      <c r="C181" s="209"/>
      <c r="D181" s="209"/>
      <c r="E181" s="209"/>
      <c r="F181" s="209"/>
      <c r="G181" s="209"/>
      <c r="H181" s="209"/>
      <c r="I181" s="209"/>
      <c r="J181" s="209"/>
      <c r="K181" s="209"/>
      <c r="L181" s="209"/>
      <c r="M181" s="209"/>
      <c r="N181" s="209"/>
      <c r="O181" s="209"/>
      <c r="P181" s="209"/>
      <c r="Q181" s="209"/>
      <c r="R181" s="209"/>
      <c r="S181" s="209"/>
      <c r="T181" s="209"/>
      <c r="U181" s="209"/>
      <c r="V181" s="209"/>
      <c r="W181" s="209"/>
      <c r="X181" s="209"/>
      <c r="Y181" s="209"/>
      <c r="Z181" s="209"/>
    </row>
    <row r="182" spans="1:26" x14ac:dyDescent="0.25">
      <c r="A182" s="209"/>
      <c r="B182" s="209"/>
      <c r="C182" s="209"/>
      <c r="D182" s="209"/>
      <c r="E182" s="209"/>
      <c r="F182" s="209"/>
      <c r="G182" s="209"/>
      <c r="H182" s="209"/>
      <c r="I182" s="209"/>
      <c r="J182" s="209"/>
      <c r="K182" s="209"/>
      <c r="L182" s="209"/>
      <c r="M182" s="209"/>
      <c r="N182" s="209"/>
      <c r="O182" s="209"/>
      <c r="P182" s="209"/>
      <c r="Q182" s="209"/>
      <c r="R182" s="209"/>
      <c r="S182" s="209"/>
      <c r="T182" s="209"/>
      <c r="U182" s="209"/>
      <c r="V182" s="209"/>
      <c r="W182" s="209"/>
      <c r="X182" s="209"/>
      <c r="Y182" s="209"/>
      <c r="Z182" s="209"/>
    </row>
    <row r="183" spans="1:26" x14ac:dyDescent="0.25">
      <c r="A183" s="209"/>
      <c r="B183" s="209"/>
      <c r="C183" s="209"/>
      <c r="D183" s="209"/>
      <c r="E183" s="209"/>
      <c r="F183" s="209"/>
      <c r="G183" s="209"/>
      <c r="H183" s="209"/>
      <c r="I183" s="209"/>
      <c r="J183" s="209"/>
      <c r="K183" s="209"/>
      <c r="L183" s="209"/>
      <c r="M183" s="209"/>
      <c r="N183" s="209"/>
      <c r="O183" s="209"/>
      <c r="P183" s="209"/>
      <c r="Q183" s="209"/>
      <c r="R183" s="209"/>
      <c r="S183" s="209"/>
      <c r="T183" s="209"/>
      <c r="U183" s="209"/>
      <c r="V183" s="209"/>
      <c r="W183" s="209"/>
      <c r="X183" s="209"/>
      <c r="Y183" s="209"/>
      <c r="Z183" s="209"/>
    </row>
    <row r="184" spans="1:26" x14ac:dyDescent="0.25">
      <c r="A184" s="209"/>
      <c r="B184" s="209"/>
      <c r="C184" s="209"/>
      <c r="D184" s="209"/>
      <c r="E184" s="209"/>
      <c r="F184" s="209"/>
      <c r="G184" s="209"/>
      <c r="H184" s="209"/>
      <c r="I184" s="209"/>
      <c r="J184" s="209"/>
      <c r="K184" s="209"/>
      <c r="L184" s="209"/>
      <c r="M184" s="209"/>
      <c r="N184" s="196"/>
      <c r="O184" s="209"/>
      <c r="P184" s="209"/>
      <c r="Q184" s="209"/>
      <c r="R184" s="209"/>
      <c r="S184" s="209"/>
      <c r="T184" s="209"/>
      <c r="U184" s="209"/>
      <c r="V184" s="209"/>
      <c r="W184" s="209"/>
      <c r="X184" s="209"/>
      <c r="Y184" s="209"/>
      <c r="Z184" s="209"/>
    </row>
    <row r="185" spans="1:26" x14ac:dyDescent="0.25">
      <c r="A185" s="209"/>
      <c r="B185" s="209"/>
      <c r="C185" s="209"/>
      <c r="D185" s="209"/>
      <c r="E185" s="209"/>
      <c r="F185" s="209"/>
      <c r="G185" s="209"/>
      <c r="H185" s="209"/>
      <c r="I185" s="209"/>
      <c r="J185" s="209"/>
      <c r="K185" s="209"/>
      <c r="L185" s="209"/>
      <c r="M185" s="209"/>
      <c r="N185" s="209"/>
      <c r="O185" s="209"/>
      <c r="P185" s="209"/>
      <c r="Q185" s="209"/>
      <c r="R185" s="209"/>
      <c r="S185" s="209"/>
      <c r="T185" s="209"/>
      <c r="U185" s="209"/>
      <c r="V185" s="209"/>
      <c r="W185" s="209"/>
      <c r="X185" s="209"/>
      <c r="Y185" s="209"/>
      <c r="Z185" s="209"/>
    </row>
    <row r="186" spans="1:26" x14ac:dyDescent="0.25">
      <c r="A186" s="209"/>
      <c r="B186" s="209"/>
      <c r="C186" s="209"/>
      <c r="D186" s="209"/>
      <c r="E186" s="209"/>
      <c r="F186" s="209"/>
      <c r="G186" s="209"/>
      <c r="H186" s="209"/>
      <c r="I186" s="209"/>
      <c r="J186" s="209"/>
      <c r="K186" s="209"/>
      <c r="L186" s="209"/>
      <c r="M186" s="209"/>
      <c r="N186" s="209"/>
      <c r="O186" s="209"/>
      <c r="P186" s="209"/>
      <c r="Q186" s="209"/>
      <c r="R186" s="209"/>
      <c r="S186" s="209"/>
      <c r="T186" s="209"/>
      <c r="U186" s="209"/>
      <c r="V186" s="209"/>
      <c r="W186" s="209"/>
      <c r="X186" s="209"/>
      <c r="Y186" s="209"/>
      <c r="Z186" s="209"/>
    </row>
    <row r="187" spans="1:26" x14ac:dyDescent="0.25">
      <c r="A187" s="209"/>
      <c r="B187" s="209"/>
      <c r="C187" s="209"/>
      <c r="D187" s="209"/>
      <c r="E187" s="209"/>
      <c r="F187" s="209"/>
      <c r="G187" s="209"/>
      <c r="H187" s="209"/>
      <c r="I187" s="209"/>
      <c r="J187" s="209"/>
      <c r="K187" s="209"/>
      <c r="L187" s="209"/>
      <c r="M187" s="209"/>
      <c r="N187" s="209"/>
      <c r="O187" s="209"/>
      <c r="P187" s="209"/>
      <c r="Q187" s="209"/>
      <c r="R187" s="209"/>
      <c r="S187" s="209"/>
      <c r="T187" s="209"/>
      <c r="U187" s="209"/>
      <c r="V187" s="209"/>
      <c r="W187" s="209"/>
      <c r="X187" s="209"/>
      <c r="Y187" s="209"/>
      <c r="Z187" s="209"/>
    </row>
    <row r="188" spans="1:26" x14ac:dyDescent="0.25">
      <c r="A188" s="209"/>
      <c r="B188" s="209"/>
      <c r="C188" s="209"/>
      <c r="D188" s="209"/>
      <c r="E188" s="209"/>
      <c r="F188" s="209"/>
      <c r="G188" s="209"/>
      <c r="H188" s="209"/>
      <c r="I188" s="209"/>
      <c r="J188" s="209"/>
      <c r="K188" s="209"/>
      <c r="L188" s="209"/>
      <c r="M188" s="209"/>
      <c r="N188" s="209"/>
      <c r="O188" s="209"/>
      <c r="P188" s="209"/>
      <c r="Q188" s="209"/>
      <c r="R188" s="209"/>
      <c r="S188" s="209"/>
      <c r="T188" s="209"/>
      <c r="U188" s="209"/>
      <c r="V188" s="209"/>
      <c r="W188" s="209"/>
      <c r="X188" s="209"/>
      <c r="Y188" s="209"/>
      <c r="Z188" s="209"/>
    </row>
    <row r="189" spans="1:26" x14ac:dyDescent="0.25">
      <c r="A189" s="209"/>
      <c r="B189" s="209"/>
      <c r="C189" s="209"/>
      <c r="D189" s="209"/>
      <c r="E189" s="209"/>
      <c r="F189" s="209"/>
      <c r="G189" s="209"/>
      <c r="H189" s="209"/>
      <c r="I189" s="209"/>
      <c r="J189" s="209"/>
      <c r="K189" s="209"/>
      <c r="L189" s="209"/>
      <c r="M189" s="209"/>
      <c r="N189" s="209"/>
      <c r="O189" s="209"/>
      <c r="P189" s="209"/>
      <c r="Q189" s="209"/>
      <c r="R189" s="209"/>
      <c r="S189" s="209"/>
      <c r="T189" s="209"/>
      <c r="U189" s="209"/>
      <c r="V189" s="209"/>
      <c r="W189" s="209"/>
      <c r="X189" s="209"/>
      <c r="Y189" s="209"/>
      <c r="Z189" s="209"/>
    </row>
    <row r="190" spans="1:26" x14ac:dyDescent="0.25">
      <c r="A190" s="209"/>
      <c r="B190" s="209"/>
      <c r="C190" s="209"/>
      <c r="D190" s="209"/>
      <c r="E190" s="209"/>
      <c r="F190" s="209"/>
      <c r="G190" s="209"/>
      <c r="H190" s="209"/>
      <c r="I190" s="209"/>
      <c r="J190" s="209"/>
      <c r="K190" s="209"/>
      <c r="L190" s="209"/>
      <c r="M190" s="209"/>
      <c r="N190" s="209"/>
      <c r="O190" s="209"/>
      <c r="P190" s="209"/>
      <c r="Q190" s="209"/>
      <c r="R190" s="209"/>
      <c r="S190" s="209"/>
      <c r="T190" s="209"/>
      <c r="U190" s="209"/>
      <c r="V190" s="209"/>
      <c r="W190" s="209"/>
      <c r="X190" s="209"/>
      <c r="Y190" s="209"/>
      <c r="Z190" s="209"/>
    </row>
    <row r="191" spans="1:26" x14ac:dyDescent="0.25">
      <c r="A191" s="209"/>
      <c r="B191" s="209"/>
      <c r="C191" s="209"/>
      <c r="D191" s="209"/>
      <c r="E191" s="209"/>
      <c r="F191" s="209"/>
      <c r="G191" s="209"/>
      <c r="H191" s="209"/>
      <c r="I191" s="209"/>
      <c r="J191" s="209"/>
      <c r="K191" s="209"/>
      <c r="L191" s="209"/>
      <c r="M191" s="209"/>
      <c r="N191" s="209"/>
      <c r="O191" s="209"/>
      <c r="P191" s="209"/>
      <c r="Q191" s="209"/>
      <c r="R191" s="209"/>
      <c r="S191" s="209"/>
      <c r="T191" s="209"/>
      <c r="U191" s="209"/>
      <c r="V191" s="209"/>
      <c r="W191" s="209"/>
      <c r="X191" s="209"/>
      <c r="Y191" s="209"/>
      <c r="Z191" s="209"/>
    </row>
    <row r="192" spans="1:26" x14ac:dyDescent="0.25">
      <c r="A192" s="209"/>
      <c r="B192" s="209"/>
      <c r="C192" s="209"/>
      <c r="D192" s="209"/>
      <c r="E192" s="209"/>
      <c r="F192" s="209"/>
      <c r="G192" s="209"/>
      <c r="H192" s="209"/>
      <c r="I192" s="209"/>
      <c r="J192" s="209"/>
      <c r="K192" s="209"/>
      <c r="L192" s="209"/>
      <c r="M192" s="209"/>
      <c r="N192" s="209"/>
      <c r="O192" s="209"/>
      <c r="P192" s="209"/>
      <c r="Q192" s="209"/>
      <c r="R192" s="209"/>
      <c r="S192" s="209"/>
      <c r="T192" s="209"/>
      <c r="U192" s="209"/>
      <c r="V192" s="209"/>
      <c r="W192" s="209"/>
      <c r="X192" s="209"/>
      <c r="Y192" s="209"/>
      <c r="Z192" s="209"/>
    </row>
    <row r="193" spans="1:26" x14ac:dyDescent="0.25">
      <c r="A193" s="209"/>
      <c r="B193" s="209"/>
      <c r="C193" s="209"/>
      <c r="D193" s="209"/>
      <c r="E193" s="209"/>
      <c r="F193" s="209"/>
      <c r="G193" s="209"/>
      <c r="H193" s="209"/>
      <c r="I193" s="209"/>
      <c r="J193" s="209"/>
      <c r="K193" s="209"/>
      <c r="L193" s="209"/>
      <c r="M193" s="209"/>
      <c r="N193" s="209"/>
      <c r="O193" s="209"/>
      <c r="P193" s="209"/>
      <c r="Q193" s="209"/>
      <c r="R193" s="209"/>
      <c r="S193" s="209"/>
      <c r="T193" s="209"/>
      <c r="U193" s="209"/>
      <c r="V193" s="209"/>
      <c r="W193" s="209"/>
      <c r="X193" s="209"/>
      <c r="Y193" s="209"/>
      <c r="Z193" s="209"/>
    </row>
    <row r="194" spans="1:26" x14ac:dyDescent="0.25">
      <c r="A194" s="209"/>
      <c r="B194" s="209"/>
      <c r="C194" s="209"/>
      <c r="D194" s="209"/>
      <c r="E194" s="209"/>
      <c r="F194" s="209"/>
      <c r="G194" s="209"/>
      <c r="H194" s="209"/>
      <c r="I194" s="209"/>
      <c r="J194" s="209"/>
      <c r="K194" s="209"/>
      <c r="L194" s="209"/>
      <c r="M194" s="209"/>
      <c r="N194" s="209"/>
      <c r="O194" s="209"/>
      <c r="P194" s="209"/>
      <c r="Q194" s="209"/>
      <c r="R194" s="209"/>
      <c r="S194" s="209"/>
      <c r="T194" s="209"/>
      <c r="U194" s="209"/>
      <c r="V194" s="209"/>
      <c r="W194" s="209"/>
      <c r="X194" s="209"/>
      <c r="Y194" s="209"/>
      <c r="Z194" s="209"/>
    </row>
    <row r="195" spans="1:26" x14ac:dyDescent="0.25">
      <c r="A195" s="209"/>
      <c r="B195" s="209"/>
      <c r="C195" s="209"/>
      <c r="D195" s="209"/>
      <c r="E195" s="209"/>
      <c r="F195" s="209"/>
      <c r="G195" s="209"/>
      <c r="H195" s="209"/>
      <c r="I195" s="209"/>
      <c r="J195" s="209"/>
      <c r="K195" s="209"/>
      <c r="L195" s="209"/>
      <c r="M195" s="209"/>
      <c r="N195" s="209"/>
      <c r="O195" s="209"/>
      <c r="P195" s="209"/>
      <c r="Q195" s="209"/>
      <c r="R195" s="209"/>
      <c r="S195" s="209"/>
      <c r="T195" s="209"/>
      <c r="U195" s="209"/>
      <c r="V195" s="209"/>
      <c r="W195" s="209"/>
      <c r="X195" s="209"/>
      <c r="Y195" s="209"/>
      <c r="Z195" s="209"/>
    </row>
    <row r="196" spans="1:26" x14ac:dyDescent="0.25">
      <c r="A196" s="209"/>
      <c r="B196" s="209"/>
      <c r="C196" s="209"/>
      <c r="D196" s="209"/>
      <c r="E196" s="209"/>
      <c r="F196" s="209"/>
      <c r="G196" s="209"/>
      <c r="H196" s="209"/>
      <c r="I196" s="209"/>
      <c r="J196" s="209"/>
      <c r="K196" s="209"/>
      <c r="L196" s="209"/>
      <c r="M196" s="209"/>
      <c r="N196" s="209"/>
      <c r="O196" s="209"/>
      <c r="P196" s="209"/>
      <c r="Q196" s="209"/>
      <c r="R196" s="209"/>
      <c r="S196" s="209"/>
      <c r="T196" s="209"/>
      <c r="U196" s="209"/>
      <c r="V196" s="209"/>
      <c r="W196" s="209"/>
      <c r="X196" s="209"/>
      <c r="Y196" s="209"/>
      <c r="Z196" s="209"/>
    </row>
    <row r="197" spans="1:26" x14ac:dyDescent="0.25">
      <c r="A197" s="209"/>
      <c r="B197" s="209"/>
      <c r="C197" s="209"/>
      <c r="D197" s="209"/>
      <c r="E197" s="209"/>
      <c r="F197" s="209"/>
      <c r="G197" s="209"/>
      <c r="H197" s="209"/>
      <c r="I197" s="209"/>
      <c r="J197" s="209"/>
      <c r="K197" s="209"/>
      <c r="L197" s="209"/>
      <c r="M197" s="209"/>
      <c r="N197" s="209"/>
      <c r="O197" s="209"/>
      <c r="P197" s="209"/>
      <c r="Q197" s="209"/>
      <c r="R197" s="209"/>
      <c r="S197" s="209"/>
      <c r="T197" s="209"/>
      <c r="U197" s="209"/>
      <c r="V197" s="209"/>
      <c r="W197" s="209"/>
      <c r="X197" s="209"/>
      <c r="Y197" s="209"/>
      <c r="Z197" s="209"/>
    </row>
    <row r="198" spans="1:26" x14ac:dyDescent="0.25">
      <c r="A198" s="209"/>
      <c r="B198" s="209"/>
      <c r="C198" s="209"/>
      <c r="D198" s="209"/>
      <c r="E198" s="209"/>
      <c r="F198" s="209"/>
      <c r="G198" s="209"/>
      <c r="H198" s="209"/>
      <c r="I198" s="209"/>
      <c r="J198" s="209"/>
      <c r="K198" s="209"/>
      <c r="L198" s="209"/>
      <c r="M198" s="209"/>
      <c r="N198" s="209"/>
      <c r="O198" s="209"/>
      <c r="P198" s="209"/>
      <c r="Q198" s="209"/>
      <c r="R198" s="209"/>
      <c r="S198" s="209"/>
      <c r="T198" s="209"/>
      <c r="U198" s="209"/>
      <c r="V198" s="209"/>
      <c r="W198" s="209"/>
      <c r="X198" s="209"/>
      <c r="Y198" s="209"/>
      <c r="Z198" s="209"/>
    </row>
    <row r="199" spans="1:26" x14ac:dyDescent="0.25">
      <c r="A199" s="209"/>
      <c r="B199" s="209"/>
      <c r="C199" s="209"/>
      <c r="D199" s="209"/>
      <c r="E199" s="209"/>
      <c r="F199" s="209"/>
      <c r="G199" s="209"/>
      <c r="H199" s="209"/>
      <c r="I199" s="209"/>
      <c r="J199" s="209"/>
      <c r="K199" s="209"/>
      <c r="L199" s="209"/>
      <c r="M199" s="209"/>
      <c r="N199" s="209"/>
      <c r="O199" s="209"/>
      <c r="P199" s="209"/>
      <c r="Q199" s="209"/>
      <c r="R199" s="209"/>
      <c r="S199" s="209"/>
      <c r="T199" s="209"/>
      <c r="U199" s="209"/>
      <c r="V199" s="209"/>
      <c r="W199" s="209"/>
      <c r="X199" s="209"/>
      <c r="Y199" s="209"/>
      <c r="Z199" s="209"/>
    </row>
    <row r="200" spans="1:26" x14ac:dyDescent="0.25">
      <c r="A200" s="209"/>
      <c r="B200" s="209"/>
      <c r="C200" s="209"/>
      <c r="D200" s="209"/>
      <c r="E200" s="209"/>
      <c r="F200" s="209"/>
      <c r="G200" s="209"/>
      <c r="H200" s="209"/>
      <c r="I200" s="209"/>
      <c r="J200" s="209"/>
      <c r="K200" s="209"/>
      <c r="L200" s="209"/>
      <c r="M200" s="209"/>
      <c r="N200" s="209"/>
      <c r="O200" s="209"/>
      <c r="P200" s="209"/>
      <c r="Q200" s="209"/>
      <c r="R200" s="209"/>
      <c r="S200" s="209"/>
      <c r="T200" s="209"/>
      <c r="U200" s="209"/>
      <c r="V200" s="209"/>
      <c r="W200" s="209"/>
      <c r="X200" s="209"/>
      <c r="Y200" s="209"/>
      <c r="Z200" s="209"/>
    </row>
    <row r="201" spans="1:26" x14ac:dyDescent="0.25">
      <c r="A201" s="209"/>
      <c r="B201" s="209"/>
      <c r="C201" s="209"/>
      <c r="D201" s="209"/>
      <c r="E201" s="209"/>
      <c r="F201" s="209"/>
      <c r="G201" s="209"/>
      <c r="H201" s="209"/>
      <c r="I201" s="209"/>
      <c r="J201" s="209"/>
      <c r="K201" s="209"/>
      <c r="L201" s="209"/>
      <c r="M201" s="209"/>
      <c r="N201" s="209"/>
      <c r="O201" s="209"/>
      <c r="P201" s="209"/>
      <c r="Q201" s="209"/>
      <c r="R201" s="209"/>
      <c r="S201" s="209"/>
      <c r="T201" s="209"/>
      <c r="U201" s="209"/>
      <c r="V201" s="209"/>
      <c r="W201" s="209"/>
      <c r="X201" s="209"/>
      <c r="Y201" s="209"/>
      <c r="Z201" s="209"/>
    </row>
    <row r="202" spans="1:26" x14ac:dyDescent="0.25">
      <c r="A202" s="209"/>
      <c r="B202" s="209"/>
      <c r="C202" s="209"/>
      <c r="D202" s="209"/>
      <c r="E202" s="209"/>
      <c r="F202" s="209"/>
      <c r="G202" s="209"/>
      <c r="H202" s="209"/>
      <c r="I202" s="209"/>
      <c r="J202" s="209"/>
      <c r="K202" s="209"/>
      <c r="L202" s="209"/>
      <c r="M202" s="209"/>
      <c r="N202" s="209"/>
      <c r="O202" s="209"/>
      <c r="P202" s="209"/>
      <c r="Q202" s="209"/>
      <c r="R202" s="209"/>
      <c r="S202" s="209"/>
      <c r="T202" s="209"/>
      <c r="U202" s="209"/>
      <c r="V202" s="209"/>
      <c r="W202" s="209"/>
      <c r="X202" s="209"/>
      <c r="Y202" s="209"/>
      <c r="Z202" s="209"/>
    </row>
    <row r="216" spans="1:14" x14ac:dyDescent="0.25">
      <c r="D216">
        <v>1</v>
      </c>
      <c r="E216">
        <v>2</v>
      </c>
      <c r="F216">
        <v>3</v>
      </c>
      <c r="G216">
        <v>4</v>
      </c>
      <c r="H216">
        <v>5</v>
      </c>
      <c r="I216">
        <v>6</v>
      </c>
      <c r="J216">
        <v>7</v>
      </c>
      <c r="K216">
        <v>8</v>
      </c>
      <c r="L216">
        <v>9</v>
      </c>
      <c r="M216">
        <v>10</v>
      </c>
    </row>
    <row r="217" spans="1:14" ht="60" x14ac:dyDescent="0.25">
      <c r="D217" s="526" t="s">
        <v>765</v>
      </c>
      <c r="E217" s="527" t="s">
        <v>789</v>
      </c>
      <c r="F217" s="526" t="s">
        <v>764</v>
      </c>
      <c r="G217" s="527" t="s">
        <v>4</v>
      </c>
      <c r="H217" s="528" t="s">
        <v>834</v>
      </c>
      <c r="I217" s="529" t="s">
        <v>840</v>
      </c>
      <c r="J217" s="529" t="s">
        <v>841</v>
      </c>
      <c r="K217" s="527" t="s">
        <v>1020</v>
      </c>
      <c r="L217" s="527" t="s">
        <v>2</v>
      </c>
      <c r="M217" s="527" t="s">
        <v>766</v>
      </c>
    </row>
    <row r="218" spans="1:14" x14ac:dyDescent="0.25">
      <c r="A218" s="17" t="s">
        <v>767</v>
      </c>
      <c r="B218" s="511"/>
      <c r="C218" s="511"/>
      <c r="D218" s="512">
        <f>D173*1000</f>
        <v>393.04824461863535</v>
      </c>
      <c r="E218" s="512">
        <f t="shared" ref="E218:M218" si="111">E173*1000</f>
        <v>19.572719019507922</v>
      </c>
      <c r="F218" s="512">
        <f t="shared" si="111"/>
        <v>211.34726245158657</v>
      </c>
      <c r="G218" s="512">
        <f t="shared" si="111"/>
        <v>219.15047765781773</v>
      </c>
      <c r="H218" s="512">
        <f t="shared" si="111"/>
        <v>87.200974539367635</v>
      </c>
      <c r="I218" s="512">
        <f t="shared" si="111"/>
        <v>33.843947357240026</v>
      </c>
      <c r="J218" s="512">
        <f t="shared" si="111"/>
        <v>96.949765774892768</v>
      </c>
      <c r="K218" s="512">
        <f t="shared" si="111"/>
        <v>64.147267512587149</v>
      </c>
      <c r="L218" s="512">
        <f t="shared" si="111"/>
        <v>276.49872668782911</v>
      </c>
      <c r="M218" s="512">
        <f t="shared" si="111"/>
        <v>84.752706653247458</v>
      </c>
      <c r="N218" s="2"/>
    </row>
    <row r="219" spans="1:14" x14ac:dyDescent="0.25">
      <c r="A219" s="17" t="s">
        <v>6</v>
      </c>
      <c r="B219" s="511"/>
      <c r="C219" s="511"/>
      <c r="D219" s="15">
        <f>D218*1000/'P Export'!$AO$21</f>
        <v>5.5828041027335344E-2</v>
      </c>
      <c r="E219" s="15">
        <f>E218*1000/'P Export'!$AO$21</f>
        <v>2.7800825354094131E-3</v>
      </c>
      <c r="F219" s="15">
        <f>F218*1000/'P Export'!$AO$21</f>
        <v>3.0019479289649428E-2</v>
      </c>
      <c r="G219" s="15">
        <f>G218*1000/'P Export'!$AO$21</f>
        <v>3.1127837422889E-2</v>
      </c>
      <c r="H219" s="15">
        <f>H218*1000/'P Export'!$AO$21</f>
        <v>1.2385908475258526E-2</v>
      </c>
      <c r="I219" s="15">
        <f>I218*1000/'P Export'!$AO$21</f>
        <v>4.8071485051924103E-3</v>
      </c>
      <c r="J219" s="15">
        <f>J218*1000/'P Export'!$AO$21</f>
        <v>1.3770613596106736E-2</v>
      </c>
      <c r="K219" s="15">
        <f>K218*1000/'P Export'!$AO$21</f>
        <v>9.1113911116914754E-3</v>
      </c>
      <c r="L219" s="15">
        <f>L218*1000/'P Export'!$AO$21</f>
        <v>3.9273505145689259E-2</v>
      </c>
      <c r="M219" s="15">
        <f>M218*1000/'P Export'!$AO$21</f>
        <v>1.2038159816248881E-2</v>
      </c>
    </row>
    <row r="220" spans="1:14" x14ac:dyDescent="0.25">
      <c r="A220" s="17" t="s">
        <v>8</v>
      </c>
      <c r="B220" s="511"/>
      <c r="C220" s="511"/>
      <c r="D220" s="439">
        <f>D175*1000</f>
        <v>-169136.67956544325</v>
      </c>
      <c r="E220" s="439">
        <f t="shared" ref="E220:M220" si="112">E175*1000</f>
        <v>29590.353116338487</v>
      </c>
      <c r="F220" s="439">
        <f t="shared" si="112"/>
        <v>-37462.574661362574</v>
      </c>
      <c r="G220" s="439">
        <f t="shared" si="112"/>
        <v>10273.717340928033</v>
      </c>
      <c r="H220" s="439">
        <f t="shared" si="112"/>
        <v>9933.7993208124808</v>
      </c>
      <c r="I220" s="439">
        <f t="shared" si="112"/>
        <v>97601.871940947269</v>
      </c>
      <c r="J220" s="439">
        <f t="shared" si="112"/>
        <v>91617.870571396474</v>
      </c>
      <c r="K220" s="439">
        <f t="shared" si="112"/>
        <v>4136.5605222073382</v>
      </c>
      <c r="L220" s="439">
        <f t="shared" si="112"/>
        <v>1567.4479707620578</v>
      </c>
      <c r="M220" s="439">
        <f t="shared" si="112"/>
        <v>7101.5360601177817</v>
      </c>
    </row>
    <row r="221" spans="1:14" x14ac:dyDescent="0.25">
      <c r="A221" s="17" t="s">
        <v>11</v>
      </c>
      <c r="B221" s="511"/>
      <c r="C221" s="511"/>
      <c r="D221" s="438">
        <f>IF(F10&gt;0,D220/F10,0)</f>
        <v>-12.100658886849592</v>
      </c>
      <c r="E221" s="438">
        <f>IF(F11&gt;0,E220/F11,0)</f>
        <v>39.136039464960518</v>
      </c>
      <c r="F221" s="38">
        <f>IF(F12&gt;0,F220/(F12),0)</f>
        <v>-14.976451913947145</v>
      </c>
      <c r="G221" s="438">
        <f>IF(F13&gt;0,G220/(F13),0)</f>
        <v>63.427196961284487</v>
      </c>
      <c r="H221" s="438">
        <f>IF(F14&gt;0,H220/(F14),0)</f>
        <v>20.161984592909988</v>
      </c>
      <c r="I221" s="438">
        <f>IF(F15&gt;0,I220/(F15),0)</f>
        <v>66.414999999999992</v>
      </c>
      <c r="J221" s="438">
        <f>IF(F16&gt;0,J220/(F16),0)</f>
        <v>66.004999999999981</v>
      </c>
      <c r="K221" s="438">
        <f>IF(F17&gt;0,K220/(F17),0)</f>
        <v>10.365843299646096</v>
      </c>
      <c r="L221" s="438">
        <f ca="1">IF(F18&gt;0,L220/(F18),0)</f>
        <v>0.69749293593805639</v>
      </c>
      <c r="M221" s="438">
        <f>IF(F19&gt;0,M220/(F19),0)</f>
        <v>14.996734396640042</v>
      </c>
    </row>
    <row r="222" spans="1:14" x14ac:dyDescent="0.25">
      <c r="A222" s="17" t="s">
        <v>769</v>
      </c>
      <c r="B222" s="511"/>
      <c r="C222" s="511"/>
      <c r="D222" s="441">
        <f>IF(F10&gt;0,D218/F10,0)</f>
        <v>2.8120114137423696E-2</v>
      </c>
      <c r="E222" s="441">
        <f>IF(F11&gt;0,E218/F11,0)</f>
        <v>2.5886771305919112E-2</v>
      </c>
      <c r="F222" s="441">
        <f>IF(F12&gt;0,F218/F12,0)</f>
        <v>8.4490511980615399E-2</v>
      </c>
      <c r="G222" s="441">
        <f>IF(F13&gt;0,G218/F13,0)</f>
        <v>1.35297673172176</v>
      </c>
      <c r="H222" s="441">
        <f>IF(F14&gt;0,H218/F14,0)</f>
        <v>0.17698613072099673</v>
      </c>
      <c r="I222" s="441">
        <f>IF(F15&gt;0,I218/F15,0)</f>
        <v>2.3029740301405952E-2</v>
      </c>
      <c r="J222" s="441">
        <f>IF(F16&gt;0,J218/F16,0)</f>
        <v>6.9846300182069998E-2</v>
      </c>
      <c r="K222" s="441">
        <f>IF(F17&gt;0,K218/F17,0)</f>
        <v>0.1607472003772675</v>
      </c>
      <c r="L222" s="441">
        <f ca="1">IF(F18&gt;0,L218/F18,0)</f>
        <v>0.1230381564543198</v>
      </c>
      <c r="M222" s="441">
        <f>IF(F19&gt;0,M218/F19,0)</f>
        <v>0.17897731143169315</v>
      </c>
    </row>
    <row r="223" spans="1:14" x14ac:dyDescent="0.25">
      <c r="A223" s="17" t="s">
        <v>7</v>
      </c>
      <c r="B223" s="511"/>
      <c r="C223" s="511"/>
      <c r="D223" s="438">
        <f t="shared" ref="D223:M223" si="113">D220*0.001/watershed_acre</f>
        <v>-8.6086619210542334</v>
      </c>
      <c r="E223" s="438">
        <f t="shared" si="113"/>
        <v>1.5060798565849156</v>
      </c>
      <c r="F223" s="438">
        <f t="shared" si="113"/>
        <v>-1.9067575453208467</v>
      </c>
      <c r="G223" s="438">
        <f t="shared" si="113"/>
        <v>0.52290821534249698</v>
      </c>
      <c r="H223" s="438">
        <f t="shared" si="113"/>
        <v>0.50560718209786204</v>
      </c>
      <c r="I223" s="438">
        <f t="shared" si="113"/>
        <v>4.9677073037048807</v>
      </c>
      <c r="J223" s="438">
        <f t="shared" si="113"/>
        <v>4.6631356114028799</v>
      </c>
      <c r="K223" s="438">
        <f t="shared" si="113"/>
        <v>0.21054126841767648</v>
      </c>
      <c r="L223" s="438">
        <f t="shared" si="113"/>
        <v>7.9779440472650592E-2</v>
      </c>
      <c r="M223" s="438">
        <f t="shared" si="113"/>
        <v>0.36145159771848834</v>
      </c>
    </row>
    <row r="224" spans="1:14" x14ac:dyDescent="0.25">
      <c r="A224" s="17" t="s">
        <v>10</v>
      </c>
      <c r="B224" s="511"/>
      <c r="C224" s="511"/>
      <c r="D224" s="438">
        <f>IFERROR(D221/D222,0)</f>
        <v>-430.3204043807707</v>
      </c>
      <c r="E224" s="438">
        <f t="shared" ref="E224:M224" si="114">IFERROR(E221/E222,0)</f>
        <v>1511.8161706018514</v>
      </c>
      <c r="F224" s="438">
        <f t="shared" si="114"/>
        <v>-177.25602038466971</v>
      </c>
      <c r="G224" s="438">
        <f t="shared" si="114"/>
        <v>46.879739668965946</v>
      </c>
      <c r="H224" s="438">
        <f t="shared" si="114"/>
        <v>113.91844383949839</v>
      </c>
      <c r="I224" s="438">
        <f t="shared" si="114"/>
        <v>2883.8796760528558</v>
      </c>
      <c r="J224" s="438">
        <f t="shared" si="114"/>
        <v>945.0035267142739</v>
      </c>
      <c r="K224" s="438">
        <f t="shared" si="114"/>
        <v>64.485373775206412</v>
      </c>
      <c r="L224" s="438">
        <f t="shared" ca="1" si="114"/>
        <v>5.6689156928079756</v>
      </c>
      <c r="M224" s="438">
        <f t="shared" si="114"/>
        <v>83.791259778553325</v>
      </c>
    </row>
    <row r="225" spans="1:13" x14ac:dyDescent="0.25">
      <c r="A225" s="17" t="s">
        <v>9</v>
      </c>
      <c r="B225" s="511"/>
      <c r="C225" s="511"/>
      <c r="D225" s="15">
        <f>F10*0.001/watershed_acre</f>
        <v>0.71142092356720421</v>
      </c>
      <c r="E225" s="15">
        <f>F11*0.001/watershed_acre</f>
        <v>3.8483195468293284E-2</v>
      </c>
      <c r="F225" s="15">
        <f>F12*0.001/watershed_acre</f>
        <v>0.12731704119753073</v>
      </c>
      <c r="G225" s="15">
        <f>F13*0.001/watershed_acre</f>
        <v>8.2442270886048542E-3</v>
      </c>
      <c r="H225" s="15">
        <f>F14*0.001/watershed_acre</f>
        <v>2.5077252676587211E-2</v>
      </c>
      <c r="I225" s="15">
        <f>F15*0.001/watershed_acre</f>
        <v>7.4797971899493804E-2</v>
      </c>
      <c r="J225" s="15">
        <f>F16*0.001/watershed_acre</f>
        <v>7.0648217732033641E-2</v>
      </c>
      <c r="K225" s="15">
        <f>F17*0.001/watershed_acre</f>
        <v>2.031106030947474E-2</v>
      </c>
      <c r="L225" s="15">
        <f ca="1">F18*0.001/watershed_acre</f>
        <v>0.11438028453342747</v>
      </c>
      <c r="M225" s="15">
        <f>F19*0.001/watershed_acre</f>
        <v>2.4102020357143223E-2</v>
      </c>
    </row>
    <row r="226" spans="1:13" x14ac:dyDescent="0.25">
      <c r="A226" s="511" t="s">
        <v>1178</v>
      </c>
      <c r="B226" s="511"/>
      <c r="C226" s="511"/>
      <c r="D226" s="879"/>
      <c r="E226" s="879"/>
      <c r="F226" s="879"/>
      <c r="G226" s="879">
        <f ca="1">Buffer!AO72/1000</f>
        <v>79.597235246149765</v>
      </c>
      <c r="H226" s="879"/>
      <c r="I226" s="879"/>
      <c r="J226" s="879"/>
      <c r="K226" s="879"/>
      <c r="L226" s="879"/>
      <c r="M226" s="879"/>
    </row>
    <row r="227" spans="1:13" x14ac:dyDescent="0.25">
      <c r="A227" s="511"/>
      <c r="B227" s="511"/>
      <c r="C227" s="511"/>
      <c r="D227" s="772"/>
      <c r="E227" s="772"/>
      <c r="F227" s="772"/>
      <c r="G227" s="773">
        <f ca="1">G226*0.001/watershed_acre</f>
        <v>4.0513133511030901E-3</v>
      </c>
      <c r="H227" s="772"/>
      <c r="I227" s="772"/>
      <c r="J227" s="772"/>
      <c r="K227" s="772"/>
      <c r="L227" s="772"/>
      <c r="M227" s="772"/>
    </row>
    <row r="228" spans="1:13" x14ac:dyDescent="0.25">
      <c r="D228" s="112">
        <v>1</v>
      </c>
      <c r="E228" s="112">
        <v>1</v>
      </c>
      <c r="F228" s="112">
        <v>2</v>
      </c>
      <c r="G228" s="112">
        <v>2</v>
      </c>
      <c r="H228" s="112">
        <v>3</v>
      </c>
      <c r="I228" s="112">
        <v>3</v>
      </c>
      <c r="J228" s="112">
        <v>3</v>
      </c>
      <c r="K228" s="112">
        <v>2</v>
      </c>
      <c r="L228" s="112">
        <v>2</v>
      </c>
      <c r="M228" s="163">
        <v>1</v>
      </c>
    </row>
    <row r="229" spans="1:13" x14ac:dyDescent="0.25">
      <c r="A229" s="513" t="s">
        <v>875</v>
      </c>
      <c r="D229" s="99">
        <v>10</v>
      </c>
      <c r="E229" s="99">
        <v>9</v>
      </c>
      <c r="F229" s="99">
        <v>8</v>
      </c>
      <c r="G229" s="99">
        <v>7</v>
      </c>
      <c r="H229" s="99">
        <v>6</v>
      </c>
      <c r="I229" s="99">
        <v>5</v>
      </c>
      <c r="J229" s="99">
        <v>4</v>
      </c>
      <c r="K229" s="99">
        <v>3</v>
      </c>
      <c r="L229" s="99">
        <v>2</v>
      </c>
      <c r="M229" s="99">
        <v>1</v>
      </c>
    </row>
    <row r="231" spans="1:13" x14ac:dyDescent="0.25">
      <c r="A231" t="s">
        <v>876</v>
      </c>
      <c r="B231" s="520">
        <v>12</v>
      </c>
      <c r="D231">
        <f t="shared" ref="D231:M231" si="115">INDEX(D$218:D$229,sortlink)</f>
        <v>10</v>
      </c>
      <c r="E231">
        <f t="shared" si="115"/>
        <v>9</v>
      </c>
      <c r="F231">
        <f>INDEX(F$218:F$229,sortlink)</f>
        <v>8</v>
      </c>
      <c r="G231">
        <f>INDEX(G$218:G$229,sortlink)</f>
        <v>7</v>
      </c>
      <c r="H231">
        <f>INDEX(H$218:H$229,sortlink)</f>
        <v>6</v>
      </c>
      <c r="I231">
        <f t="shared" si="115"/>
        <v>5</v>
      </c>
      <c r="J231">
        <f t="shared" si="115"/>
        <v>4</v>
      </c>
      <c r="K231">
        <f t="shared" si="115"/>
        <v>3</v>
      </c>
      <c r="L231">
        <f t="shared" si="115"/>
        <v>2</v>
      </c>
      <c r="M231">
        <f t="shared" si="115"/>
        <v>1</v>
      </c>
    </row>
    <row r="232" spans="1:13" x14ac:dyDescent="0.25">
      <c r="A232" t="str">
        <f>INDEX(A218:A229,sortlink)</f>
        <v>Publication order</v>
      </c>
      <c r="D232">
        <f>LARGE($D$231:$M$231,D216)</f>
        <v>10</v>
      </c>
      <c r="E232">
        <f t="shared" ref="E232:M232" si="116">LARGE($D$231:$M$231,E216)</f>
        <v>9</v>
      </c>
      <c r="F232">
        <f t="shared" si="116"/>
        <v>8</v>
      </c>
      <c r="G232">
        <f t="shared" si="116"/>
        <v>7</v>
      </c>
      <c r="H232">
        <f t="shared" si="116"/>
        <v>6</v>
      </c>
      <c r="I232">
        <f t="shared" si="116"/>
        <v>5</v>
      </c>
      <c r="J232">
        <f t="shared" si="116"/>
        <v>4</v>
      </c>
      <c r="K232">
        <f t="shared" si="116"/>
        <v>3</v>
      </c>
      <c r="L232">
        <f t="shared" si="116"/>
        <v>2</v>
      </c>
      <c r="M232">
        <f t="shared" si="116"/>
        <v>1</v>
      </c>
    </row>
    <row r="233" spans="1:13" x14ac:dyDescent="0.25">
      <c r="A233" t="s">
        <v>877</v>
      </c>
      <c r="D233">
        <f>IFERROR(MATCH(D232,$D$231:$M$231,0),1)</f>
        <v>1</v>
      </c>
      <c r="E233">
        <f>matchunique(E232,$D$231:$M$231,$D$233:D233)</f>
        <v>2</v>
      </c>
      <c r="F233">
        <f>matchunique(F232,$D$231:$M$231,$D$233:E233)</f>
        <v>3</v>
      </c>
      <c r="G233">
        <f>matchunique(G232,$D$231:$M$231,$D$233:F233)</f>
        <v>4</v>
      </c>
      <c r="H233">
        <f>matchunique(H232,$D$231:$M$231,$D$233:G233)</f>
        <v>5</v>
      </c>
      <c r="I233">
        <f>matchunique(I232,$D$231:$M$231,$D$233:H233)</f>
        <v>6</v>
      </c>
      <c r="J233">
        <f>matchunique(J232,$D$231:$M$231,$D$233:I233)</f>
        <v>7</v>
      </c>
      <c r="K233">
        <f>matchunique(K232,$D$231:$M$231,$D$233:J233)</f>
        <v>8</v>
      </c>
      <c r="L233">
        <f>matchunique(L232,$D$231:$M$231,$D$233:K233)</f>
        <v>9</v>
      </c>
      <c r="M233">
        <f>matchunique(M232,$D$231:$M$231,$D$233:L233)</f>
        <v>10</v>
      </c>
    </row>
    <row r="235" spans="1:13" ht="60" x14ac:dyDescent="0.25">
      <c r="D235" s="32" t="str">
        <f>INDEX($D217:$M217,$D$233)</f>
        <v>Target P rate</v>
      </c>
      <c r="E235" s="32" t="str">
        <f t="shared" ref="E235:M235" si="117">INDEX($D$217:$M$217,E233)</f>
        <v>Fall corn fert to preplant/starter</v>
      </c>
      <c r="F235" s="32" t="str">
        <f t="shared" si="117"/>
        <v>Use reduced tillage</v>
      </c>
      <c r="G235" s="32" t="str">
        <f t="shared" si="117"/>
        <v>Riparian buffers</v>
      </c>
      <c r="H235" s="32" t="str">
        <f t="shared" si="117"/>
        <v>Perennial crop % of marginal corn&amp;soy</v>
      </c>
      <c r="I235" s="32" t="str">
        <f t="shared" si="117"/>
        <v>Cover crop on corn&amp;soy</v>
      </c>
      <c r="J235" s="32" t="str">
        <f t="shared" si="117"/>
        <v>Cover crop on short season cr</v>
      </c>
      <c r="K235" s="32" t="str">
        <f t="shared" si="117"/>
        <v>Control Drainage</v>
      </c>
      <c r="L235" s="32" t="str">
        <f t="shared" si="117"/>
        <v>Alternative tile intakes</v>
      </c>
      <c r="M235" s="32" t="str">
        <f t="shared" si="117"/>
        <v>Inject or incorp manure</v>
      </c>
    </row>
    <row r="236" spans="1:13" x14ac:dyDescent="0.25">
      <c r="A236" s="17" t="s">
        <v>767</v>
      </c>
      <c r="D236" s="3">
        <f>INDEX($D$218:$M$218,D233)</f>
        <v>393.04824461863535</v>
      </c>
      <c r="E236" s="3">
        <f t="shared" ref="E236:M236" si="118">INDEX($D$218:$M$218,E233)</f>
        <v>19.572719019507922</v>
      </c>
      <c r="F236" s="3">
        <f t="shared" si="118"/>
        <v>211.34726245158657</v>
      </c>
      <c r="G236" s="3">
        <f t="shared" si="118"/>
        <v>219.15047765781773</v>
      </c>
      <c r="H236" s="3">
        <f t="shared" si="118"/>
        <v>87.200974539367635</v>
      </c>
      <c r="I236" s="3">
        <f t="shared" si="118"/>
        <v>33.843947357240026</v>
      </c>
      <c r="J236" s="3">
        <f t="shared" si="118"/>
        <v>96.949765774892768</v>
      </c>
      <c r="K236" s="3">
        <f t="shared" si="118"/>
        <v>64.147267512587149</v>
      </c>
      <c r="L236" s="3">
        <f t="shared" si="118"/>
        <v>276.49872668782911</v>
      </c>
      <c r="M236" s="3">
        <f t="shared" si="118"/>
        <v>84.752706653247458</v>
      </c>
    </row>
    <row r="237" spans="1:13" x14ac:dyDescent="0.25">
      <c r="A237" s="17" t="s">
        <v>6</v>
      </c>
      <c r="D237" s="83">
        <f>INDEX($D$219:$M$219,D233)</f>
        <v>5.5828041027335344E-2</v>
      </c>
      <c r="E237" s="83">
        <f t="shared" ref="E237:M237" si="119">INDEX($D$219:$M$219,E233)</f>
        <v>2.7800825354094131E-3</v>
      </c>
      <c r="F237" s="83">
        <f t="shared" si="119"/>
        <v>3.0019479289649428E-2</v>
      </c>
      <c r="G237" s="83">
        <f t="shared" si="119"/>
        <v>3.1127837422889E-2</v>
      </c>
      <c r="H237" s="83">
        <f t="shared" si="119"/>
        <v>1.2385908475258526E-2</v>
      </c>
      <c r="I237" s="83">
        <f t="shared" si="119"/>
        <v>4.8071485051924103E-3</v>
      </c>
      <c r="J237" s="83">
        <f t="shared" si="119"/>
        <v>1.3770613596106736E-2</v>
      </c>
      <c r="K237" s="83">
        <f t="shared" si="119"/>
        <v>9.1113911116914754E-3</v>
      </c>
      <c r="L237" s="83">
        <f t="shared" si="119"/>
        <v>3.9273505145689259E-2</v>
      </c>
      <c r="M237" s="83">
        <f t="shared" si="119"/>
        <v>1.2038159816248881E-2</v>
      </c>
    </row>
    <row r="238" spans="1:13" x14ac:dyDescent="0.25">
      <c r="A238" s="17" t="s">
        <v>8</v>
      </c>
      <c r="D238" s="5">
        <f>INDEX($D$220:$M$220,D233)</f>
        <v>-169136.67956544325</v>
      </c>
      <c r="E238" s="5">
        <f t="shared" ref="E238:M238" si="120">INDEX($D$220:$M$220,E233)</f>
        <v>29590.353116338487</v>
      </c>
      <c r="F238" s="5">
        <f t="shared" si="120"/>
        <v>-37462.574661362574</v>
      </c>
      <c r="G238" s="5">
        <f t="shared" si="120"/>
        <v>10273.717340928033</v>
      </c>
      <c r="H238" s="5">
        <f t="shared" si="120"/>
        <v>9933.7993208124808</v>
      </c>
      <c r="I238" s="5">
        <f t="shared" si="120"/>
        <v>97601.871940947269</v>
      </c>
      <c r="J238" s="5">
        <f t="shared" si="120"/>
        <v>91617.870571396474</v>
      </c>
      <c r="K238" s="5">
        <f t="shared" si="120"/>
        <v>4136.5605222073382</v>
      </c>
      <c r="L238" s="5">
        <f t="shared" si="120"/>
        <v>1567.4479707620578</v>
      </c>
      <c r="M238" s="5">
        <f t="shared" si="120"/>
        <v>7101.5360601177817</v>
      </c>
    </row>
    <row r="239" spans="1:13" x14ac:dyDescent="0.25">
      <c r="A239" s="17" t="s">
        <v>11</v>
      </c>
      <c r="D239" s="5">
        <f>INDEX($D$221:$M$221,D233)</f>
        <v>-12.100658886849592</v>
      </c>
      <c r="E239" s="5">
        <f t="shared" ref="E239:M239" si="121">INDEX($D$221:$M$221,E233)</f>
        <v>39.136039464960518</v>
      </c>
      <c r="F239" s="5">
        <f t="shared" si="121"/>
        <v>-14.976451913947145</v>
      </c>
      <c r="G239" s="5">
        <f t="shared" si="121"/>
        <v>63.427196961284487</v>
      </c>
      <c r="H239" s="5">
        <f t="shared" si="121"/>
        <v>20.161984592909988</v>
      </c>
      <c r="I239" s="5">
        <f t="shared" si="121"/>
        <v>66.414999999999992</v>
      </c>
      <c r="J239" s="5">
        <f t="shared" si="121"/>
        <v>66.004999999999981</v>
      </c>
      <c r="K239" s="5">
        <f t="shared" si="121"/>
        <v>10.365843299646096</v>
      </c>
      <c r="L239" s="5">
        <f t="shared" ca="1" si="121"/>
        <v>0.69749293593805639</v>
      </c>
      <c r="M239" s="5">
        <f t="shared" si="121"/>
        <v>14.996734396640042</v>
      </c>
    </row>
    <row r="240" spans="1:13" x14ac:dyDescent="0.25">
      <c r="A240" s="17" t="s">
        <v>769</v>
      </c>
      <c r="D240" s="327">
        <f>INDEX($D$222:$M$222,D233)</f>
        <v>2.8120114137423696E-2</v>
      </c>
      <c r="E240" s="327">
        <f t="shared" ref="E240:M240" si="122">INDEX($D$222:$M$222,E233)</f>
        <v>2.5886771305919112E-2</v>
      </c>
      <c r="F240" s="327">
        <f t="shared" si="122"/>
        <v>8.4490511980615399E-2</v>
      </c>
      <c r="G240" s="327">
        <f t="shared" si="122"/>
        <v>1.35297673172176</v>
      </c>
      <c r="H240" s="327">
        <f t="shared" si="122"/>
        <v>0.17698613072099673</v>
      </c>
      <c r="I240" s="327">
        <f t="shared" si="122"/>
        <v>2.3029740301405952E-2</v>
      </c>
      <c r="J240" s="327">
        <f t="shared" si="122"/>
        <v>6.9846300182069998E-2</v>
      </c>
      <c r="K240" s="327">
        <f t="shared" si="122"/>
        <v>0.1607472003772675</v>
      </c>
      <c r="L240" s="327">
        <f t="shared" ca="1" si="122"/>
        <v>0.1230381564543198</v>
      </c>
      <c r="M240" s="327">
        <f t="shared" si="122"/>
        <v>0.17897731143169315</v>
      </c>
    </row>
    <row r="241" spans="1:15" x14ac:dyDescent="0.25">
      <c r="A241" s="17" t="s">
        <v>7</v>
      </c>
      <c r="D241" s="38">
        <f>INDEX($D$223:$M$223,D233)</f>
        <v>-8.6086619210542334</v>
      </c>
      <c r="E241" s="38">
        <f t="shared" ref="E241:M241" si="123">INDEX($D$223:$M$223,E233)</f>
        <v>1.5060798565849156</v>
      </c>
      <c r="F241" s="38">
        <f t="shared" si="123"/>
        <v>-1.9067575453208467</v>
      </c>
      <c r="G241" s="38">
        <f t="shared" si="123"/>
        <v>0.52290821534249698</v>
      </c>
      <c r="H241" s="38">
        <f t="shared" si="123"/>
        <v>0.50560718209786204</v>
      </c>
      <c r="I241" s="38">
        <f t="shared" si="123"/>
        <v>4.9677073037048807</v>
      </c>
      <c r="J241" s="38">
        <f t="shared" si="123"/>
        <v>4.6631356114028799</v>
      </c>
      <c r="K241" s="38">
        <f t="shared" si="123"/>
        <v>0.21054126841767648</v>
      </c>
      <c r="L241" s="38">
        <f t="shared" si="123"/>
        <v>7.9779440472650592E-2</v>
      </c>
      <c r="M241" s="38">
        <f t="shared" si="123"/>
        <v>0.36145159771848834</v>
      </c>
    </row>
    <row r="242" spans="1:15" x14ac:dyDescent="0.25">
      <c r="A242" s="17" t="s">
        <v>10</v>
      </c>
      <c r="D242" s="38">
        <f>INDEX($D$224:$M$224,D233)</f>
        <v>-430.3204043807707</v>
      </c>
      <c r="E242" s="38">
        <f t="shared" ref="E242:M242" si="124">INDEX($D$224:$M$224,E233)</f>
        <v>1511.8161706018514</v>
      </c>
      <c r="F242" s="38">
        <f t="shared" si="124"/>
        <v>-177.25602038466971</v>
      </c>
      <c r="G242" s="38">
        <f t="shared" si="124"/>
        <v>46.879739668965946</v>
      </c>
      <c r="H242" s="38">
        <f t="shared" si="124"/>
        <v>113.91844383949839</v>
      </c>
      <c r="I242" s="38">
        <f t="shared" si="124"/>
        <v>2883.8796760528558</v>
      </c>
      <c r="J242" s="38">
        <f t="shared" si="124"/>
        <v>945.0035267142739</v>
      </c>
      <c r="K242" s="38">
        <f t="shared" si="124"/>
        <v>64.485373775206412</v>
      </c>
      <c r="L242" s="38">
        <f t="shared" ca="1" si="124"/>
        <v>5.6689156928079756</v>
      </c>
      <c r="M242" s="38">
        <f t="shared" si="124"/>
        <v>83.791259778553325</v>
      </c>
    </row>
    <row r="243" spans="1:15" x14ac:dyDescent="0.25">
      <c r="A243" s="17" t="s">
        <v>9</v>
      </c>
      <c r="D243" s="83">
        <f>INDEX($D$225:$M$225,D233)</f>
        <v>0.71142092356720421</v>
      </c>
      <c r="E243" s="83">
        <f t="shared" ref="E243:M243" si="125">INDEX($D$225:$M$225,E233)</f>
        <v>3.8483195468293284E-2</v>
      </c>
      <c r="F243" s="83">
        <f t="shared" si="125"/>
        <v>0.12731704119753073</v>
      </c>
      <c r="G243" s="83">
        <f t="shared" si="125"/>
        <v>8.2442270886048542E-3</v>
      </c>
      <c r="H243" s="83">
        <f t="shared" si="125"/>
        <v>2.5077252676587211E-2</v>
      </c>
      <c r="I243" s="83">
        <f t="shared" si="125"/>
        <v>7.4797971899493804E-2</v>
      </c>
      <c r="J243" s="83">
        <f t="shared" si="125"/>
        <v>7.0648217732033641E-2</v>
      </c>
      <c r="K243" s="83">
        <f t="shared" si="125"/>
        <v>2.031106030947474E-2</v>
      </c>
      <c r="L243" s="83">
        <f t="shared" ca="1" si="125"/>
        <v>0.11438028453342747</v>
      </c>
      <c r="M243" s="83">
        <f t="shared" si="125"/>
        <v>2.4102020357143223E-2</v>
      </c>
    </row>
    <row r="244" spans="1:15" x14ac:dyDescent="0.25">
      <c r="A244" s="511" t="s">
        <v>1178</v>
      </c>
      <c r="D244" s="36">
        <f t="shared" ref="D244:F244" si="126">INDEX($D$226:$M$226,D233)</f>
        <v>0</v>
      </c>
      <c r="E244" s="36">
        <f t="shared" si="126"/>
        <v>0</v>
      </c>
      <c r="F244" s="36">
        <f t="shared" si="126"/>
        <v>0</v>
      </c>
      <c r="G244" s="36">
        <f ca="1">INDEX($D$226:$M$226,G233)</f>
        <v>79.597235246149765</v>
      </c>
      <c r="H244" s="36">
        <f t="shared" ref="H244:M244" si="127">INDEX($D$226:$M$226,H233)</f>
        <v>0</v>
      </c>
      <c r="I244" s="36">
        <f t="shared" si="127"/>
        <v>0</v>
      </c>
      <c r="J244" s="36">
        <f t="shared" si="127"/>
        <v>0</v>
      </c>
      <c r="K244" s="36">
        <f t="shared" si="127"/>
        <v>0</v>
      </c>
      <c r="L244" s="36">
        <f t="shared" si="127"/>
        <v>0</v>
      </c>
      <c r="M244" s="36">
        <f t="shared" si="127"/>
        <v>0</v>
      </c>
    </row>
    <row r="245" spans="1:15" x14ac:dyDescent="0.25">
      <c r="A245" s="511" t="s">
        <v>1179</v>
      </c>
      <c r="D245" s="49">
        <f>INDEX($D$227:$M$227,D234)</f>
        <v>0</v>
      </c>
      <c r="E245" s="14">
        <f t="shared" ref="E245:M245" si="128">INDEX($D$227:$M$227,E234)</f>
        <v>0</v>
      </c>
      <c r="F245" s="14">
        <f t="shared" si="128"/>
        <v>0</v>
      </c>
      <c r="G245" s="14">
        <f t="shared" ca="1" si="128"/>
        <v>4.0513133511030901E-3</v>
      </c>
      <c r="H245" s="14">
        <f t="shared" si="128"/>
        <v>0</v>
      </c>
      <c r="I245" s="14">
        <f t="shared" si="128"/>
        <v>0</v>
      </c>
      <c r="J245" s="14">
        <f t="shared" si="128"/>
        <v>0</v>
      </c>
      <c r="K245" s="14">
        <f t="shared" si="128"/>
        <v>0</v>
      </c>
      <c r="L245" s="14">
        <f t="shared" si="128"/>
        <v>0</v>
      </c>
      <c r="M245" s="14">
        <f t="shared" si="128"/>
        <v>0</v>
      </c>
    </row>
    <row r="246" spans="1:15" x14ac:dyDescent="0.25">
      <c r="O246" s="112"/>
    </row>
    <row r="247" spans="1:15" x14ac:dyDescent="0.25">
      <c r="M247" s="504" t="s">
        <v>857</v>
      </c>
      <c r="N247" s="503">
        <v>0.01</v>
      </c>
    </row>
    <row r="248" spans="1:15" x14ac:dyDescent="0.25">
      <c r="N248" s="503">
        <v>0.02</v>
      </c>
    </row>
    <row r="249" spans="1:15" x14ac:dyDescent="0.25">
      <c r="N249" s="500" t="s">
        <v>565</v>
      </c>
    </row>
    <row r="251" spans="1:15" x14ac:dyDescent="0.25">
      <c r="M251">
        <f>IF(C45="Over 2%",0.99,IF(C45=0.02,0.02,0.01))</f>
        <v>0.01</v>
      </c>
      <c r="N251" t="s">
        <v>858</v>
      </c>
    </row>
    <row r="253" spans="1:15" x14ac:dyDescent="0.25">
      <c r="M253" s="520">
        <v>1</v>
      </c>
      <c r="N253" s="522" t="s">
        <v>892</v>
      </c>
    </row>
    <row r="254" spans="1:15" x14ac:dyDescent="0.25">
      <c r="M254" s="520">
        <v>2</v>
      </c>
      <c r="N254" s="523" t="s">
        <v>446</v>
      </c>
    </row>
    <row r="255" spans="1:15" x14ac:dyDescent="0.25">
      <c r="M255" s="520">
        <v>3</v>
      </c>
      <c r="N255" s="521" t="s">
        <v>447</v>
      </c>
    </row>
    <row r="257" spans="1:14" x14ac:dyDescent="0.25">
      <c r="J257" t="s">
        <v>939</v>
      </c>
      <c r="M257">
        <f>MAX(COUNTA(D172:IY172),1)</f>
        <v>256</v>
      </c>
      <c r="N257">
        <f>COUNT(D170:IY170)</f>
        <v>256</v>
      </c>
    </row>
    <row r="258" spans="1:14" x14ac:dyDescent="0.25">
      <c r="J258" s="92" t="s">
        <v>940</v>
      </c>
      <c r="M258">
        <f>MAX(COUNTA(C172:JA172),1)</f>
        <v>257</v>
      </c>
      <c r="N258" s="139">
        <f>COUNT(D170:IY170)+1</f>
        <v>257</v>
      </c>
    </row>
    <row r="260" spans="1:14" x14ac:dyDescent="0.25">
      <c r="J260" t="s">
        <v>949</v>
      </c>
      <c r="L260" t="s">
        <v>957</v>
      </c>
    </row>
    <row r="261" spans="1:14" x14ac:dyDescent="0.25">
      <c r="J261" s="556">
        <f>SUM(D10:D19)+0.001</f>
        <v>4.3510000000000009</v>
      </c>
    </row>
    <row r="262" spans="1:14" x14ac:dyDescent="0.25">
      <c r="J262" s="209">
        <v>1</v>
      </c>
      <c r="L262">
        <v>0</v>
      </c>
    </row>
    <row r="263" spans="1:14" x14ac:dyDescent="0.25">
      <c r="A263">
        <v>1</v>
      </c>
      <c r="B263" s="584">
        <v>1</v>
      </c>
      <c r="C263" s="92" t="s">
        <v>1019</v>
      </c>
    </row>
    <row r="266" spans="1:14" x14ac:dyDescent="0.25">
      <c r="A266" s="43" t="s">
        <v>1096</v>
      </c>
      <c r="B266" s="43"/>
      <c r="C266" s="43"/>
      <c r="D266" s="43"/>
      <c r="E266" s="43"/>
      <c r="F266" s="43"/>
      <c r="G266" s="43"/>
      <c r="H266" s="43"/>
    </row>
    <row r="267" spans="1:14" x14ac:dyDescent="0.25">
      <c r="A267" s="43"/>
      <c r="B267" s="43"/>
      <c r="C267" s="43"/>
      <c r="D267" s="43"/>
      <c r="E267" s="43"/>
      <c r="F267" s="43"/>
      <c r="G267" s="43"/>
      <c r="H267" s="43"/>
    </row>
    <row r="268" spans="1:14" x14ac:dyDescent="0.25">
      <c r="A268" s="43" t="s">
        <v>988</v>
      </c>
      <c r="B268" s="630">
        <v>1</v>
      </c>
      <c r="C268" s="43"/>
      <c r="D268" s="43"/>
      <c r="E268" s="44"/>
      <c r="F268" s="43"/>
      <c r="G268" s="43"/>
      <c r="H268" s="43"/>
    </row>
    <row r="269" spans="1:14" x14ac:dyDescent="0.25">
      <c r="A269" s="631" t="s">
        <v>918</v>
      </c>
      <c r="B269" s="43"/>
      <c r="C269" s="43"/>
      <c r="D269" s="43"/>
      <c r="E269" s="44"/>
      <c r="F269" s="43"/>
      <c r="G269" s="43"/>
      <c r="H269" s="43"/>
    </row>
    <row r="270" spans="1:14" x14ac:dyDescent="0.25">
      <c r="A270" s="631" t="s">
        <v>997</v>
      </c>
      <c r="B270" s="43"/>
      <c r="C270" s="43"/>
      <c r="D270" s="43"/>
      <c r="E270" s="44"/>
      <c r="F270" s="43"/>
      <c r="G270" s="43"/>
      <c r="H270" s="43"/>
    </row>
    <row r="271" spans="1:14" x14ac:dyDescent="0.25">
      <c r="A271" s="631" t="s">
        <v>1017</v>
      </c>
      <c r="B271" s="43"/>
      <c r="C271" s="43"/>
      <c r="D271" s="43"/>
      <c r="E271" s="44"/>
      <c r="F271" s="43"/>
      <c r="G271" s="43"/>
      <c r="H271" s="43"/>
    </row>
    <row r="272" spans="1:14" x14ac:dyDescent="0.25">
      <c r="A272" s="43"/>
      <c r="B272" s="43"/>
      <c r="C272" s="43"/>
      <c r="D272" s="43"/>
      <c r="E272" s="44"/>
      <c r="F272" s="43"/>
      <c r="G272" s="43"/>
      <c r="H272" s="43"/>
    </row>
    <row r="273" spans="1:44" x14ac:dyDescent="0.25">
      <c r="A273" s="43" t="s">
        <v>919</v>
      </c>
      <c r="B273" s="43"/>
      <c r="C273" s="43"/>
      <c r="D273" s="43"/>
      <c r="E273" s="44"/>
      <c r="F273" s="43"/>
      <c r="G273" s="43" t="s">
        <v>857</v>
      </c>
      <c r="H273" s="43"/>
    </row>
    <row r="274" spans="1:44" x14ac:dyDescent="0.25">
      <c r="A274" s="632" t="s">
        <v>962</v>
      </c>
      <c r="B274" s="43"/>
      <c r="C274" s="43"/>
      <c r="D274" s="43"/>
      <c r="E274" s="44"/>
      <c r="F274" s="630">
        <v>1</v>
      </c>
      <c r="G274" s="43" t="s">
        <v>987</v>
      </c>
      <c r="H274" s="43"/>
      <c r="AP274" s="1">
        <v>1</v>
      </c>
    </row>
    <row r="275" spans="1:44" x14ac:dyDescent="0.25">
      <c r="A275" s="632"/>
      <c r="B275" s="43"/>
      <c r="C275" s="43"/>
      <c r="D275" s="43"/>
      <c r="E275" s="44"/>
      <c r="F275" s="43"/>
      <c r="G275" s="43" t="s">
        <v>970</v>
      </c>
      <c r="H275" s="43"/>
      <c r="AP275" s="520">
        <v>3</v>
      </c>
      <c r="AQ275" t="s">
        <v>867</v>
      </c>
      <c r="AR275">
        <v>1</v>
      </c>
    </row>
    <row r="276" spans="1:44" x14ac:dyDescent="0.25">
      <c r="A276" s="632"/>
      <c r="B276" s="43"/>
      <c r="C276" s="43"/>
      <c r="D276" s="43"/>
      <c r="E276" s="44"/>
      <c r="F276" s="43"/>
      <c r="G276" s="43" t="s">
        <v>986</v>
      </c>
      <c r="H276" s="43"/>
      <c r="AQ276" t="str">
        <f>E34*100&amp;"% of crop removal to reduce STP"</f>
        <v>60% of crop removal to reduce STP</v>
      </c>
      <c r="AR276">
        <v>2</v>
      </c>
    </row>
    <row r="277" spans="1:44" x14ac:dyDescent="0.25">
      <c r="A277" s="632"/>
      <c r="B277" s="43"/>
      <c r="C277" s="43"/>
      <c r="D277" s="43"/>
      <c r="E277" s="44"/>
      <c r="F277" s="43"/>
      <c r="G277" s="43"/>
      <c r="H277" s="43"/>
      <c r="AQ277" t="s">
        <v>865</v>
      </c>
      <c r="AR277">
        <v>3</v>
      </c>
    </row>
    <row r="278" spans="1:44" x14ac:dyDescent="0.25">
      <c r="A278" s="632" t="s">
        <v>1016</v>
      </c>
      <c r="B278" s="43"/>
      <c r="C278" s="43"/>
      <c r="D278" s="43"/>
      <c r="E278" s="44"/>
      <c r="F278" s="630">
        <v>1</v>
      </c>
      <c r="G278" s="43" t="s">
        <v>857</v>
      </c>
      <c r="H278" s="43"/>
    </row>
    <row r="279" spans="1:44" x14ac:dyDescent="0.25">
      <c r="A279" s="43"/>
      <c r="B279" s="43"/>
      <c r="C279" s="43"/>
      <c r="D279" s="43"/>
      <c r="E279" s="44"/>
      <c r="F279" s="43"/>
      <c r="G279" s="43" t="s">
        <v>971</v>
      </c>
      <c r="H279" s="43"/>
    </row>
    <row r="280" spans="1:44" x14ac:dyDescent="0.25">
      <c r="A280" s="632"/>
      <c r="B280" s="43"/>
      <c r="C280" s="43"/>
      <c r="D280" s="43"/>
      <c r="E280" s="44"/>
      <c r="F280" s="43"/>
      <c r="G280" s="43" t="s">
        <v>963</v>
      </c>
      <c r="H280" s="43"/>
    </row>
    <row r="281" spans="1:44" x14ac:dyDescent="0.25">
      <c r="A281" s="43"/>
      <c r="B281" s="43"/>
      <c r="C281" s="43"/>
      <c r="D281" s="43"/>
      <c r="E281" s="43"/>
      <c r="F281" s="43"/>
      <c r="G281" s="43"/>
      <c r="H281" s="43"/>
    </row>
    <row r="282" spans="1:44" x14ac:dyDescent="0.25">
      <c r="A282" s="43" t="s">
        <v>1168</v>
      </c>
      <c r="B282" s="43"/>
      <c r="C282" s="43"/>
      <c r="D282" s="43"/>
      <c r="E282" s="43"/>
      <c r="F282" s="630">
        <v>1</v>
      </c>
      <c r="G282" s="43" t="s">
        <v>857</v>
      </c>
      <c r="H282" s="43"/>
    </row>
    <row r="283" spans="1:44" x14ac:dyDescent="0.25">
      <c r="A283" s="43"/>
      <c r="B283" s="43"/>
      <c r="C283" s="43"/>
      <c r="D283" s="43"/>
      <c r="E283" s="43"/>
      <c r="F283" s="43"/>
      <c r="G283" s="43" t="s">
        <v>1166</v>
      </c>
      <c r="H283" s="43"/>
    </row>
    <row r="284" spans="1:44" x14ac:dyDescent="0.25">
      <c r="A284" s="43"/>
      <c r="B284" s="43"/>
      <c r="C284" s="43"/>
      <c r="D284" s="43"/>
      <c r="E284" s="43"/>
      <c r="F284" s="43"/>
      <c r="G284" s="43" t="s">
        <v>1167</v>
      </c>
      <c r="H284" s="43"/>
    </row>
    <row r="285" spans="1:44" x14ac:dyDescent="0.25">
      <c r="A285" s="43"/>
      <c r="B285" s="43"/>
      <c r="C285" s="43"/>
      <c r="D285" s="43"/>
      <c r="E285" s="43"/>
      <c r="F285" s="43"/>
      <c r="G285" s="43"/>
      <c r="H285" s="43"/>
    </row>
    <row r="286" spans="1:44" x14ac:dyDescent="0.25">
      <c r="A286" s="43"/>
      <c r="B286" s="43"/>
      <c r="C286" s="43"/>
      <c r="D286" s="43"/>
      <c r="E286" s="43"/>
      <c r="F286" s="43"/>
      <c r="G286" s="43"/>
      <c r="H286" s="43"/>
    </row>
    <row r="287" spans="1:44" ht="15.75" x14ac:dyDescent="0.25">
      <c r="A287" s="829" t="str">
        <f>"Effectiveness and Cost of Individual Practices, "&amp;D157&amp;", "&amp;D158</f>
        <v>Effectiveness and Cost of Individual Practices, Statewide, Average weather</v>
      </c>
    </row>
    <row r="288" spans="1:44" x14ac:dyDescent="0.25">
      <c r="A288" t="str">
        <f>"Savings (+) or Costs (-) of Practices to Reduce P Load, "&amp;D157&amp;", "&amp;D158</f>
        <v>Savings (+) or Costs (-) of Practices to Reduce P Load, Statewide, Average weather</v>
      </c>
    </row>
    <row r="301" spans="3:3" x14ac:dyDescent="0.25">
      <c r="C301" t="s">
        <v>1944</v>
      </c>
    </row>
    <row r="302" spans="3:3" x14ac:dyDescent="0.25">
      <c r="C302" s="864" t="s">
        <v>400</v>
      </c>
    </row>
    <row r="303" spans="3:3" x14ac:dyDescent="0.25">
      <c r="C303" s="139">
        <f>'HUC10'!D560</f>
        <v>0</v>
      </c>
    </row>
    <row r="304" spans="3:3" x14ac:dyDescent="0.25">
      <c r="C304" s="139">
        <f>'HUC10'!D561</f>
        <v>0</v>
      </c>
    </row>
    <row r="305" spans="3:3" x14ac:dyDescent="0.25">
      <c r="C305" s="139">
        <f>'HUC10'!D562</f>
        <v>0</v>
      </c>
    </row>
    <row r="306" spans="3:3" x14ac:dyDescent="0.25">
      <c r="C306" s="139">
        <f>'HUC10'!D563</f>
        <v>0</v>
      </c>
    </row>
    <row r="307" spans="3:3" x14ac:dyDescent="0.25">
      <c r="C307" s="139">
        <f>'HUC10'!D564</f>
        <v>0</v>
      </c>
    </row>
    <row r="308" spans="3:3" x14ac:dyDescent="0.25">
      <c r="C308" s="139">
        <f>'HUC10'!D565</f>
        <v>0</v>
      </c>
    </row>
    <row r="309" spans="3:3" x14ac:dyDescent="0.25">
      <c r="C309" s="139">
        <f>'HUC10'!D566</f>
        <v>0</v>
      </c>
    </row>
    <row r="310" spans="3:3" x14ac:dyDescent="0.25">
      <c r="C310" s="139">
        <f>'HUC10'!D567</f>
        <v>0</v>
      </c>
    </row>
    <row r="311" spans="3:3" x14ac:dyDescent="0.25">
      <c r="C311" s="139">
        <f>'HUC10'!D568</f>
        <v>0</v>
      </c>
    </row>
    <row r="312" spans="3:3" x14ac:dyDescent="0.25">
      <c r="C312" s="139">
        <f>'HUC10'!D569</f>
        <v>0</v>
      </c>
    </row>
    <row r="313" spans="3:3" x14ac:dyDescent="0.25">
      <c r="C313" s="139">
        <f>'HUC10'!D570</f>
        <v>0</v>
      </c>
    </row>
    <row r="314" spans="3:3" x14ac:dyDescent="0.25">
      <c r="C314" s="139">
        <f>'HUC10'!D571</f>
        <v>0</v>
      </c>
    </row>
    <row r="315" spans="3:3" x14ac:dyDescent="0.25">
      <c r="C315" s="139">
        <f>'HUC10'!D572</f>
        <v>0</v>
      </c>
    </row>
    <row r="316" spans="3:3" x14ac:dyDescent="0.25">
      <c r="C316" s="139">
        <f>'HUC10'!D573</f>
        <v>0</v>
      </c>
    </row>
    <row r="317" spans="3:3" x14ac:dyDescent="0.25">
      <c r="C317" s="139">
        <f>'HUC10'!D574</f>
        <v>0</v>
      </c>
    </row>
    <row r="318" spans="3:3" x14ac:dyDescent="0.25">
      <c r="C318" s="139">
        <f>'HUC10'!D575</f>
        <v>0</v>
      </c>
    </row>
    <row r="319" spans="3:3" x14ac:dyDescent="0.25">
      <c r="C319" s="139">
        <f>'HUC10'!D576</f>
        <v>0</v>
      </c>
    </row>
    <row r="320" spans="3:3" x14ac:dyDescent="0.25">
      <c r="C320" s="139">
        <f>'HUC10'!D577</f>
        <v>0</v>
      </c>
    </row>
    <row r="321" spans="3:3" x14ac:dyDescent="0.25">
      <c r="C321" s="139">
        <f>'HUC10'!D578</f>
        <v>0</v>
      </c>
    </row>
    <row r="322" spans="3:3" x14ac:dyDescent="0.25">
      <c r="C322" s="139">
        <f>'HUC10'!D579</f>
        <v>0</v>
      </c>
    </row>
    <row r="323" spans="3:3" x14ac:dyDescent="0.25">
      <c r="C323" s="139">
        <f>'HUC10'!D580</f>
        <v>0</v>
      </c>
    </row>
    <row r="324" spans="3:3" x14ac:dyDescent="0.25">
      <c r="C324" s="139">
        <f>'HUC10'!D581</f>
        <v>0</v>
      </c>
    </row>
    <row r="325" spans="3:3" x14ac:dyDescent="0.25">
      <c r="C325" s="139">
        <f>'HUC10'!D582</f>
        <v>0</v>
      </c>
    </row>
    <row r="326" spans="3:3" x14ac:dyDescent="0.25">
      <c r="C326" s="139">
        <f>'HUC10'!D583</f>
        <v>0</v>
      </c>
    </row>
    <row r="327" spans="3:3" x14ac:dyDescent="0.25">
      <c r="C327" s="139">
        <f>'HUC10'!D584</f>
        <v>0</v>
      </c>
    </row>
    <row r="328" spans="3:3" x14ac:dyDescent="0.25">
      <c r="C328" s="139">
        <f>'HUC10'!D585</f>
        <v>0</v>
      </c>
    </row>
  </sheetData>
  <sheetProtection algorithmName="SHA-512" hashValue="GgK/uAPaFL830fZsyhvAdpO+tM67xBe3gB/1rSO9CgrcP5Q/b6vjJ/zhEO0iuSu19l8aLny1Ybzj13zk9RNiig==" saltValue="oqokijUPuD8+CTMwDuFkUA==" spinCount="100000" sheet="1" objects="1" scenarios="1"/>
  <mergeCells count="26">
    <mergeCell ref="F108:L108"/>
    <mergeCell ref="F103:L103"/>
    <mergeCell ref="F104:L104"/>
    <mergeCell ref="F105:L105"/>
    <mergeCell ref="F106:L106"/>
    <mergeCell ref="F107:L107"/>
    <mergeCell ref="F120:L120"/>
    <mergeCell ref="F109:L109"/>
    <mergeCell ref="F110:L110"/>
    <mergeCell ref="F111:L111"/>
    <mergeCell ref="F112:L112"/>
    <mergeCell ref="F113:L113"/>
    <mergeCell ref="F114:L114"/>
    <mergeCell ref="F115:L115"/>
    <mergeCell ref="F116:L116"/>
    <mergeCell ref="F117:L117"/>
    <mergeCell ref="F118:L118"/>
    <mergeCell ref="F119:L119"/>
    <mergeCell ref="F127:L127"/>
    <mergeCell ref="F128:L128"/>
    <mergeCell ref="F121:L121"/>
    <mergeCell ref="F122:L122"/>
    <mergeCell ref="F123:L123"/>
    <mergeCell ref="F124:L124"/>
    <mergeCell ref="F125:L125"/>
    <mergeCell ref="F126:L126"/>
  </mergeCells>
  <conditionalFormatting sqref="A34:E34">
    <cfRule type="expression" dxfId="102" priority="13">
      <formula>OR($AP$275 = 1,$AP$275=3)</formula>
    </cfRule>
  </conditionalFormatting>
  <conditionalFormatting sqref="E33:F33">
    <cfRule type="expression" dxfId="101" priority="12">
      <formula>comflag&gt;2</formula>
    </cfRule>
  </conditionalFormatting>
  <conditionalFormatting sqref="G33">
    <cfRule type="expression" dxfId="100" priority="11">
      <formula>comflag&gt;2</formula>
    </cfRule>
  </conditionalFormatting>
  <conditionalFormatting sqref="R11">
    <cfRule type="expression" dxfId="99" priority="8">
      <formula>$V$7=2</formula>
    </cfRule>
    <cfRule type="expression" dxfId="98" priority="9">
      <formula>$V$7=1</formula>
    </cfRule>
    <cfRule type="expression" dxfId="97" priority="10">
      <formula>$V$7=3</formula>
    </cfRule>
  </conditionalFormatting>
  <conditionalFormatting sqref="R15">
    <cfRule type="expression" dxfId="96" priority="5">
      <formula>$V$12=2</formula>
    </cfRule>
    <cfRule type="expression" dxfId="95" priority="6">
      <formula>$V$12=3</formula>
    </cfRule>
    <cfRule type="expression" dxfId="94" priority="7">
      <formula>$V$12=1</formula>
    </cfRule>
  </conditionalFormatting>
  <conditionalFormatting sqref="R19">
    <cfRule type="expression" dxfId="93" priority="2">
      <formula>$V$16=3</formula>
    </cfRule>
    <cfRule type="expression" dxfId="92" priority="3">
      <formula>$V$16=2</formula>
    </cfRule>
    <cfRule type="expression" dxfId="91" priority="4">
      <formula>$V$16=1</formula>
    </cfRule>
  </conditionalFormatting>
  <conditionalFormatting sqref="C302">
    <cfRule type="expression" dxfId="90" priority="1">
      <formula>#REF!=0</formula>
    </cfRule>
  </conditionalFormatting>
  <dataValidations count="3">
    <dataValidation type="list" allowBlank="1" showInputMessage="1" showErrorMessage="1" sqref="B263">
      <formula1>"0,1"</formula1>
    </dataValidation>
    <dataValidation type="list" allowBlank="1" showInputMessage="1" showErrorMessage="1" sqref="C45">
      <formula1>$N$247:$N$249</formula1>
    </dataValidation>
    <dataValidation type="decimal" allowBlank="1" showInputMessage="1" showErrorMessage="1" sqref="D51 C52:D56">
      <formula1>0</formula1>
      <formula2>1</formula2>
    </dataValidation>
  </dataValidations>
  <pageMargins left="0.7" right="0.7" top="0.75" bottom="0.75" header="0.3" footer="0.3"/>
  <pageSetup scale="72" orientation="landscape" r:id="rId1"/>
  <drawing r:id="rId2"/>
  <legacyDrawing r:id="rId3"/>
  <mc:AlternateContent xmlns:mc="http://schemas.openxmlformats.org/markup-compatibility/2006">
    <mc:Choice Requires="x14">
      <controls>
        <mc:AlternateContent xmlns:mc="http://schemas.openxmlformats.org/markup-compatibility/2006">
          <mc:Choice Requires="x14">
            <control shapeId="1028" r:id="rId4" name="Drop Down 4">
              <controlPr locked="0" defaultSize="0" autoLine="0" autoPict="0">
                <anchor moveWithCells="1">
                  <from>
                    <xdr:col>0</xdr:col>
                    <xdr:colOff>1371600</xdr:colOff>
                    <xdr:row>8</xdr:row>
                    <xdr:rowOff>561975</xdr:rowOff>
                  </from>
                  <to>
                    <xdr:col>1</xdr:col>
                    <xdr:colOff>0</xdr:colOff>
                    <xdr:row>9</xdr:row>
                    <xdr:rowOff>180975</xdr:rowOff>
                  </to>
                </anchor>
              </controlPr>
            </control>
          </mc:Choice>
        </mc:AlternateContent>
        <mc:AlternateContent xmlns:mc="http://schemas.openxmlformats.org/markup-compatibility/2006">
          <mc:Choice Requires="x14">
            <control shapeId="1029" r:id="rId5" name="Drop Down 5">
              <controlPr locked="0" defaultSize="0" autoLine="0" autoPict="0" macro="[0]!huc10main">
                <anchor moveWithCells="1">
                  <from>
                    <xdr:col>0</xdr:col>
                    <xdr:colOff>790575</xdr:colOff>
                    <xdr:row>6</xdr:row>
                    <xdr:rowOff>0</xdr:rowOff>
                  </from>
                  <to>
                    <xdr:col>2</xdr:col>
                    <xdr:colOff>600075</xdr:colOff>
                    <xdr:row>6</xdr:row>
                    <xdr:rowOff>238125</xdr:rowOff>
                  </to>
                </anchor>
              </controlPr>
            </control>
          </mc:Choice>
        </mc:AlternateContent>
        <mc:AlternateContent xmlns:mc="http://schemas.openxmlformats.org/markup-compatibility/2006">
          <mc:Choice Requires="x14">
            <control shapeId="1057" r:id="rId6" name="Drop Down 33">
              <controlPr locked="0" defaultSize="0" autoLine="0" autoPict="0">
                <anchor moveWithCells="1">
                  <from>
                    <xdr:col>1</xdr:col>
                    <xdr:colOff>9525</xdr:colOff>
                    <xdr:row>20</xdr:row>
                    <xdr:rowOff>0</xdr:rowOff>
                  </from>
                  <to>
                    <xdr:col>2</xdr:col>
                    <xdr:colOff>619125</xdr:colOff>
                    <xdr:row>21</xdr:row>
                    <xdr:rowOff>19050</xdr:rowOff>
                  </to>
                </anchor>
              </controlPr>
            </control>
          </mc:Choice>
        </mc:AlternateContent>
        <mc:AlternateContent xmlns:mc="http://schemas.openxmlformats.org/markup-compatibility/2006">
          <mc:Choice Requires="x14">
            <control shapeId="55879" r:id="rId7" name="Button 1607">
              <controlPr defaultSize="0" print="0" autoFill="0" autoPict="0" macro="[0]!recalc2">
                <anchor moveWithCells="1" sizeWithCells="1">
                  <from>
                    <xdr:col>0</xdr:col>
                    <xdr:colOff>1000125</xdr:colOff>
                    <xdr:row>84</xdr:row>
                    <xdr:rowOff>171450</xdr:rowOff>
                  </from>
                  <to>
                    <xdr:col>2</xdr:col>
                    <xdr:colOff>466725</xdr:colOff>
                    <xdr:row>86</xdr:row>
                    <xdr:rowOff>114300</xdr:rowOff>
                  </to>
                </anchor>
              </controlPr>
            </control>
          </mc:Choice>
        </mc:AlternateContent>
        <mc:AlternateContent xmlns:mc="http://schemas.openxmlformats.org/markup-compatibility/2006">
          <mc:Choice Requires="x14">
            <control shapeId="55880" r:id="rId8" name="Button 1608">
              <controlPr defaultSize="0" print="0" autoFill="0" autoPict="0" macro="[0]!acreshow">
                <anchor moveWithCells="1" sizeWithCells="1">
                  <from>
                    <xdr:col>0</xdr:col>
                    <xdr:colOff>1009650</xdr:colOff>
                    <xdr:row>87</xdr:row>
                    <xdr:rowOff>114300</xdr:rowOff>
                  </from>
                  <to>
                    <xdr:col>2</xdr:col>
                    <xdr:colOff>447675</xdr:colOff>
                    <xdr:row>89</xdr:row>
                    <xdr:rowOff>95250</xdr:rowOff>
                  </to>
                </anchor>
              </controlPr>
            </control>
          </mc:Choice>
        </mc:AlternateContent>
        <mc:AlternateContent xmlns:mc="http://schemas.openxmlformats.org/markup-compatibility/2006">
          <mc:Choice Requires="x14">
            <control shapeId="55883" r:id="rId9" name="Drop Down 1611">
              <controlPr locked="0" defaultSize="0" autoLine="0" autoPict="0">
                <anchor moveWithCells="1">
                  <from>
                    <xdr:col>0</xdr:col>
                    <xdr:colOff>266700</xdr:colOff>
                    <xdr:row>29</xdr:row>
                    <xdr:rowOff>38100</xdr:rowOff>
                  </from>
                  <to>
                    <xdr:col>2</xdr:col>
                    <xdr:colOff>504825</xdr:colOff>
                    <xdr:row>29</xdr:row>
                    <xdr:rowOff>257175</xdr:rowOff>
                  </to>
                </anchor>
              </controlPr>
            </control>
          </mc:Choice>
        </mc:AlternateContent>
        <mc:AlternateContent xmlns:mc="http://schemas.openxmlformats.org/markup-compatibility/2006">
          <mc:Choice Requires="x14">
            <control shapeId="55884" r:id="rId10" name="Drop Down 1612">
              <controlPr locked="0" defaultSize="0" autoLine="0" autoPict="0">
                <anchor moveWithCells="1">
                  <from>
                    <xdr:col>0</xdr:col>
                    <xdr:colOff>276225</xdr:colOff>
                    <xdr:row>31</xdr:row>
                    <xdr:rowOff>57150</xdr:rowOff>
                  </from>
                  <to>
                    <xdr:col>2</xdr:col>
                    <xdr:colOff>476250</xdr:colOff>
                    <xdr:row>31</xdr:row>
                    <xdr:rowOff>257175</xdr:rowOff>
                  </to>
                </anchor>
              </controlPr>
            </control>
          </mc:Choice>
        </mc:AlternateContent>
        <mc:AlternateContent xmlns:mc="http://schemas.openxmlformats.org/markup-compatibility/2006">
          <mc:Choice Requires="x14">
            <control shapeId="55889" r:id="rId11" name="Button 1617">
              <controlPr defaultSize="0" print="0" autoFill="0" autoPict="0" macro="[0]!inserttab">
                <anchor moveWithCells="1" sizeWithCells="1">
                  <from>
                    <xdr:col>0</xdr:col>
                    <xdr:colOff>123825</xdr:colOff>
                    <xdr:row>155</xdr:row>
                    <xdr:rowOff>0</xdr:rowOff>
                  </from>
                  <to>
                    <xdr:col>0</xdr:col>
                    <xdr:colOff>2667000</xdr:colOff>
                    <xdr:row>157</xdr:row>
                    <xdr:rowOff>104775</xdr:rowOff>
                  </to>
                </anchor>
              </controlPr>
            </control>
          </mc:Choice>
        </mc:AlternateContent>
        <mc:AlternateContent xmlns:mc="http://schemas.openxmlformats.org/markup-compatibility/2006">
          <mc:Choice Requires="x14">
            <control shapeId="55890" r:id="rId12" name="Button 1618">
              <controlPr defaultSize="0" print="0" autoFill="0" autoPict="0" macro="[0]!inserttabtotal">
                <anchor moveWithCells="1" sizeWithCells="1">
                  <from>
                    <xdr:col>0</xdr:col>
                    <xdr:colOff>152400</xdr:colOff>
                    <xdr:row>158</xdr:row>
                    <xdr:rowOff>38100</xdr:rowOff>
                  </from>
                  <to>
                    <xdr:col>0</xdr:col>
                    <xdr:colOff>2667000</xdr:colOff>
                    <xdr:row>159</xdr:row>
                    <xdr:rowOff>295275</xdr:rowOff>
                  </to>
                </anchor>
              </controlPr>
            </control>
          </mc:Choice>
        </mc:AlternateContent>
        <mc:AlternateContent xmlns:mc="http://schemas.openxmlformats.org/markup-compatibility/2006">
          <mc:Choice Requires="x14">
            <control shapeId="55895" r:id="rId13" name="Button 1623">
              <controlPr defaultSize="0" print="0" autoFill="0" autoPict="0" macro="[0]!maindefaults">
                <anchor moveWithCells="1" sizeWithCells="1">
                  <from>
                    <xdr:col>3</xdr:col>
                    <xdr:colOff>28575</xdr:colOff>
                    <xdr:row>19</xdr:row>
                    <xdr:rowOff>38100</xdr:rowOff>
                  </from>
                  <to>
                    <xdr:col>4</xdr:col>
                    <xdr:colOff>9525</xdr:colOff>
                    <xdr:row>21</xdr:row>
                    <xdr:rowOff>19050</xdr:rowOff>
                  </to>
                </anchor>
              </controlPr>
            </control>
          </mc:Choice>
        </mc:AlternateContent>
        <mc:AlternateContent xmlns:mc="http://schemas.openxmlformats.org/markup-compatibility/2006">
          <mc:Choice Requires="x14">
            <control shapeId="55901" r:id="rId14" name="Drop Down 1629">
              <controlPr defaultSize="0" autoLine="0" autoPict="0">
                <anchor moveWithCells="1">
                  <from>
                    <xdr:col>5</xdr:col>
                    <xdr:colOff>219075</xdr:colOff>
                    <xdr:row>29</xdr:row>
                    <xdr:rowOff>28575</xdr:rowOff>
                  </from>
                  <to>
                    <xdr:col>7</xdr:col>
                    <xdr:colOff>190500</xdr:colOff>
                    <xdr:row>29</xdr:row>
                    <xdr:rowOff>247650</xdr:rowOff>
                  </to>
                </anchor>
              </controlPr>
            </control>
          </mc:Choice>
        </mc:AlternateContent>
        <mc:AlternateContent xmlns:mc="http://schemas.openxmlformats.org/markup-compatibility/2006">
          <mc:Choice Requires="x14">
            <control shapeId="1056" r:id="rId15" name="Drop Down 32">
              <controlPr locked="0" defaultSize="0" autoLine="0" autoPict="0">
                <anchor moveWithCells="1">
                  <from>
                    <xdr:col>10</xdr:col>
                    <xdr:colOff>104775</xdr:colOff>
                    <xdr:row>19</xdr:row>
                    <xdr:rowOff>171450</xdr:rowOff>
                  </from>
                  <to>
                    <xdr:col>13</xdr:col>
                    <xdr:colOff>438150</xdr:colOff>
                    <xdr:row>21</xdr:row>
                    <xdr:rowOff>0</xdr:rowOff>
                  </to>
                </anchor>
              </controlPr>
            </control>
          </mc:Choice>
        </mc:AlternateContent>
        <mc:AlternateContent xmlns:mc="http://schemas.openxmlformats.org/markup-compatibility/2006">
          <mc:Choice Requires="x14">
            <control shapeId="55888" r:id="rId16" name="Button 1616">
              <controlPr defaultSize="0" print="0" autoFill="0" autoPict="0" macro="[0]!recalctable">
                <anchor moveWithCells="1" sizeWithCells="1">
                  <from>
                    <xdr:col>4</xdr:col>
                    <xdr:colOff>171450</xdr:colOff>
                    <xdr:row>19</xdr:row>
                    <xdr:rowOff>47625</xdr:rowOff>
                  </from>
                  <to>
                    <xdr:col>6</xdr:col>
                    <xdr:colOff>1352550</xdr:colOff>
                    <xdr:row>21</xdr:row>
                    <xdr:rowOff>9525</xdr:rowOff>
                  </to>
                </anchor>
              </controlPr>
            </control>
          </mc:Choice>
        </mc:AlternateContent>
        <mc:AlternateContent xmlns:mc="http://schemas.openxmlformats.org/markup-compatibility/2006">
          <mc:Choice Requires="x14">
            <control shapeId="56076" r:id="rId17" name="Drop Down 1804">
              <controlPr defaultSize="0" autoLine="0" autoPict="0">
                <anchor moveWithCells="1">
                  <from>
                    <xdr:col>0</xdr:col>
                    <xdr:colOff>2514600</xdr:colOff>
                    <xdr:row>7</xdr:row>
                    <xdr:rowOff>28575</xdr:rowOff>
                  </from>
                  <to>
                    <xdr:col>2</xdr:col>
                    <xdr:colOff>609600</xdr:colOff>
                    <xdr:row>7</xdr:row>
                    <xdr:rowOff>228600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dimension ref="A1:AT1094"/>
  <sheetViews>
    <sheetView workbookViewId="0">
      <pane xSplit="4" ySplit="7" topLeftCell="E554" activePane="bottomRight" state="frozen"/>
      <selection pane="topRight" activeCell="E1" sqref="E1"/>
      <selection pane="bottomLeft" activeCell="A8" sqref="A8"/>
      <selection pane="bottomRight" activeCell="D556" sqref="D556"/>
    </sheetView>
  </sheetViews>
  <sheetFormatPr defaultColWidth="9.140625" defaultRowHeight="12.75" x14ac:dyDescent="0.2"/>
  <cols>
    <col min="1" max="1" width="9.140625" style="258"/>
    <col min="2" max="2" width="20.7109375" style="258" customWidth="1"/>
    <col min="3" max="3" width="12.28515625" style="258" customWidth="1"/>
    <col min="4" max="4" width="13.7109375" style="258" customWidth="1"/>
    <col min="5" max="43" width="12.140625" style="258" customWidth="1"/>
    <col min="44" max="44" width="12.42578125" style="258" customWidth="1"/>
    <col min="45" max="45" width="9.140625" style="258"/>
    <col min="46" max="46" width="22.5703125" style="258" customWidth="1"/>
    <col min="47" max="16384" width="9.140625" style="258"/>
  </cols>
  <sheetData>
    <row r="1" spans="1:46" x14ac:dyDescent="0.2">
      <c r="B1" s="258" t="s">
        <v>1303</v>
      </c>
      <c r="D1" s="258" t="s">
        <v>1304</v>
      </c>
      <c r="F1" s="258" t="str">
        <f>watername</f>
        <v>Statewide</v>
      </c>
    </row>
    <row r="2" spans="1:46" x14ac:dyDescent="0.2">
      <c r="B2" s="258" t="s">
        <v>1305</v>
      </c>
      <c r="C2" s="853" t="s">
        <v>1306</v>
      </c>
    </row>
    <row r="3" spans="1:46" x14ac:dyDescent="0.2">
      <c r="B3" s="854">
        <v>1</v>
      </c>
      <c r="C3" s="855" t="str">
        <f>watername</f>
        <v>Statewide</v>
      </c>
    </row>
    <row r="6" spans="1:46" x14ac:dyDescent="0.2">
      <c r="B6" s="258" t="s">
        <v>1307</v>
      </c>
    </row>
    <row r="7" spans="1:46" s="853" customFormat="1" ht="38.25" x14ac:dyDescent="0.2">
      <c r="B7" s="853" t="s">
        <v>1306</v>
      </c>
      <c r="C7" s="856" t="s">
        <v>1308</v>
      </c>
      <c r="D7" s="856" t="s">
        <v>1309</v>
      </c>
      <c r="E7" s="857" t="s">
        <v>60</v>
      </c>
      <c r="F7" s="858" t="s">
        <v>59</v>
      </c>
      <c r="G7" s="858" t="s">
        <v>58</v>
      </c>
      <c r="H7" s="858" t="s">
        <v>57</v>
      </c>
      <c r="I7" s="858" t="s">
        <v>56</v>
      </c>
      <c r="J7" s="858" t="s">
        <v>55</v>
      </c>
      <c r="K7" s="858" t="s">
        <v>54</v>
      </c>
      <c r="L7" s="858" t="s">
        <v>53</v>
      </c>
      <c r="M7" s="858" t="s">
        <v>52</v>
      </c>
      <c r="N7" s="858" t="s">
        <v>51</v>
      </c>
      <c r="O7" s="858" t="s">
        <v>50</v>
      </c>
      <c r="P7" s="858" t="s">
        <v>49</v>
      </c>
      <c r="Q7" s="858" t="s">
        <v>48</v>
      </c>
      <c r="R7" s="858" t="s">
        <v>47</v>
      </c>
      <c r="S7" s="857" t="s">
        <v>46</v>
      </c>
      <c r="T7" s="858" t="s">
        <v>45</v>
      </c>
      <c r="U7" s="858" t="s">
        <v>44</v>
      </c>
      <c r="V7" s="858" t="s">
        <v>43</v>
      </c>
      <c r="W7" s="857" t="s">
        <v>42</v>
      </c>
      <c r="X7" s="858" t="s">
        <v>41</v>
      </c>
      <c r="Y7" s="858" t="s">
        <v>40</v>
      </c>
      <c r="Z7" s="858" t="s">
        <v>39</v>
      </c>
      <c r="AA7" s="858" t="s">
        <v>38</v>
      </c>
      <c r="AB7" s="858" t="s">
        <v>37</v>
      </c>
      <c r="AC7" s="858" t="s">
        <v>36</v>
      </c>
      <c r="AD7" s="858" t="s">
        <v>35</v>
      </c>
      <c r="AE7" s="858" t="s">
        <v>34</v>
      </c>
      <c r="AF7" s="858" t="s">
        <v>33</v>
      </c>
      <c r="AG7" s="858" t="s">
        <v>32</v>
      </c>
      <c r="AH7" s="858" t="s">
        <v>31</v>
      </c>
      <c r="AI7" s="857" t="s">
        <v>30</v>
      </c>
      <c r="AJ7" s="858" t="s">
        <v>29</v>
      </c>
      <c r="AK7" s="858" t="s">
        <v>28</v>
      </c>
      <c r="AL7" s="858" t="s">
        <v>27</v>
      </c>
      <c r="AM7" s="858" t="s">
        <v>26</v>
      </c>
      <c r="AN7" s="858" t="s">
        <v>25</v>
      </c>
      <c r="AO7" s="858" t="s">
        <v>24</v>
      </c>
      <c r="AP7" s="858" t="s">
        <v>23</v>
      </c>
      <c r="AQ7" s="857" t="s">
        <v>22</v>
      </c>
      <c r="AR7" s="853" t="s">
        <v>1310</v>
      </c>
    </row>
    <row r="8" spans="1:46" ht="15" x14ac:dyDescent="0.25">
      <c r="A8" s="258">
        <v>1</v>
      </c>
      <c r="B8" s="258" t="s">
        <v>974</v>
      </c>
      <c r="C8" s="258" t="s">
        <v>1311</v>
      </c>
      <c r="D8" s="859" t="s">
        <v>1312</v>
      </c>
      <c r="E8" s="99">
        <v>0</v>
      </c>
      <c r="F8" s="99">
        <v>0</v>
      </c>
      <c r="G8" s="99">
        <v>0</v>
      </c>
      <c r="H8" s="99">
        <v>0</v>
      </c>
      <c r="I8" s="99">
        <v>0</v>
      </c>
      <c r="J8" s="99">
        <v>0</v>
      </c>
      <c r="K8" s="99">
        <v>0</v>
      </c>
      <c r="L8" s="99">
        <v>0</v>
      </c>
      <c r="M8" s="99">
        <v>0</v>
      </c>
      <c r="N8" s="99">
        <v>0</v>
      </c>
      <c r="O8" s="99">
        <v>0</v>
      </c>
      <c r="P8" s="99">
        <v>0</v>
      </c>
      <c r="Q8" s="99">
        <v>0</v>
      </c>
      <c r="R8" s="99">
        <v>0</v>
      </c>
      <c r="S8" s="99">
        <v>0</v>
      </c>
      <c r="T8" s="99">
        <v>0</v>
      </c>
      <c r="U8" s="99">
        <v>0</v>
      </c>
      <c r="V8" s="99">
        <v>0</v>
      </c>
      <c r="W8" s="99">
        <v>0</v>
      </c>
      <c r="X8" s="99">
        <v>0</v>
      </c>
      <c r="Y8" s="99">
        <v>0</v>
      </c>
      <c r="Z8" s="99">
        <v>0</v>
      </c>
      <c r="AA8" s="99">
        <v>0</v>
      </c>
      <c r="AB8" s="99">
        <v>0</v>
      </c>
      <c r="AC8" s="99">
        <v>0</v>
      </c>
      <c r="AD8" s="99">
        <v>0</v>
      </c>
      <c r="AE8" s="99">
        <v>0</v>
      </c>
      <c r="AF8" s="99">
        <v>0</v>
      </c>
      <c r="AG8" s="99">
        <v>0</v>
      </c>
      <c r="AH8" s="99">
        <v>0</v>
      </c>
      <c r="AI8" s="99">
        <v>0</v>
      </c>
      <c r="AJ8" s="99">
        <v>0</v>
      </c>
      <c r="AK8" s="99">
        <v>0</v>
      </c>
      <c r="AL8" s="99">
        <v>0</v>
      </c>
      <c r="AM8" s="99">
        <v>0</v>
      </c>
      <c r="AN8" s="99">
        <v>0</v>
      </c>
      <c r="AO8" s="99">
        <v>0</v>
      </c>
      <c r="AP8" s="99">
        <v>0</v>
      </c>
      <c r="AQ8" s="99">
        <v>0</v>
      </c>
      <c r="AR8" s="99">
        <f>SUM(E8:AQ8)</f>
        <v>0</v>
      </c>
      <c r="AS8" s="99"/>
      <c r="AT8" s="858"/>
    </row>
    <row r="9" spans="1:46" ht="15" x14ac:dyDescent="0.25">
      <c r="A9" s="258">
        <v>2</v>
      </c>
      <c r="B9" s="258" t="s">
        <v>974</v>
      </c>
      <c r="C9" s="258" t="s">
        <v>1311</v>
      </c>
      <c r="D9" s="859" t="s">
        <v>1313</v>
      </c>
      <c r="E9" s="99">
        <v>0</v>
      </c>
      <c r="F9" s="99">
        <v>0</v>
      </c>
      <c r="G9" s="99">
        <v>0</v>
      </c>
      <c r="H9" s="99">
        <v>0</v>
      </c>
      <c r="I9" s="99">
        <v>0</v>
      </c>
      <c r="J9" s="99">
        <v>0</v>
      </c>
      <c r="K9" s="99">
        <v>0</v>
      </c>
      <c r="L9" s="99">
        <v>0</v>
      </c>
      <c r="M9" s="99">
        <v>0</v>
      </c>
      <c r="N9" s="99">
        <v>0</v>
      </c>
      <c r="O9" s="99">
        <v>0</v>
      </c>
      <c r="P9" s="99">
        <v>0</v>
      </c>
      <c r="Q9" s="99">
        <v>0</v>
      </c>
      <c r="R9" s="99">
        <v>0</v>
      </c>
      <c r="S9" s="99">
        <v>0</v>
      </c>
      <c r="T9" s="99">
        <v>0</v>
      </c>
      <c r="U9" s="99">
        <v>0</v>
      </c>
      <c r="V9" s="99">
        <v>0</v>
      </c>
      <c r="W9" s="99">
        <v>0</v>
      </c>
      <c r="X9" s="99">
        <v>0</v>
      </c>
      <c r="Y9" s="99">
        <v>0</v>
      </c>
      <c r="Z9" s="99">
        <v>0</v>
      </c>
      <c r="AA9" s="99">
        <v>0</v>
      </c>
      <c r="AB9" s="99">
        <v>0</v>
      </c>
      <c r="AC9" s="99">
        <v>0</v>
      </c>
      <c r="AD9" s="99">
        <v>0</v>
      </c>
      <c r="AE9" s="99">
        <v>0</v>
      </c>
      <c r="AF9" s="99">
        <v>0</v>
      </c>
      <c r="AG9" s="99">
        <v>0</v>
      </c>
      <c r="AH9" s="99">
        <v>0</v>
      </c>
      <c r="AI9" s="99">
        <v>0</v>
      </c>
      <c r="AJ9" s="99">
        <v>0</v>
      </c>
      <c r="AK9" s="99">
        <v>0</v>
      </c>
      <c r="AL9" s="99">
        <v>0</v>
      </c>
      <c r="AM9" s="99">
        <v>0</v>
      </c>
      <c r="AN9" s="99">
        <v>0</v>
      </c>
      <c r="AO9" s="99">
        <v>0</v>
      </c>
      <c r="AP9" s="99">
        <v>0</v>
      </c>
      <c r="AQ9" s="99">
        <v>0</v>
      </c>
      <c r="AR9" s="99">
        <f t="shared" ref="AR9:AR72" si="0">SUM(E9:AQ9)</f>
        <v>0</v>
      </c>
      <c r="AS9" s="99"/>
      <c r="AT9" s="858"/>
    </row>
    <row r="10" spans="1:46" ht="15" x14ac:dyDescent="0.25">
      <c r="A10" s="258">
        <v>3</v>
      </c>
      <c r="B10" s="258" t="s">
        <v>974</v>
      </c>
      <c r="C10" s="258" t="s">
        <v>1311</v>
      </c>
      <c r="D10" s="859" t="s">
        <v>1314</v>
      </c>
      <c r="E10" s="99">
        <v>0</v>
      </c>
      <c r="F10" s="99">
        <v>0</v>
      </c>
      <c r="G10" s="99">
        <v>0</v>
      </c>
      <c r="H10" s="99">
        <v>0</v>
      </c>
      <c r="I10" s="99">
        <v>0</v>
      </c>
      <c r="J10" s="99">
        <v>0</v>
      </c>
      <c r="K10" s="99">
        <v>0</v>
      </c>
      <c r="L10" s="99">
        <v>0</v>
      </c>
      <c r="M10" s="99">
        <v>0</v>
      </c>
      <c r="N10" s="99">
        <v>0</v>
      </c>
      <c r="O10" s="99">
        <v>0</v>
      </c>
      <c r="P10" s="99">
        <v>0</v>
      </c>
      <c r="Q10" s="99">
        <v>0</v>
      </c>
      <c r="R10" s="99">
        <v>0</v>
      </c>
      <c r="S10" s="99">
        <v>0</v>
      </c>
      <c r="T10" s="99">
        <v>0</v>
      </c>
      <c r="U10" s="99">
        <v>0</v>
      </c>
      <c r="V10" s="99">
        <v>0</v>
      </c>
      <c r="W10" s="99">
        <v>1.175442856761491</v>
      </c>
      <c r="X10" s="99">
        <v>0</v>
      </c>
      <c r="Y10" s="99">
        <v>0</v>
      </c>
      <c r="Z10" s="99">
        <v>0</v>
      </c>
      <c r="AA10" s="99">
        <v>0</v>
      </c>
      <c r="AB10" s="99">
        <v>0</v>
      </c>
      <c r="AC10" s="99">
        <v>0</v>
      </c>
      <c r="AD10" s="99">
        <v>0</v>
      </c>
      <c r="AE10" s="99">
        <v>0</v>
      </c>
      <c r="AF10" s="99">
        <v>0</v>
      </c>
      <c r="AG10" s="99">
        <v>0</v>
      </c>
      <c r="AH10" s="99">
        <v>0</v>
      </c>
      <c r="AI10" s="99">
        <v>0</v>
      </c>
      <c r="AJ10" s="99">
        <v>0</v>
      </c>
      <c r="AK10" s="99">
        <v>0</v>
      </c>
      <c r="AL10" s="99">
        <v>0</v>
      </c>
      <c r="AM10" s="99">
        <v>0</v>
      </c>
      <c r="AN10" s="99">
        <v>0</v>
      </c>
      <c r="AO10" s="99">
        <v>0</v>
      </c>
      <c r="AP10" s="99">
        <v>0</v>
      </c>
      <c r="AQ10" s="99">
        <v>0</v>
      </c>
      <c r="AR10" s="99">
        <f t="shared" si="0"/>
        <v>1.175442856761491</v>
      </c>
      <c r="AS10" s="99"/>
      <c r="AT10" s="858"/>
    </row>
    <row r="11" spans="1:46" ht="15" x14ac:dyDescent="0.25">
      <c r="A11" s="258">
        <v>4</v>
      </c>
      <c r="B11" s="258" t="s">
        <v>974</v>
      </c>
      <c r="C11" s="258" t="s">
        <v>1311</v>
      </c>
      <c r="D11" s="859" t="s">
        <v>1315</v>
      </c>
      <c r="E11" s="99">
        <v>0</v>
      </c>
      <c r="F11" s="99">
        <v>0</v>
      </c>
      <c r="G11" s="99">
        <v>0</v>
      </c>
      <c r="H11" s="99">
        <v>0</v>
      </c>
      <c r="I11" s="99">
        <v>0</v>
      </c>
      <c r="J11" s="99">
        <v>0</v>
      </c>
      <c r="K11" s="99">
        <v>0</v>
      </c>
      <c r="L11" s="99">
        <v>0</v>
      </c>
      <c r="M11" s="99">
        <v>0</v>
      </c>
      <c r="N11" s="99">
        <v>0</v>
      </c>
      <c r="O11" s="99">
        <v>0</v>
      </c>
      <c r="P11" s="99">
        <v>0</v>
      </c>
      <c r="Q11" s="99">
        <v>0</v>
      </c>
      <c r="R11" s="99">
        <v>0</v>
      </c>
      <c r="S11" s="99">
        <v>0</v>
      </c>
      <c r="T11" s="99">
        <v>0</v>
      </c>
      <c r="U11" s="99">
        <v>0</v>
      </c>
      <c r="V11" s="99">
        <v>0</v>
      </c>
      <c r="W11" s="99">
        <v>0</v>
      </c>
      <c r="X11" s="99">
        <v>0</v>
      </c>
      <c r="Y11" s="99">
        <v>0</v>
      </c>
      <c r="Z11" s="99">
        <v>0</v>
      </c>
      <c r="AA11" s="99">
        <v>0</v>
      </c>
      <c r="AB11" s="99">
        <v>0</v>
      </c>
      <c r="AC11" s="99">
        <v>0</v>
      </c>
      <c r="AD11" s="99">
        <v>0</v>
      </c>
      <c r="AE11" s="99">
        <v>0</v>
      </c>
      <c r="AF11" s="99">
        <v>0</v>
      </c>
      <c r="AG11" s="99">
        <v>0</v>
      </c>
      <c r="AH11" s="99">
        <v>0</v>
      </c>
      <c r="AI11" s="99">
        <v>0</v>
      </c>
      <c r="AJ11" s="99">
        <v>0</v>
      </c>
      <c r="AK11" s="99">
        <v>0</v>
      </c>
      <c r="AL11" s="99">
        <v>0</v>
      </c>
      <c r="AM11" s="99">
        <v>0</v>
      </c>
      <c r="AN11" s="99">
        <v>0</v>
      </c>
      <c r="AO11" s="99">
        <v>0</v>
      </c>
      <c r="AP11" s="99">
        <v>0</v>
      </c>
      <c r="AQ11" s="99">
        <v>0</v>
      </c>
      <c r="AR11" s="99">
        <f t="shared" si="0"/>
        <v>0</v>
      </c>
      <c r="AS11" s="99"/>
      <c r="AT11" s="858"/>
    </row>
    <row r="12" spans="1:46" ht="15" x14ac:dyDescent="0.25">
      <c r="A12" s="258">
        <v>5</v>
      </c>
      <c r="B12" s="258" t="s">
        <v>974</v>
      </c>
      <c r="C12" s="258" t="s">
        <v>1311</v>
      </c>
      <c r="D12" s="859" t="s">
        <v>1316</v>
      </c>
      <c r="E12" s="99">
        <v>0</v>
      </c>
      <c r="F12" s="99">
        <v>0</v>
      </c>
      <c r="G12" s="99">
        <v>0</v>
      </c>
      <c r="H12" s="99">
        <v>0</v>
      </c>
      <c r="I12" s="99">
        <v>0</v>
      </c>
      <c r="J12" s="99">
        <v>0</v>
      </c>
      <c r="K12" s="99">
        <v>0</v>
      </c>
      <c r="L12" s="99">
        <v>0</v>
      </c>
      <c r="M12" s="99">
        <v>0</v>
      </c>
      <c r="N12" s="99">
        <v>0</v>
      </c>
      <c r="O12" s="99">
        <v>0</v>
      </c>
      <c r="P12" s="99">
        <v>0</v>
      </c>
      <c r="Q12" s="99">
        <v>0</v>
      </c>
      <c r="R12" s="99">
        <v>0</v>
      </c>
      <c r="S12" s="99">
        <v>0</v>
      </c>
      <c r="T12" s="99">
        <v>0</v>
      </c>
      <c r="U12" s="99">
        <v>0</v>
      </c>
      <c r="V12" s="99">
        <v>0</v>
      </c>
      <c r="W12" s="99">
        <v>5.8772142838074553</v>
      </c>
      <c r="X12" s="99">
        <v>0</v>
      </c>
      <c r="Y12" s="99">
        <v>0</v>
      </c>
      <c r="Z12" s="99">
        <v>0</v>
      </c>
      <c r="AA12" s="99">
        <v>0</v>
      </c>
      <c r="AB12" s="99">
        <v>0</v>
      </c>
      <c r="AC12" s="99">
        <v>0</v>
      </c>
      <c r="AD12" s="99">
        <v>0</v>
      </c>
      <c r="AE12" s="99">
        <v>0</v>
      </c>
      <c r="AF12" s="99">
        <v>0</v>
      </c>
      <c r="AG12" s="99">
        <v>0</v>
      </c>
      <c r="AH12" s="99">
        <v>0</v>
      </c>
      <c r="AI12" s="99">
        <v>0</v>
      </c>
      <c r="AJ12" s="99">
        <v>0</v>
      </c>
      <c r="AK12" s="99">
        <v>0</v>
      </c>
      <c r="AL12" s="99">
        <v>0</v>
      </c>
      <c r="AM12" s="99">
        <v>0</v>
      </c>
      <c r="AN12" s="99">
        <v>0</v>
      </c>
      <c r="AO12" s="99">
        <v>0</v>
      </c>
      <c r="AP12" s="99">
        <v>0</v>
      </c>
      <c r="AQ12" s="99">
        <v>0</v>
      </c>
      <c r="AR12" s="99">
        <f t="shared" si="0"/>
        <v>5.8772142838074553</v>
      </c>
      <c r="AS12" s="99"/>
      <c r="AT12" s="858"/>
    </row>
    <row r="13" spans="1:46" ht="15" x14ac:dyDescent="0.25">
      <c r="A13" s="258">
        <v>6</v>
      </c>
      <c r="B13" s="258" t="s">
        <v>974</v>
      </c>
      <c r="C13" s="258" t="s">
        <v>1311</v>
      </c>
      <c r="D13" s="859" t="s">
        <v>1317</v>
      </c>
      <c r="E13" s="99">
        <v>0</v>
      </c>
      <c r="F13" s="99">
        <v>0</v>
      </c>
      <c r="G13" s="99">
        <v>0</v>
      </c>
      <c r="H13" s="99">
        <v>0</v>
      </c>
      <c r="I13" s="99">
        <v>0</v>
      </c>
      <c r="J13" s="99">
        <v>0</v>
      </c>
      <c r="K13" s="99">
        <v>0</v>
      </c>
      <c r="L13" s="99">
        <v>0</v>
      </c>
      <c r="M13" s="99">
        <v>0</v>
      </c>
      <c r="N13" s="99">
        <v>0</v>
      </c>
      <c r="O13" s="99">
        <v>0</v>
      </c>
      <c r="P13" s="99">
        <v>0</v>
      </c>
      <c r="Q13" s="99">
        <v>0</v>
      </c>
      <c r="R13" s="99">
        <v>0</v>
      </c>
      <c r="S13" s="99">
        <v>0</v>
      </c>
      <c r="T13" s="99">
        <v>0</v>
      </c>
      <c r="U13" s="99">
        <v>0</v>
      </c>
      <c r="V13" s="99">
        <v>0</v>
      </c>
      <c r="W13" s="99">
        <v>4.7017714270459638</v>
      </c>
      <c r="X13" s="99">
        <v>0</v>
      </c>
      <c r="Y13" s="99">
        <v>0</v>
      </c>
      <c r="Z13" s="99">
        <v>0</v>
      </c>
      <c r="AA13" s="99">
        <v>0</v>
      </c>
      <c r="AB13" s="99">
        <v>0</v>
      </c>
      <c r="AC13" s="99">
        <v>0</v>
      </c>
      <c r="AD13" s="99">
        <v>0</v>
      </c>
      <c r="AE13" s="99">
        <v>0</v>
      </c>
      <c r="AF13" s="99">
        <v>0</v>
      </c>
      <c r="AG13" s="99">
        <v>0</v>
      </c>
      <c r="AH13" s="99">
        <v>0</v>
      </c>
      <c r="AI13" s="99">
        <v>0</v>
      </c>
      <c r="AJ13" s="99">
        <v>0</v>
      </c>
      <c r="AK13" s="99">
        <v>0</v>
      </c>
      <c r="AL13" s="99">
        <v>0</v>
      </c>
      <c r="AM13" s="99">
        <v>0</v>
      </c>
      <c r="AN13" s="99">
        <v>0</v>
      </c>
      <c r="AO13" s="99">
        <v>0</v>
      </c>
      <c r="AP13" s="99">
        <v>0</v>
      </c>
      <c r="AQ13" s="99">
        <v>0</v>
      </c>
      <c r="AR13" s="99">
        <f t="shared" si="0"/>
        <v>4.7017714270459638</v>
      </c>
      <c r="AS13" s="99"/>
      <c r="AT13" s="858"/>
    </row>
    <row r="14" spans="1:46" ht="15" x14ac:dyDescent="0.25">
      <c r="A14" s="258">
        <v>7</v>
      </c>
      <c r="B14" s="258" t="s">
        <v>974</v>
      </c>
      <c r="C14" s="258" t="s">
        <v>1311</v>
      </c>
      <c r="D14" s="859" t="s">
        <v>1318</v>
      </c>
      <c r="E14" s="99">
        <v>0</v>
      </c>
      <c r="F14" s="99">
        <v>0</v>
      </c>
      <c r="G14" s="99">
        <v>0</v>
      </c>
      <c r="H14" s="99">
        <v>0</v>
      </c>
      <c r="I14" s="99">
        <v>0</v>
      </c>
      <c r="J14" s="99">
        <v>0</v>
      </c>
      <c r="K14" s="99">
        <v>0</v>
      </c>
      <c r="L14" s="99">
        <v>0</v>
      </c>
      <c r="M14" s="99">
        <v>0</v>
      </c>
      <c r="N14" s="99">
        <v>0</v>
      </c>
      <c r="O14" s="99">
        <v>0</v>
      </c>
      <c r="P14" s="99">
        <v>0</v>
      </c>
      <c r="Q14" s="99">
        <v>0</v>
      </c>
      <c r="R14" s="99">
        <v>0</v>
      </c>
      <c r="S14" s="99">
        <v>0</v>
      </c>
      <c r="T14" s="99">
        <v>0</v>
      </c>
      <c r="U14" s="99">
        <v>0</v>
      </c>
      <c r="V14" s="99">
        <v>0</v>
      </c>
      <c r="W14" s="99">
        <v>2.3508857135229819</v>
      </c>
      <c r="X14" s="99">
        <v>0</v>
      </c>
      <c r="Y14" s="99">
        <v>0</v>
      </c>
      <c r="Z14" s="99">
        <v>0</v>
      </c>
      <c r="AA14" s="99">
        <v>0</v>
      </c>
      <c r="AB14" s="99">
        <v>0</v>
      </c>
      <c r="AC14" s="99">
        <v>0</v>
      </c>
      <c r="AD14" s="99">
        <v>0</v>
      </c>
      <c r="AE14" s="99">
        <v>0</v>
      </c>
      <c r="AF14" s="99">
        <v>0</v>
      </c>
      <c r="AG14" s="99">
        <v>0</v>
      </c>
      <c r="AH14" s="99">
        <v>0</v>
      </c>
      <c r="AI14" s="99">
        <v>0</v>
      </c>
      <c r="AJ14" s="99">
        <v>0</v>
      </c>
      <c r="AK14" s="99">
        <v>0</v>
      </c>
      <c r="AL14" s="99">
        <v>0</v>
      </c>
      <c r="AM14" s="99">
        <v>0</v>
      </c>
      <c r="AN14" s="99">
        <v>0</v>
      </c>
      <c r="AO14" s="99">
        <v>0</v>
      </c>
      <c r="AP14" s="99">
        <v>0</v>
      </c>
      <c r="AQ14" s="99">
        <v>0</v>
      </c>
      <c r="AR14" s="99">
        <f t="shared" si="0"/>
        <v>2.3508857135229819</v>
      </c>
      <c r="AS14" s="99"/>
      <c r="AT14" s="858"/>
    </row>
    <row r="15" spans="1:46" ht="15" x14ac:dyDescent="0.25">
      <c r="A15" s="258">
        <v>8</v>
      </c>
      <c r="B15" s="258" t="s">
        <v>974</v>
      </c>
      <c r="C15" s="258" t="s">
        <v>1311</v>
      </c>
      <c r="D15" s="859" t="s">
        <v>1319</v>
      </c>
      <c r="E15" s="99">
        <v>0</v>
      </c>
      <c r="F15" s="99">
        <v>0</v>
      </c>
      <c r="G15" s="99">
        <v>0</v>
      </c>
      <c r="H15" s="99">
        <v>0</v>
      </c>
      <c r="I15" s="99">
        <v>0</v>
      </c>
      <c r="J15" s="99">
        <v>0</v>
      </c>
      <c r="K15" s="99">
        <v>0</v>
      </c>
      <c r="L15" s="99">
        <v>0</v>
      </c>
      <c r="M15" s="99">
        <v>0</v>
      </c>
      <c r="N15" s="99">
        <v>0</v>
      </c>
      <c r="O15" s="99">
        <v>0</v>
      </c>
      <c r="P15" s="99">
        <v>0</v>
      </c>
      <c r="Q15" s="99">
        <v>0</v>
      </c>
      <c r="R15" s="99">
        <v>0</v>
      </c>
      <c r="S15" s="99">
        <v>0</v>
      </c>
      <c r="T15" s="99">
        <v>0</v>
      </c>
      <c r="U15" s="99">
        <v>0</v>
      </c>
      <c r="V15" s="99">
        <v>0</v>
      </c>
      <c r="W15" s="99">
        <v>0</v>
      </c>
      <c r="X15" s="99">
        <v>0</v>
      </c>
      <c r="Y15" s="99">
        <v>0</v>
      </c>
      <c r="Z15" s="99">
        <v>0</v>
      </c>
      <c r="AA15" s="99">
        <v>0</v>
      </c>
      <c r="AB15" s="99">
        <v>0</v>
      </c>
      <c r="AC15" s="99">
        <v>0</v>
      </c>
      <c r="AD15" s="99">
        <v>0</v>
      </c>
      <c r="AE15" s="99">
        <v>0</v>
      </c>
      <c r="AF15" s="99">
        <v>0</v>
      </c>
      <c r="AG15" s="99">
        <v>0</v>
      </c>
      <c r="AH15" s="99">
        <v>0</v>
      </c>
      <c r="AI15" s="99">
        <v>0</v>
      </c>
      <c r="AJ15" s="99">
        <v>0</v>
      </c>
      <c r="AK15" s="99">
        <v>0</v>
      </c>
      <c r="AL15" s="99">
        <v>0</v>
      </c>
      <c r="AM15" s="99">
        <v>0</v>
      </c>
      <c r="AN15" s="99">
        <v>0</v>
      </c>
      <c r="AO15" s="99">
        <v>0</v>
      </c>
      <c r="AP15" s="99">
        <v>0</v>
      </c>
      <c r="AQ15" s="99">
        <v>0</v>
      </c>
      <c r="AR15" s="99">
        <f t="shared" si="0"/>
        <v>0</v>
      </c>
      <c r="AS15" s="99"/>
      <c r="AT15" s="858"/>
    </row>
    <row r="16" spans="1:46" ht="15" x14ac:dyDescent="0.25">
      <c r="A16" s="258">
        <v>9</v>
      </c>
      <c r="B16" s="258" t="s">
        <v>974</v>
      </c>
      <c r="C16" s="258" t="s">
        <v>1311</v>
      </c>
      <c r="D16" s="859" t="s">
        <v>1320</v>
      </c>
      <c r="E16" s="99">
        <v>0</v>
      </c>
      <c r="F16" s="99">
        <v>0</v>
      </c>
      <c r="G16" s="99">
        <v>0</v>
      </c>
      <c r="H16" s="99">
        <v>0</v>
      </c>
      <c r="I16" s="99">
        <v>0</v>
      </c>
      <c r="J16" s="99">
        <v>0</v>
      </c>
      <c r="K16" s="99">
        <v>0</v>
      </c>
      <c r="L16" s="99">
        <v>0</v>
      </c>
      <c r="M16" s="99">
        <v>0</v>
      </c>
      <c r="N16" s="99">
        <v>0</v>
      </c>
      <c r="O16" s="99">
        <v>0</v>
      </c>
      <c r="P16" s="99">
        <v>0</v>
      </c>
      <c r="Q16" s="99">
        <v>0</v>
      </c>
      <c r="R16" s="99">
        <v>0</v>
      </c>
      <c r="S16" s="99">
        <v>0</v>
      </c>
      <c r="T16" s="99">
        <v>0</v>
      </c>
      <c r="U16" s="99">
        <v>0</v>
      </c>
      <c r="V16" s="99">
        <v>0</v>
      </c>
      <c r="W16" s="99">
        <v>0</v>
      </c>
      <c r="X16" s="99">
        <v>0</v>
      </c>
      <c r="Y16" s="99">
        <v>0</v>
      </c>
      <c r="Z16" s="99">
        <v>0</v>
      </c>
      <c r="AA16" s="99">
        <v>0</v>
      </c>
      <c r="AB16" s="99">
        <v>0</v>
      </c>
      <c r="AC16" s="99">
        <v>0</v>
      </c>
      <c r="AD16" s="99">
        <v>0</v>
      </c>
      <c r="AE16" s="99">
        <v>0</v>
      </c>
      <c r="AF16" s="99">
        <v>0</v>
      </c>
      <c r="AG16" s="99">
        <v>0</v>
      </c>
      <c r="AH16" s="99">
        <v>0</v>
      </c>
      <c r="AI16" s="99">
        <v>0</v>
      </c>
      <c r="AJ16" s="99">
        <v>0</v>
      </c>
      <c r="AK16" s="99">
        <v>0</v>
      </c>
      <c r="AL16" s="99">
        <v>0</v>
      </c>
      <c r="AM16" s="99">
        <v>0</v>
      </c>
      <c r="AN16" s="99">
        <v>0</v>
      </c>
      <c r="AO16" s="99">
        <v>0</v>
      </c>
      <c r="AP16" s="99">
        <v>0</v>
      </c>
      <c r="AQ16" s="99">
        <v>0</v>
      </c>
      <c r="AR16" s="99">
        <f t="shared" si="0"/>
        <v>0</v>
      </c>
      <c r="AS16" s="99"/>
      <c r="AT16" s="858"/>
    </row>
    <row r="17" spans="1:46" ht="15" x14ac:dyDescent="0.25">
      <c r="A17" s="258">
        <v>10</v>
      </c>
      <c r="B17" s="258" t="s">
        <v>974</v>
      </c>
      <c r="C17" s="258" t="s">
        <v>1311</v>
      </c>
      <c r="D17" s="859" t="s">
        <v>1321</v>
      </c>
      <c r="E17" s="99">
        <v>0</v>
      </c>
      <c r="F17" s="99">
        <v>0</v>
      </c>
      <c r="G17" s="99">
        <v>0</v>
      </c>
      <c r="H17" s="99">
        <v>0</v>
      </c>
      <c r="I17" s="99">
        <v>0</v>
      </c>
      <c r="J17" s="99">
        <v>0</v>
      </c>
      <c r="K17" s="99">
        <v>0</v>
      </c>
      <c r="L17" s="99">
        <v>0</v>
      </c>
      <c r="M17" s="99">
        <v>0</v>
      </c>
      <c r="N17" s="99">
        <v>0</v>
      </c>
      <c r="O17" s="99">
        <v>0</v>
      </c>
      <c r="P17" s="99">
        <v>0</v>
      </c>
      <c r="Q17" s="99">
        <v>0</v>
      </c>
      <c r="R17" s="99">
        <v>0</v>
      </c>
      <c r="S17" s="99">
        <v>0</v>
      </c>
      <c r="T17" s="99">
        <v>0</v>
      </c>
      <c r="U17" s="99">
        <v>0</v>
      </c>
      <c r="V17" s="99">
        <v>0</v>
      </c>
      <c r="W17" s="99">
        <v>0</v>
      </c>
      <c r="X17" s="99">
        <v>0</v>
      </c>
      <c r="Y17" s="99">
        <v>0</v>
      </c>
      <c r="Z17" s="99">
        <v>0</v>
      </c>
      <c r="AA17" s="99">
        <v>0</v>
      </c>
      <c r="AB17" s="99">
        <v>0</v>
      </c>
      <c r="AC17" s="99">
        <v>0</v>
      </c>
      <c r="AD17" s="99">
        <v>0</v>
      </c>
      <c r="AE17" s="99">
        <v>0</v>
      </c>
      <c r="AF17" s="99">
        <v>0</v>
      </c>
      <c r="AG17" s="99">
        <v>0</v>
      </c>
      <c r="AH17" s="99">
        <v>0</v>
      </c>
      <c r="AI17" s="99">
        <v>0</v>
      </c>
      <c r="AJ17" s="99">
        <v>0</v>
      </c>
      <c r="AK17" s="99">
        <v>0</v>
      </c>
      <c r="AL17" s="99">
        <v>0</v>
      </c>
      <c r="AM17" s="99">
        <v>0</v>
      </c>
      <c r="AN17" s="99">
        <v>0</v>
      </c>
      <c r="AO17" s="99">
        <v>0</v>
      </c>
      <c r="AP17" s="99">
        <v>0</v>
      </c>
      <c r="AQ17" s="99">
        <v>0</v>
      </c>
      <c r="AR17" s="99">
        <f t="shared" si="0"/>
        <v>0</v>
      </c>
      <c r="AS17" s="99"/>
      <c r="AT17" s="858"/>
    </row>
    <row r="18" spans="1:46" ht="15" x14ac:dyDescent="0.25">
      <c r="A18" s="258">
        <v>11</v>
      </c>
      <c r="B18" s="258" t="s">
        <v>974</v>
      </c>
      <c r="C18" s="258" t="s">
        <v>1311</v>
      </c>
      <c r="D18" s="859" t="s">
        <v>1322</v>
      </c>
      <c r="E18" s="99">
        <v>0</v>
      </c>
      <c r="F18" s="99">
        <v>0</v>
      </c>
      <c r="G18" s="99">
        <v>0</v>
      </c>
      <c r="H18" s="99">
        <v>0</v>
      </c>
      <c r="I18" s="99">
        <v>0</v>
      </c>
      <c r="J18" s="99">
        <v>0</v>
      </c>
      <c r="K18" s="99">
        <v>0</v>
      </c>
      <c r="L18" s="99">
        <v>0</v>
      </c>
      <c r="M18" s="99">
        <v>0</v>
      </c>
      <c r="N18" s="99">
        <v>0</v>
      </c>
      <c r="O18" s="99">
        <v>0</v>
      </c>
      <c r="P18" s="99">
        <v>0</v>
      </c>
      <c r="Q18" s="99">
        <v>0</v>
      </c>
      <c r="R18" s="99">
        <v>0</v>
      </c>
      <c r="S18" s="99">
        <v>0</v>
      </c>
      <c r="T18" s="99">
        <v>0</v>
      </c>
      <c r="U18" s="99">
        <v>0</v>
      </c>
      <c r="V18" s="99">
        <v>0</v>
      </c>
      <c r="W18" s="99">
        <v>7.0526571405689467</v>
      </c>
      <c r="X18" s="99">
        <v>0</v>
      </c>
      <c r="Y18" s="99">
        <v>0</v>
      </c>
      <c r="Z18" s="99">
        <v>0</v>
      </c>
      <c r="AA18" s="99">
        <v>0</v>
      </c>
      <c r="AB18" s="99">
        <v>0</v>
      </c>
      <c r="AC18" s="99">
        <v>0</v>
      </c>
      <c r="AD18" s="99">
        <v>0</v>
      </c>
      <c r="AE18" s="99">
        <v>0</v>
      </c>
      <c r="AF18" s="99">
        <v>0</v>
      </c>
      <c r="AG18" s="99">
        <v>0</v>
      </c>
      <c r="AH18" s="99">
        <v>0</v>
      </c>
      <c r="AI18" s="99">
        <v>0</v>
      </c>
      <c r="AJ18" s="99">
        <v>0</v>
      </c>
      <c r="AK18" s="99">
        <v>0</v>
      </c>
      <c r="AL18" s="99">
        <v>0</v>
      </c>
      <c r="AM18" s="99">
        <v>0</v>
      </c>
      <c r="AN18" s="99">
        <v>0</v>
      </c>
      <c r="AO18" s="99">
        <v>0</v>
      </c>
      <c r="AP18" s="99">
        <v>0</v>
      </c>
      <c r="AQ18" s="99">
        <v>0</v>
      </c>
      <c r="AR18" s="99">
        <f t="shared" si="0"/>
        <v>7.0526571405689467</v>
      </c>
      <c r="AS18" s="99"/>
      <c r="AT18" s="858"/>
    </row>
    <row r="19" spans="1:46" ht="15" x14ac:dyDescent="0.25">
      <c r="A19" s="258">
        <v>12</v>
      </c>
      <c r="B19" s="258" t="s">
        <v>340</v>
      </c>
      <c r="C19" s="258" t="s">
        <v>1323</v>
      </c>
      <c r="D19" s="859" t="s">
        <v>1324</v>
      </c>
      <c r="E19" s="99">
        <v>0</v>
      </c>
      <c r="F19" s="99">
        <v>0</v>
      </c>
      <c r="G19" s="99">
        <v>0</v>
      </c>
      <c r="H19" s="99">
        <v>0</v>
      </c>
      <c r="I19" s="99">
        <v>0</v>
      </c>
      <c r="J19" s="99">
        <v>0</v>
      </c>
      <c r="K19" s="99">
        <v>0</v>
      </c>
      <c r="L19" s="99">
        <v>0</v>
      </c>
      <c r="M19" s="99">
        <v>0</v>
      </c>
      <c r="N19" s="99">
        <v>0</v>
      </c>
      <c r="O19" s="99">
        <v>15.379813593508155</v>
      </c>
      <c r="P19" s="99">
        <v>0</v>
      </c>
      <c r="Q19" s="99">
        <v>0</v>
      </c>
      <c r="R19" s="99">
        <v>0</v>
      </c>
      <c r="S19" s="99">
        <v>0</v>
      </c>
      <c r="T19" s="99">
        <v>0</v>
      </c>
      <c r="U19" s="99">
        <v>0</v>
      </c>
      <c r="V19" s="99">
        <v>0</v>
      </c>
      <c r="W19" s="99">
        <v>5.8772142838074553</v>
      </c>
      <c r="X19" s="99">
        <v>0</v>
      </c>
      <c r="Y19" s="99">
        <v>0</v>
      </c>
      <c r="Z19" s="99">
        <v>0</v>
      </c>
      <c r="AA19" s="99">
        <v>0</v>
      </c>
      <c r="AB19" s="99">
        <v>0</v>
      </c>
      <c r="AC19" s="99">
        <v>0</v>
      </c>
      <c r="AD19" s="99">
        <v>0</v>
      </c>
      <c r="AE19" s="99">
        <v>0</v>
      </c>
      <c r="AF19" s="99">
        <v>0</v>
      </c>
      <c r="AG19" s="99">
        <v>0</v>
      </c>
      <c r="AH19" s="99">
        <v>0</v>
      </c>
      <c r="AI19" s="99">
        <v>0</v>
      </c>
      <c r="AJ19" s="99">
        <v>0</v>
      </c>
      <c r="AK19" s="99">
        <v>0</v>
      </c>
      <c r="AL19" s="99">
        <v>0</v>
      </c>
      <c r="AM19" s="99">
        <v>0</v>
      </c>
      <c r="AN19" s="99">
        <v>0</v>
      </c>
      <c r="AO19" s="99">
        <v>0</v>
      </c>
      <c r="AP19" s="99">
        <v>0</v>
      </c>
      <c r="AQ19" s="99">
        <v>0</v>
      </c>
      <c r="AR19" s="99">
        <f t="shared" si="0"/>
        <v>21.257027877315611</v>
      </c>
      <c r="AS19" s="99"/>
      <c r="AT19" s="858"/>
    </row>
    <row r="20" spans="1:46" ht="15" x14ac:dyDescent="0.25">
      <c r="A20" s="258">
        <v>13</v>
      </c>
      <c r="B20" s="258" t="s">
        <v>340</v>
      </c>
      <c r="C20" s="258" t="s">
        <v>1323</v>
      </c>
      <c r="D20" s="859" t="s">
        <v>1325</v>
      </c>
      <c r="E20" s="99">
        <v>0</v>
      </c>
      <c r="F20" s="99">
        <v>0</v>
      </c>
      <c r="G20" s="99">
        <v>0</v>
      </c>
      <c r="H20" s="99">
        <v>0</v>
      </c>
      <c r="I20" s="99">
        <v>0</v>
      </c>
      <c r="J20" s="99">
        <v>0</v>
      </c>
      <c r="K20" s="99">
        <v>0</v>
      </c>
      <c r="L20" s="99">
        <v>0</v>
      </c>
      <c r="M20" s="99">
        <v>0</v>
      </c>
      <c r="N20" s="99">
        <v>0</v>
      </c>
      <c r="O20" s="99">
        <v>13.981648721371048</v>
      </c>
      <c r="P20" s="99">
        <v>0</v>
      </c>
      <c r="Q20" s="99">
        <v>0</v>
      </c>
      <c r="R20" s="99">
        <v>0</v>
      </c>
      <c r="S20" s="99">
        <v>0</v>
      </c>
      <c r="T20" s="99">
        <v>0</v>
      </c>
      <c r="U20" s="99">
        <v>0</v>
      </c>
      <c r="V20" s="99">
        <v>0</v>
      </c>
      <c r="W20" s="99">
        <v>19.982528564945348</v>
      </c>
      <c r="X20" s="99">
        <v>0</v>
      </c>
      <c r="Y20" s="99">
        <v>0</v>
      </c>
      <c r="Z20" s="99">
        <v>0</v>
      </c>
      <c r="AA20" s="99">
        <v>0</v>
      </c>
      <c r="AB20" s="99">
        <v>0</v>
      </c>
      <c r="AC20" s="99">
        <v>0</v>
      </c>
      <c r="AD20" s="99">
        <v>0</v>
      </c>
      <c r="AE20" s="99">
        <v>0</v>
      </c>
      <c r="AF20" s="99">
        <v>0</v>
      </c>
      <c r="AG20" s="99">
        <v>0</v>
      </c>
      <c r="AH20" s="99">
        <v>0</v>
      </c>
      <c r="AI20" s="99">
        <v>0</v>
      </c>
      <c r="AJ20" s="99">
        <v>0</v>
      </c>
      <c r="AK20" s="99">
        <v>0</v>
      </c>
      <c r="AL20" s="99">
        <v>0</v>
      </c>
      <c r="AM20" s="99">
        <v>0</v>
      </c>
      <c r="AN20" s="99">
        <v>0</v>
      </c>
      <c r="AO20" s="99">
        <v>0</v>
      </c>
      <c r="AP20" s="99">
        <v>0</v>
      </c>
      <c r="AQ20" s="99">
        <v>0</v>
      </c>
      <c r="AR20" s="99">
        <f t="shared" si="0"/>
        <v>33.964177286316399</v>
      </c>
      <c r="AS20" s="99"/>
      <c r="AT20" s="858"/>
    </row>
    <row r="21" spans="1:46" ht="15" x14ac:dyDescent="0.25">
      <c r="A21" s="258">
        <v>14</v>
      </c>
      <c r="B21" s="258" t="s">
        <v>340</v>
      </c>
      <c r="C21" s="258" t="s">
        <v>1323</v>
      </c>
      <c r="D21" s="859" t="s">
        <v>1326</v>
      </c>
      <c r="E21" s="99">
        <v>2.5278346864220489</v>
      </c>
      <c r="F21" s="99">
        <v>0</v>
      </c>
      <c r="G21" s="99">
        <v>0</v>
      </c>
      <c r="H21" s="99">
        <v>0</v>
      </c>
      <c r="I21" s="99">
        <v>0</v>
      </c>
      <c r="J21" s="99">
        <v>0</v>
      </c>
      <c r="K21" s="99">
        <v>0</v>
      </c>
      <c r="L21" s="99">
        <v>0</v>
      </c>
      <c r="M21" s="99">
        <v>0</v>
      </c>
      <c r="N21" s="99">
        <v>0</v>
      </c>
      <c r="O21" s="99">
        <v>890.63102355133572</v>
      </c>
      <c r="P21" s="99">
        <v>0</v>
      </c>
      <c r="Q21" s="99">
        <v>0</v>
      </c>
      <c r="R21" s="99">
        <v>0</v>
      </c>
      <c r="S21" s="99">
        <v>0</v>
      </c>
      <c r="T21" s="99">
        <v>0</v>
      </c>
      <c r="U21" s="99">
        <v>0</v>
      </c>
      <c r="V21" s="99">
        <v>0</v>
      </c>
      <c r="W21" s="99">
        <v>231.56224278201373</v>
      </c>
      <c r="X21" s="99">
        <v>0</v>
      </c>
      <c r="Y21" s="99">
        <v>0</v>
      </c>
      <c r="Z21" s="99">
        <v>0</v>
      </c>
      <c r="AA21" s="99">
        <v>0</v>
      </c>
      <c r="AB21" s="99">
        <v>0</v>
      </c>
      <c r="AC21" s="99">
        <v>0</v>
      </c>
      <c r="AD21" s="99">
        <v>0</v>
      </c>
      <c r="AE21" s="99">
        <v>0</v>
      </c>
      <c r="AF21" s="99">
        <v>0</v>
      </c>
      <c r="AG21" s="99">
        <v>0</v>
      </c>
      <c r="AH21" s="99">
        <v>0</v>
      </c>
      <c r="AI21" s="99">
        <v>0</v>
      </c>
      <c r="AJ21" s="99">
        <v>0</v>
      </c>
      <c r="AK21" s="99">
        <v>0</v>
      </c>
      <c r="AL21" s="99">
        <v>0</v>
      </c>
      <c r="AM21" s="99">
        <v>0</v>
      </c>
      <c r="AN21" s="99">
        <v>0</v>
      </c>
      <c r="AO21" s="99">
        <v>0</v>
      </c>
      <c r="AP21" s="99">
        <v>0</v>
      </c>
      <c r="AQ21" s="99">
        <v>0</v>
      </c>
      <c r="AR21" s="99">
        <f t="shared" si="0"/>
        <v>1124.7211010197714</v>
      </c>
      <c r="AS21" s="99"/>
      <c r="AT21" s="858"/>
    </row>
    <row r="22" spans="1:46" ht="15" x14ac:dyDescent="0.25">
      <c r="A22" s="258">
        <v>15</v>
      </c>
      <c r="B22" s="258" t="s">
        <v>340</v>
      </c>
      <c r="C22" s="258" t="s">
        <v>1323</v>
      </c>
      <c r="D22" s="859" t="s">
        <v>1327</v>
      </c>
      <c r="E22" s="99">
        <v>4.423710701238587</v>
      </c>
      <c r="F22" s="99">
        <v>0</v>
      </c>
      <c r="G22" s="99">
        <v>0</v>
      </c>
      <c r="H22" s="99">
        <v>0</v>
      </c>
      <c r="I22" s="99">
        <v>0</v>
      </c>
      <c r="J22" s="99">
        <v>0</v>
      </c>
      <c r="K22" s="99">
        <v>0</v>
      </c>
      <c r="L22" s="99">
        <v>0</v>
      </c>
      <c r="M22" s="99">
        <v>0</v>
      </c>
      <c r="N22" s="99">
        <v>0</v>
      </c>
      <c r="O22" s="99">
        <v>388.68983445411516</v>
      </c>
      <c r="P22" s="99">
        <v>0</v>
      </c>
      <c r="Q22" s="99">
        <v>0</v>
      </c>
      <c r="R22" s="99">
        <v>0</v>
      </c>
      <c r="S22" s="99">
        <v>0</v>
      </c>
      <c r="T22" s="99">
        <v>0</v>
      </c>
      <c r="U22" s="99">
        <v>0</v>
      </c>
      <c r="V22" s="99">
        <v>0</v>
      </c>
      <c r="W22" s="99">
        <v>1263.6010710186029</v>
      </c>
      <c r="X22" s="99">
        <v>0</v>
      </c>
      <c r="Y22" s="99">
        <v>0</v>
      </c>
      <c r="Z22" s="99">
        <v>0</v>
      </c>
      <c r="AA22" s="99">
        <v>0</v>
      </c>
      <c r="AB22" s="99">
        <v>0</v>
      </c>
      <c r="AC22" s="99">
        <v>0</v>
      </c>
      <c r="AD22" s="99">
        <v>0</v>
      </c>
      <c r="AE22" s="99">
        <v>0</v>
      </c>
      <c r="AF22" s="99">
        <v>0</v>
      </c>
      <c r="AG22" s="99">
        <v>0</v>
      </c>
      <c r="AH22" s="99">
        <v>0</v>
      </c>
      <c r="AI22" s="99">
        <v>0</v>
      </c>
      <c r="AJ22" s="99">
        <v>0</v>
      </c>
      <c r="AK22" s="99">
        <v>0</v>
      </c>
      <c r="AL22" s="99">
        <v>0</v>
      </c>
      <c r="AM22" s="99">
        <v>0</v>
      </c>
      <c r="AN22" s="99">
        <v>0</v>
      </c>
      <c r="AO22" s="99">
        <v>0</v>
      </c>
      <c r="AP22" s="99">
        <v>0</v>
      </c>
      <c r="AQ22" s="99">
        <v>0</v>
      </c>
      <c r="AR22" s="99">
        <f t="shared" si="0"/>
        <v>1656.7146161739565</v>
      </c>
      <c r="AS22" s="99"/>
      <c r="AT22" s="858"/>
    </row>
    <row r="23" spans="1:46" ht="15" x14ac:dyDescent="0.25">
      <c r="A23" s="258">
        <v>16</v>
      </c>
      <c r="B23" s="258" t="s">
        <v>984</v>
      </c>
      <c r="C23" s="258" t="s">
        <v>1328</v>
      </c>
      <c r="D23" s="859" t="s">
        <v>1329</v>
      </c>
      <c r="E23" s="99">
        <v>0</v>
      </c>
      <c r="F23" s="99">
        <v>0</v>
      </c>
      <c r="G23" s="99">
        <v>0</v>
      </c>
      <c r="H23" s="99">
        <v>0</v>
      </c>
      <c r="I23" s="99">
        <v>0</v>
      </c>
      <c r="J23" s="99">
        <v>0</v>
      </c>
      <c r="K23" s="99">
        <v>0</v>
      </c>
      <c r="L23" s="99">
        <v>0</v>
      </c>
      <c r="M23" s="99">
        <v>0</v>
      </c>
      <c r="N23" s="99">
        <v>0</v>
      </c>
      <c r="O23" s="99">
        <v>0</v>
      </c>
      <c r="P23" s="99">
        <v>0</v>
      </c>
      <c r="Q23" s="99">
        <v>0</v>
      </c>
      <c r="R23" s="99">
        <v>0</v>
      </c>
      <c r="S23" s="99">
        <v>0</v>
      </c>
      <c r="T23" s="99">
        <v>0</v>
      </c>
      <c r="U23" s="99">
        <v>24.489995378287713</v>
      </c>
      <c r="V23" s="99">
        <v>1.3206121587473798</v>
      </c>
      <c r="W23" s="99">
        <v>0</v>
      </c>
      <c r="X23" s="99">
        <v>0</v>
      </c>
      <c r="Y23" s="99">
        <v>0</v>
      </c>
      <c r="Z23" s="99">
        <v>0</v>
      </c>
      <c r="AA23" s="99">
        <v>0</v>
      </c>
      <c r="AB23" s="99">
        <v>0</v>
      </c>
      <c r="AC23" s="99">
        <v>0</v>
      </c>
      <c r="AD23" s="99">
        <v>0</v>
      </c>
      <c r="AE23" s="99">
        <v>0</v>
      </c>
      <c r="AF23" s="99">
        <v>0</v>
      </c>
      <c r="AG23" s="99">
        <v>0</v>
      </c>
      <c r="AH23" s="99">
        <v>0</v>
      </c>
      <c r="AI23" s="99">
        <v>0</v>
      </c>
      <c r="AJ23" s="99">
        <v>0</v>
      </c>
      <c r="AK23" s="99">
        <v>0</v>
      </c>
      <c r="AL23" s="99">
        <v>0</v>
      </c>
      <c r="AM23" s="99">
        <v>0</v>
      </c>
      <c r="AN23" s="99">
        <v>0</v>
      </c>
      <c r="AO23" s="99">
        <v>0</v>
      </c>
      <c r="AP23" s="99">
        <v>0</v>
      </c>
      <c r="AQ23" s="99">
        <v>0</v>
      </c>
      <c r="AR23" s="99">
        <f t="shared" si="0"/>
        <v>25.810607537035093</v>
      </c>
      <c r="AS23" s="99"/>
      <c r="AT23" s="858"/>
    </row>
    <row r="24" spans="1:46" ht="15" x14ac:dyDescent="0.25">
      <c r="A24" s="258">
        <v>17</v>
      </c>
      <c r="B24" s="258" t="s">
        <v>984</v>
      </c>
      <c r="C24" s="258" t="s">
        <v>1328</v>
      </c>
      <c r="D24" s="859" t="s">
        <v>1330</v>
      </c>
      <c r="E24" s="99">
        <v>0</v>
      </c>
      <c r="F24" s="99">
        <v>0</v>
      </c>
      <c r="G24" s="99">
        <v>0</v>
      </c>
      <c r="H24" s="99">
        <v>0</v>
      </c>
      <c r="I24" s="99">
        <v>0</v>
      </c>
      <c r="J24" s="99">
        <v>0</v>
      </c>
      <c r="K24" s="99">
        <v>0</v>
      </c>
      <c r="L24" s="99">
        <v>0</v>
      </c>
      <c r="M24" s="99">
        <v>0</v>
      </c>
      <c r="N24" s="99">
        <v>0</v>
      </c>
      <c r="O24" s="99">
        <v>0</v>
      </c>
      <c r="P24" s="99">
        <v>0</v>
      </c>
      <c r="Q24" s="99">
        <v>0</v>
      </c>
      <c r="R24" s="99">
        <v>0</v>
      </c>
      <c r="S24" s="99">
        <v>0</v>
      </c>
      <c r="T24" s="99">
        <v>0</v>
      </c>
      <c r="U24" s="99">
        <v>0</v>
      </c>
      <c r="V24" s="99">
        <v>124.1375429222537</v>
      </c>
      <c r="W24" s="99">
        <v>0</v>
      </c>
      <c r="X24" s="99">
        <v>0</v>
      </c>
      <c r="Y24" s="99">
        <v>0</v>
      </c>
      <c r="Z24" s="99">
        <v>0</v>
      </c>
      <c r="AA24" s="99">
        <v>0</v>
      </c>
      <c r="AB24" s="99">
        <v>0</v>
      </c>
      <c r="AC24" s="99">
        <v>0</v>
      </c>
      <c r="AD24" s="99">
        <v>7.9640066470806552</v>
      </c>
      <c r="AE24" s="99">
        <v>0</v>
      </c>
      <c r="AF24" s="99">
        <v>0</v>
      </c>
      <c r="AG24" s="99">
        <v>0</v>
      </c>
      <c r="AH24" s="99">
        <v>0</v>
      </c>
      <c r="AI24" s="99">
        <v>0</v>
      </c>
      <c r="AJ24" s="99">
        <v>0</v>
      </c>
      <c r="AK24" s="99">
        <v>0</v>
      </c>
      <c r="AL24" s="99">
        <v>0</v>
      </c>
      <c r="AM24" s="99">
        <v>0</v>
      </c>
      <c r="AN24" s="99">
        <v>0</v>
      </c>
      <c r="AO24" s="99">
        <v>0</v>
      </c>
      <c r="AP24" s="99">
        <v>0</v>
      </c>
      <c r="AQ24" s="99">
        <v>0</v>
      </c>
      <c r="AR24" s="99">
        <f t="shared" si="0"/>
        <v>132.10154956933437</v>
      </c>
      <c r="AS24" s="99"/>
      <c r="AT24" s="858"/>
    </row>
    <row r="25" spans="1:46" ht="15" x14ac:dyDescent="0.25">
      <c r="A25" s="258">
        <v>18</v>
      </c>
      <c r="B25" s="258" t="s">
        <v>984</v>
      </c>
      <c r="C25" s="258" t="s">
        <v>1328</v>
      </c>
      <c r="D25" s="859" t="s">
        <v>1331</v>
      </c>
      <c r="E25" s="99">
        <v>24.857041083150154</v>
      </c>
      <c r="F25" s="99">
        <v>0</v>
      </c>
      <c r="G25" s="99">
        <v>0</v>
      </c>
      <c r="H25" s="99">
        <v>0</v>
      </c>
      <c r="I25" s="99">
        <v>0</v>
      </c>
      <c r="J25" s="99">
        <v>0</v>
      </c>
      <c r="K25" s="99">
        <v>0</v>
      </c>
      <c r="L25" s="99">
        <v>0</v>
      </c>
      <c r="M25" s="99">
        <v>0</v>
      </c>
      <c r="N25" s="99">
        <v>0</v>
      </c>
      <c r="O25" s="99">
        <v>0</v>
      </c>
      <c r="P25" s="99">
        <v>0</v>
      </c>
      <c r="Q25" s="99">
        <v>0</v>
      </c>
      <c r="R25" s="99">
        <v>0</v>
      </c>
      <c r="S25" s="99">
        <v>0</v>
      </c>
      <c r="T25" s="99">
        <v>0</v>
      </c>
      <c r="U25" s="99">
        <v>24.489995378287713</v>
      </c>
      <c r="V25" s="99">
        <v>1.3206121587473798</v>
      </c>
      <c r="W25" s="99">
        <v>0</v>
      </c>
      <c r="X25" s="99">
        <v>0</v>
      </c>
      <c r="Y25" s="99">
        <v>0</v>
      </c>
      <c r="Z25" s="99">
        <v>0</v>
      </c>
      <c r="AA25" s="99">
        <v>0</v>
      </c>
      <c r="AB25" s="99">
        <v>0</v>
      </c>
      <c r="AC25" s="99">
        <v>0</v>
      </c>
      <c r="AD25" s="99">
        <v>126.50518250939655</v>
      </c>
      <c r="AE25" s="99">
        <v>0</v>
      </c>
      <c r="AF25" s="99">
        <v>0</v>
      </c>
      <c r="AG25" s="99">
        <v>0</v>
      </c>
      <c r="AH25" s="99">
        <v>0</v>
      </c>
      <c r="AI25" s="99">
        <v>0</v>
      </c>
      <c r="AJ25" s="99">
        <v>0</v>
      </c>
      <c r="AK25" s="99">
        <v>0</v>
      </c>
      <c r="AL25" s="99">
        <v>0</v>
      </c>
      <c r="AM25" s="99">
        <v>0</v>
      </c>
      <c r="AN25" s="99">
        <v>0</v>
      </c>
      <c r="AO25" s="99">
        <v>0</v>
      </c>
      <c r="AP25" s="99">
        <v>0</v>
      </c>
      <c r="AQ25" s="99">
        <v>0</v>
      </c>
      <c r="AR25" s="99">
        <f t="shared" si="0"/>
        <v>177.17283112958179</v>
      </c>
      <c r="AS25" s="99"/>
      <c r="AT25" s="858"/>
    </row>
    <row r="26" spans="1:46" ht="15" x14ac:dyDescent="0.25">
      <c r="A26" s="258">
        <v>19</v>
      </c>
      <c r="B26" s="258" t="s">
        <v>984</v>
      </c>
      <c r="C26" s="258" t="s">
        <v>1328</v>
      </c>
      <c r="D26" s="859" t="s">
        <v>1332</v>
      </c>
      <c r="E26" s="99">
        <v>0</v>
      </c>
      <c r="F26" s="99">
        <v>0</v>
      </c>
      <c r="G26" s="99">
        <v>0</v>
      </c>
      <c r="H26" s="99">
        <v>0</v>
      </c>
      <c r="I26" s="99">
        <v>0</v>
      </c>
      <c r="J26" s="99">
        <v>0</v>
      </c>
      <c r="K26" s="99">
        <v>0</v>
      </c>
      <c r="L26" s="99">
        <v>0</v>
      </c>
      <c r="M26" s="99">
        <v>0</v>
      </c>
      <c r="N26" s="99">
        <v>0</v>
      </c>
      <c r="O26" s="99">
        <v>0</v>
      </c>
      <c r="P26" s="99">
        <v>0</v>
      </c>
      <c r="Q26" s="99">
        <v>0</v>
      </c>
      <c r="R26" s="99">
        <v>0</v>
      </c>
      <c r="S26" s="99">
        <v>0</v>
      </c>
      <c r="T26" s="99">
        <v>0</v>
      </c>
      <c r="U26" s="99">
        <v>0</v>
      </c>
      <c r="V26" s="99">
        <v>131.26884857948957</v>
      </c>
      <c r="W26" s="99">
        <v>0</v>
      </c>
      <c r="X26" s="99">
        <v>0</v>
      </c>
      <c r="Y26" s="99">
        <v>0</v>
      </c>
      <c r="Z26" s="99">
        <v>0</v>
      </c>
      <c r="AA26" s="99">
        <v>0</v>
      </c>
      <c r="AB26" s="99">
        <v>0</v>
      </c>
      <c r="AC26" s="99">
        <v>0</v>
      </c>
      <c r="AD26" s="99">
        <v>20.522632513630917</v>
      </c>
      <c r="AE26" s="99">
        <v>0</v>
      </c>
      <c r="AF26" s="99">
        <v>0</v>
      </c>
      <c r="AG26" s="99">
        <v>0</v>
      </c>
      <c r="AH26" s="99">
        <v>0</v>
      </c>
      <c r="AI26" s="99">
        <v>0</v>
      </c>
      <c r="AJ26" s="99">
        <v>0</v>
      </c>
      <c r="AK26" s="99">
        <v>0</v>
      </c>
      <c r="AL26" s="99">
        <v>0</v>
      </c>
      <c r="AM26" s="99">
        <v>0</v>
      </c>
      <c r="AN26" s="99">
        <v>0</v>
      </c>
      <c r="AO26" s="99">
        <v>0</v>
      </c>
      <c r="AP26" s="99">
        <v>0</v>
      </c>
      <c r="AQ26" s="99">
        <v>0</v>
      </c>
      <c r="AR26" s="99">
        <f t="shared" si="0"/>
        <v>151.7914810931205</v>
      </c>
      <c r="AS26" s="99"/>
      <c r="AT26" s="858"/>
    </row>
    <row r="27" spans="1:46" ht="15" x14ac:dyDescent="0.25">
      <c r="A27" s="258">
        <v>20</v>
      </c>
      <c r="B27" s="258" t="s">
        <v>984</v>
      </c>
      <c r="C27" s="258" t="s">
        <v>1328</v>
      </c>
      <c r="D27" s="859" t="s">
        <v>1333</v>
      </c>
      <c r="E27" s="99">
        <v>0</v>
      </c>
      <c r="F27" s="99">
        <v>0</v>
      </c>
      <c r="G27" s="99">
        <v>0</v>
      </c>
      <c r="H27" s="99">
        <v>0</v>
      </c>
      <c r="I27" s="99">
        <v>0</v>
      </c>
      <c r="J27" s="99">
        <v>0</v>
      </c>
      <c r="K27" s="99">
        <v>0</v>
      </c>
      <c r="L27" s="99">
        <v>0</v>
      </c>
      <c r="M27" s="99">
        <v>0</v>
      </c>
      <c r="N27" s="99">
        <v>0</v>
      </c>
      <c r="O27" s="99">
        <v>0</v>
      </c>
      <c r="P27" s="99">
        <v>0</v>
      </c>
      <c r="Q27" s="99">
        <v>0</v>
      </c>
      <c r="R27" s="99">
        <v>0</v>
      </c>
      <c r="S27" s="99">
        <v>0</v>
      </c>
      <c r="T27" s="99">
        <v>0</v>
      </c>
      <c r="U27" s="99">
        <v>0</v>
      </c>
      <c r="V27" s="99">
        <v>304.53316380714574</v>
      </c>
      <c r="W27" s="99">
        <v>0</v>
      </c>
      <c r="X27" s="99">
        <v>0</v>
      </c>
      <c r="Y27" s="99">
        <v>0</v>
      </c>
      <c r="Z27" s="99">
        <v>0</v>
      </c>
      <c r="AA27" s="99">
        <v>0</v>
      </c>
      <c r="AB27" s="99">
        <v>0</v>
      </c>
      <c r="AC27" s="99">
        <v>0</v>
      </c>
      <c r="AD27" s="99">
        <v>1269.0338284175057</v>
      </c>
      <c r="AE27" s="99">
        <v>0</v>
      </c>
      <c r="AF27" s="99">
        <v>0</v>
      </c>
      <c r="AG27" s="99">
        <v>0</v>
      </c>
      <c r="AH27" s="99">
        <v>0</v>
      </c>
      <c r="AI27" s="99">
        <v>0</v>
      </c>
      <c r="AJ27" s="99">
        <v>0</v>
      </c>
      <c r="AK27" s="99">
        <v>0</v>
      </c>
      <c r="AL27" s="99">
        <v>0</v>
      </c>
      <c r="AM27" s="99">
        <v>0</v>
      </c>
      <c r="AN27" s="99">
        <v>0</v>
      </c>
      <c r="AO27" s="99">
        <v>0</v>
      </c>
      <c r="AP27" s="99">
        <v>0</v>
      </c>
      <c r="AQ27" s="99">
        <v>0</v>
      </c>
      <c r="AR27" s="99">
        <f t="shared" si="0"/>
        <v>1573.5669922246514</v>
      </c>
      <c r="AS27" s="99"/>
      <c r="AT27" s="858"/>
    </row>
    <row r="28" spans="1:46" ht="15" x14ac:dyDescent="0.25">
      <c r="A28" s="258">
        <v>21</v>
      </c>
      <c r="B28" s="258" t="s">
        <v>984</v>
      </c>
      <c r="C28" s="258" t="s">
        <v>1328</v>
      </c>
      <c r="D28" s="859" t="s">
        <v>1334</v>
      </c>
      <c r="E28" s="99">
        <v>0</v>
      </c>
      <c r="F28" s="99">
        <v>0</v>
      </c>
      <c r="G28" s="99">
        <v>0</v>
      </c>
      <c r="H28" s="99">
        <v>0</v>
      </c>
      <c r="I28" s="99">
        <v>0</v>
      </c>
      <c r="J28" s="99">
        <v>0</v>
      </c>
      <c r="K28" s="99">
        <v>0</v>
      </c>
      <c r="L28" s="99">
        <v>0</v>
      </c>
      <c r="M28" s="99">
        <v>0</v>
      </c>
      <c r="N28" s="99">
        <v>0</v>
      </c>
      <c r="O28" s="99">
        <v>0</v>
      </c>
      <c r="P28" s="99">
        <v>89.91015611067894</v>
      </c>
      <c r="Q28" s="99">
        <v>0</v>
      </c>
      <c r="R28" s="99">
        <v>0</v>
      </c>
      <c r="S28" s="99">
        <v>0</v>
      </c>
      <c r="T28" s="99">
        <v>0</v>
      </c>
      <c r="U28" s="99">
        <v>1365.3172423395397</v>
      </c>
      <c r="V28" s="99">
        <v>968.80107965707782</v>
      </c>
      <c r="W28" s="99">
        <v>0</v>
      </c>
      <c r="X28" s="99">
        <v>0</v>
      </c>
      <c r="Y28" s="99">
        <v>0</v>
      </c>
      <c r="Z28" s="99">
        <v>0</v>
      </c>
      <c r="AA28" s="99">
        <v>0</v>
      </c>
      <c r="AB28" s="99">
        <v>0</v>
      </c>
      <c r="AC28" s="99">
        <v>0</v>
      </c>
      <c r="AD28" s="99">
        <v>1044.5101025594242</v>
      </c>
      <c r="AE28" s="99">
        <v>0</v>
      </c>
      <c r="AF28" s="99">
        <v>0</v>
      </c>
      <c r="AG28" s="99">
        <v>0</v>
      </c>
      <c r="AH28" s="99">
        <v>0</v>
      </c>
      <c r="AI28" s="99">
        <v>0</v>
      </c>
      <c r="AJ28" s="99">
        <v>0</v>
      </c>
      <c r="AK28" s="99">
        <v>0</v>
      </c>
      <c r="AL28" s="99">
        <v>0</v>
      </c>
      <c r="AM28" s="99">
        <v>0</v>
      </c>
      <c r="AN28" s="99">
        <v>0</v>
      </c>
      <c r="AO28" s="99">
        <v>0</v>
      </c>
      <c r="AP28" s="99">
        <v>0</v>
      </c>
      <c r="AQ28" s="99">
        <v>0</v>
      </c>
      <c r="AR28" s="99">
        <f t="shared" si="0"/>
        <v>3468.5385806667209</v>
      </c>
      <c r="AS28" s="99"/>
      <c r="AT28" s="858"/>
    </row>
    <row r="29" spans="1:46" ht="15" x14ac:dyDescent="0.25">
      <c r="A29" s="258">
        <v>22</v>
      </c>
      <c r="B29" s="258" t="s">
        <v>984</v>
      </c>
      <c r="C29" s="258" t="s">
        <v>1328</v>
      </c>
      <c r="D29" s="859" t="s">
        <v>1335</v>
      </c>
      <c r="E29" s="99">
        <v>0</v>
      </c>
      <c r="F29" s="99">
        <v>0</v>
      </c>
      <c r="G29" s="99">
        <v>0</v>
      </c>
      <c r="H29" s="99">
        <v>0</v>
      </c>
      <c r="I29" s="99">
        <v>0</v>
      </c>
      <c r="J29" s="99">
        <v>0</v>
      </c>
      <c r="K29" s="99">
        <v>0</v>
      </c>
      <c r="L29" s="99">
        <v>0</v>
      </c>
      <c r="M29" s="99">
        <v>0</v>
      </c>
      <c r="N29" s="99">
        <v>0</v>
      </c>
      <c r="O29" s="99">
        <v>0</v>
      </c>
      <c r="P29" s="99">
        <v>177.54410573754325</v>
      </c>
      <c r="Q29" s="99">
        <v>0</v>
      </c>
      <c r="R29" s="99">
        <v>0</v>
      </c>
      <c r="S29" s="99">
        <v>0</v>
      </c>
      <c r="T29" s="99">
        <v>0</v>
      </c>
      <c r="U29" s="99">
        <v>391.8399260526034</v>
      </c>
      <c r="V29" s="99">
        <v>385.61875035423492</v>
      </c>
      <c r="W29" s="99">
        <v>0</v>
      </c>
      <c r="X29" s="99">
        <v>0</v>
      </c>
      <c r="Y29" s="99">
        <v>0</v>
      </c>
      <c r="Z29" s="99">
        <v>0</v>
      </c>
      <c r="AA29" s="99">
        <v>0</v>
      </c>
      <c r="AB29" s="99">
        <v>0</v>
      </c>
      <c r="AC29" s="99">
        <v>0</v>
      </c>
      <c r="AD29" s="99">
        <v>8957.3633223299839</v>
      </c>
      <c r="AE29" s="99">
        <v>0</v>
      </c>
      <c r="AF29" s="99">
        <v>0</v>
      </c>
      <c r="AG29" s="99">
        <v>0</v>
      </c>
      <c r="AH29" s="99">
        <v>0</v>
      </c>
      <c r="AI29" s="99">
        <v>0</v>
      </c>
      <c r="AJ29" s="99">
        <v>0</v>
      </c>
      <c r="AK29" s="99">
        <v>0</v>
      </c>
      <c r="AL29" s="99">
        <v>0</v>
      </c>
      <c r="AM29" s="99">
        <v>0</v>
      </c>
      <c r="AN29" s="99">
        <v>0</v>
      </c>
      <c r="AO29" s="99">
        <v>0</v>
      </c>
      <c r="AP29" s="99">
        <v>0</v>
      </c>
      <c r="AQ29" s="99">
        <v>0</v>
      </c>
      <c r="AR29" s="99">
        <f t="shared" si="0"/>
        <v>9912.3661044743658</v>
      </c>
      <c r="AS29" s="99"/>
      <c r="AT29" s="858"/>
    </row>
    <row r="30" spans="1:46" ht="15" x14ac:dyDescent="0.25">
      <c r="A30" s="258">
        <v>23</v>
      </c>
      <c r="B30" s="258" t="s">
        <v>984</v>
      </c>
      <c r="C30" s="258" t="s">
        <v>1328</v>
      </c>
      <c r="D30" s="859" t="s">
        <v>1336</v>
      </c>
      <c r="E30" s="99">
        <v>0</v>
      </c>
      <c r="F30" s="99">
        <v>0</v>
      </c>
      <c r="G30" s="99">
        <v>0</v>
      </c>
      <c r="H30" s="99">
        <v>0</v>
      </c>
      <c r="I30" s="99">
        <v>0</v>
      </c>
      <c r="J30" s="99">
        <v>0</v>
      </c>
      <c r="K30" s="99">
        <v>0</v>
      </c>
      <c r="L30" s="99">
        <v>0</v>
      </c>
      <c r="M30" s="99">
        <v>0</v>
      </c>
      <c r="N30" s="99">
        <v>0</v>
      </c>
      <c r="O30" s="99">
        <v>0</v>
      </c>
      <c r="P30" s="99">
        <v>0</v>
      </c>
      <c r="Q30" s="99">
        <v>0</v>
      </c>
      <c r="R30" s="99">
        <v>0</v>
      </c>
      <c r="S30" s="99">
        <v>0</v>
      </c>
      <c r="T30" s="99">
        <v>0</v>
      </c>
      <c r="U30" s="99">
        <v>0</v>
      </c>
      <c r="V30" s="99">
        <v>24.563386152701263</v>
      </c>
      <c r="W30" s="99">
        <v>0</v>
      </c>
      <c r="X30" s="99">
        <v>0</v>
      </c>
      <c r="Y30" s="99">
        <v>0</v>
      </c>
      <c r="Z30" s="99">
        <v>0</v>
      </c>
      <c r="AA30" s="99">
        <v>0</v>
      </c>
      <c r="AB30" s="99">
        <v>0</v>
      </c>
      <c r="AC30" s="99">
        <v>0</v>
      </c>
      <c r="AD30" s="99">
        <v>59.730049853104909</v>
      </c>
      <c r="AE30" s="99">
        <v>0</v>
      </c>
      <c r="AF30" s="99">
        <v>0</v>
      </c>
      <c r="AG30" s="99">
        <v>0</v>
      </c>
      <c r="AH30" s="99">
        <v>0</v>
      </c>
      <c r="AI30" s="99">
        <v>0</v>
      </c>
      <c r="AJ30" s="99">
        <v>0</v>
      </c>
      <c r="AK30" s="99">
        <v>0</v>
      </c>
      <c r="AL30" s="99">
        <v>0</v>
      </c>
      <c r="AM30" s="99">
        <v>0</v>
      </c>
      <c r="AN30" s="99">
        <v>0</v>
      </c>
      <c r="AO30" s="99">
        <v>0</v>
      </c>
      <c r="AP30" s="99">
        <v>0</v>
      </c>
      <c r="AQ30" s="99">
        <v>0</v>
      </c>
      <c r="AR30" s="99">
        <f t="shared" si="0"/>
        <v>84.293436005806171</v>
      </c>
      <c r="AS30" s="99"/>
      <c r="AT30" s="858"/>
    </row>
    <row r="31" spans="1:46" ht="15" x14ac:dyDescent="0.25">
      <c r="A31" s="258">
        <v>24</v>
      </c>
      <c r="B31" s="258" t="s">
        <v>984</v>
      </c>
      <c r="C31" s="258" t="s">
        <v>1328</v>
      </c>
      <c r="D31" s="859" t="s">
        <v>1337</v>
      </c>
      <c r="E31" s="99">
        <v>0</v>
      </c>
      <c r="F31" s="99">
        <v>0</v>
      </c>
      <c r="G31" s="99">
        <v>0</v>
      </c>
      <c r="H31" s="99">
        <v>0</v>
      </c>
      <c r="I31" s="99">
        <v>0</v>
      </c>
      <c r="J31" s="99">
        <v>0</v>
      </c>
      <c r="K31" s="99">
        <v>0</v>
      </c>
      <c r="L31" s="99">
        <v>0</v>
      </c>
      <c r="M31" s="99">
        <v>0</v>
      </c>
      <c r="N31" s="99">
        <v>0</v>
      </c>
      <c r="O31" s="99">
        <v>0</v>
      </c>
      <c r="P31" s="99">
        <v>0</v>
      </c>
      <c r="Q31" s="99">
        <v>0</v>
      </c>
      <c r="R31" s="99">
        <v>0</v>
      </c>
      <c r="S31" s="99">
        <v>0</v>
      </c>
      <c r="T31" s="99">
        <v>0</v>
      </c>
      <c r="U31" s="99">
        <v>0</v>
      </c>
      <c r="V31" s="99">
        <v>156.36047959568978</v>
      </c>
      <c r="W31" s="99">
        <v>0</v>
      </c>
      <c r="X31" s="99">
        <v>0</v>
      </c>
      <c r="Y31" s="99">
        <v>0</v>
      </c>
      <c r="Z31" s="99">
        <v>0</v>
      </c>
      <c r="AA31" s="99">
        <v>0</v>
      </c>
      <c r="AB31" s="99">
        <v>0</v>
      </c>
      <c r="AC31" s="99">
        <v>0</v>
      </c>
      <c r="AD31" s="99">
        <v>3821.4979588068559</v>
      </c>
      <c r="AE31" s="99">
        <v>0</v>
      </c>
      <c r="AF31" s="99">
        <v>0</v>
      </c>
      <c r="AG31" s="99">
        <v>0</v>
      </c>
      <c r="AH31" s="99">
        <v>0</v>
      </c>
      <c r="AI31" s="99">
        <v>0</v>
      </c>
      <c r="AJ31" s="99">
        <v>0</v>
      </c>
      <c r="AK31" s="99">
        <v>0</v>
      </c>
      <c r="AL31" s="99">
        <v>0</v>
      </c>
      <c r="AM31" s="99">
        <v>0</v>
      </c>
      <c r="AN31" s="99">
        <v>0</v>
      </c>
      <c r="AO31" s="99">
        <v>0</v>
      </c>
      <c r="AP31" s="99">
        <v>0</v>
      </c>
      <c r="AQ31" s="99">
        <v>0</v>
      </c>
      <c r="AR31" s="99">
        <f t="shared" si="0"/>
        <v>3977.8584384025457</v>
      </c>
      <c r="AS31" s="99"/>
      <c r="AT31" s="858"/>
    </row>
    <row r="32" spans="1:46" ht="15" x14ac:dyDescent="0.25">
      <c r="A32" s="258">
        <v>25</v>
      </c>
      <c r="B32" s="258" t="s">
        <v>984</v>
      </c>
      <c r="C32" s="258" t="s">
        <v>1328</v>
      </c>
      <c r="D32" s="859" t="s">
        <v>1338</v>
      </c>
      <c r="E32" s="99">
        <v>0</v>
      </c>
      <c r="F32" s="99">
        <v>0</v>
      </c>
      <c r="G32" s="99">
        <v>0</v>
      </c>
      <c r="H32" s="99">
        <v>0</v>
      </c>
      <c r="I32" s="99">
        <v>0</v>
      </c>
      <c r="J32" s="99">
        <v>0</v>
      </c>
      <c r="K32" s="99">
        <v>0</v>
      </c>
      <c r="L32" s="99">
        <v>0</v>
      </c>
      <c r="M32" s="99">
        <v>0</v>
      </c>
      <c r="N32" s="99">
        <v>0</v>
      </c>
      <c r="O32" s="99">
        <v>0</v>
      </c>
      <c r="P32" s="99">
        <v>2099.2314296980671</v>
      </c>
      <c r="Q32" s="99">
        <v>0</v>
      </c>
      <c r="R32" s="99">
        <v>0</v>
      </c>
      <c r="S32" s="99">
        <v>0</v>
      </c>
      <c r="T32" s="99">
        <v>0</v>
      </c>
      <c r="U32" s="99">
        <v>0</v>
      </c>
      <c r="V32" s="99">
        <v>0</v>
      </c>
      <c r="W32" s="99">
        <v>0</v>
      </c>
      <c r="X32" s="99">
        <v>0</v>
      </c>
      <c r="Y32" s="99">
        <v>0</v>
      </c>
      <c r="Z32" s="99">
        <v>0</v>
      </c>
      <c r="AA32" s="99">
        <v>0</v>
      </c>
      <c r="AB32" s="99">
        <v>0</v>
      </c>
      <c r="AC32" s="99">
        <v>0</v>
      </c>
      <c r="AD32" s="99">
        <v>2859.6910021978842</v>
      </c>
      <c r="AE32" s="99">
        <v>0</v>
      </c>
      <c r="AF32" s="99">
        <v>0</v>
      </c>
      <c r="AG32" s="99">
        <v>0</v>
      </c>
      <c r="AH32" s="99">
        <v>0</v>
      </c>
      <c r="AI32" s="99">
        <v>0</v>
      </c>
      <c r="AJ32" s="99">
        <v>0</v>
      </c>
      <c r="AK32" s="99">
        <v>0</v>
      </c>
      <c r="AL32" s="99">
        <v>0</v>
      </c>
      <c r="AM32" s="99">
        <v>0</v>
      </c>
      <c r="AN32" s="99">
        <v>0</v>
      </c>
      <c r="AO32" s="99">
        <v>0</v>
      </c>
      <c r="AP32" s="99">
        <v>0</v>
      </c>
      <c r="AQ32" s="99">
        <v>0</v>
      </c>
      <c r="AR32" s="99">
        <f t="shared" si="0"/>
        <v>4958.9224318959514</v>
      </c>
      <c r="AS32" s="99"/>
      <c r="AT32" s="858"/>
    </row>
    <row r="33" spans="1:46" ht="15" x14ac:dyDescent="0.25">
      <c r="A33" s="258">
        <v>26</v>
      </c>
      <c r="B33" s="258" t="s">
        <v>984</v>
      </c>
      <c r="C33" s="258" t="s">
        <v>1328</v>
      </c>
      <c r="D33" s="859" t="s">
        <v>1339</v>
      </c>
      <c r="E33" s="99">
        <v>0</v>
      </c>
      <c r="F33" s="99">
        <v>0</v>
      </c>
      <c r="G33" s="99">
        <v>0</v>
      </c>
      <c r="H33" s="99">
        <v>0</v>
      </c>
      <c r="I33" s="99">
        <v>0</v>
      </c>
      <c r="J33" s="99">
        <v>0</v>
      </c>
      <c r="K33" s="99">
        <v>0</v>
      </c>
      <c r="L33" s="99">
        <v>0</v>
      </c>
      <c r="M33" s="99">
        <v>0</v>
      </c>
      <c r="N33" s="99">
        <v>0</v>
      </c>
      <c r="O33" s="99">
        <v>0</v>
      </c>
      <c r="P33" s="99">
        <v>0</v>
      </c>
      <c r="Q33" s="99">
        <v>0</v>
      </c>
      <c r="R33" s="99">
        <v>0</v>
      </c>
      <c r="S33" s="99">
        <v>0</v>
      </c>
      <c r="T33" s="99">
        <v>0</v>
      </c>
      <c r="U33" s="99">
        <v>0</v>
      </c>
      <c r="V33" s="99">
        <v>0</v>
      </c>
      <c r="W33" s="99">
        <v>0</v>
      </c>
      <c r="X33" s="99">
        <v>0</v>
      </c>
      <c r="Y33" s="99">
        <v>0</v>
      </c>
      <c r="Z33" s="99">
        <v>0</v>
      </c>
      <c r="AA33" s="99">
        <v>0</v>
      </c>
      <c r="AB33" s="99">
        <v>0</v>
      </c>
      <c r="AC33" s="99">
        <v>0</v>
      </c>
      <c r="AD33" s="99">
        <v>745.55354534593516</v>
      </c>
      <c r="AE33" s="99">
        <v>0</v>
      </c>
      <c r="AF33" s="99">
        <v>0</v>
      </c>
      <c r="AG33" s="99">
        <v>0</v>
      </c>
      <c r="AH33" s="99">
        <v>0</v>
      </c>
      <c r="AI33" s="99">
        <v>0</v>
      </c>
      <c r="AJ33" s="99">
        <v>0</v>
      </c>
      <c r="AK33" s="99">
        <v>0</v>
      </c>
      <c r="AL33" s="99">
        <v>0</v>
      </c>
      <c r="AM33" s="99">
        <v>0</v>
      </c>
      <c r="AN33" s="99">
        <v>0</v>
      </c>
      <c r="AO33" s="99">
        <v>0</v>
      </c>
      <c r="AP33" s="99">
        <v>0</v>
      </c>
      <c r="AQ33" s="99">
        <v>0</v>
      </c>
      <c r="AR33" s="99">
        <f t="shared" si="0"/>
        <v>745.55354534593516</v>
      </c>
      <c r="AS33" s="99"/>
      <c r="AT33" s="858"/>
    </row>
    <row r="34" spans="1:46" ht="15" x14ac:dyDescent="0.25">
      <c r="A34" s="258">
        <v>27</v>
      </c>
      <c r="B34" s="258" t="s">
        <v>984</v>
      </c>
      <c r="C34" s="258" t="s">
        <v>1328</v>
      </c>
      <c r="D34" s="859" t="s">
        <v>1340</v>
      </c>
      <c r="E34" s="99">
        <v>134.1858912709038</v>
      </c>
      <c r="F34" s="99">
        <v>0</v>
      </c>
      <c r="G34" s="99">
        <v>0</v>
      </c>
      <c r="H34" s="99">
        <v>0</v>
      </c>
      <c r="I34" s="99">
        <v>0</v>
      </c>
      <c r="J34" s="99">
        <v>0</v>
      </c>
      <c r="K34" s="99">
        <v>0.58927421032966842</v>
      </c>
      <c r="L34" s="99">
        <v>0</v>
      </c>
      <c r="M34" s="99">
        <v>0</v>
      </c>
      <c r="N34" s="99">
        <v>0</v>
      </c>
      <c r="O34" s="99">
        <v>0</v>
      </c>
      <c r="P34" s="99">
        <v>0</v>
      </c>
      <c r="Q34" s="99">
        <v>0</v>
      </c>
      <c r="R34" s="99">
        <v>0</v>
      </c>
      <c r="S34" s="99">
        <v>0</v>
      </c>
      <c r="T34" s="99">
        <v>0</v>
      </c>
      <c r="U34" s="99">
        <v>0</v>
      </c>
      <c r="V34" s="99">
        <v>62.332893892876335</v>
      </c>
      <c r="W34" s="99">
        <v>2814.0101990870094</v>
      </c>
      <c r="X34" s="99">
        <v>0</v>
      </c>
      <c r="Y34" s="99">
        <v>0</v>
      </c>
      <c r="Z34" s="99">
        <v>0</v>
      </c>
      <c r="AA34" s="99">
        <v>0</v>
      </c>
      <c r="AB34" s="99">
        <v>0</v>
      </c>
      <c r="AC34" s="99">
        <v>0</v>
      </c>
      <c r="AD34" s="99">
        <v>0</v>
      </c>
      <c r="AE34" s="99">
        <v>0</v>
      </c>
      <c r="AF34" s="99">
        <v>0</v>
      </c>
      <c r="AG34" s="99">
        <v>0</v>
      </c>
      <c r="AH34" s="99">
        <v>0</v>
      </c>
      <c r="AI34" s="99">
        <v>0</v>
      </c>
      <c r="AJ34" s="99">
        <v>0</v>
      </c>
      <c r="AK34" s="99">
        <v>0</v>
      </c>
      <c r="AL34" s="99">
        <v>0</v>
      </c>
      <c r="AM34" s="99">
        <v>0</v>
      </c>
      <c r="AN34" s="99">
        <v>0</v>
      </c>
      <c r="AO34" s="99">
        <v>0</v>
      </c>
      <c r="AP34" s="99">
        <v>0</v>
      </c>
      <c r="AQ34" s="99">
        <v>0</v>
      </c>
      <c r="AR34" s="99">
        <f t="shared" si="0"/>
        <v>3011.1182584611192</v>
      </c>
      <c r="AS34" s="99"/>
      <c r="AT34" s="858"/>
    </row>
    <row r="35" spans="1:46" ht="15" x14ac:dyDescent="0.25">
      <c r="A35" s="258">
        <v>28</v>
      </c>
      <c r="B35" s="258" t="s">
        <v>984</v>
      </c>
      <c r="C35" s="258" t="s">
        <v>1328</v>
      </c>
      <c r="D35" s="859" t="s">
        <v>1341</v>
      </c>
      <c r="E35" s="99">
        <v>0</v>
      </c>
      <c r="F35" s="99">
        <v>0</v>
      </c>
      <c r="G35" s="99">
        <v>0</v>
      </c>
      <c r="H35" s="99">
        <v>0</v>
      </c>
      <c r="I35" s="99">
        <v>0</v>
      </c>
      <c r="J35" s="99">
        <v>0</v>
      </c>
      <c r="K35" s="99">
        <v>0</v>
      </c>
      <c r="L35" s="99">
        <v>0</v>
      </c>
      <c r="M35" s="99">
        <v>0</v>
      </c>
      <c r="N35" s="99">
        <v>0</v>
      </c>
      <c r="O35" s="99">
        <v>0</v>
      </c>
      <c r="P35" s="99">
        <v>0</v>
      </c>
      <c r="Q35" s="99">
        <v>0</v>
      </c>
      <c r="R35" s="99">
        <v>0</v>
      </c>
      <c r="S35" s="99">
        <v>0</v>
      </c>
      <c r="T35" s="99">
        <v>0</v>
      </c>
      <c r="U35" s="99">
        <v>0</v>
      </c>
      <c r="V35" s="99">
        <v>2030.0450104264721</v>
      </c>
      <c r="W35" s="99">
        <v>808.70468545190579</v>
      </c>
      <c r="X35" s="99">
        <v>0</v>
      </c>
      <c r="Y35" s="99">
        <v>0</v>
      </c>
      <c r="Z35" s="99">
        <v>0</v>
      </c>
      <c r="AA35" s="99">
        <v>0</v>
      </c>
      <c r="AB35" s="99">
        <v>0</v>
      </c>
      <c r="AC35" s="99">
        <v>0</v>
      </c>
      <c r="AD35" s="99">
        <v>2150.2817947117769</v>
      </c>
      <c r="AE35" s="99">
        <v>0</v>
      </c>
      <c r="AF35" s="99">
        <v>0</v>
      </c>
      <c r="AG35" s="99">
        <v>0</v>
      </c>
      <c r="AH35" s="99">
        <v>0</v>
      </c>
      <c r="AI35" s="99">
        <v>0</v>
      </c>
      <c r="AJ35" s="99">
        <v>0</v>
      </c>
      <c r="AK35" s="99">
        <v>0</v>
      </c>
      <c r="AL35" s="99">
        <v>0</v>
      </c>
      <c r="AM35" s="99">
        <v>0</v>
      </c>
      <c r="AN35" s="99">
        <v>0</v>
      </c>
      <c r="AO35" s="99">
        <v>0</v>
      </c>
      <c r="AP35" s="99">
        <v>0</v>
      </c>
      <c r="AQ35" s="99">
        <v>0</v>
      </c>
      <c r="AR35" s="99">
        <f t="shared" si="0"/>
        <v>4989.0314905901541</v>
      </c>
      <c r="AS35" s="99"/>
      <c r="AT35" s="858"/>
    </row>
    <row r="36" spans="1:46" ht="15" x14ac:dyDescent="0.25">
      <c r="A36" s="258">
        <v>29</v>
      </c>
      <c r="B36" s="258" t="s">
        <v>984</v>
      </c>
      <c r="C36" s="258" t="s">
        <v>1328</v>
      </c>
      <c r="D36" s="859" t="s">
        <v>1342</v>
      </c>
      <c r="E36" s="99">
        <v>0</v>
      </c>
      <c r="F36" s="99">
        <v>0</v>
      </c>
      <c r="G36" s="99">
        <v>0</v>
      </c>
      <c r="H36" s="99">
        <v>0</v>
      </c>
      <c r="I36" s="99">
        <v>0</v>
      </c>
      <c r="J36" s="99">
        <v>0</v>
      </c>
      <c r="K36" s="99">
        <v>0</v>
      </c>
      <c r="L36" s="99">
        <v>0</v>
      </c>
      <c r="M36" s="99">
        <v>0</v>
      </c>
      <c r="N36" s="99">
        <v>0</v>
      </c>
      <c r="O36" s="99">
        <v>0</v>
      </c>
      <c r="P36" s="99">
        <v>0</v>
      </c>
      <c r="Q36" s="99">
        <v>0</v>
      </c>
      <c r="R36" s="99">
        <v>0</v>
      </c>
      <c r="S36" s="99">
        <v>0</v>
      </c>
      <c r="T36" s="99">
        <v>0</v>
      </c>
      <c r="U36" s="99">
        <v>0</v>
      </c>
      <c r="V36" s="99">
        <v>1550.398674369424</v>
      </c>
      <c r="W36" s="99">
        <v>1796.0766851315582</v>
      </c>
      <c r="X36" s="99">
        <v>0</v>
      </c>
      <c r="Y36" s="99">
        <v>0</v>
      </c>
      <c r="Z36" s="99">
        <v>0</v>
      </c>
      <c r="AA36" s="99">
        <v>0</v>
      </c>
      <c r="AB36" s="99">
        <v>0</v>
      </c>
      <c r="AC36" s="99">
        <v>0</v>
      </c>
      <c r="AD36" s="99">
        <v>0</v>
      </c>
      <c r="AE36" s="99">
        <v>0</v>
      </c>
      <c r="AF36" s="99">
        <v>0</v>
      </c>
      <c r="AG36" s="99">
        <v>0</v>
      </c>
      <c r="AH36" s="99">
        <v>0</v>
      </c>
      <c r="AI36" s="99">
        <v>0</v>
      </c>
      <c r="AJ36" s="99">
        <v>0</v>
      </c>
      <c r="AK36" s="99">
        <v>0</v>
      </c>
      <c r="AL36" s="99">
        <v>0</v>
      </c>
      <c r="AM36" s="99">
        <v>0</v>
      </c>
      <c r="AN36" s="99">
        <v>0</v>
      </c>
      <c r="AO36" s="99">
        <v>0</v>
      </c>
      <c r="AP36" s="99">
        <v>0</v>
      </c>
      <c r="AQ36" s="99">
        <v>0</v>
      </c>
      <c r="AR36" s="99">
        <f t="shared" si="0"/>
        <v>3346.4753595009824</v>
      </c>
      <c r="AS36" s="99"/>
      <c r="AT36" s="858"/>
    </row>
    <row r="37" spans="1:46" ht="15" x14ac:dyDescent="0.25">
      <c r="A37" s="258">
        <v>30</v>
      </c>
      <c r="B37" s="258" t="s">
        <v>984</v>
      </c>
      <c r="C37" s="258" t="s">
        <v>1328</v>
      </c>
      <c r="D37" s="859" t="s">
        <v>1343</v>
      </c>
      <c r="E37" s="99">
        <v>1318.2657889690988</v>
      </c>
      <c r="F37" s="99">
        <v>0</v>
      </c>
      <c r="G37" s="99">
        <v>0</v>
      </c>
      <c r="H37" s="99">
        <v>0</v>
      </c>
      <c r="I37" s="99">
        <v>0</v>
      </c>
      <c r="J37" s="99">
        <v>0</v>
      </c>
      <c r="K37" s="99">
        <v>0</v>
      </c>
      <c r="L37" s="99">
        <v>0</v>
      </c>
      <c r="M37" s="99">
        <v>0</v>
      </c>
      <c r="N37" s="99">
        <v>0</v>
      </c>
      <c r="O37" s="99">
        <v>3123.5003243542919</v>
      </c>
      <c r="P37" s="99">
        <v>1066.9717892881204</v>
      </c>
      <c r="Q37" s="99">
        <v>0</v>
      </c>
      <c r="R37" s="99">
        <v>0</v>
      </c>
      <c r="S37" s="99">
        <v>0</v>
      </c>
      <c r="T37" s="99">
        <v>0</v>
      </c>
      <c r="U37" s="99">
        <v>0</v>
      </c>
      <c r="V37" s="99">
        <v>1379.7755834592626</v>
      </c>
      <c r="W37" s="99">
        <v>3152.5377418343187</v>
      </c>
      <c r="X37" s="99">
        <v>0</v>
      </c>
      <c r="Y37" s="99">
        <v>0</v>
      </c>
      <c r="Z37" s="99">
        <v>0</v>
      </c>
      <c r="AA37" s="99">
        <v>0</v>
      </c>
      <c r="AB37" s="99">
        <v>0</v>
      </c>
      <c r="AC37" s="99">
        <v>0</v>
      </c>
      <c r="AD37" s="99">
        <v>0</v>
      </c>
      <c r="AE37" s="99">
        <v>0</v>
      </c>
      <c r="AF37" s="99">
        <v>0</v>
      </c>
      <c r="AG37" s="99">
        <v>0</v>
      </c>
      <c r="AH37" s="99">
        <v>0</v>
      </c>
      <c r="AI37" s="99">
        <v>0</v>
      </c>
      <c r="AJ37" s="99">
        <v>0</v>
      </c>
      <c r="AK37" s="99">
        <v>0</v>
      </c>
      <c r="AL37" s="99">
        <v>0</v>
      </c>
      <c r="AM37" s="99">
        <v>0</v>
      </c>
      <c r="AN37" s="99">
        <v>0</v>
      </c>
      <c r="AO37" s="99">
        <v>0</v>
      </c>
      <c r="AP37" s="99">
        <v>0</v>
      </c>
      <c r="AQ37" s="99">
        <v>0</v>
      </c>
      <c r="AR37" s="99">
        <f t="shared" si="0"/>
        <v>10041.051227905093</v>
      </c>
      <c r="AS37" s="99"/>
      <c r="AT37" s="858"/>
    </row>
    <row r="38" spans="1:46" ht="15" x14ac:dyDescent="0.25">
      <c r="A38" s="258">
        <v>31</v>
      </c>
      <c r="B38" s="258" t="s">
        <v>984</v>
      </c>
      <c r="C38" s="258" t="s">
        <v>1328</v>
      </c>
      <c r="D38" s="859" t="s">
        <v>1344</v>
      </c>
      <c r="E38" s="99">
        <v>0</v>
      </c>
      <c r="F38" s="99">
        <v>0</v>
      </c>
      <c r="G38" s="99">
        <v>0</v>
      </c>
      <c r="H38" s="99">
        <v>0</v>
      </c>
      <c r="I38" s="99">
        <v>0</v>
      </c>
      <c r="J38" s="99">
        <v>0</v>
      </c>
      <c r="K38" s="99">
        <v>0</v>
      </c>
      <c r="L38" s="99">
        <v>0</v>
      </c>
      <c r="M38" s="99">
        <v>0</v>
      </c>
      <c r="N38" s="99">
        <v>0</v>
      </c>
      <c r="O38" s="99">
        <v>2140.5904192419075</v>
      </c>
      <c r="P38" s="99">
        <v>0</v>
      </c>
      <c r="Q38" s="99">
        <v>0</v>
      </c>
      <c r="R38" s="99">
        <v>0</v>
      </c>
      <c r="S38" s="99">
        <v>0</v>
      </c>
      <c r="T38" s="99">
        <v>0</v>
      </c>
      <c r="U38" s="99">
        <v>0</v>
      </c>
      <c r="V38" s="99">
        <v>224.76818941880401</v>
      </c>
      <c r="W38" s="99">
        <v>32.912399989321749</v>
      </c>
      <c r="X38" s="99">
        <v>0</v>
      </c>
      <c r="Y38" s="99">
        <v>0</v>
      </c>
      <c r="Z38" s="99">
        <v>0</v>
      </c>
      <c r="AA38" s="99">
        <v>0</v>
      </c>
      <c r="AB38" s="99">
        <v>0</v>
      </c>
      <c r="AC38" s="99">
        <v>0</v>
      </c>
      <c r="AD38" s="99">
        <v>0</v>
      </c>
      <c r="AE38" s="99">
        <v>0</v>
      </c>
      <c r="AF38" s="99">
        <v>0</v>
      </c>
      <c r="AG38" s="99">
        <v>0</v>
      </c>
      <c r="AH38" s="99">
        <v>0</v>
      </c>
      <c r="AI38" s="99">
        <v>0</v>
      </c>
      <c r="AJ38" s="99">
        <v>0</v>
      </c>
      <c r="AK38" s="99">
        <v>0</v>
      </c>
      <c r="AL38" s="99">
        <v>0</v>
      </c>
      <c r="AM38" s="99">
        <v>0</v>
      </c>
      <c r="AN38" s="99">
        <v>0</v>
      </c>
      <c r="AO38" s="99">
        <v>0</v>
      </c>
      <c r="AP38" s="99">
        <v>0</v>
      </c>
      <c r="AQ38" s="99">
        <v>0</v>
      </c>
      <c r="AR38" s="99">
        <f t="shared" si="0"/>
        <v>2398.2710086500333</v>
      </c>
      <c r="AS38" s="99"/>
      <c r="AT38" s="858"/>
    </row>
    <row r="39" spans="1:46" ht="15" x14ac:dyDescent="0.25">
      <c r="A39" s="258">
        <v>32</v>
      </c>
      <c r="B39" s="258" t="s">
        <v>347</v>
      </c>
      <c r="C39" s="258" t="s">
        <v>1345</v>
      </c>
      <c r="D39" s="859" t="s">
        <v>1346</v>
      </c>
      <c r="E39" s="99">
        <v>0</v>
      </c>
      <c r="F39" s="99">
        <v>0</v>
      </c>
      <c r="G39" s="99">
        <v>0</v>
      </c>
      <c r="H39" s="99">
        <v>0</v>
      </c>
      <c r="I39" s="99">
        <v>0</v>
      </c>
      <c r="J39" s="99">
        <v>0</v>
      </c>
      <c r="K39" s="99">
        <v>0</v>
      </c>
      <c r="L39" s="99">
        <v>0</v>
      </c>
      <c r="M39" s="99">
        <v>0</v>
      </c>
      <c r="N39" s="99">
        <v>0</v>
      </c>
      <c r="O39" s="99">
        <v>0</v>
      </c>
      <c r="P39" s="99">
        <v>0</v>
      </c>
      <c r="Q39" s="99">
        <v>0</v>
      </c>
      <c r="R39" s="99">
        <v>0</v>
      </c>
      <c r="S39" s="99">
        <v>0</v>
      </c>
      <c r="T39" s="99">
        <v>0</v>
      </c>
      <c r="U39" s="99">
        <v>0</v>
      </c>
      <c r="V39" s="99">
        <v>0</v>
      </c>
      <c r="W39" s="99">
        <v>0</v>
      </c>
      <c r="X39" s="99">
        <v>0</v>
      </c>
      <c r="Y39" s="99">
        <v>0</v>
      </c>
      <c r="Z39" s="99">
        <v>0</v>
      </c>
      <c r="AA39" s="99">
        <v>0</v>
      </c>
      <c r="AB39" s="99">
        <v>0</v>
      </c>
      <c r="AC39" s="99">
        <v>0</v>
      </c>
      <c r="AD39" s="99">
        <v>0</v>
      </c>
      <c r="AE39" s="99">
        <v>0</v>
      </c>
      <c r="AF39" s="99">
        <v>0</v>
      </c>
      <c r="AG39" s="99">
        <v>0</v>
      </c>
      <c r="AH39" s="99">
        <v>0</v>
      </c>
      <c r="AI39" s="99">
        <v>0</v>
      </c>
      <c r="AJ39" s="99">
        <v>0</v>
      </c>
      <c r="AK39" s="99">
        <v>0</v>
      </c>
      <c r="AL39" s="99">
        <v>0</v>
      </c>
      <c r="AM39" s="99">
        <v>0</v>
      </c>
      <c r="AN39" s="99">
        <v>0</v>
      </c>
      <c r="AO39" s="99">
        <v>0</v>
      </c>
      <c r="AP39" s="99">
        <v>0</v>
      </c>
      <c r="AQ39" s="99">
        <v>0</v>
      </c>
      <c r="AR39" s="99">
        <f t="shared" si="0"/>
        <v>0</v>
      </c>
      <c r="AS39" s="99"/>
      <c r="AT39" s="858"/>
    </row>
    <row r="40" spans="1:46" ht="15" x14ac:dyDescent="0.25">
      <c r="A40" s="258">
        <v>33</v>
      </c>
      <c r="B40" s="258" t="s">
        <v>347</v>
      </c>
      <c r="C40" s="258" t="s">
        <v>1345</v>
      </c>
      <c r="D40" s="859" t="s">
        <v>1347</v>
      </c>
      <c r="E40" s="99">
        <v>0</v>
      </c>
      <c r="F40" s="99">
        <v>0</v>
      </c>
      <c r="G40" s="99">
        <v>0</v>
      </c>
      <c r="H40" s="99">
        <v>0</v>
      </c>
      <c r="I40" s="99">
        <v>0</v>
      </c>
      <c r="J40" s="99">
        <v>0</v>
      </c>
      <c r="K40" s="99">
        <v>0</v>
      </c>
      <c r="L40" s="99">
        <v>0</v>
      </c>
      <c r="M40" s="99">
        <v>0</v>
      </c>
      <c r="N40" s="99">
        <v>0</v>
      </c>
      <c r="O40" s="99">
        <v>0</v>
      </c>
      <c r="P40" s="99">
        <v>0</v>
      </c>
      <c r="Q40" s="99">
        <v>0</v>
      </c>
      <c r="R40" s="99">
        <v>0</v>
      </c>
      <c r="S40" s="99">
        <v>0</v>
      </c>
      <c r="T40" s="99">
        <v>0</v>
      </c>
      <c r="U40" s="99">
        <v>0</v>
      </c>
      <c r="V40" s="99">
        <v>0.52824486349895194</v>
      </c>
      <c r="W40" s="99">
        <v>0</v>
      </c>
      <c r="X40" s="99">
        <v>0</v>
      </c>
      <c r="Y40" s="99">
        <v>0</v>
      </c>
      <c r="Z40" s="99">
        <v>0</v>
      </c>
      <c r="AA40" s="99">
        <v>0</v>
      </c>
      <c r="AB40" s="99">
        <v>0</v>
      </c>
      <c r="AC40" s="99">
        <v>0</v>
      </c>
      <c r="AD40" s="99">
        <v>0</v>
      </c>
      <c r="AE40" s="99">
        <v>0</v>
      </c>
      <c r="AF40" s="99">
        <v>0</v>
      </c>
      <c r="AG40" s="99">
        <v>0</v>
      </c>
      <c r="AH40" s="99">
        <v>0</v>
      </c>
      <c r="AI40" s="99">
        <v>0</v>
      </c>
      <c r="AJ40" s="99">
        <v>0</v>
      </c>
      <c r="AK40" s="99">
        <v>0</v>
      </c>
      <c r="AL40" s="99">
        <v>0</v>
      </c>
      <c r="AM40" s="99">
        <v>0</v>
      </c>
      <c r="AN40" s="99">
        <v>0</v>
      </c>
      <c r="AO40" s="99">
        <v>0</v>
      </c>
      <c r="AP40" s="99">
        <v>0</v>
      </c>
      <c r="AQ40" s="99">
        <v>0</v>
      </c>
      <c r="AR40" s="99">
        <f t="shared" si="0"/>
        <v>0.52824486349895194</v>
      </c>
      <c r="AS40" s="99"/>
      <c r="AT40" s="858"/>
    </row>
    <row r="41" spans="1:46" ht="15" x14ac:dyDescent="0.25">
      <c r="A41" s="258">
        <v>34</v>
      </c>
      <c r="B41" s="258" t="s">
        <v>347</v>
      </c>
      <c r="C41" s="258" t="s">
        <v>1345</v>
      </c>
      <c r="D41" s="859" t="s">
        <v>1348</v>
      </c>
      <c r="E41" s="99">
        <v>0</v>
      </c>
      <c r="F41" s="99">
        <v>0</v>
      </c>
      <c r="G41" s="99">
        <v>0</v>
      </c>
      <c r="H41" s="99">
        <v>0</v>
      </c>
      <c r="I41" s="99">
        <v>0</v>
      </c>
      <c r="J41" s="99">
        <v>0</v>
      </c>
      <c r="K41" s="99">
        <v>0</v>
      </c>
      <c r="L41" s="99">
        <v>0</v>
      </c>
      <c r="M41" s="99">
        <v>0</v>
      </c>
      <c r="N41" s="99">
        <v>0</v>
      </c>
      <c r="O41" s="99">
        <v>0</v>
      </c>
      <c r="P41" s="99">
        <v>0</v>
      </c>
      <c r="Q41" s="99">
        <v>0</v>
      </c>
      <c r="R41" s="99">
        <v>0</v>
      </c>
      <c r="S41" s="99">
        <v>0</v>
      </c>
      <c r="T41" s="99">
        <v>0</v>
      </c>
      <c r="U41" s="99">
        <v>0</v>
      </c>
      <c r="V41" s="99">
        <v>3.6977140444926633</v>
      </c>
      <c r="W41" s="99">
        <v>0</v>
      </c>
      <c r="X41" s="99">
        <v>0</v>
      </c>
      <c r="Y41" s="99">
        <v>0</v>
      </c>
      <c r="Z41" s="99">
        <v>0</v>
      </c>
      <c r="AA41" s="99">
        <v>0</v>
      </c>
      <c r="AB41" s="99">
        <v>0</v>
      </c>
      <c r="AC41" s="99">
        <v>0</v>
      </c>
      <c r="AD41" s="99">
        <v>0</v>
      </c>
      <c r="AE41" s="99">
        <v>0</v>
      </c>
      <c r="AF41" s="99">
        <v>0</v>
      </c>
      <c r="AG41" s="99">
        <v>0</v>
      </c>
      <c r="AH41" s="99">
        <v>0</v>
      </c>
      <c r="AI41" s="99">
        <v>0</v>
      </c>
      <c r="AJ41" s="99">
        <v>0</v>
      </c>
      <c r="AK41" s="99">
        <v>0</v>
      </c>
      <c r="AL41" s="99">
        <v>0</v>
      </c>
      <c r="AM41" s="99">
        <v>0</v>
      </c>
      <c r="AN41" s="99">
        <v>0</v>
      </c>
      <c r="AO41" s="99">
        <v>0</v>
      </c>
      <c r="AP41" s="99">
        <v>0</v>
      </c>
      <c r="AQ41" s="99">
        <v>0</v>
      </c>
      <c r="AR41" s="99">
        <f t="shared" si="0"/>
        <v>3.6977140444926633</v>
      </c>
      <c r="AS41" s="99"/>
      <c r="AT41" s="858"/>
    </row>
    <row r="42" spans="1:46" ht="15" x14ac:dyDescent="0.25">
      <c r="A42" s="258">
        <v>35</v>
      </c>
      <c r="B42" s="258" t="s">
        <v>347</v>
      </c>
      <c r="C42" s="258" t="s">
        <v>1345</v>
      </c>
      <c r="D42" s="859" t="s">
        <v>1349</v>
      </c>
      <c r="E42" s="99">
        <v>28.016834441177714</v>
      </c>
      <c r="F42" s="99">
        <v>0</v>
      </c>
      <c r="G42" s="99">
        <v>0</v>
      </c>
      <c r="H42" s="99">
        <v>0</v>
      </c>
      <c r="I42" s="99">
        <v>0</v>
      </c>
      <c r="J42" s="99">
        <v>0</v>
      </c>
      <c r="K42" s="99">
        <v>0</v>
      </c>
      <c r="L42" s="99">
        <v>0</v>
      </c>
      <c r="M42" s="99">
        <v>0</v>
      </c>
      <c r="N42" s="99">
        <v>0</v>
      </c>
      <c r="O42" s="99">
        <v>0</v>
      </c>
      <c r="P42" s="99">
        <v>0</v>
      </c>
      <c r="Q42" s="99">
        <v>0</v>
      </c>
      <c r="R42" s="99">
        <v>0</v>
      </c>
      <c r="S42" s="99">
        <v>0</v>
      </c>
      <c r="T42" s="99">
        <v>0</v>
      </c>
      <c r="U42" s="99">
        <v>0</v>
      </c>
      <c r="V42" s="99">
        <v>0.52824486349895194</v>
      </c>
      <c r="W42" s="99">
        <v>0</v>
      </c>
      <c r="X42" s="99">
        <v>0</v>
      </c>
      <c r="Y42" s="99">
        <v>0</v>
      </c>
      <c r="Z42" s="99">
        <v>0</v>
      </c>
      <c r="AA42" s="99">
        <v>0</v>
      </c>
      <c r="AB42" s="99">
        <v>0</v>
      </c>
      <c r="AC42" s="99">
        <v>0</v>
      </c>
      <c r="AD42" s="99">
        <v>0</v>
      </c>
      <c r="AE42" s="99">
        <v>0</v>
      </c>
      <c r="AF42" s="99">
        <v>0</v>
      </c>
      <c r="AG42" s="99">
        <v>0</v>
      </c>
      <c r="AH42" s="99">
        <v>0</v>
      </c>
      <c r="AI42" s="99">
        <v>0</v>
      </c>
      <c r="AJ42" s="99">
        <v>0</v>
      </c>
      <c r="AK42" s="99">
        <v>0</v>
      </c>
      <c r="AL42" s="99">
        <v>0</v>
      </c>
      <c r="AM42" s="99">
        <v>0</v>
      </c>
      <c r="AN42" s="99">
        <v>0</v>
      </c>
      <c r="AO42" s="99">
        <v>0</v>
      </c>
      <c r="AP42" s="99">
        <v>0</v>
      </c>
      <c r="AQ42" s="99">
        <v>0</v>
      </c>
      <c r="AR42" s="99">
        <f t="shared" si="0"/>
        <v>28.545079304676666</v>
      </c>
      <c r="AS42" s="99"/>
      <c r="AT42" s="858"/>
    </row>
    <row r="43" spans="1:46" ht="15" x14ac:dyDescent="0.25">
      <c r="A43" s="258">
        <v>36</v>
      </c>
      <c r="B43" s="258" t="s">
        <v>347</v>
      </c>
      <c r="C43" s="258" t="s">
        <v>1345</v>
      </c>
      <c r="D43" s="859" t="s">
        <v>1350</v>
      </c>
      <c r="E43" s="99">
        <v>22.3292063967281</v>
      </c>
      <c r="F43" s="99">
        <v>0</v>
      </c>
      <c r="G43" s="99">
        <v>0</v>
      </c>
      <c r="H43" s="99">
        <v>0</v>
      </c>
      <c r="I43" s="99">
        <v>0</v>
      </c>
      <c r="J43" s="99">
        <v>0</v>
      </c>
      <c r="K43" s="99">
        <v>0</v>
      </c>
      <c r="L43" s="99">
        <v>0</v>
      </c>
      <c r="M43" s="99">
        <v>0</v>
      </c>
      <c r="N43" s="99">
        <v>0</v>
      </c>
      <c r="O43" s="99">
        <v>0</v>
      </c>
      <c r="P43" s="99">
        <v>0</v>
      </c>
      <c r="Q43" s="99">
        <v>0</v>
      </c>
      <c r="R43" s="99">
        <v>0</v>
      </c>
      <c r="S43" s="99">
        <v>0</v>
      </c>
      <c r="T43" s="99">
        <v>0</v>
      </c>
      <c r="U43" s="99">
        <v>0</v>
      </c>
      <c r="V43" s="99">
        <v>0</v>
      </c>
      <c r="W43" s="99">
        <v>1003.8281996743133</v>
      </c>
      <c r="X43" s="99">
        <v>0</v>
      </c>
      <c r="Y43" s="99">
        <v>0</v>
      </c>
      <c r="Z43" s="99">
        <v>0</v>
      </c>
      <c r="AA43" s="99">
        <v>0</v>
      </c>
      <c r="AB43" s="99">
        <v>0</v>
      </c>
      <c r="AC43" s="99">
        <v>0</v>
      </c>
      <c r="AD43" s="99">
        <v>0</v>
      </c>
      <c r="AE43" s="99">
        <v>0</v>
      </c>
      <c r="AF43" s="99">
        <v>0</v>
      </c>
      <c r="AG43" s="99">
        <v>0</v>
      </c>
      <c r="AH43" s="99">
        <v>0</v>
      </c>
      <c r="AI43" s="99">
        <v>0</v>
      </c>
      <c r="AJ43" s="99">
        <v>0</v>
      </c>
      <c r="AK43" s="99">
        <v>0</v>
      </c>
      <c r="AL43" s="99">
        <v>0</v>
      </c>
      <c r="AM43" s="99">
        <v>0</v>
      </c>
      <c r="AN43" s="99">
        <v>0</v>
      </c>
      <c r="AO43" s="99">
        <v>0</v>
      </c>
      <c r="AP43" s="99">
        <v>0</v>
      </c>
      <c r="AQ43" s="99">
        <v>0</v>
      </c>
      <c r="AR43" s="99">
        <f t="shared" si="0"/>
        <v>1026.1574060710414</v>
      </c>
      <c r="AS43" s="99"/>
      <c r="AT43" s="858"/>
    </row>
    <row r="44" spans="1:46" ht="15" x14ac:dyDescent="0.25">
      <c r="A44" s="258">
        <v>37</v>
      </c>
      <c r="B44" s="258" t="s">
        <v>347</v>
      </c>
      <c r="C44" s="258" t="s">
        <v>1345</v>
      </c>
      <c r="D44" s="859" t="s">
        <v>1351</v>
      </c>
      <c r="E44" s="99">
        <v>37.285561624725226</v>
      </c>
      <c r="F44" s="99">
        <v>0</v>
      </c>
      <c r="G44" s="99">
        <v>0</v>
      </c>
      <c r="H44" s="99">
        <v>0</v>
      </c>
      <c r="I44" s="99">
        <v>0</v>
      </c>
      <c r="J44" s="99">
        <v>0</v>
      </c>
      <c r="K44" s="99">
        <v>0</v>
      </c>
      <c r="L44" s="99">
        <v>0</v>
      </c>
      <c r="M44" s="99">
        <v>0</v>
      </c>
      <c r="N44" s="99">
        <v>0</v>
      </c>
      <c r="O44" s="99">
        <v>0</v>
      </c>
      <c r="P44" s="99">
        <v>0</v>
      </c>
      <c r="Q44" s="99">
        <v>0</v>
      </c>
      <c r="R44" s="99">
        <v>0</v>
      </c>
      <c r="S44" s="99">
        <v>0</v>
      </c>
      <c r="T44" s="99">
        <v>0</v>
      </c>
      <c r="U44" s="99">
        <v>0</v>
      </c>
      <c r="V44" s="99">
        <v>236.65369884753045</v>
      </c>
      <c r="W44" s="99">
        <v>3970.6459701403173</v>
      </c>
      <c r="X44" s="99">
        <v>0</v>
      </c>
      <c r="Y44" s="99">
        <v>0</v>
      </c>
      <c r="Z44" s="99">
        <v>0</v>
      </c>
      <c r="AA44" s="99">
        <v>0</v>
      </c>
      <c r="AB44" s="99">
        <v>0</v>
      </c>
      <c r="AC44" s="99">
        <v>0</v>
      </c>
      <c r="AD44" s="99">
        <v>24.198327889206602</v>
      </c>
      <c r="AE44" s="99">
        <v>0</v>
      </c>
      <c r="AF44" s="99">
        <v>0</v>
      </c>
      <c r="AG44" s="99">
        <v>0</v>
      </c>
      <c r="AH44" s="99">
        <v>0</v>
      </c>
      <c r="AI44" s="99">
        <v>0</v>
      </c>
      <c r="AJ44" s="99">
        <v>0</v>
      </c>
      <c r="AK44" s="99">
        <v>0</v>
      </c>
      <c r="AL44" s="99">
        <v>0</v>
      </c>
      <c r="AM44" s="99">
        <v>0</v>
      </c>
      <c r="AN44" s="99">
        <v>0</v>
      </c>
      <c r="AO44" s="99">
        <v>0</v>
      </c>
      <c r="AP44" s="99">
        <v>0</v>
      </c>
      <c r="AQ44" s="99">
        <v>0</v>
      </c>
      <c r="AR44" s="99">
        <f t="shared" si="0"/>
        <v>4268.7835585017792</v>
      </c>
      <c r="AS44" s="99"/>
      <c r="AT44" s="858"/>
    </row>
    <row r="45" spans="1:46" ht="15" x14ac:dyDescent="0.25">
      <c r="A45" s="258">
        <v>38</v>
      </c>
      <c r="B45" s="258" t="s">
        <v>317</v>
      </c>
      <c r="C45" s="258" t="s">
        <v>1352</v>
      </c>
      <c r="D45" s="859" t="s">
        <v>1353</v>
      </c>
      <c r="E45" s="99">
        <v>0</v>
      </c>
      <c r="F45" s="99">
        <v>0</v>
      </c>
      <c r="G45" s="99">
        <v>0</v>
      </c>
      <c r="H45" s="99">
        <v>1.1052010709666251</v>
      </c>
      <c r="I45" s="99">
        <v>0</v>
      </c>
      <c r="J45" s="99">
        <v>0</v>
      </c>
      <c r="K45" s="99">
        <v>0</v>
      </c>
      <c r="L45" s="99">
        <v>0</v>
      </c>
      <c r="M45" s="99">
        <v>0</v>
      </c>
      <c r="N45" s="99">
        <v>0</v>
      </c>
      <c r="O45" s="99">
        <v>4626.5275619016793</v>
      </c>
      <c r="P45" s="99">
        <v>597.50420200134738</v>
      </c>
      <c r="Q45" s="99">
        <v>0</v>
      </c>
      <c r="R45" s="99">
        <v>0</v>
      </c>
      <c r="S45" s="99">
        <v>0</v>
      </c>
      <c r="T45" s="99">
        <v>0</v>
      </c>
      <c r="U45" s="99">
        <v>0</v>
      </c>
      <c r="V45" s="99">
        <v>0</v>
      </c>
      <c r="W45" s="99">
        <v>0</v>
      </c>
      <c r="X45" s="99">
        <v>0</v>
      </c>
      <c r="Y45" s="99">
        <v>0</v>
      </c>
      <c r="Z45" s="99">
        <v>0</v>
      </c>
      <c r="AA45" s="99">
        <v>0</v>
      </c>
      <c r="AB45" s="99">
        <v>0</v>
      </c>
      <c r="AC45" s="99">
        <v>0</v>
      </c>
      <c r="AD45" s="99">
        <v>0</v>
      </c>
      <c r="AE45" s="99">
        <v>0</v>
      </c>
      <c r="AF45" s="99">
        <v>0</v>
      </c>
      <c r="AG45" s="99">
        <v>0</v>
      </c>
      <c r="AH45" s="99">
        <v>0</v>
      </c>
      <c r="AI45" s="99">
        <v>0</v>
      </c>
      <c r="AJ45" s="99">
        <v>0</v>
      </c>
      <c r="AK45" s="99">
        <v>0</v>
      </c>
      <c r="AL45" s="99">
        <v>0</v>
      </c>
      <c r="AM45" s="99">
        <v>0</v>
      </c>
      <c r="AN45" s="99">
        <v>0</v>
      </c>
      <c r="AO45" s="99">
        <v>0</v>
      </c>
      <c r="AP45" s="99">
        <v>0</v>
      </c>
      <c r="AQ45" s="99">
        <v>0</v>
      </c>
      <c r="AR45" s="99">
        <f t="shared" si="0"/>
        <v>5225.1369649739927</v>
      </c>
      <c r="AS45" s="99"/>
      <c r="AT45" s="858"/>
    </row>
    <row r="46" spans="1:46" ht="15" x14ac:dyDescent="0.25">
      <c r="A46" s="258">
        <v>39</v>
      </c>
      <c r="B46" s="258" t="s">
        <v>317</v>
      </c>
      <c r="C46" s="258" t="s">
        <v>1352</v>
      </c>
      <c r="D46" s="859" t="s">
        <v>1354</v>
      </c>
      <c r="E46" s="99">
        <v>34.547074047768</v>
      </c>
      <c r="F46" s="99">
        <v>0</v>
      </c>
      <c r="G46" s="99">
        <v>0</v>
      </c>
      <c r="H46" s="99">
        <v>0</v>
      </c>
      <c r="I46" s="99">
        <v>0</v>
      </c>
      <c r="J46" s="99">
        <v>0</v>
      </c>
      <c r="K46" s="99">
        <v>0</v>
      </c>
      <c r="L46" s="99">
        <v>0</v>
      </c>
      <c r="M46" s="99">
        <v>0</v>
      </c>
      <c r="N46" s="99">
        <v>0</v>
      </c>
      <c r="O46" s="99">
        <v>15354.646625809684</v>
      </c>
      <c r="P46" s="99">
        <v>12368.33698142789</v>
      </c>
      <c r="Q46" s="99">
        <v>0</v>
      </c>
      <c r="R46" s="99">
        <v>0</v>
      </c>
      <c r="S46" s="99">
        <v>0</v>
      </c>
      <c r="T46" s="99">
        <v>0</v>
      </c>
      <c r="U46" s="99">
        <v>0</v>
      </c>
      <c r="V46" s="99">
        <v>0</v>
      </c>
      <c r="W46" s="99">
        <v>0</v>
      </c>
      <c r="X46" s="99">
        <v>0</v>
      </c>
      <c r="Y46" s="99">
        <v>0</v>
      </c>
      <c r="Z46" s="99">
        <v>0</v>
      </c>
      <c r="AA46" s="99">
        <v>0</v>
      </c>
      <c r="AB46" s="99">
        <v>0</v>
      </c>
      <c r="AC46" s="99">
        <v>0</v>
      </c>
      <c r="AD46" s="99">
        <v>0</v>
      </c>
      <c r="AE46" s="99">
        <v>0</v>
      </c>
      <c r="AF46" s="99">
        <v>61.478111624505217</v>
      </c>
      <c r="AG46" s="99">
        <v>0</v>
      </c>
      <c r="AH46" s="99">
        <v>0</v>
      </c>
      <c r="AI46" s="99">
        <v>0</v>
      </c>
      <c r="AJ46" s="99">
        <v>0</v>
      </c>
      <c r="AK46" s="99">
        <v>0</v>
      </c>
      <c r="AL46" s="99">
        <v>0</v>
      </c>
      <c r="AM46" s="99">
        <v>0</v>
      </c>
      <c r="AN46" s="99">
        <v>0</v>
      </c>
      <c r="AO46" s="99">
        <v>0</v>
      </c>
      <c r="AP46" s="99">
        <v>0</v>
      </c>
      <c r="AQ46" s="99">
        <v>0</v>
      </c>
      <c r="AR46" s="99">
        <f t="shared" si="0"/>
        <v>27819.008792909852</v>
      </c>
      <c r="AS46" s="99"/>
      <c r="AT46" s="858"/>
    </row>
    <row r="47" spans="1:46" ht="15" x14ac:dyDescent="0.25">
      <c r="A47" s="258">
        <v>40</v>
      </c>
      <c r="B47" s="258" t="s">
        <v>317</v>
      </c>
      <c r="C47" s="258" t="s">
        <v>1352</v>
      </c>
      <c r="D47" s="859" t="s">
        <v>1355</v>
      </c>
      <c r="E47" s="99">
        <v>0</v>
      </c>
      <c r="F47" s="99">
        <v>0</v>
      </c>
      <c r="G47" s="99">
        <v>0</v>
      </c>
      <c r="H47" s="99">
        <v>2.5261738764951436</v>
      </c>
      <c r="I47" s="99">
        <v>0</v>
      </c>
      <c r="J47" s="99">
        <v>0</v>
      </c>
      <c r="K47" s="99">
        <v>0</v>
      </c>
      <c r="L47" s="99">
        <v>0</v>
      </c>
      <c r="M47" s="99">
        <v>0</v>
      </c>
      <c r="N47" s="99">
        <v>0</v>
      </c>
      <c r="O47" s="99">
        <v>0</v>
      </c>
      <c r="P47" s="99">
        <v>0</v>
      </c>
      <c r="Q47" s="99">
        <v>0</v>
      </c>
      <c r="R47" s="99">
        <v>0</v>
      </c>
      <c r="S47" s="99">
        <v>0</v>
      </c>
      <c r="T47" s="99">
        <v>0</v>
      </c>
      <c r="U47" s="99">
        <v>0</v>
      </c>
      <c r="V47" s="99">
        <v>0</v>
      </c>
      <c r="W47" s="99">
        <v>0</v>
      </c>
      <c r="X47" s="99">
        <v>0</v>
      </c>
      <c r="Y47" s="99">
        <v>0</v>
      </c>
      <c r="Z47" s="99">
        <v>0</v>
      </c>
      <c r="AA47" s="99">
        <v>0</v>
      </c>
      <c r="AB47" s="99">
        <v>0</v>
      </c>
      <c r="AC47" s="99">
        <v>0</v>
      </c>
      <c r="AD47" s="99">
        <v>0</v>
      </c>
      <c r="AE47" s="99">
        <v>0</v>
      </c>
      <c r="AF47" s="99">
        <v>0</v>
      </c>
      <c r="AG47" s="99">
        <v>0</v>
      </c>
      <c r="AH47" s="99">
        <v>0</v>
      </c>
      <c r="AI47" s="99">
        <v>0</v>
      </c>
      <c r="AJ47" s="99">
        <v>0</v>
      </c>
      <c r="AK47" s="99">
        <v>0</v>
      </c>
      <c r="AL47" s="99">
        <v>0</v>
      </c>
      <c r="AM47" s="99">
        <v>0</v>
      </c>
      <c r="AN47" s="99">
        <v>0</v>
      </c>
      <c r="AO47" s="99">
        <v>0</v>
      </c>
      <c r="AP47" s="99">
        <v>0</v>
      </c>
      <c r="AQ47" s="99">
        <v>0</v>
      </c>
      <c r="AR47" s="99">
        <f t="shared" si="0"/>
        <v>2.5261738764951436</v>
      </c>
    </row>
    <row r="48" spans="1:46" ht="15" x14ac:dyDescent="0.25">
      <c r="A48" s="258">
        <v>41</v>
      </c>
      <c r="B48" s="258" t="s">
        <v>317</v>
      </c>
      <c r="C48" s="258" t="s">
        <v>1352</v>
      </c>
      <c r="D48" s="859" t="s">
        <v>1356</v>
      </c>
      <c r="E48" s="99">
        <v>0</v>
      </c>
      <c r="F48" s="99">
        <v>0</v>
      </c>
      <c r="G48" s="99">
        <v>0</v>
      </c>
      <c r="H48" s="99">
        <v>0</v>
      </c>
      <c r="I48" s="99">
        <v>0</v>
      </c>
      <c r="J48" s="99">
        <v>0</v>
      </c>
      <c r="K48" s="99">
        <v>0</v>
      </c>
      <c r="L48" s="99">
        <v>0</v>
      </c>
      <c r="M48" s="99">
        <v>0</v>
      </c>
      <c r="N48" s="99">
        <v>0</v>
      </c>
      <c r="O48" s="99">
        <v>10739.304382885102</v>
      </c>
      <c r="P48" s="99">
        <v>1180.2130618578994</v>
      </c>
      <c r="Q48" s="99">
        <v>0</v>
      </c>
      <c r="R48" s="99">
        <v>0</v>
      </c>
      <c r="S48" s="99">
        <v>0</v>
      </c>
      <c r="T48" s="99">
        <v>0</v>
      </c>
      <c r="U48" s="99">
        <v>0</v>
      </c>
      <c r="V48" s="99">
        <v>0</v>
      </c>
      <c r="W48" s="99">
        <v>0</v>
      </c>
      <c r="X48" s="99">
        <v>0</v>
      </c>
      <c r="Y48" s="99">
        <v>0</v>
      </c>
      <c r="Z48" s="99">
        <v>0</v>
      </c>
      <c r="AA48" s="99">
        <v>0</v>
      </c>
      <c r="AB48" s="99">
        <v>0</v>
      </c>
      <c r="AC48" s="99">
        <v>0</v>
      </c>
      <c r="AD48" s="99">
        <v>0</v>
      </c>
      <c r="AE48" s="99">
        <v>0</v>
      </c>
      <c r="AF48" s="99">
        <v>0</v>
      </c>
      <c r="AG48" s="99">
        <v>0</v>
      </c>
      <c r="AH48" s="99">
        <v>0</v>
      </c>
      <c r="AI48" s="99">
        <v>0</v>
      </c>
      <c r="AJ48" s="99">
        <v>0</v>
      </c>
      <c r="AK48" s="99">
        <v>0</v>
      </c>
      <c r="AL48" s="99">
        <v>0</v>
      </c>
      <c r="AM48" s="99">
        <v>0</v>
      </c>
      <c r="AN48" s="99">
        <v>0</v>
      </c>
      <c r="AO48" s="99">
        <v>0</v>
      </c>
      <c r="AP48" s="99">
        <v>0</v>
      </c>
      <c r="AQ48" s="99">
        <v>0</v>
      </c>
      <c r="AR48" s="99">
        <f t="shared" si="0"/>
        <v>11919.517444743002</v>
      </c>
    </row>
    <row r="49" spans="1:44" ht="15" x14ac:dyDescent="0.25">
      <c r="A49" s="258">
        <v>42</v>
      </c>
      <c r="B49" s="258" t="s">
        <v>317</v>
      </c>
      <c r="C49" s="258" t="s">
        <v>1352</v>
      </c>
      <c r="D49" s="859" t="s">
        <v>1357</v>
      </c>
      <c r="E49" s="99">
        <v>0</v>
      </c>
      <c r="F49" s="99">
        <v>0</v>
      </c>
      <c r="G49" s="99">
        <v>0</v>
      </c>
      <c r="H49" s="99">
        <v>0</v>
      </c>
      <c r="I49" s="99">
        <v>0</v>
      </c>
      <c r="J49" s="99">
        <v>0</v>
      </c>
      <c r="K49" s="99">
        <v>0</v>
      </c>
      <c r="L49" s="99">
        <v>0</v>
      </c>
      <c r="M49" s="99">
        <v>0</v>
      </c>
      <c r="N49" s="99">
        <v>0</v>
      </c>
      <c r="O49" s="99">
        <v>0</v>
      </c>
      <c r="P49" s="99">
        <v>0</v>
      </c>
      <c r="Q49" s="99">
        <v>0</v>
      </c>
      <c r="R49" s="99">
        <v>0</v>
      </c>
      <c r="S49" s="99">
        <v>0</v>
      </c>
      <c r="T49" s="99">
        <v>0</v>
      </c>
      <c r="U49" s="99">
        <v>0</v>
      </c>
      <c r="V49" s="99">
        <v>0</v>
      </c>
      <c r="W49" s="99">
        <v>0</v>
      </c>
      <c r="X49" s="99">
        <v>0</v>
      </c>
      <c r="Y49" s="99">
        <v>0</v>
      </c>
      <c r="Z49" s="99">
        <v>0</v>
      </c>
      <c r="AA49" s="99">
        <v>0</v>
      </c>
      <c r="AB49" s="99">
        <v>0</v>
      </c>
      <c r="AC49" s="99">
        <v>0</v>
      </c>
      <c r="AD49" s="99">
        <v>0</v>
      </c>
      <c r="AE49" s="99">
        <v>0</v>
      </c>
      <c r="AF49" s="99">
        <v>0</v>
      </c>
      <c r="AG49" s="99">
        <v>0</v>
      </c>
      <c r="AH49" s="99">
        <v>0</v>
      </c>
      <c r="AI49" s="99">
        <v>0</v>
      </c>
      <c r="AJ49" s="99">
        <v>0</v>
      </c>
      <c r="AK49" s="99">
        <v>0</v>
      </c>
      <c r="AL49" s="99">
        <v>0</v>
      </c>
      <c r="AM49" s="99">
        <v>0</v>
      </c>
      <c r="AN49" s="99">
        <v>0</v>
      </c>
      <c r="AO49" s="99">
        <v>0</v>
      </c>
      <c r="AP49" s="99">
        <v>0</v>
      </c>
      <c r="AQ49" s="99">
        <v>0</v>
      </c>
      <c r="AR49" s="99">
        <f t="shared" si="0"/>
        <v>0</v>
      </c>
    </row>
    <row r="50" spans="1:44" ht="15" x14ac:dyDescent="0.25">
      <c r="A50" s="258">
        <v>43</v>
      </c>
      <c r="B50" s="258" t="s">
        <v>326</v>
      </c>
      <c r="C50" s="258" t="s">
        <v>1358</v>
      </c>
      <c r="D50" s="859" t="s">
        <v>1359</v>
      </c>
      <c r="E50" s="99">
        <v>5911.7627199790322</v>
      </c>
      <c r="F50" s="99">
        <v>366.72894255598624</v>
      </c>
      <c r="G50" s="99">
        <v>0</v>
      </c>
      <c r="H50" s="99">
        <v>0</v>
      </c>
      <c r="I50" s="99">
        <v>0</v>
      </c>
      <c r="J50" s="99">
        <v>0</v>
      </c>
      <c r="K50" s="99">
        <v>0</v>
      </c>
      <c r="L50" s="99">
        <v>0</v>
      </c>
      <c r="M50" s="99">
        <v>0</v>
      </c>
      <c r="N50" s="99">
        <v>0</v>
      </c>
      <c r="O50" s="99">
        <v>0</v>
      </c>
      <c r="P50" s="99">
        <v>2908.9918863151311</v>
      </c>
      <c r="Q50" s="99">
        <v>0</v>
      </c>
      <c r="R50" s="99">
        <v>0</v>
      </c>
      <c r="S50" s="99">
        <v>0</v>
      </c>
      <c r="T50" s="99">
        <v>0</v>
      </c>
      <c r="U50" s="99">
        <v>0</v>
      </c>
      <c r="V50" s="99">
        <v>9694.3497349327645</v>
      </c>
      <c r="W50" s="99">
        <v>0</v>
      </c>
      <c r="X50" s="99">
        <v>0</v>
      </c>
      <c r="Y50" s="99">
        <v>0</v>
      </c>
      <c r="Z50" s="99">
        <v>0</v>
      </c>
      <c r="AA50" s="99">
        <v>0</v>
      </c>
      <c r="AB50" s="99">
        <v>0</v>
      </c>
      <c r="AC50" s="99">
        <v>0</v>
      </c>
      <c r="AD50" s="99">
        <v>0</v>
      </c>
      <c r="AE50" s="99">
        <v>0</v>
      </c>
      <c r="AF50" s="99">
        <v>0</v>
      </c>
      <c r="AG50" s="99">
        <v>0</v>
      </c>
      <c r="AH50" s="99">
        <v>0</v>
      </c>
      <c r="AI50" s="99">
        <v>0</v>
      </c>
      <c r="AJ50" s="99">
        <v>0</v>
      </c>
      <c r="AK50" s="99">
        <v>0</v>
      </c>
      <c r="AL50" s="99">
        <v>0</v>
      </c>
      <c r="AM50" s="99">
        <v>0</v>
      </c>
      <c r="AN50" s="99">
        <v>0</v>
      </c>
      <c r="AO50" s="99">
        <v>0</v>
      </c>
      <c r="AP50" s="99">
        <v>0</v>
      </c>
      <c r="AQ50" s="99">
        <v>0</v>
      </c>
      <c r="AR50" s="99">
        <f t="shared" si="0"/>
        <v>18881.833283782915</v>
      </c>
    </row>
    <row r="51" spans="1:44" ht="15" x14ac:dyDescent="0.25">
      <c r="A51" s="258">
        <v>44</v>
      </c>
      <c r="B51" s="258" t="s">
        <v>326</v>
      </c>
      <c r="C51" s="258" t="s">
        <v>1358</v>
      </c>
      <c r="D51" s="859" t="s">
        <v>1360</v>
      </c>
      <c r="E51" s="99">
        <v>1953.5949068231739</v>
      </c>
      <c r="F51" s="99">
        <v>326.16819814485018</v>
      </c>
      <c r="G51" s="99">
        <v>0</v>
      </c>
      <c r="H51" s="99">
        <v>0</v>
      </c>
      <c r="I51" s="99">
        <v>0</v>
      </c>
      <c r="J51" s="99">
        <v>0</v>
      </c>
      <c r="K51" s="99">
        <v>0</v>
      </c>
      <c r="L51" s="99">
        <v>0</v>
      </c>
      <c r="M51" s="99">
        <v>0</v>
      </c>
      <c r="N51" s="99">
        <v>0</v>
      </c>
      <c r="O51" s="99">
        <v>0</v>
      </c>
      <c r="P51" s="99">
        <v>7864.8624532005924</v>
      </c>
      <c r="Q51" s="99">
        <v>0</v>
      </c>
      <c r="R51" s="99">
        <v>0</v>
      </c>
      <c r="S51" s="99">
        <v>0</v>
      </c>
      <c r="T51" s="99">
        <v>0</v>
      </c>
      <c r="U51" s="99">
        <v>0</v>
      </c>
      <c r="V51" s="99">
        <v>2355.4438463418269</v>
      </c>
      <c r="W51" s="99">
        <v>0</v>
      </c>
      <c r="X51" s="99">
        <v>0</v>
      </c>
      <c r="Y51" s="99">
        <v>0</v>
      </c>
      <c r="Z51" s="99">
        <v>0</v>
      </c>
      <c r="AA51" s="99">
        <v>0</v>
      </c>
      <c r="AB51" s="99">
        <v>0</v>
      </c>
      <c r="AC51" s="99">
        <v>0</v>
      </c>
      <c r="AD51" s="99">
        <v>0</v>
      </c>
      <c r="AE51" s="99">
        <v>0</v>
      </c>
      <c r="AF51" s="99">
        <v>0</v>
      </c>
      <c r="AG51" s="99">
        <v>0</v>
      </c>
      <c r="AH51" s="99">
        <v>0</v>
      </c>
      <c r="AI51" s="99">
        <v>0</v>
      </c>
      <c r="AJ51" s="99">
        <v>0</v>
      </c>
      <c r="AK51" s="99">
        <v>0</v>
      </c>
      <c r="AL51" s="99">
        <v>0</v>
      </c>
      <c r="AM51" s="99">
        <v>0</v>
      </c>
      <c r="AN51" s="99">
        <v>0</v>
      </c>
      <c r="AO51" s="99">
        <v>0</v>
      </c>
      <c r="AP51" s="99">
        <v>0</v>
      </c>
      <c r="AQ51" s="99">
        <v>0</v>
      </c>
      <c r="AR51" s="99">
        <f t="shared" si="0"/>
        <v>12500.069404510443</v>
      </c>
    </row>
    <row r="52" spans="1:44" ht="15" x14ac:dyDescent="0.25">
      <c r="A52" s="258">
        <v>45</v>
      </c>
      <c r="B52" s="258" t="s">
        <v>326</v>
      </c>
      <c r="C52" s="258" t="s">
        <v>1358</v>
      </c>
      <c r="D52" s="859" t="s">
        <v>1361</v>
      </c>
      <c r="E52" s="99">
        <v>901.59437149053099</v>
      </c>
      <c r="F52" s="99">
        <v>91.401861829702995</v>
      </c>
      <c r="G52" s="99">
        <v>0</v>
      </c>
      <c r="H52" s="99">
        <v>0</v>
      </c>
      <c r="I52" s="99">
        <v>0</v>
      </c>
      <c r="J52" s="99">
        <v>0</v>
      </c>
      <c r="K52" s="99">
        <v>0</v>
      </c>
      <c r="L52" s="99">
        <v>0</v>
      </c>
      <c r="M52" s="99">
        <v>0</v>
      </c>
      <c r="N52" s="99">
        <v>0</v>
      </c>
      <c r="O52" s="99">
        <v>0</v>
      </c>
      <c r="P52" s="99">
        <v>1445.391117222307</v>
      </c>
      <c r="Q52" s="99">
        <v>0</v>
      </c>
      <c r="R52" s="99">
        <v>0</v>
      </c>
      <c r="S52" s="99">
        <v>0</v>
      </c>
      <c r="T52" s="99">
        <v>0</v>
      </c>
      <c r="U52" s="99">
        <v>0</v>
      </c>
      <c r="V52" s="99">
        <v>2289.9414832679563</v>
      </c>
      <c r="W52" s="99">
        <v>0</v>
      </c>
      <c r="X52" s="99">
        <v>0</v>
      </c>
      <c r="Y52" s="99">
        <v>0</v>
      </c>
      <c r="Z52" s="99">
        <v>0</v>
      </c>
      <c r="AA52" s="99">
        <v>0</v>
      </c>
      <c r="AB52" s="99">
        <v>0</v>
      </c>
      <c r="AC52" s="99">
        <v>0</v>
      </c>
      <c r="AD52" s="99">
        <v>0</v>
      </c>
      <c r="AE52" s="99">
        <v>0</v>
      </c>
      <c r="AF52" s="99">
        <v>0</v>
      </c>
      <c r="AG52" s="99">
        <v>0</v>
      </c>
      <c r="AH52" s="99">
        <v>0</v>
      </c>
      <c r="AI52" s="99">
        <v>0</v>
      </c>
      <c r="AJ52" s="99">
        <v>0</v>
      </c>
      <c r="AK52" s="99">
        <v>0</v>
      </c>
      <c r="AL52" s="99">
        <v>0</v>
      </c>
      <c r="AM52" s="99">
        <v>0</v>
      </c>
      <c r="AN52" s="99">
        <v>0</v>
      </c>
      <c r="AO52" s="99">
        <v>0</v>
      </c>
      <c r="AP52" s="99">
        <v>0</v>
      </c>
      <c r="AQ52" s="99">
        <v>0</v>
      </c>
      <c r="AR52" s="99">
        <f t="shared" si="0"/>
        <v>4728.3288338104976</v>
      </c>
    </row>
    <row r="53" spans="1:44" ht="15" x14ac:dyDescent="0.25">
      <c r="A53" s="258">
        <v>46</v>
      </c>
      <c r="B53" s="258" t="s">
        <v>326</v>
      </c>
      <c r="C53" s="258" t="s">
        <v>1358</v>
      </c>
      <c r="D53" s="859" t="s">
        <v>1362</v>
      </c>
      <c r="E53" s="99">
        <v>0</v>
      </c>
      <c r="F53" s="99">
        <v>821.12142948442784</v>
      </c>
      <c r="G53" s="99">
        <v>0</v>
      </c>
      <c r="H53" s="99">
        <v>0</v>
      </c>
      <c r="I53" s="99">
        <v>0</v>
      </c>
      <c r="J53" s="99">
        <v>0</v>
      </c>
      <c r="K53" s="99">
        <v>0</v>
      </c>
      <c r="L53" s="99">
        <v>0</v>
      </c>
      <c r="M53" s="99">
        <v>0</v>
      </c>
      <c r="N53" s="99">
        <v>0</v>
      </c>
      <c r="O53" s="99">
        <v>0</v>
      </c>
      <c r="P53" s="99">
        <v>10199.681253973476</v>
      </c>
      <c r="Q53" s="99">
        <v>0</v>
      </c>
      <c r="R53" s="99">
        <v>0</v>
      </c>
      <c r="S53" s="99">
        <v>0</v>
      </c>
      <c r="T53" s="99">
        <v>0</v>
      </c>
      <c r="U53" s="99">
        <v>0</v>
      </c>
      <c r="V53" s="99">
        <v>3111.0981235770773</v>
      </c>
      <c r="W53" s="99">
        <v>0</v>
      </c>
      <c r="X53" s="99">
        <v>0</v>
      </c>
      <c r="Y53" s="99">
        <v>0</v>
      </c>
      <c r="Z53" s="99">
        <v>0</v>
      </c>
      <c r="AA53" s="99">
        <v>0</v>
      </c>
      <c r="AB53" s="99">
        <v>0</v>
      </c>
      <c r="AC53" s="99">
        <v>0</v>
      </c>
      <c r="AD53" s="99">
        <v>142.12688785559322</v>
      </c>
      <c r="AE53" s="99">
        <v>0</v>
      </c>
      <c r="AF53" s="99">
        <v>0</v>
      </c>
      <c r="AG53" s="99">
        <v>0</v>
      </c>
      <c r="AH53" s="99">
        <v>0</v>
      </c>
      <c r="AI53" s="99">
        <v>0</v>
      </c>
      <c r="AJ53" s="99">
        <v>0</v>
      </c>
      <c r="AK53" s="99">
        <v>0</v>
      </c>
      <c r="AL53" s="99">
        <v>0</v>
      </c>
      <c r="AM53" s="99">
        <v>0</v>
      </c>
      <c r="AN53" s="99">
        <v>0</v>
      </c>
      <c r="AO53" s="99">
        <v>0</v>
      </c>
      <c r="AP53" s="99">
        <v>0</v>
      </c>
      <c r="AQ53" s="99">
        <v>0</v>
      </c>
      <c r="AR53" s="99">
        <f t="shared" si="0"/>
        <v>14274.027694890576</v>
      </c>
    </row>
    <row r="54" spans="1:44" ht="15" x14ac:dyDescent="0.25">
      <c r="A54" s="258">
        <v>47</v>
      </c>
      <c r="B54" s="258" t="s">
        <v>326</v>
      </c>
      <c r="C54" s="258" t="s">
        <v>1358</v>
      </c>
      <c r="D54" s="859" t="s">
        <v>1363</v>
      </c>
      <c r="E54" s="99">
        <v>2.5278346864220489</v>
      </c>
      <c r="F54" s="99">
        <v>2814.5792135616921</v>
      </c>
      <c r="G54" s="99">
        <v>0</v>
      </c>
      <c r="H54" s="99">
        <v>0</v>
      </c>
      <c r="I54" s="99">
        <v>0</v>
      </c>
      <c r="J54" s="99">
        <v>0</v>
      </c>
      <c r="K54" s="99">
        <v>0</v>
      </c>
      <c r="L54" s="99">
        <v>0</v>
      </c>
      <c r="M54" s="99">
        <v>0</v>
      </c>
      <c r="N54" s="99">
        <v>0</v>
      </c>
      <c r="O54" s="99">
        <v>0</v>
      </c>
      <c r="P54" s="99">
        <v>382.40268928086232</v>
      </c>
      <c r="Q54" s="99">
        <v>0</v>
      </c>
      <c r="R54" s="99">
        <v>0</v>
      </c>
      <c r="S54" s="99">
        <v>0</v>
      </c>
      <c r="T54" s="99">
        <v>0</v>
      </c>
      <c r="U54" s="99">
        <v>0</v>
      </c>
      <c r="V54" s="99">
        <v>5485.2946625731165</v>
      </c>
      <c r="W54" s="99">
        <v>0</v>
      </c>
      <c r="X54" s="99">
        <v>0</v>
      </c>
      <c r="Y54" s="99">
        <v>0</v>
      </c>
      <c r="Z54" s="99">
        <v>0</v>
      </c>
      <c r="AA54" s="99">
        <v>0</v>
      </c>
      <c r="AB54" s="99">
        <v>0</v>
      </c>
      <c r="AC54" s="99">
        <v>0</v>
      </c>
      <c r="AD54" s="99">
        <v>0</v>
      </c>
      <c r="AE54" s="99">
        <v>0</v>
      </c>
      <c r="AF54" s="99">
        <v>0</v>
      </c>
      <c r="AG54" s="99">
        <v>0</v>
      </c>
      <c r="AH54" s="99">
        <v>0</v>
      </c>
      <c r="AI54" s="99">
        <v>0</v>
      </c>
      <c r="AJ54" s="99">
        <v>0</v>
      </c>
      <c r="AK54" s="99">
        <v>0</v>
      </c>
      <c r="AL54" s="99">
        <v>0</v>
      </c>
      <c r="AM54" s="99">
        <v>0</v>
      </c>
      <c r="AN54" s="99">
        <v>0</v>
      </c>
      <c r="AO54" s="99">
        <v>0</v>
      </c>
      <c r="AP54" s="99">
        <v>0</v>
      </c>
      <c r="AQ54" s="99">
        <v>0</v>
      </c>
      <c r="AR54" s="99">
        <f t="shared" si="0"/>
        <v>8684.8044001020935</v>
      </c>
    </row>
    <row r="55" spans="1:44" ht="15" x14ac:dyDescent="0.25">
      <c r="A55" s="258">
        <v>48</v>
      </c>
      <c r="B55" s="258" t="s">
        <v>326</v>
      </c>
      <c r="C55" s="258" t="s">
        <v>1358</v>
      </c>
      <c r="D55" s="859" t="s">
        <v>1364</v>
      </c>
      <c r="E55" s="99">
        <v>0</v>
      </c>
      <c r="F55" s="99">
        <v>0</v>
      </c>
      <c r="G55" s="99">
        <v>0</v>
      </c>
      <c r="H55" s="99">
        <v>0</v>
      </c>
      <c r="I55" s="99">
        <v>0</v>
      </c>
      <c r="J55" s="99">
        <v>0</v>
      </c>
      <c r="K55" s="99">
        <v>0</v>
      </c>
      <c r="L55" s="99">
        <v>0</v>
      </c>
      <c r="M55" s="99">
        <v>0</v>
      </c>
      <c r="N55" s="99">
        <v>0</v>
      </c>
      <c r="O55" s="99">
        <v>0</v>
      </c>
      <c r="P55" s="99">
        <v>175.83695087468223</v>
      </c>
      <c r="Q55" s="99">
        <v>0</v>
      </c>
      <c r="R55" s="99">
        <v>0</v>
      </c>
      <c r="S55" s="99">
        <v>0</v>
      </c>
      <c r="T55" s="99">
        <v>0</v>
      </c>
      <c r="U55" s="99">
        <v>0</v>
      </c>
      <c r="V55" s="99">
        <v>949.78426457111561</v>
      </c>
      <c r="W55" s="99">
        <v>0</v>
      </c>
      <c r="X55" s="99">
        <v>0</v>
      </c>
      <c r="Y55" s="99">
        <v>0</v>
      </c>
      <c r="Z55" s="99">
        <v>0</v>
      </c>
      <c r="AA55" s="99">
        <v>0</v>
      </c>
      <c r="AB55" s="99">
        <v>0</v>
      </c>
      <c r="AC55" s="99">
        <v>0</v>
      </c>
      <c r="AD55" s="99">
        <v>212.2714079394959</v>
      </c>
      <c r="AE55" s="99">
        <v>0</v>
      </c>
      <c r="AF55" s="99">
        <v>0</v>
      </c>
      <c r="AG55" s="99">
        <v>0</v>
      </c>
      <c r="AH55" s="99">
        <v>0</v>
      </c>
      <c r="AI55" s="99">
        <v>0</v>
      </c>
      <c r="AJ55" s="99">
        <v>0</v>
      </c>
      <c r="AK55" s="99">
        <v>0</v>
      </c>
      <c r="AL55" s="99">
        <v>0</v>
      </c>
      <c r="AM55" s="99">
        <v>0</v>
      </c>
      <c r="AN55" s="99">
        <v>0</v>
      </c>
      <c r="AO55" s="99">
        <v>0</v>
      </c>
      <c r="AP55" s="99">
        <v>0</v>
      </c>
      <c r="AQ55" s="99">
        <v>0</v>
      </c>
      <c r="AR55" s="99">
        <f t="shared" si="0"/>
        <v>1337.8926233852937</v>
      </c>
    </row>
    <row r="56" spans="1:44" ht="15" x14ac:dyDescent="0.25">
      <c r="A56" s="258">
        <v>49</v>
      </c>
      <c r="B56" s="258" t="s">
        <v>326</v>
      </c>
      <c r="C56" s="258" t="s">
        <v>1358</v>
      </c>
      <c r="D56" s="859" t="s">
        <v>1365</v>
      </c>
      <c r="E56" s="99">
        <v>0</v>
      </c>
      <c r="F56" s="99">
        <v>2.2429904743485398</v>
      </c>
      <c r="G56" s="99">
        <v>0</v>
      </c>
      <c r="H56" s="99">
        <v>0</v>
      </c>
      <c r="I56" s="99">
        <v>0</v>
      </c>
      <c r="J56" s="99">
        <v>0</v>
      </c>
      <c r="K56" s="99">
        <v>0</v>
      </c>
      <c r="L56" s="99">
        <v>0</v>
      </c>
      <c r="M56" s="99">
        <v>0</v>
      </c>
      <c r="N56" s="99">
        <v>0</v>
      </c>
      <c r="O56" s="99">
        <v>0</v>
      </c>
      <c r="P56" s="99">
        <v>0</v>
      </c>
      <c r="Q56" s="99">
        <v>0</v>
      </c>
      <c r="R56" s="99">
        <v>0</v>
      </c>
      <c r="S56" s="99">
        <v>0</v>
      </c>
      <c r="T56" s="99">
        <v>0</v>
      </c>
      <c r="U56" s="99">
        <v>0</v>
      </c>
      <c r="V56" s="99">
        <v>5.2824486349895192</v>
      </c>
      <c r="W56" s="99">
        <v>0</v>
      </c>
      <c r="X56" s="99">
        <v>0</v>
      </c>
      <c r="Y56" s="99">
        <v>0</v>
      </c>
      <c r="Z56" s="99">
        <v>0</v>
      </c>
      <c r="AA56" s="99">
        <v>0</v>
      </c>
      <c r="AB56" s="99">
        <v>0</v>
      </c>
      <c r="AC56" s="99">
        <v>0</v>
      </c>
      <c r="AD56" s="99">
        <v>253.0103650187931</v>
      </c>
      <c r="AE56" s="99">
        <v>0</v>
      </c>
      <c r="AF56" s="99">
        <v>0</v>
      </c>
      <c r="AG56" s="99">
        <v>0</v>
      </c>
      <c r="AH56" s="99">
        <v>0</v>
      </c>
      <c r="AI56" s="99">
        <v>0</v>
      </c>
      <c r="AJ56" s="99">
        <v>0</v>
      </c>
      <c r="AK56" s="99">
        <v>0</v>
      </c>
      <c r="AL56" s="99">
        <v>0</v>
      </c>
      <c r="AM56" s="99">
        <v>0</v>
      </c>
      <c r="AN56" s="99">
        <v>0</v>
      </c>
      <c r="AO56" s="99">
        <v>0</v>
      </c>
      <c r="AP56" s="99">
        <v>0</v>
      </c>
      <c r="AQ56" s="99">
        <v>0</v>
      </c>
      <c r="AR56" s="99">
        <f t="shared" si="0"/>
        <v>260.53580412813113</v>
      </c>
    </row>
    <row r="57" spans="1:44" ht="15" x14ac:dyDescent="0.25">
      <c r="A57" s="258">
        <v>50</v>
      </c>
      <c r="B57" s="258" t="s">
        <v>326</v>
      </c>
      <c r="C57" s="258" t="s">
        <v>1358</v>
      </c>
      <c r="D57" s="859" t="s">
        <v>1366</v>
      </c>
      <c r="E57" s="99">
        <v>0</v>
      </c>
      <c r="F57" s="99">
        <v>0</v>
      </c>
      <c r="G57" s="99">
        <v>0</v>
      </c>
      <c r="H57" s="99">
        <v>0</v>
      </c>
      <c r="I57" s="99">
        <v>0</v>
      </c>
      <c r="J57" s="99">
        <v>0</v>
      </c>
      <c r="K57" s="99">
        <v>0</v>
      </c>
      <c r="L57" s="99">
        <v>0</v>
      </c>
      <c r="M57" s="99">
        <v>0</v>
      </c>
      <c r="N57" s="99">
        <v>0</v>
      </c>
      <c r="O57" s="99">
        <v>0</v>
      </c>
      <c r="P57" s="99">
        <v>679.44763541867508</v>
      </c>
      <c r="Q57" s="99">
        <v>0</v>
      </c>
      <c r="R57" s="99">
        <v>0</v>
      </c>
      <c r="S57" s="99">
        <v>0</v>
      </c>
      <c r="T57" s="99">
        <v>0</v>
      </c>
      <c r="U57" s="99">
        <v>0</v>
      </c>
      <c r="V57" s="99">
        <v>0</v>
      </c>
      <c r="W57" s="99">
        <v>0</v>
      </c>
      <c r="X57" s="99">
        <v>0</v>
      </c>
      <c r="Y57" s="99">
        <v>0</v>
      </c>
      <c r="Z57" s="99">
        <v>0</v>
      </c>
      <c r="AA57" s="99">
        <v>0</v>
      </c>
      <c r="AB57" s="99">
        <v>0</v>
      </c>
      <c r="AC57" s="99">
        <v>0</v>
      </c>
      <c r="AD57" s="99">
        <v>1400.7462460423012</v>
      </c>
      <c r="AE57" s="99">
        <v>0</v>
      </c>
      <c r="AF57" s="99">
        <v>0</v>
      </c>
      <c r="AG57" s="99">
        <v>0</v>
      </c>
      <c r="AH57" s="99">
        <v>0</v>
      </c>
      <c r="AI57" s="99">
        <v>0</v>
      </c>
      <c r="AJ57" s="99">
        <v>0</v>
      </c>
      <c r="AK57" s="99">
        <v>0</v>
      </c>
      <c r="AL57" s="99">
        <v>0</v>
      </c>
      <c r="AM57" s="99">
        <v>0</v>
      </c>
      <c r="AN57" s="99">
        <v>0</v>
      </c>
      <c r="AO57" s="99">
        <v>0</v>
      </c>
      <c r="AP57" s="99">
        <v>0</v>
      </c>
      <c r="AQ57" s="99">
        <v>0</v>
      </c>
      <c r="AR57" s="99">
        <f t="shared" si="0"/>
        <v>2080.1938814609762</v>
      </c>
    </row>
    <row r="58" spans="1:44" ht="15" x14ac:dyDescent="0.25">
      <c r="A58" s="258">
        <v>51</v>
      </c>
      <c r="B58" s="258" t="s">
        <v>326</v>
      </c>
      <c r="C58" s="258" t="s">
        <v>1358</v>
      </c>
      <c r="D58" s="859" t="s">
        <v>1367</v>
      </c>
      <c r="E58" s="99">
        <v>0</v>
      </c>
      <c r="F58" s="99">
        <v>0</v>
      </c>
      <c r="G58" s="99">
        <v>0</v>
      </c>
      <c r="H58" s="99">
        <v>0</v>
      </c>
      <c r="I58" s="99">
        <v>0</v>
      </c>
      <c r="J58" s="99">
        <v>0</v>
      </c>
      <c r="K58" s="99">
        <v>0</v>
      </c>
      <c r="L58" s="99">
        <v>0</v>
      </c>
      <c r="M58" s="99">
        <v>0</v>
      </c>
      <c r="N58" s="99">
        <v>0</v>
      </c>
      <c r="O58" s="99">
        <v>0</v>
      </c>
      <c r="P58" s="99">
        <v>1959.8137825644194</v>
      </c>
      <c r="Q58" s="99">
        <v>0</v>
      </c>
      <c r="R58" s="99">
        <v>0</v>
      </c>
      <c r="S58" s="99">
        <v>0</v>
      </c>
      <c r="T58" s="99">
        <v>0</v>
      </c>
      <c r="U58" s="99">
        <v>0</v>
      </c>
      <c r="V58" s="99">
        <v>1870.7791840815382</v>
      </c>
      <c r="W58" s="99">
        <v>0</v>
      </c>
      <c r="X58" s="99">
        <v>0</v>
      </c>
      <c r="Y58" s="99">
        <v>0</v>
      </c>
      <c r="Z58" s="99">
        <v>0</v>
      </c>
      <c r="AA58" s="99">
        <v>0</v>
      </c>
      <c r="AB58" s="99">
        <v>0</v>
      </c>
      <c r="AC58" s="99">
        <v>0</v>
      </c>
      <c r="AD58" s="99">
        <v>5321.7942879376651</v>
      </c>
      <c r="AE58" s="99">
        <v>0</v>
      </c>
      <c r="AF58" s="99">
        <v>0</v>
      </c>
      <c r="AG58" s="99">
        <v>0</v>
      </c>
      <c r="AH58" s="99">
        <v>0</v>
      </c>
      <c r="AI58" s="99">
        <v>0</v>
      </c>
      <c r="AJ58" s="99">
        <v>0</v>
      </c>
      <c r="AK58" s="99">
        <v>0</v>
      </c>
      <c r="AL58" s="99">
        <v>0</v>
      </c>
      <c r="AM58" s="99">
        <v>0</v>
      </c>
      <c r="AN58" s="99">
        <v>0</v>
      </c>
      <c r="AO58" s="99">
        <v>0</v>
      </c>
      <c r="AP58" s="99">
        <v>0</v>
      </c>
      <c r="AQ58" s="99">
        <v>0</v>
      </c>
      <c r="AR58" s="99">
        <f t="shared" si="0"/>
        <v>9152.3872545836239</v>
      </c>
    </row>
    <row r="59" spans="1:44" ht="15" x14ac:dyDescent="0.25">
      <c r="A59" s="258">
        <v>52</v>
      </c>
      <c r="B59" s="258" t="s">
        <v>979</v>
      </c>
      <c r="C59" s="258" t="s">
        <v>1368</v>
      </c>
      <c r="D59" s="859" t="s">
        <v>1369</v>
      </c>
      <c r="E59" s="99">
        <v>0</v>
      </c>
      <c r="F59" s="99">
        <v>297.38315372404389</v>
      </c>
      <c r="G59" s="99">
        <v>0</v>
      </c>
      <c r="H59" s="99">
        <v>0</v>
      </c>
      <c r="I59" s="99">
        <v>0</v>
      </c>
      <c r="J59" s="99">
        <v>0</v>
      </c>
      <c r="K59" s="99">
        <v>0</v>
      </c>
      <c r="L59" s="99">
        <v>0</v>
      </c>
      <c r="M59" s="99">
        <v>0</v>
      </c>
      <c r="N59" s="99">
        <v>0</v>
      </c>
      <c r="O59" s="99">
        <v>0</v>
      </c>
      <c r="P59" s="99">
        <v>106.98170473928887</v>
      </c>
      <c r="Q59" s="99">
        <v>0</v>
      </c>
      <c r="R59" s="99">
        <v>0</v>
      </c>
      <c r="S59" s="99">
        <v>0</v>
      </c>
      <c r="T59" s="99">
        <v>0</v>
      </c>
      <c r="U59" s="99">
        <v>0</v>
      </c>
      <c r="V59" s="99">
        <v>9999.9393884669098</v>
      </c>
      <c r="W59" s="99">
        <v>0</v>
      </c>
      <c r="X59" s="99">
        <v>0</v>
      </c>
      <c r="Y59" s="99">
        <v>0</v>
      </c>
      <c r="Z59" s="99">
        <v>0</v>
      </c>
      <c r="AA59" s="99">
        <v>0</v>
      </c>
      <c r="AB59" s="99">
        <v>0</v>
      </c>
      <c r="AC59" s="99">
        <v>0</v>
      </c>
      <c r="AD59" s="99">
        <v>0</v>
      </c>
      <c r="AE59" s="99">
        <v>0</v>
      </c>
      <c r="AF59" s="99">
        <v>0</v>
      </c>
      <c r="AG59" s="99">
        <v>0</v>
      </c>
      <c r="AH59" s="99">
        <v>0</v>
      </c>
      <c r="AI59" s="99">
        <v>0</v>
      </c>
      <c r="AJ59" s="99">
        <v>0</v>
      </c>
      <c r="AK59" s="99">
        <v>0</v>
      </c>
      <c r="AL59" s="99">
        <v>0</v>
      </c>
      <c r="AM59" s="99">
        <v>0</v>
      </c>
      <c r="AN59" s="99">
        <v>0</v>
      </c>
      <c r="AO59" s="99">
        <v>0</v>
      </c>
      <c r="AP59" s="99">
        <v>0</v>
      </c>
      <c r="AQ59" s="99">
        <v>0</v>
      </c>
      <c r="AR59" s="99">
        <f t="shared" si="0"/>
        <v>10404.304246930242</v>
      </c>
    </row>
    <row r="60" spans="1:44" ht="15" x14ac:dyDescent="0.25">
      <c r="A60" s="258">
        <v>53</v>
      </c>
      <c r="B60" s="258" t="s">
        <v>979</v>
      </c>
      <c r="C60" s="258" t="s">
        <v>1368</v>
      </c>
      <c r="D60" s="859" t="s">
        <v>1370</v>
      </c>
      <c r="E60" s="99">
        <v>0</v>
      </c>
      <c r="F60" s="99">
        <v>0</v>
      </c>
      <c r="G60" s="99">
        <v>0</v>
      </c>
      <c r="H60" s="99">
        <v>0</v>
      </c>
      <c r="I60" s="99">
        <v>0</v>
      </c>
      <c r="J60" s="99">
        <v>0</v>
      </c>
      <c r="K60" s="99">
        <v>0</v>
      </c>
      <c r="L60" s="99">
        <v>0</v>
      </c>
      <c r="M60" s="99">
        <v>0</v>
      </c>
      <c r="N60" s="99">
        <v>0</v>
      </c>
      <c r="O60" s="99">
        <v>0</v>
      </c>
      <c r="P60" s="99">
        <v>135.43428578697208</v>
      </c>
      <c r="Q60" s="99">
        <v>0</v>
      </c>
      <c r="R60" s="99">
        <v>0</v>
      </c>
      <c r="S60" s="99">
        <v>0</v>
      </c>
      <c r="T60" s="99">
        <v>0</v>
      </c>
      <c r="U60" s="99">
        <v>0</v>
      </c>
      <c r="V60" s="99">
        <v>2649.6762353107424</v>
      </c>
      <c r="W60" s="99">
        <v>0</v>
      </c>
      <c r="X60" s="99">
        <v>0</v>
      </c>
      <c r="Y60" s="99">
        <v>0</v>
      </c>
      <c r="Z60" s="99">
        <v>0</v>
      </c>
      <c r="AA60" s="99">
        <v>0</v>
      </c>
      <c r="AB60" s="99">
        <v>0</v>
      </c>
      <c r="AC60" s="99">
        <v>0</v>
      </c>
      <c r="AD60" s="99">
        <v>0</v>
      </c>
      <c r="AE60" s="99">
        <v>0</v>
      </c>
      <c r="AF60" s="99">
        <v>0</v>
      </c>
      <c r="AG60" s="99">
        <v>0</v>
      </c>
      <c r="AH60" s="99">
        <v>0</v>
      </c>
      <c r="AI60" s="99">
        <v>0</v>
      </c>
      <c r="AJ60" s="99">
        <v>0</v>
      </c>
      <c r="AK60" s="99">
        <v>0</v>
      </c>
      <c r="AL60" s="99">
        <v>0</v>
      </c>
      <c r="AM60" s="99">
        <v>0</v>
      </c>
      <c r="AN60" s="99">
        <v>0</v>
      </c>
      <c r="AO60" s="99">
        <v>0</v>
      </c>
      <c r="AP60" s="99">
        <v>0</v>
      </c>
      <c r="AQ60" s="99">
        <v>0</v>
      </c>
      <c r="AR60" s="99">
        <f t="shared" si="0"/>
        <v>2785.1105210977144</v>
      </c>
    </row>
    <row r="61" spans="1:44" ht="15" x14ac:dyDescent="0.25">
      <c r="A61" s="258">
        <v>54</v>
      </c>
      <c r="B61" s="258" t="s">
        <v>979</v>
      </c>
      <c r="C61" s="258" t="s">
        <v>1368</v>
      </c>
      <c r="D61" s="859" t="s">
        <v>1371</v>
      </c>
      <c r="E61" s="99">
        <v>368.85321132708401</v>
      </c>
      <c r="F61" s="99">
        <v>0</v>
      </c>
      <c r="G61" s="99">
        <v>0</v>
      </c>
      <c r="H61" s="99">
        <v>0</v>
      </c>
      <c r="I61" s="99">
        <v>0</v>
      </c>
      <c r="J61" s="99">
        <v>0</v>
      </c>
      <c r="K61" s="99">
        <v>0</v>
      </c>
      <c r="L61" s="99">
        <v>0</v>
      </c>
      <c r="M61" s="99">
        <v>0</v>
      </c>
      <c r="N61" s="99">
        <v>0</v>
      </c>
      <c r="O61" s="99">
        <v>0</v>
      </c>
      <c r="P61" s="99">
        <v>2266.5326062584445</v>
      </c>
      <c r="Q61" s="99">
        <v>0</v>
      </c>
      <c r="R61" s="99">
        <v>0</v>
      </c>
      <c r="S61" s="99">
        <v>0</v>
      </c>
      <c r="T61" s="99">
        <v>0</v>
      </c>
      <c r="U61" s="99">
        <v>0</v>
      </c>
      <c r="V61" s="99">
        <v>58.635179848383665</v>
      </c>
      <c r="W61" s="99">
        <v>0</v>
      </c>
      <c r="X61" s="99">
        <v>0</v>
      </c>
      <c r="Y61" s="99">
        <v>0</v>
      </c>
      <c r="Z61" s="99">
        <v>0</v>
      </c>
      <c r="AA61" s="99">
        <v>0</v>
      </c>
      <c r="AB61" s="99">
        <v>0</v>
      </c>
      <c r="AC61" s="99">
        <v>0</v>
      </c>
      <c r="AD61" s="99">
        <v>0</v>
      </c>
      <c r="AE61" s="99">
        <v>0</v>
      </c>
      <c r="AF61" s="99">
        <v>0</v>
      </c>
      <c r="AG61" s="99">
        <v>0</v>
      </c>
      <c r="AH61" s="99">
        <v>0</v>
      </c>
      <c r="AI61" s="99">
        <v>0</v>
      </c>
      <c r="AJ61" s="99">
        <v>0</v>
      </c>
      <c r="AK61" s="99">
        <v>0</v>
      </c>
      <c r="AL61" s="99">
        <v>0</v>
      </c>
      <c r="AM61" s="99">
        <v>0</v>
      </c>
      <c r="AN61" s="99">
        <v>0</v>
      </c>
      <c r="AO61" s="99">
        <v>0</v>
      </c>
      <c r="AP61" s="99">
        <v>0</v>
      </c>
      <c r="AQ61" s="99">
        <v>0</v>
      </c>
      <c r="AR61" s="99">
        <f t="shared" si="0"/>
        <v>2694.0209974339123</v>
      </c>
    </row>
    <row r="62" spans="1:44" ht="15" x14ac:dyDescent="0.25">
      <c r="A62" s="258">
        <v>55</v>
      </c>
      <c r="B62" s="258" t="s">
        <v>979</v>
      </c>
      <c r="C62" s="258" t="s">
        <v>1368</v>
      </c>
      <c r="D62" s="859" t="s">
        <v>1372</v>
      </c>
      <c r="E62" s="99">
        <v>18.958760148165368</v>
      </c>
      <c r="F62" s="99">
        <v>0</v>
      </c>
      <c r="G62" s="99">
        <v>0</v>
      </c>
      <c r="H62" s="99">
        <v>0</v>
      </c>
      <c r="I62" s="99">
        <v>0</v>
      </c>
      <c r="J62" s="99">
        <v>0</v>
      </c>
      <c r="K62" s="99">
        <v>0</v>
      </c>
      <c r="L62" s="99">
        <v>0</v>
      </c>
      <c r="M62" s="99">
        <v>0</v>
      </c>
      <c r="N62" s="99">
        <v>0</v>
      </c>
      <c r="O62" s="99">
        <v>0</v>
      </c>
      <c r="P62" s="99">
        <v>3094.502714746026</v>
      </c>
      <c r="Q62" s="99">
        <v>0</v>
      </c>
      <c r="R62" s="99">
        <v>0</v>
      </c>
      <c r="S62" s="99">
        <v>0</v>
      </c>
      <c r="T62" s="99">
        <v>0</v>
      </c>
      <c r="U62" s="99">
        <v>0</v>
      </c>
      <c r="V62" s="99">
        <v>735.0527275587915</v>
      </c>
      <c r="W62" s="99">
        <v>0</v>
      </c>
      <c r="X62" s="99">
        <v>0</v>
      </c>
      <c r="Y62" s="99">
        <v>0</v>
      </c>
      <c r="Z62" s="99">
        <v>0</v>
      </c>
      <c r="AA62" s="99">
        <v>0</v>
      </c>
      <c r="AB62" s="99">
        <v>0</v>
      </c>
      <c r="AC62" s="99">
        <v>0</v>
      </c>
      <c r="AD62" s="99">
        <v>0</v>
      </c>
      <c r="AE62" s="99">
        <v>0</v>
      </c>
      <c r="AF62" s="99">
        <v>0</v>
      </c>
      <c r="AG62" s="99">
        <v>0</v>
      </c>
      <c r="AH62" s="99">
        <v>0</v>
      </c>
      <c r="AI62" s="99">
        <v>0</v>
      </c>
      <c r="AJ62" s="99">
        <v>0</v>
      </c>
      <c r="AK62" s="99">
        <v>0</v>
      </c>
      <c r="AL62" s="99">
        <v>0</v>
      </c>
      <c r="AM62" s="99">
        <v>0</v>
      </c>
      <c r="AN62" s="99">
        <v>0</v>
      </c>
      <c r="AO62" s="99">
        <v>0</v>
      </c>
      <c r="AP62" s="99">
        <v>0</v>
      </c>
      <c r="AQ62" s="99">
        <v>0</v>
      </c>
      <c r="AR62" s="99">
        <f t="shared" si="0"/>
        <v>3848.5142024529828</v>
      </c>
    </row>
    <row r="63" spans="1:44" ht="15" x14ac:dyDescent="0.25">
      <c r="A63" s="258">
        <v>56</v>
      </c>
      <c r="B63" s="258" t="s">
        <v>979</v>
      </c>
      <c r="C63" s="258" t="s">
        <v>1368</v>
      </c>
      <c r="D63" s="859" t="s">
        <v>1373</v>
      </c>
      <c r="E63" s="99">
        <v>48.871470604159619</v>
      </c>
      <c r="F63" s="99">
        <v>2.9906539657980526</v>
      </c>
      <c r="G63" s="99">
        <v>0</v>
      </c>
      <c r="H63" s="99">
        <v>0</v>
      </c>
      <c r="I63" s="99">
        <v>0</v>
      </c>
      <c r="J63" s="99">
        <v>0</v>
      </c>
      <c r="K63" s="99">
        <v>0</v>
      </c>
      <c r="L63" s="99">
        <v>0</v>
      </c>
      <c r="M63" s="99">
        <v>0</v>
      </c>
      <c r="N63" s="99">
        <v>0</v>
      </c>
      <c r="O63" s="99">
        <v>0</v>
      </c>
      <c r="P63" s="99">
        <v>5081.6309751162216</v>
      </c>
      <c r="Q63" s="99">
        <v>0</v>
      </c>
      <c r="R63" s="99">
        <v>0</v>
      </c>
      <c r="S63" s="99">
        <v>0</v>
      </c>
      <c r="T63" s="99">
        <v>0</v>
      </c>
      <c r="U63" s="99">
        <v>0</v>
      </c>
      <c r="V63" s="99">
        <v>279.17741035919607</v>
      </c>
      <c r="W63" s="99">
        <v>0</v>
      </c>
      <c r="X63" s="99">
        <v>0</v>
      </c>
      <c r="Y63" s="99">
        <v>0</v>
      </c>
      <c r="Z63" s="99">
        <v>0</v>
      </c>
      <c r="AA63" s="99">
        <v>0</v>
      </c>
      <c r="AB63" s="99">
        <v>0</v>
      </c>
      <c r="AC63" s="99">
        <v>0</v>
      </c>
      <c r="AD63" s="99">
        <v>3.0630794796464058</v>
      </c>
      <c r="AE63" s="99">
        <v>0</v>
      </c>
      <c r="AF63" s="99">
        <v>0</v>
      </c>
      <c r="AG63" s="99">
        <v>0</v>
      </c>
      <c r="AH63" s="99">
        <v>0</v>
      </c>
      <c r="AI63" s="99">
        <v>0</v>
      </c>
      <c r="AJ63" s="99">
        <v>0</v>
      </c>
      <c r="AK63" s="99">
        <v>0</v>
      </c>
      <c r="AL63" s="99">
        <v>0</v>
      </c>
      <c r="AM63" s="99">
        <v>0</v>
      </c>
      <c r="AN63" s="99">
        <v>0</v>
      </c>
      <c r="AO63" s="99">
        <v>0</v>
      </c>
      <c r="AP63" s="99">
        <v>0</v>
      </c>
      <c r="AQ63" s="99">
        <v>0</v>
      </c>
      <c r="AR63" s="99">
        <f t="shared" si="0"/>
        <v>5415.7335895250217</v>
      </c>
    </row>
    <row r="64" spans="1:44" ht="15" x14ac:dyDescent="0.25">
      <c r="A64" s="258">
        <v>57</v>
      </c>
      <c r="B64" s="258" t="s">
        <v>979</v>
      </c>
      <c r="C64" s="258" t="s">
        <v>1368</v>
      </c>
      <c r="D64" s="859" t="s">
        <v>1374</v>
      </c>
      <c r="E64" s="99">
        <v>0</v>
      </c>
      <c r="F64" s="99">
        <v>0</v>
      </c>
      <c r="G64" s="99">
        <v>0</v>
      </c>
      <c r="H64" s="99">
        <v>0</v>
      </c>
      <c r="I64" s="99">
        <v>0</v>
      </c>
      <c r="J64" s="99">
        <v>0</v>
      </c>
      <c r="K64" s="99">
        <v>0</v>
      </c>
      <c r="L64" s="99">
        <v>0</v>
      </c>
      <c r="M64" s="99">
        <v>0</v>
      </c>
      <c r="N64" s="99">
        <v>0</v>
      </c>
      <c r="O64" s="99">
        <v>0</v>
      </c>
      <c r="P64" s="99">
        <v>904.79207731632607</v>
      </c>
      <c r="Q64" s="99">
        <v>0</v>
      </c>
      <c r="R64" s="99">
        <v>0</v>
      </c>
      <c r="S64" s="99">
        <v>0</v>
      </c>
      <c r="T64" s="99">
        <v>0</v>
      </c>
      <c r="U64" s="99">
        <v>0</v>
      </c>
      <c r="V64" s="99">
        <v>1289.1815893691921</v>
      </c>
      <c r="W64" s="99">
        <v>0</v>
      </c>
      <c r="X64" s="99">
        <v>0</v>
      </c>
      <c r="Y64" s="99">
        <v>0</v>
      </c>
      <c r="Z64" s="99">
        <v>0</v>
      </c>
      <c r="AA64" s="99">
        <v>0</v>
      </c>
      <c r="AB64" s="99">
        <v>0</v>
      </c>
      <c r="AC64" s="99">
        <v>0</v>
      </c>
      <c r="AD64" s="99">
        <v>110.27086126727062</v>
      </c>
      <c r="AE64" s="99">
        <v>0</v>
      </c>
      <c r="AF64" s="99">
        <v>0</v>
      </c>
      <c r="AG64" s="99">
        <v>0</v>
      </c>
      <c r="AH64" s="99">
        <v>0</v>
      </c>
      <c r="AI64" s="99">
        <v>0</v>
      </c>
      <c r="AJ64" s="99">
        <v>0</v>
      </c>
      <c r="AK64" s="99">
        <v>0</v>
      </c>
      <c r="AL64" s="99">
        <v>0</v>
      </c>
      <c r="AM64" s="99">
        <v>0</v>
      </c>
      <c r="AN64" s="99">
        <v>0</v>
      </c>
      <c r="AO64" s="99">
        <v>0</v>
      </c>
      <c r="AP64" s="99">
        <v>0</v>
      </c>
      <c r="AQ64" s="99">
        <v>0</v>
      </c>
      <c r="AR64" s="99">
        <f t="shared" si="0"/>
        <v>2304.2445279527888</v>
      </c>
    </row>
    <row r="65" spans="1:44" ht="15" x14ac:dyDescent="0.25">
      <c r="A65" s="258">
        <v>58</v>
      </c>
      <c r="B65" s="258" t="s">
        <v>327</v>
      </c>
      <c r="C65" s="258" t="s">
        <v>1375</v>
      </c>
      <c r="D65" s="859" t="s">
        <v>1376</v>
      </c>
      <c r="E65" s="99">
        <v>55.401710210749911</v>
      </c>
      <c r="F65" s="99">
        <v>0</v>
      </c>
      <c r="G65" s="99">
        <v>0</v>
      </c>
      <c r="H65" s="99">
        <v>0</v>
      </c>
      <c r="I65" s="99">
        <v>0</v>
      </c>
      <c r="J65" s="99">
        <v>0</v>
      </c>
      <c r="K65" s="99">
        <v>0</v>
      </c>
      <c r="L65" s="99">
        <v>0</v>
      </c>
      <c r="M65" s="99">
        <v>0</v>
      </c>
      <c r="N65" s="99">
        <v>0</v>
      </c>
      <c r="O65" s="99">
        <v>0</v>
      </c>
      <c r="P65" s="99">
        <v>456.37940000483866</v>
      </c>
      <c r="Q65" s="99">
        <v>0</v>
      </c>
      <c r="R65" s="99">
        <v>0</v>
      </c>
      <c r="S65" s="99">
        <v>0</v>
      </c>
      <c r="T65" s="99">
        <v>0</v>
      </c>
      <c r="U65" s="99">
        <v>104.08248035772276</v>
      </c>
      <c r="V65" s="99">
        <v>0</v>
      </c>
      <c r="W65" s="99">
        <v>0</v>
      </c>
      <c r="X65" s="99">
        <v>0</v>
      </c>
      <c r="Y65" s="99">
        <v>0</v>
      </c>
      <c r="Z65" s="99">
        <v>0</v>
      </c>
      <c r="AA65" s="99">
        <v>0</v>
      </c>
      <c r="AB65" s="99">
        <v>0</v>
      </c>
      <c r="AC65" s="99">
        <v>0</v>
      </c>
      <c r="AD65" s="99">
        <v>0</v>
      </c>
      <c r="AE65" s="99">
        <v>0</v>
      </c>
      <c r="AF65" s="99">
        <v>0</v>
      </c>
      <c r="AG65" s="99">
        <v>0</v>
      </c>
      <c r="AH65" s="99">
        <v>0</v>
      </c>
      <c r="AI65" s="99">
        <v>0</v>
      </c>
      <c r="AJ65" s="99">
        <v>0</v>
      </c>
      <c r="AK65" s="99">
        <v>0</v>
      </c>
      <c r="AL65" s="99">
        <v>0</v>
      </c>
      <c r="AM65" s="99">
        <v>0</v>
      </c>
      <c r="AN65" s="99">
        <v>0</v>
      </c>
      <c r="AO65" s="99">
        <v>0</v>
      </c>
      <c r="AP65" s="99">
        <v>0</v>
      </c>
      <c r="AQ65" s="99">
        <v>0</v>
      </c>
      <c r="AR65" s="99">
        <f t="shared" si="0"/>
        <v>615.86359057331128</v>
      </c>
    </row>
    <row r="66" spans="1:44" ht="15" x14ac:dyDescent="0.25">
      <c r="A66" s="258">
        <v>59</v>
      </c>
      <c r="B66" s="258" t="s">
        <v>327</v>
      </c>
      <c r="C66" s="258" t="s">
        <v>1375</v>
      </c>
      <c r="D66" s="859" t="s">
        <v>1377</v>
      </c>
      <c r="E66" s="99">
        <v>55.612363101285084</v>
      </c>
      <c r="F66" s="99">
        <v>0</v>
      </c>
      <c r="G66" s="99">
        <v>0</v>
      </c>
      <c r="H66" s="99">
        <v>0</v>
      </c>
      <c r="I66" s="99">
        <v>0</v>
      </c>
      <c r="J66" s="99">
        <v>0</v>
      </c>
      <c r="K66" s="99">
        <v>0</v>
      </c>
      <c r="L66" s="99">
        <v>0</v>
      </c>
      <c r="M66" s="99">
        <v>0</v>
      </c>
      <c r="N66" s="99">
        <v>0</v>
      </c>
      <c r="O66" s="99">
        <v>0</v>
      </c>
      <c r="P66" s="99">
        <v>2632.4327985316509</v>
      </c>
      <c r="Q66" s="99">
        <v>0</v>
      </c>
      <c r="R66" s="99">
        <v>0</v>
      </c>
      <c r="S66" s="99">
        <v>0</v>
      </c>
      <c r="T66" s="99">
        <v>0</v>
      </c>
      <c r="U66" s="99">
        <v>710.20986597034357</v>
      </c>
      <c r="V66" s="99">
        <v>0</v>
      </c>
      <c r="W66" s="99">
        <v>0</v>
      </c>
      <c r="X66" s="99">
        <v>0</v>
      </c>
      <c r="Y66" s="99">
        <v>0</v>
      </c>
      <c r="Z66" s="99">
        <v>0</v>
      </c>
      <c r="AA66" s="99">
        <v>0</v>
      </c>
      <c r="AB66" s="99">
        <v>0</v>
      </c>
      <c r="AC66" s="99">
        <v>0</v>
      </c>
      <c r="AD66" s="99">
        <v>795.78804881213614</v>
      </c>
      <c r="AE66" s="99">
        <v>0</v>
      </c>
      <c r="AF66" s="99">
        <v>0</v>
      </c>
      <c r="AG66" s="99">
        <v>0</v>
      </c>
      <c r="AH66" s="99">
        <v>0</v>
      </c>
      <c r="AI66" s="99">
        <v>0</v>
      </c>
      <c r="AJ66" s="99">
        <v>0</v>
      </c>
      <c r="AK66" s="99">
        <v>0</v>
      </c>
      <c r="AL66" s="99">
        <v>0</v>
      </c>
      <c r="AM66" s="99">
        <v>0</v>
      </c>
      <c r="AN66" s="99">
        <v>0</v>
      </c>
      <c r="AO66" s="99">
        <v>0</v>
      </c>
      <c r="AP66" s="99">
        <v>0</v>
      </c>
      <c r="AQ66" s="99">
        <v>0</v>
      </c>
      <c r="AR66" s="99">
        <f t="shared" si="0"/>
        <v>4194.0430764154162</v>
      </c>
    </row>
    <row r="67" spans="1:44" ht="15" x14ac:dyDescent="0.25">
      <c r="A67" s="258">
        <v>60</v>
      </c>
      <c r="B67" s="258" t="s">
        <v>327</v>
      </c>
      <c r="C67" s="258" t="s">
        <v>1375</v>
      </c>
      <c r="D67" s="859" t="s">
        <v>1378</v>
      </c>
      <c r="E67" s="99">
        <v>0</v>
      </c>
      <c r="F67" s="99">
        <v>0</v>
      </c>
      <c r="G67" s="99">
        <v>0</v>
      </c>
      <c r="H67" s="99">
        <v>0</v>
      </c>
      <c r="I67" s="99">
        <v>0</v>
      </c>
      <c r="J67" s="99">
        <v>0</v>
      </c>
      <c r="K67" s="99">
        <v>0</v>
      </c>
      <c r="L67" s="99">
        <v>0</v>
      </c>
      <c r="M67" s="99">
        <v>0</v>
      </c>
      <c r="N67" s="99">
        <v>0</v>
      </c>
      <c r="O67" s="99">
        <v>0</v>
      </c>
      <c r="P67" s="99">
        <v>1395.8836261993383</v>
      </c>
      <c r="Q67" s="99">
        <v>0</v>
      </c>
      <c r="R67" s="99">
        <v>0</v>
      </c>
      <c r="S67" s="99">
        <v>0</v>
      </c>
      <c r="T67" s="99">
        <v>0</v>
      </c>
      <c r="U67" s="99">
        <v>0</v>
      </c>
      <c r="V67" s="99">
        <v>221.59872023781034</v>
      </c>
      <c r="W67" s="99">
        <v>0</v>
      </c>
      <c r="X67" s="99">
        <v>0</v>
      </c>
      <c r="Y67" s="99">
        <v>0</v>
      </c>
      <c r="Z67" s="99">
        <v>0</v>
      </c>
      <c r="AA67" s="99">
        <v>0</v>
      </c>
      <c r="AB67" s="99">
        <v>0</v>
      </c>
      <c r="AC67" s="99">
        <v>0</v>
      </c>
      <c r="AD67" s="99">
        <v>3404.3065336790155</v>
      </c>
      <c r="AE67" s="99">
        <v>0</v>
      </c>
      <c r="AF67" s="99">
        <v>0</v>
      </c>
      <c r="AG67" s="99">
        <v>0</v>
      </c>
      <c r="AH67" s="99">
        <v>0</v>
      </c>
      <c r="AI67" s="99">
        <v>0</v>
      </c>
      <c r="AJ67" s="99">
        <v>0</v>
      </c>
      <c r="AK67" s="99">
        <v>0</v>
      </c>
      <c r="AL67" s="99">
        <v>0</v>
      </c>
      <c r="AM67" s="99">
        <v>0</v>
      </c>
      <c r="AN67" s="99">
        <v>0</v>
      </c>
      <c r="AO67" s="99">
        <v>0</v>
      </c>
      <c r="AP67" s="99">
        <v>0</v>
      </c>
      <c r="AQ67" s="99">
        <v>0</v>
      </c>
      <c r="AR67" s="99">
        <f t="shared" si="0"/>
        <v>5021.7888801161644</v>
      </c>
    </row>
    <row r="68" spans="1:44" ht="15" x14ac:dyDescent="0.25">
      <c r="A68" s="258">
        <v>61</v>
      </c>
      <c r="B68" s="258" t="s">
        <v>327</v>
      </c>
      <c r="C68" s="258" t="s">
        <v>1375</v>
      </c>
      <c r="D68" s="859" t="s">
        <v>1379</v>
      </c>
      <c r="E68" s="99">
        <v>0</v>
      </c>
      <c r="F68" s="99">
        <v>0</v>
      </c>
      <c r="G68" s="99">
        <v>0</v>
      </c>
      <c r="H68" s="99">
        <v>0</v>
      </c>
      <c r="I68" s="99">
        <v>0</v>
      </c>
      <c r="J68" s="99">
        <v>0</v>
      </c>
      <c r="K68" s="99">
        <v>0</v>
      </c>
      <c r="L68" s="99">
        <v>0</v>
      </c>
      <c r="M68" s="99">
        <v>0</v>
      </c>
      <c r="N68" s="99">
        <v>0</v>
      </c>
      <c r="O68" s="99">
        <v>0</v>
      </c>
      <c r="P68" s="99">
        <v>7142.7359462103923</v>
      </c>
      <c r="Q68" s="99">
        <v>0</v>
      </c>
      <c r="R68" s="99">
        <v>0</v>
      </c>
      <c r="S68" s="99">
        <v>0</v>
      </c>
      <c r="T68" s="99">
        <v>0</v>
      </c>
      <c r="U68" s="99">
        <v>3422.4768541157073</v>
      </c>
      <c r="V68" s="99">
        <v>0</v>
      </c>
      <c r="W68" s="99">
        <v>0</v>
      </c>
      <c r="X68" s="99">
        <v>0</v>
      </c>
      <c r="Y68" s="99">
        <v>0</v>
      </c>
      <c r="Z68" s="99">
        <v>0</v>
      </c>
      <c r="AA68" s="99">
        <v>0</v>
      </c>
      <c r="AB68" s="99">
        <v>0</v>
      </c>
      <c r="AC68" s="99">
        <v>0</v>
      </c>
      <c r="AD68" s="99">
        <v>1588.8193260925907</v>
      </c>
      <c r="AE68" s="99">
        <v>0</v>
      </c>
      <c r="AF68" s="99">
        <v>0</v>
      </c>
      <c r="AG68" s="99">
        <v>0</v>
      </c>
      <c r="AH68" s="99">
        <v>0</v>
      </c>
      <c r="AI68" s="99">
        <v>0</v>
      </c>
      <c r="AJ68" s="99">
        <v>0</v>
      </c>
      <c r="AK68" s="99">
        <v>0</v>
      </c>
      <c r="AL68" s="99">
        <v>0</v>
      </c>
      <c r="AM68" s="99">
        <v>0</v>
      </c>
      <c r="AN68" s="99">
        <v>0</v>
      </c>
      <c r="AO68" s="99">
        <v>0</v>
      </c>
      <c r="AP68" s="99">
        <v>0</v>
      </c>
      <c r="AQ68" s="99">
        <v>0</v>
      </c>
      <c r="AR68" s="99">
        <f t="shared" si="0"/>
        <v>12154.03212641869</v>
      </c>
    </row>
    <row r="69" spans="1:44" ht="15" x14ac:dyDescent="0.25">
      <c r="A69" s="258">
        <v>62</v>
      </c>
      <c r="B69" s="258" t="s">
        <v>327</v>
      </c>
      <c r="C69" s="258" t="s">
        <v>1375</v>
      </c>
      <c r="D69" s="859" t="s">
        <v>1380</v>
      </c>
      <c r="E69" s="99">
        <v>0</v>
      </c>
      <c r="F69" s="99">
        <v>0</v>
      </c>
      <c r="G69" s="99">
        <v>0</v>
      </c>
      <c r="H69" s="99">
        <v>0</v>
      </c>
      <c r="I69" s="99">
        <v>0</v>
      </c>
      <c r="J69" s="99">
        <v>0</v>
      </c>
      <c r="K69" s="99">
        <v>779.90441737131607</v>
      </c>
      <c r="L69" s="99">
        <v>0</v>
      </c>
      <c r="M69" s="99">
        <v>0</v>
      </c>
      <c r="N69" s="99">
        <v>0</v>
      </c>
      <c r="O69" s="99">
        <v>0</v>
      </c>
      <c r="P69" s="99">
        <v>157.05824738321132</v>
      </c>
      <c r="Q69" s="99">
        <v>0</v>
      </c>
      <c r="R69" s="99">
        <v>0</v>
      </c>
      <c r="S69" s="99">
        <v>0</v>
      </c>
      <c r="T69" s="99">
        <v>0</v>
      </c>
      <c r="U69" s="99">
        <v>0</v>
      </c>
      <c r="V69" s="99">
        <v>101.42301379179877</v>
      </c>
      <c r="W69" s="99">
        <v>0</v>
      </c>
      <c r="X69" s="99">
        <v>0</v>
      </c>
      <c r="Y69" s="99">
        <v>0</v>
      </c>
      <c r="Z69" s="99">
        <v>0</v>
      </c>
      <c r="AA69" s="99">
        <v>0</v>
      </c>
      <c r="AB69" s="99">
        <v>0</v>
      </c>
      <c r="AC69" s="99">
        <v>0</v>
      </c>
      <c r="AD69" s="99">
        <v>3170.5935693819943</v>
      </c>
      <c r="AE69" s="99">
        <v>0</v>
      </c>
      <c r="AF69" s="99">
        <v>0</v>
      </c>
      <c r="AG69" s="99">
        <v>0</v>
      </c>
      <c r="AH69" s="99">
        <v>0</v>
      </c>
      <c r="AI69" s="99">
        <v>0</v>
      </c>
      <c r="AJ69" s="99">
        <v>0</v>
      </c>
      <c r="AK69" s="99">
        <v>0</v>
      </c>
      <c r="AL69" s="99">
        <v>0</v>
      </c>
      <c r="AM69" s="99">
        <v>0</v>
      </c>
      <c r="AN69" s="99">
        <v>0</v>
      </c>
      <c r="AO69" s="99">
        <v>0</v>
      </c>
      <c r="AP69" s="99">
        <v>0</v>
      </c>
      <c r="AQ69" s="99">
        <v>0</v>
      </c>
      <c r="AR69" s="99">
        <f t="shared" si="0"/>
        <v>4208.9792479283205</v>
      </c>
    </row>
    <row r="70" spans="1:44" ht="15" x14ac:dyDescent="0.25">
      <c r="A70" s="258">
        <v>63</v>
      </c>
      <c r="B70" s="258" t="s">
        <v>327</v>
      </c>
      <c r="C70" s="258" t="s">
        <v>1375</v>
      </c>
      <c r="D70" s="859" t="s">
        <v>1381</v>
      </c>
      <c r="E70" s="99">
        <v>0</v>
      </c>
      <c r="F70" s="99">
        <v>0</v>
      </c>
      <c r="G70" s="99">
        <v>0</v>
      </c>
      <c r="H70" s="99">
        <v>0</v>
      </c>
      <c r="I70" s="99">
        <v>0</v>
      </c>
      <c r="J70" s="99">
        <v>0</v>
      </c>
      <c r="K70" s="99">
        <v>22.392419992527401</v>
      </c>
      <c r="L70" s="99">
        <v>0</v>
      </c>
      <c r="M70" s="99">
        <v>0</v>
      </c>
      <c r="N70" s="99">
        <v>0</v>
      </c>
      <c r="O70" s="99">
        <v>0</v>
      </c>
      <c r="P70" s="99">
        <v>347.12148878173514</v>
      </c>
      <c r="Q70" s="99">
        <v>0</v>
      </c>
      <c r="R70" s="99">
        <v>0</v>
      </c>
      <c r="S70" s="99">
        <v>0</v>
      </c>
      <c r="T70" s="99">
        <v>0</v>
      </c>
      <c r="U70" s="99">
        <v>0</v>
      </c>
      <c r="V70" s="99">
        <v>2437.8500450476631</v>
      </c>
      <c r="W70" s="99">
        <v>0</v>
      </c>
      <c r="X70" s="99">
        <v>0</v>
      </c>
      <c r="Y70" s="99">
        <v>0</v>
      </c>
      <c r="Z70" s="99">
        <v>0</v>
      </c>
      <c r="AA70" s="99">
        <v>0</v>
      </c>
      <c r="AB70" s="99">
        <v>0</v>
      </c>
      <c r="AC70" s="99">
        <v>0</v>
      </c>
      <c r="AD70" s="99">
        <v>4405.0145996794963</v>
      </c>
      <c r="AE70" s="99">
        <v>0</v>
      </c>
      <c r="AF70" s="99">
        <v>41.868713951171657</v>
      </c>
      <c r="AG70" s="99">
        <v>0</v>
      </c>
      <c r="AH70" s="99">
        <v>0</v>
      </c>
      <c r="AI70" s="99">
        <v>0</v>
      </c>
      <c r="AJ70" s="99">
        <v>0</v>
      </c>
      <c r="AK70" s="99">
        <v>0</v>
      </c>
      <c r="AL70" s="99">
        <v>0</v>
      </c>
      <c r="AM70" s="99">
        <v>0</v>
      </c>
      <c r="AN70" s="99">
        <v>0</v>
      </c>
      <c r="AO70" s="99">
        <v>0</v>
      </c>
      <c r="AP70" s="99">
        <v>0</v>
      </c>
      <c r="AQ70" s="99">
        <v>0</v>
      </c>
      <c r="AR70" s="99">
        <f t="shared" si="0"/>
        <v>7254.2472674525934</v>
      </c>
    </row>
    <row r="71" spans="1:44" ht="15" x14ac:dyDescent="0.25">
      <c r="A71" s="258">
        <v>64</v>
      </c>
      <c r="B71" s="258" t="s">
        <v>327</v>
      </c>
      <c r="C71" s="258" t="s">
        <v>1375</v>
      </c>
      <c r="D71" s="859" t="s">
        <v>1382</v>
      </c>
      <c r="E71" s="99">
        <v>0</v>
      </c>
      <c r="F71" s="99">
        <v>0</v>
      </c>
      <c r="G71" s="99">
        <v>0</v>
      </c>
      <c r="H71" s="99">
        <v>0</v>
      </c>
      <c r="I71" s="99">
        <v>0</v>
      </c>
      <c r="J71" s="99">
        <v>0</v>
      </c>
      <c r="K71" s="99">
        <v>0</v>
      </c>
      <c r="L71" s="99">
        <v>0</v>
      </c>
      <c r="M71" s="99">
        <v>0</v>
      </c>
      <c r="N71" s="99">
        <v>0</v>
      </c>
      <c r="O71" s="99">
        <v>0</v>
      </c>
      <c r="P71" s="99">
        <v>1084.6123895376838</v>
      </c>
      <c r="Q71" s="99">
        <v>0</v>
      </c>
      <c r="R71" s="99">
        <v>0</v>
      </c>
      <c r="S71" s="99">
        <v>0</v>
      </c>
      <c r="T71" s="99">
        <v>0</v>
      </c>
      <c r="U71" s="99">
        <v>0</v>
      </c>
      <c r="V71" s="99">
        <v>705.99926006634928</v>
      </c>
      <c r="W71" s="99">
        <v>0</v>
      </c>
      <c r="X71" s="99">
        <v>0</v>
      </c>
      <c r="Y71" s="99">
        <v>0</v>
      </c>
      <c r="Z71" s="99">
        <v>0</v>
      </c>
      <c r="AA71" s="99">
        <v>0</v>
      </c>
      <c r="AB71" s="99">
        <v>0</v>
      </c>
      <c r="AC71" s="99">
        <v>0</v>
      </c>
      <c r="AD71" s="99">
        <v>39.207417339473992</v>
      </c>
      <c r="AE71" s="99">
        <v>0</v>
      </c>
      <c r="AF71" s="99">
        <v>0</v>
      </c>
      <c r="AG71" s="99">
        <v>0</v>
      </c>
      <c r="AH71" s="99">
        <v>0</v>
      </c>
      <c r="AI71" s="99">
        <v>0</v>
      </c>
      <c r="AJ71" s="99">
        <v>0</v>
      </c>
      <c r="AK71" s="99">
        <v>0</v>
      </c>
      <c r="AL71" s="99">
        <v>0</v>
      </c>
      <c r="AM71" s="99">
        <v>0</v>
      </c>
      <c r="AN71" s="99">
        <v>0</v>
      </c>
      <c r="AO71" s="99">
        <v>0</v>
      </c>
      <c r="AP71" s="99">
        <v>0</v>
      </c>
      <c r="AQ71" s="99">
        <v>0</v>
      </c>
      <c r="AR71" s="99">
        <f t="shared" si="0"/>
        <v>1829.8190669435071</v>
      </c>
    </row>
    <row r="72" spans="1:44" ht="15" x14ac:dyDescent="0.25">
      <c r="A72" s="258">
        <v>65</v>
      </c>
      <c r="B72" s="258" t="s">
        <v>327</v>
      </c>
      <c r="C72" s="258" t="s">
        <v>1375</v>
      </c>
      <c r="D72" s="859" t="s">
        <v>1383</v>
      </c>
      <c r="E72" s="99">
        <v>3.581099139097903</v>
      </c>
      <c r="F72" s="99">
        <v>0</v>
      </c>
      <c r="G72" s="99">
        <v>0</v>
      </c>
      <c r="H72" s="99">
        <v>0</v>
      </c>
      <c r="I72" s="99">
        <v>0</v>
      </c>
      <c r="J72" s="99">
        <v>0</v>
      </c>
      <c r="K72" s="99">
        <v>0</v>
      </c>
      <c r="L72" s="99">
        <v>0</v>
      </c>
      <c r="M72" s="99">
        <v>0</v>
      </c>
      <c r="N72" s="99">
        <v>0</v>
      </c>
      <c r="O72" s="99">
        <v>0</v>
      </c>
      <c r="P72" s="99">
        <v>459.79370973056069</v>
      </c>
      <c r="Q72" s="99">
        <v>0</v>
      </c>
      <c r="R72" s="99">
        <v>0</v>
      </c>
      <c r="S72" s="99">
        <v>0</v>
      </c>
      <c r="T72" s="99">
        <v>0</v>
      </c>
      <c r="U72" s="99">
        <v>0</v>
      </c>
      <c r="V72" s="99">
        <v>1834.8585333636095</v>
      </c>
      <c r="W72" s="99">
        <v>0</v>
      </c>
      <c r="X72" s="99">
        <v>0</v>
      </c>
      <c r="Y72" s="99">
        <v>0</v>
      </c>
      <c r="Z72" s="99">
        <v>0</v>
      </c>
      <c r="AA72" s="99">
        <v>0</v>
      </c>
      <c r="AB72" s="99">
        <v>0</v>
      </c>
      <c r="AC72" s="99">
        <v>0</v>
      </c>
      <c r="AD72" s="99">
        <v>3378.270358102021</v>
      </c>
      <c r="AE72" s="99">
        <v>0</v>
      </c>
      <c r="AF72" s="99">
        <v>268.43675463630939</v>
      </c>
      <c r="AG72" s="99">
        <v>0</v>
      </c>
      <c r="AH72" s="99">
        <v>0</v>
      </c>
      <c r="AI72" s="99">
        <v>0</v>
      </c>
      <c r="AJ72" s="99">
        <v>0</v>
      </c>
      <c r="AK72" s="99">
        <v>0</v>
      </c>
      <c r="AL72" s="99">
        <v>0</v>
      </c>
      <c r="AM72" s="99">
        <v>0</v>
      </c>
      <c r="AN72" s="99">
        <v>0</v>
      </c>
      <c r="AO72" s="99">
        <v>0</v>
      </c>
      <c r="AP72" s="99">
        <v>0</v>
      </c>
      <c r="AQ72" s="99">
        <v>0</v>
      </c>
      <c r="AR72" s="99">
        <f t="shared" si="0"/>
        <v>5944.9404549715982</v>
      </c>
    </row>
    <row r="73" spans="1:44" ht="15" x14ac:dyDescent="0.25">
      <c r="A73" s="258">
        <v>66</v>
      </c>
      <c r="B73" s="258" t="s">
        <v>327</v>
      </c>
      <c r="C73" s="258" t="s">
        <v>1375</v>
      </c>
      <c r="D73" s="859" t="s">
        <v>1384</v>
      </c>
      <c r="E73" s="99">
        <v>0</v>
      </c>
      <c r="F73" s="99">
        <v>0</v>
      </c>
      <c r="G73" s="99">
        <v>0</v>
      </c>
      <c r="H73" s="99">
        <v>0</v>
      </c>
      <c r="I73" s="99">
        <v>0</v>
      </c>
      <c r="J73" s="99">
        <v>0</v>
      </c>
      <c r="K73" s="99">
        <v>0</v>
      </c>
      <c r="L73" s="99">
        <v>0</v>
      </c>
      <c r="M73" s="99">
        <v>0</v>
      </c>
      <c r="N73" s="99">
        <v>0</v>
      </c>
      <c r="O73" s="99">
        <v>0</v>
      </c>
      <c r="P73" s="99">
        <v>579.86360175178379</v>
      </c>
      <c r="Q73" s="99">
        <v>0</v>
      </c>
      <c r="R73" s="99">
        <v>0</v>
      </c>
      <c r="S73" s="99">
        <v>0</v>
      </c>
      <c r="T73" s="99">
        <v>0</v>
      </c>
      <c r="U73" s="99">
        <v>0</v>
      </c>
      <c r="V73" s="99">
        <v>0</v>
      </c>
      <c r="W73" s="99">
        <v>0</v>
      </c>
      <c r="X73" s="99">
        <v>0</v>
      </c>
      <c r="Y73" s="99">
        <v>0</v>
      </c>
      <c r="Z73" s="99">
        <v>0</v>
      </c>
      <c r="AA73" s="99">
        <v>0</v>
      </c>
      <c r="AB73" s="99">
        <v>0</v>
      </c>
      <c r="AC73" s="99">
        <v>0</v>
      </c>
      <c r="AD73" s="99">
        <v>9654.2139039495414</v>
      </c>
      <c r="AE73" s="99">
        <v>0</v>
      </c>
      <c r="AF73" s="99">
        <v>0</v>
      </c>
      <c r="AG73" s="99">
        <v>0</v>
      </c>
      <c r="AH73" s="99">
        <v>0</v>
      </c>
      <c r="AI73" s="99">
        <v>0</v>
      </c>
      <c r="AJ73" s="99">
        <v>0</v>
      </c>
      <c r="AK73" s="99">
        <v>0</v>
      </c>
      <c r="AL73" s="99">
        <v>0</v>
      </c>
      <c r="AM73" s="99">
        <v>0</v>
      </c>
      <c r="AN73" s="99">
        <v>0</v>
      </c>
      <c r="AO73" s="99">
        <v>0</v>
      </c>
      <c r="AP73" s="99">
        <v>0</v>
      </c>
      <c r="AQ73" s="99">
        <v>0</v>
      </c>
      <c r="AR73" s="99">
        <f t="shared" ref="AR73:AR136" si="1">SUM(E73:AQ73)</f>
        <v>10234.077505701325</v>
      </c>
    </row>
    <row r="74" spans="1:44" ht="15" x14ac:dyDescent="0.25">
      <c r="A74" s="258">
        <v>67</v>
      </c>
      <c r="B74" s="258" t="s">
        <v>328</v>
      </c>
      <c r="C74" s="258" t="s">
        <v>1385</v>
      </c>
      <c r="D74" s="859" t="s">
        <v>1386</v>
      </c>
      <c r="E74" s="99">
        <v>0</v>
      </c>
      <c r="F74" s="99">
        <v>0</v>
      </c>
      <c r="G74" s="99">
        <v>0</v>
      </c>
      <c r="H74" s="99">
        <v>0</v>
      </c>
      <c r="I74" s="99">
        <v>0</v>
      </c>
      <c r="J74" s="99">
        <v>0</v>
      </c>
      <c r="K74" s="99">
        <v>670.15209569741546</v>
      </c>
      <c r="L74" s="99">
        <v>0</v>
      </c>
      <c r="M74" s="99">
        <v>0</v>
      </c>
      <c r="N74" s="99">
        <v>0</v>
      </c>
      <c r="O74" s="99">
        <v>0</v>
      </c>
      <c r="P74" s="99">
        <v>0</v>
      </c>
      <c r="Q74" s="99">
        <v>0</v>
      </c>
      <c r="R74" s="99">
        <v>0</v>
      </c>
      <c r="S74" s="99">
        <v>0</v>
      </c>
      <c r="T74" s="99">
        <v>0</v>
      </c>
      <c r="U74" s="99">
        <v>0</v>
      </c>
      <c r="V74" s="99">
        <v>3358.3167196945869</v>
      </c>
      <c r="W74" s="99">
        <v>0</v>
      </c>
      <c r="X74" s="99">
        <v>0</v>
      </c>
      <c r="Y74" s="99">
        <v>0</v>
      </c>
      <c r="Z74" s="99">
        <v>0</v>
      </c>
      <c r="AA74" s="99">
        <v>0</v>
      </c>
      <c r="AB74" s="99">
        <v>0</v>
      </c>
      <c r="AC74" s="99">
        <v>0</v>
      </c>
      <c r="AD74" s="99">
        <v>5307.7041223312917</v>
      </c>
      <c r="AE74" s="99">
        <v>0</v>
      </c>
      <c r="AF74" s="99">
        <v>2170.8133208101153</v>
      </c>
      <c r="AG74" s="99">
        <v>0</v>
      </c>
      <c r="AH74" s="99">
        <v>0</v>
      </c>
      <c r="AI74" s="99">
        <v>0</v>
      </c>
      <c r="AJ74" s="99">
        <v>0</v>
      </c>
      <c r="AK74" s="99">
        <v>0</v>
      </c>
      <c r="AL74" s="99">
        <v>0</v>
      </c>
      <c r="AM74" s="99">
        <v>0</v>
      </c>
      <c r="AN74" s="99">
        <v>0</v>
      </c>
      <c r="AO74" s="99">
        <v>0</v>
      </c>
      <c r="AP74" s="99">
        <v>0</v>
      </c>
      <c r="AQ74" s="99">
        <v>0</v>
      </c>
      <c r="AR74" s="99">
        <f t="shared" si="1"/>
        <v>11506.98625853341</v>
      </c>
    </row>
    <row r="75" spans="1:44" ht="15" x14ac:dyDescent="0.25">
      <c r="A75" s="258">
        <v>68</v>
      </c>
      <c r="B75" s="258" t="s">
        <v>328</v>
      </c>
      <c r="C75" s="258" t="s">
        <v>1385</v>
      </c>
      <c r="D75" s="859" t="s">
        <v>1387</v>
      </c>
      <c r="E75" s="99">
        <v>71.621982781958053</v>
      </c>
      <c r="F75" s="99">
        <v>0</v>
      </c>
      <c r="G75" s="99">
        <v>0</v>
      </c>
      <c r="H75" s="99">
        <v>0</v>
      </c>
      <c r="I75" s="99">
        <v>0</v>
      </c>
      <c r="J75" s="99">
        <v>0</v>
      </c>
      <c r="K75" s="99">
        <v>1900.114691208016</v>
      </c>
      <c r="L75" s="99">
        <v>0</v>
      </c>
      <c r="M75" s="99">
        <v>0</v>
      </c>
      <c r="N75" s="99">
        <v>0</v>
      </c>
      <c r="O75" s="99">
        <v>0</v>
      </c>
      <c r="P75" s="99">
        <v>0</v>
      </c>
      <c r="Q75" s="99">
        <v>0</v>
      </c>
      <c r="R75" s="99">
        <v>0</v>
      </c>
      <c r="S75" s="99">
        <v>0</v>
      </c>
      <c r="T75" s="99">
        <v>0</v>
      </c>
      <c r="U75" s="99">
        <v>0</v>
      </c>
      <c r="V75" s="99">
        <v>0</v>
      </c>
      <c r="W75" s="99">
        <v>0</v>
      </c>
      <c r="X75" s="99">
        <v>0</v>
      </c>
      <c r="Y75" s="99">
        <v>0</v>
      </c>
      <c r="Z75" s="99">
        <v>0</v>
      </c>
      <c r="AA75" s="99">
        <v>0</v>
      </c>
      <c r="AB75" s="99">
        <v>0</v>
      </c>
      <c r="AC75" s="99">
        <v>0</v>
      </c>
      <c r="AD75" s="99">
        <v>40.432649131332553</v>
      </c>
      <c r="AE75" s="99">
        <v>0</v>
      </c>
      <c r="AF75" s="99">
        <v>3590.1097253827443</v>
      </c>
      <c r="AG75" s="99">
        <v>0</v>
      </c>
      <c r="AH75" s="99">
        <v>0</v>
      </c>
      <c r="AI75" s="99">
        <v>0</v>
      </c>
      <c r="AJ75" s="99">
        <v>0</v>
      </c>
      <c r="AK75" s="99">
        <v>0</v>
      </c>
      <c r="AL75" s="99">
        <v>0</v>
      </c>
      <c r="AM75" s="99">
        <v>0</v>
      </c>
      <c r="AN75" s="99">
        <v>0</v>
      </c>
      <c r="AO75" s="99">
        <v>0</v>
      </c>
      <c r="AP75" s="99">
        <v>0</v>
      </c>
      <c r="AQ75" s="99">
        <v>0</v>
      </c>
      <c r="AR75" s="99">
        <f t="shared" si="1"/>
        <v>5602.2790485040505</v>
      </c>
    </row>
    <row r="76" spans="1:44" ht="15" x14ac:dyDescent="0.25">
      <c r="A76" s="258">
        <v>69</v>
      </c>
      <c r="B76" s="258" t="s">
        <v>328</v>
      </c>
      <c r="C76" s="258" t="s">
        <v>1385</v>
      </c>
      <c r="D76" s="859" t="s">
        <v>1388</v>
      </c>
      <c r="E76" s="99">
        <v>0</v>
      </c>
      <c r="F76" s="99">
        <v>0</v>
      </c>
      <c r="G76" s="99">
        <v>0</v>
      </c>
      <c r="H76" s="99">
        <v>0</v>
      </c>
      <c r="I76" s="99">
        <v>0</v>
      </c>
      <c r="J76" s="99">
        <v>0</v>
      </c>
      <c r="K76" s="99">
        <v>0</v>
      </c>
      <c r="L76" s="99">
        <v>0</v>
      </c>
      <c r="M76" s="99">
        <v>0</v>
      </c>
      <c r="N76" s="99">
        <v>0</v>
      </c>
      <c r="O76" s="99">
        <v>0</v>
      </c>
      <c r="P76" s="99">
        <v>0</v>
      </c>
      <c r="Q76" s="99">
        <v>0</v>
      </c>
      <c r="R76" s="99">
        <v>0</v>
      </c>
      <c r="S76" s="99">
        <v>0</v>
      </c>
      <c r="T76" s="99">
        <v>0</v>
      </c>
      <c r="U76" s="99">
        <v>0</v>
      </c>
      <c r="V76" s="99">
        <v>456.93180692659342</v>
      </c>
      <c r="W76" s="99">
        <v>0</v>
      </c>
      <c r="X76" s="99">
        <v>0</v>
      </c>
      <c r="Y76" s="99">
        <v>0</v>
      </c>
      <c r="Z76" s="99">
        <v>0</v>
      </c>
      <c r="AA76" s="99">
        <v>0</v>
      </c>
      <c r="AB76" s="99">
        <v>0</v>
      </c>
      <c r="AC76" s="99">
        <v>0</v>
      </c>
      <c r="AD76" s="99">
        <v>3951.3725287438633</v>
      </c>
      <c r="AE76" s="99">
        <v>0</v>
      </c>
      <c r="AF76" s="99">
        <v>370.45862090973407</v>
      </c>
      <c r="AG76" s="99">
        <v>0</v>
      </c>
      <c r="AH76" s="99">
        <v>0</v>
      </c>
      <c r="AI76" s="99">
        <v>0</v>
      </c>
      <c r="AJ76" s="99">
        <v>0</v>
      </c>
      <c r="AK76" s="99">
        <v>0</v>
      </c>
      <c r="AL76" s="99">
        <v>0</v>
      </c>
      <c r="AM76" s="99">
        <v>0</v>
      </c>
      <c r="AN76" s="99">
        <v>0</v>
      </c>
      <c r="AO76" s="99">
        <v>0</v>
      </c>
      <c r="AP76" s="99">
        <v>0</v>
      </c>
      <c r="AQ76" s="99">
        <v>0</v>
      </c>
      <c r="AR76" s="99">
        <f t="shared" si="1"/>
        <v>4778.7629565801908</v>
      </c>
    </row>
    <row r="77" spans="1:44" ht="15" x14ac:dyDescent="0.25">
      <c r="A77" s="258">
        <v>70</v>
      </c>
      <c r="B77" s="258" t="s">
        <v>328</v>
      </c>
      <c r="C77" s="258" t="s">
        <v>1385</v>
      </c>
      <c r="D77" s="859" t="s">
        <v>1389</v>
      </c>
      <c r="E77" s="99">
        <v>5.4769751539144407</v>
      </c>
      <c r="F77" s="99">
        <v>0</v>
      </c>
      <c r="G77" s="99">
        <v>0</v>
      </c>
      <c r="H77" s="99">
        <v>0</v>
      </c>
      <c r="I77" s="99">
        <v>0</v>
      </c>
      <c r="J77" s="99">
        <v>0</v>
      </c>
      <c r="K77" s="99">
        <v>226.72325242433996</v>
      </c>
      <c r="L77" s="99">
        <v>0</v>
      </c>
      <c r="M77" s="99">
        <v>0</v>
      </c>
      <c r="N77" s="99">
        <v>0</v>
      </c>
      <c r="O77" s="99">
        <v>0</v>
      </c>
      <c r="P77" s="99">
        <v>0</v>
      </c>
      <c r="Q77" s="99">
        <v>0</v>
      </c>
      <c r="R77" s="99">
        <v>0</v>
      </c>
      <c r="S77" s="99">
        <v>0</v>
      </c>
      <c r="T77" s="99">
        <v>0</v>
      </c>
      <c r="U77" s="99">
        <v>0</v>
      </c>
      <c r="V77" s="99">
        <v>37.505385308425581</v>
      </c>
      <c r="W77" s="99">
        <v>0</v>
      </c>
      <c r="X77" s="99">
        <v>0</v>
      </c>
      <c r="Y77" s="99">
        <v>0</v>
      </c>
      <c r="Z77" s="99">
        <v>0</v>
      </c>
      <c r="AA77" s="99">
        <v>0</v>
      </c>
      <c r="AB77" s="99">
        <v>0</v>
      </c>
      <c r="AC77" s="99">
        <v>0</v>
      </c>
      <c r="AD77" s="99">
        <v>18790.461067890876</v>
      </c>
      <c r="AE77" s="99">
        <v>0</v>
      </c>
      <c r="AF77" s="99">
        <v>6255.3978577934058</v>
      </c>
      <c r="AG77" s="99">
        <v>0</v>
      </c>
      <c r="AH77" s="99">
        <v>0</v>
      </c>
      <c r="AI77" s="99">
        <v>0</v>
      </c>
      <c r="AJ77" s="99">
        <v>0</v>
      </c>
      <c r="AK77" s="99">
        <v>0</v>
      </c>
      <c r="AL77" s="99">
        <v>0</v>
      </c>
      <c r="AM77" s="99">
        <v>0</v>
      </c>
      <c r="AN77" s="99">
        <v>0</v>
      </c>
      <c r="AO77" s="99">
        <v>0</v>
      </c>
      <c r="AP77" s="99">
        <v>0</v>
      </c>
      <c r="AQ77" s="99">
        <v>0</v>
      </c>
      <c r="AR77" s="99">
        <f t="shared" si="1"/>
        <v>25315.564538570961</v>
      </c>
    </row>
    <row r="78" spans="1:44" ht="15" x14ac:dyDescent="0.25">
      <c r="A78" s="258">
        <v>71</v>
      </c>
      <c r="B78" s="258" t="s">
        <v>328</v>
      </c>
      <c r="C78" s="258" t="s">
        <v>1385</v>
      </c>
      <c r="D78" s="859" t="s">
        <v>1390</v>
      </c>
      <c r="E78" s="99">
        <v>4148.1767204185826</v>
      </c>
      <c r="F78" s="99">
        <v>0</v>
      </c>
      <c r="G78" s="99">
        <v>0</v>
      </c>
      <c r="H78" s="99">
        <v>0</v>
      </c>
      <c r="I78" s="99">
        <v>0</v>
      </c>
      <c r="J78" s="99">
        <v>0</v>
      </c>
      <c r="K78" s="99">
        <v>2650.1134424051015</v>
      </c>
      <c r="L78" s="99">
        <v>0</v>
      </c>
      <c r="M78" s="99">
        <v>0</v>
      </c>
      <c r="N78" s="99">
        <v>0</v>
      </c>
      <c r="O78" s="99">
        <v>0</v>
      </c>
      <c r="P78" s="99">
        <v>0</v>
      </c>
      <c r="Q78" s="99">
        <v>0</v>
      </c>
      <c r="R78" s="99">
        <v>0</v>
      </c>
      <c r="S78" s="99">
        <v>0</v>
      </c>
      <c r="T78" s="99">
        <v>0</v>
      </c>
      <c r="U78" s="99">
        <v>0</v>
      </c>
      <c r="V78" s="99">
        <v>0</v>
      </c>
      <c r="W78" s="99">
        <v>0</v>
      </c>
      <c r="X78" s="99">
        <v>0</v>
      </c>
      <c r="Y78" s="99">
        <v>0</v>
      </c>
      <c r="Z78" s="99">
        <v>0</v>
      </c>
      <c r="AA78" s="99">
        <v>0</v>
      </c>
      <c r="AB78" s="99">
        <v>0</v>
      </c>
      <c r="AC78" s="99">
        <v>0</v>
      </c>
      <c r="AD78" s="99">
        <v>0</v>
      </c>
      <c r="AE78" s="99">
        <v>0</v>
      </c>
      <c r="AF78" s="99">
        <v>628.03070926757493</v>
      </c>
      <c r="AG78" s="99">
        <v>0</v>
      </c>
      <c r="AH78" s="99">
        <v>0</v>
      </c>
      <c r="AI78" s="99">
        <v>0</v>
      </c>
      <c r="AJ78" s="99">
        <v>0</v>
      </c>
      <c r="AK78" s="99">
        <v>0</v>
      </c>
      <c r="AL78" s="99">
        <v>0</v>
      </c>
      <c r="AM78" s="99">
        <v>0</v>
      </c>
      <c r="AN78" s="99">
        <v>0</v>
      </c>
      <c r="AO78" s="99">
        <v>0</v>
      </c>
      <c r="AP78" s="99">
        <v>0</v>
      </c>
      <c r="AQ78" s="99">
        <v>0</v>
      </c>
      <c r="AR78" s="99">
        <f t="shared" si="1"/>
        <v>7426.3208720912589</v>
      </c>
    </row>
    <row r="79" spans="1:44" ht="15" x14ac:dyDescent="0.25">
      <c r="A79" s="258">
        <v>72</v>
      </c>
      <c r="B79" s="258" t="s">
        <v>328</v>
      </c>
      <c r="C79" s="258" t="s">
        <v>1385</v>
      </c>
      <c r="D79" s="859" t="s">
        <v>1391</v>
      </c>
      <c r="E79" s="99">
        <v>8677.8458255963596</v>
      </c>
      <c r="F79" s="99">
        <v>0</v>
      </c>
      <c r="G79" s="99">
        <v>0</v>
      </c>
      <c r="H79" s="99">
        <v>0</v>
      </c>
      <c r="I79" s="99">
        <v>0</v>
      </c>
      <c r="J79" s="99">
        <v>0</v>
      </c>
      <c r="K79" s="99">
        <v>14369.156981783799</v>
      </c>
      <c r="L79" s="99">
        <v>0</v>
      </c>
      <c r="M79" s="99">
        <v>0</v>
      </c>
      <c r="N79" s="99">
        <v>0</v>
      </c>
      <c r="O79" s="99">
        <v>0</v>
      </c>
      <c r="P79" s="99">
        <v>0</v>
      </c>
      <c r="Q79" s="99">
        <v>0</v>
      </c>
      <c r="R79" s="99">
        <v>0</v>
      </c>
      <c r="S79" s="99">
        <v>0</v>
      </c>
      <c r="T79" s="99">
        <v>0</v>
      </c>
      <c r="U79" s="99">
        <v>0</v>
      </c>
      <c r="V79" s="99">
        <v>0</v>
      </c>
      <c r="W79" s="99">
        <v>0</v>
      </c>
      <c r="X79" s="99">
        <v>0</v>
      </c>
      <c r="Y79" s="99">
        <v>0</v>
      </c>
      <c r="Z79" s="99">
        <v>0</v>
      </c>
      <c r="AA79" s="99">
        <v>0</v>
      </c>
      <c r="AB79" s="99">
        <v>0</v>
      </c>
      <c r="AC79" s="99">
        <v>0</v>
      </c>
      <c r="AD79" s="99">
        <v>0</v>
      </c>
      <c r="AE79" s="99">
        <v>0</v>
      </c>
      <c r="AF79" s="99">
        <v>1407.3717708523586</v>
      </c>
      <c r="AG79" s="99">
        <v>0</v>
      </c>
      <c r="AH79" s="99">
        <v>0</v>
      </c>
      <c r="AI79" s="99">
        <v>0</v>
      </c>
      <c r="AJ79" s="99">
        <v>0</v>
      </c>
      <c r="AK79" s="99">
        <v>0</v>
      </c>
      <c r="AL79" s="99">
        <v>0</v>
      </c>
      <c r="AM79" s="99">
        <v>0</v>
      </c>
      <c r="AN79" s="99">
        <v>0</v>
      </c>
      <c r="AO79" s="99">
        <v>0</v>
      </c>
      <c r="AP79" s="99">
        <v>0</v>
      </c>
      <c r="AQ79" s="99">
        <v>0</v>
      </c>
      <c r="AR79" s="99">
        <f t="shared" si="1"/>
        <v>24454.374578232517</v>
      </c>
    </row>
    <row r="80" spans="1:44" ht="15" x14ac:dyDescent="0.25">
      <c r="A80" s="258">
        <v>73</v>
      </c>
      <c r="B80" s="258" t="s">
        <v>328</v>
      </c>
      <c r="C80" s="258" t="s">
        <v>1385</v>
      </c>
      <c r="D80" s="859" t="s">
        <v>1392</v>
      </c>
      <c r="E80" s="99">
        <v>2993.7988802858467</v>
      </c>
      <c r="F80" s="99">
        <v>0</v>
      </c>
      <c r="G80" s="99">
        <v>0</v>
      </c>
      <c r="H80" s="99">
        <v>0</v>
      </c>
      <c r="I80" s="99">
        <v>0</v>
      </c>
      <c r="J80" s="99">
        <v>0</v>
      </c>
      <c r="K80" s="99">
        <v>8539.0252633346427</v>
      </c>
      <c r="L80" s="99">
        <v>0</v>
      </c>
      <c r="M80" s="99">
        <v>0</v>
      </c>
      <c r="N80" s="99">
        <v>0</v>
      </c>
      <c r="O80" s="99">
        <v>0</v>
      </c>
      <c r="P80" s="99">
        <v>14256.45025975215</v>
      </c>
      <c r="Q80" s="99">
        <v>0</v>
      </c>
      <c r="R80" s="99">
        <v>0</v>
      </c>
      <c r="S80" s="99">
        <v>0</v>
      </c>
      <c r="T80" s="99">
        <v>0</v>
      </c>
      <c r="U80" s="99">
        <v>0</v>
      </c>
      <c r="V80" s="99">
        <v>0</v>
      </c>
      <c r="W80" s="99">
        <v>0</v>
      </c>
      <c r="X80" s="99">
        <v>0</v>
      </c>
      <c r="Y80" s="99">
        <v>0</v>
      </c>
      <c r="Z80" s="99">
        <v>0</v>
      </c>
      <c r="AA80" s="99">
        <v>0</v>
      </c>
      <c r="AB80" s="99">
        <v>0</v>
      </c>
      <c r="AC80" s="99">
        <v>0</v>
      </c>
      <c r="AD80" s="99">
        <v>0</v>
      </c>
      <c r="AE80" s="99">
        <v>104.9554716109154</v>
      </c>
      <c r="AF80" s="99">
        <v>0</v>
      </c>
      <c r="AG80" s="99">
        <v>0</v>
      </c>
      <c r="AH80" s="99">
        <v>0</v>
      </c>
      <c r="AI80" s="99">
        <v>0</v>
      </c>
      <c r="AJ80" s="99">
        <v>0</v>
      </c>
      <c r="AK80" s="99">
        <v>0</v>
      </c>
      <c r="AL80" s="99">
        <v>0</v>
      </c>
      <c r="AM80" s="99">
        <v>0</v>
      </c>
      <c r="AN80" s="99">
        <v>0</v>
      </c>
      <c r="AO80" s="99">
        <v>0</v>
      </c>
      <c r="AP80" s="99">
        <v>0</v>
      </c>
      <c r="AQ80" s="99">
        <v>0</v>
      </c>
      <c r="AR80" s="99">
        <f t="shared" si="1"/>
        <v>25894.229874983557</v>
      </c>
    </row>
    <row r="81" spans="1:44" ht="15" x14ac:dyDescent="0.25">
      <c r="A81" s="258">
        <v>74</v>
      </c>
      <c r="B81" s="258" t="s">
        <v>328</v>
      </c>
      <c r="C81" s="258" t="s">
        <v>1385</v>
      </c>
      <c r="D81" s="859" t="s">
        <v>1393</v>
      </c>
      <c r="E81" s="99">
        <v>32.019239361345953</v>
      </c>
      <c r="F81" s="99">
        <v>0</v>
      </c>
      <c r="G81" s="99">
        <v>0</v>
      </c>
      <c r="H81" s="99">
        <v>0</v>
      </c>
      <c r="I81" s="99">
        <v>0</v>
      </c>
      <c r="J81" s="99">
        <v>0</v>
      </c>
      <c r="K81" s="99">
        <v>17253.654241347525</v>
      </c>
      <c r="L81" s="99">
        <v>0</v>
      </c>
      <c r="M81" s="99">
        <v>0</v>
      </c>
      <c r="N81" s="99">
        <v>0</v>
      </c>
      <c r="O81" s="99">
        <v>0</v>
      </c>
      <c r="P81" s="99">
        <v>5479.9671097837854</v>
      </c>
      <c r="Q81" s="99">
        <v>0</v>
      </c>
      <c r="R81" s="99">
        <v>0</v>
      </c>
      <c r="S81" s="99">
        <v>0</v>
      </c>
      <c r="T81" s="99">
        <v>0</v>
      </c>
      <c r="U81" s="99">
        <v>0</v>
      </c>
      <c r="V81" s="99">
        <v>0</v>
      </c>
      <c r="W81" s="99">
        <v>0</v>
      </c>
      <c r="X81" s="99">
        <v>0</v>
      </c>
      <c r="Y81" s="99">
        <v>0</v>
      </c>
      <c r="Z81" s="99">
        <v>0</v>
      </c>
      <c r="AA81" s="99">
        <v>0</v>
      </c>
      <c r="AB81" s="99">
        <v>0</v>
      </c>
      <c r="AC81" s="99">
        <v>0</v>
      </c>
      <c r="AD81" s="99">
        <v>0</v>
      </c>
      <c r="AE81" s="99">
        <v>15154.770439880102</v>
      </c>
      <c r="AF81" s="99">
        <v>0</v>
      </c>
      <c r="AG81" s="99">
        <v>0</v>
      </c>
      <c r="AH81" s="99">
        <v>0</v>
      </c>
      <c r="AI81" s="99">
        <v>0</v>
      </c>
      <c r="AJ81" s="99">
        <v>0</v>
      </c>
      <c r="AK81" s="99">
        <v>0</v>
      </c>
      <c r="AL81" s="99">
        <v>0</v>
      </c>
      <c r="AM81" s="99">
        <v>0</v>
      </c>
      <c r="AN81" s="99">
        <v>0</v>
      </c>
      <c r="AO81" s="99">
        <v>0</v>
      </c>
      <c r="AP81" s="99">
        <v>0</v>
      </c>
      <c r="AQ81" s="99">
        <v>0</v>
      </c>
      <c r="AR81" s="99">
        <f t="shared" si="1"/>
        <v>37920.411030372758</v>
      </c>
    </row>
    <row r="82" spans="1:44" ht="15" x14ac:dyDescent="0.25">
      <c r="A82" s="258">
        <v>75</v>
      </c>
      <c r="B82" s="258" t="s">
        <v>328</v>
      </c>
      <c r="C82" s="258" t="s">
        <v>1385</v>
      </c>
      <c r="D82" s="859" t="s">
        <v>1394</v>
      </c>
      <c r="E82" s="99">
        <v>10819.132457886371</v>
      </c>
      <c r="F82" s="99">
        <v>0</v>
      </c>
      <c r="G82" s="99">
        <v>0</v>
      </c>
      <c r="H82" s="99">
        <v>0</v>
      </c>
      <c r="I82" s="99">
        <v>0</v>
      </c>
      <c r="J82" s="99">
        <v>0</v>
      </c>
      <c r="K82" s="99">
        <v>15494.376086408303</v>
      </c>
      <c r="L82" s="99">
        <v>0</v>
      </c>
      <c r="M82" s="99">
        <v>0</v>
      </c>
      <c r="N82" s="99">
        <v>0</v>
      </c>
      <c r="O82" s="99">
        <v>0</v>
      </c>
      <c r="P82" s="99">
        <v>415.97673491712851</v>
      </c>
      <c r="Q82" s="99">
        <v>0</v>
      </c>
      <c r="R82" s="99">
        <v>0</v>
      </c>
      <c r="S82" s="99">
        <v>0</v>
      </c>
      <c r="T82" s="99">
        <v>0</v>
      </c>
      <c r="U82" s="99">
        <v>0</v>
      </c>
      <c r="V82" s="99">
        <v>0</v>
      </c>
      <c r="W82" s="99">
        <v>0</v>
      </c>
      <c r="X82" s="99">
        <v>0</v>
      </c>
      <c r="Y82" s="99">
        <v>0</v>
      </c>
      <c r="Z82" s="99">
        <v>0</v>
      </c>
      <c r="AA82" s="99">
        <v>0</v>
      </c>
      <c r="AB82" s="99">
        <v>0</v>
      </c>
      <c r="AC82" s="99">
        <v>0</v>
      </c>
      <c r="AD82" s="99">
        <v>0</v>
      </c>
      <c r="AE82" s="99">
        <v>0</v>
      </c>
      <c r="AF82" s="99">
        <v>0</v>
      </c>
      <c r="AG82" s="99">
        <v>0</v>
      </c>
      <c r="AH82" s="99">
        <v>0</v>
      </c>
      <c r="AI82" s="99">
        <v>0</v>
      </c>
      <c r="AJ82" s="99">
        <v>0</v>
      </c>
      <c r="AK82" s="99">
        <v>0</v>
      </c>
      <c r="AL82" s="99">
        <v>0</v>
      </c>
      <c r="AM82" s="99">
        <v>0</v>
      </c>
      <c r="AN82" s="99">
        <v>0</v>
      </c>
      <c r="AO82" s="99">
        <v>0</v>
      </c>
      <c r="AP82" s="99">
        <v>0</v>
      </c>
      <c r="AQ82" s="99">
        <v>0</v>
      </c>
      <c r="AR82" s="99">
        <f t="shared" si="1"/>
        <v>26729.4852792118</v>
      </c>
    </row>
    <row r="83" spans="1:44" ht="15" x14ac:dyDescent="0.25">
      <c r="A83" s="258">
        <v>76</v>
      </c>
      <c r="B83" s="258" t="s">
        <v>314</v>
      </c>
      <c r="C83" s="258" t="s">
        <v>1395</v>
      </c>
      <c r="D83" s="859" t="s">
        <v>1396</v>
      </c>
      <c r="E83" s="99">
        <v>3043.5129624521469</v>
      </c>
      <c r="F83" s="99">
        <v>0</v>
      </c>
      <c r="G83" s="99">
        <v>0</v>
      </c>
      <c r="H83" s="99">
        <v>0</v>
      </c>
      <c r="I83" s="99">
        <v>0</v>
      </c>
      <c r="J83" s="99">
        <v>0</v>
      </c>
      <c r="K83" s="99">
        <v>0</v>
      </c>
      <c r="L83" s="99">
        <v>0</v>
      </c>
      <c r="M83" s="99">
        <v>0</v>
      </c>
      <c r="N83" s="99">
        <v>0</v>
      </c>
      <c r="O83" s="99">
        <v>0</v>
      </c>
      <c r="P83" s="99">
        <v>727.81702319973647</v>
      </c>
      <c r="Q83" s="99">
        <v>0</v>
      </c>
      <c r="R83" s="99">
        <v>0</v>
      </c>
      <c r="S83" s="99">
        <v>0</v>
      </c>
      <c r="T83" s="99">
        <v>0</v>
      </c>
      <c r="U83" s="99">
        <v>0</v>
      </c>
      <c r="V83" s="99">
        <v>545.14869913091843</v>
      </c>
      <c r="W83" s="99">
        <v>0</v>
      </c>
      <c r="X83" s="99">
        <v>0</v>
      </c>
      <c r="Y83" s="99">
        <v>0</v>
      </c>
      <c r="Z83" s="99">
        <v>0</v>
      </c>
      <c r="AA83" s="99">
        <v>0</v>
      </c>
      <c r="AB83" s="99">
        <v>0</v>
      </c>
      <c r="AC83" s="99">
        <v>0</v>
      </c>
      <c r="AD83" s="99">
        <v>0</v>
      </c>
      <c r="AE83" s="99">
        <v>0</v>
      </c>
      <c r="AF83" s="99">
        <v>0</v>
      </c>
      <c r="AG83" s="99">
        <v>0</v>
      </c>
      <c r="AH83" s="99">
        <v>0</v>
      </c>
      <c r="AI83" s="99">
        <v>0</v>
      </c>
      <c r="AJ83" s="99">
        <v>0</v>
      </c>
      <c r="AK83" s="99">
        <v>0</v>
      </c>
      <c r="AL83" s="99">
        <v>0</v>
      </c>
      <c r="AM83" s="99">
        <v>0</v>
      </c>
      <c r="AN83" s="99">
        <v>0</v>
      </c>
      <c r="AO83" s="99">
        <v>0</v>
      </c>
      <c r="AP83" s="99">
        <v>0</v>
      </c>
      <c r="AQ83" s="99">
        <v>0</v>
      </c>
      <c r="AR83" s="99">
        <f t="shared" si="1"/>
        <v>4316.4786847828018</v>
      </c>
    </row>
    <row r="84" spans="1:44" ht="15" x14ac:dyDescent="0.25">
      <c r="A84" s="258">
        <v>77</v>
      </c>
      <c r="B84" s="258" t="s">
        <v>314</v>
      </c>
      <c r="C84" s="258" t="s">
        <v>1395</v>
      </c>
      <c r="D84" s="859" t="s">
        <v>1397</v>
      </c>
      <c r="E84" s="99">
        <v>3942.5794992562564</v>
      </c>
      <c r="F84" s="99">
        <v>0</v>
      </c>
      <c r="G84" s="99">
        <v>0</v>
      </c>
      <c r="H84" s="99">
        <v>0</v>
      </c>
      <c r="I84" s="99">
        <v>0</v>
      </c>
      <c r="J84" s="99">
        <v>0</v>
      </c>
      <c r="K84" s="99">
        <v>2063.343647469334</v>
      </c>
      <c r="L84" s="99">
        <v>0</v>
      </c>
      <c r="M84" s="99">
        <v>0</v>
      </c>
      <c r="N84" s="99">
        <v>0</v>
      </c>
      <c r="O84" s="99">
        <v>0</v>
      </c>
      <c r="P84" s="99">
        <v>2721.7739030213756</v>
      </c>
      <c r="Q84" s="99">
        <v>0</v>
      </c>
      <c r="R84" s="99">
        <v>0</v>
      </c>
      <c r="S84" s="99">
        <v>0</v>
      </c>
      <c r="T84" s="99">
        <v>0</v>
      </c>
      <c r="U84" s="99">
        <v>0</v>
      </c>
      <c r="V84" s="99">
        <v>0</v>
      </c>
      <c r="W84" s="99">
        <v>0</v>
      </c>
      <c r="X84" s="99">
        <v>0</v>
      </c>
      <c r="Y84" s="99">
        <v>0</v>
      </c>
      <c r="Z84" s="99">
        <v>0</v>
      </c>
      <c r="AA84" s="99">
        <v>0</v>
      </c>
      <c r="AB84" s="99">
        <v>0</v>
      </c>
      <c r="AC84" s="99">
        <v>0</v>
      </c>
      <c r="AD84" s="99">
        <v>0</v>
      </c>
      <c r="AE84" s="99">
        <v>0</v>
      </c>
      <c r="AF84" s="99">
        <v>0</v>
      </c>
      <c r="AG84" s="99">
        <v>0</v>
      </c>
      <c r="AH84" s="99">
        <v>0</v>
      </c>
      <c r="AI84" s="99">
        <v>0</v>
      </c>
      <c r="AJ84" s="99">
        <v>0</v>
      </c>
      <c r="AK84" s="99">
        <v>0</v>
      </c>
      <c r="AL84" s="99">
        <v>0</v>
      </c>
      <c r="AM84" s="99">
        <v>0</v>
      </c>
      <c r="AN84" s="99">
        <v>0</v>
      </c>
      <c r="AO84" s="99">
        <v>0</v>
      </c>
      <c r="AP84" s="99">
        <v>0</v>
      </c>
      <c r="AQ84" s="99">
        <v>0</v>
      </c>
      <c r="AR84" s="99">
        <f t="shared" si="1"/>
        <v>8727.6970497469665</v>
      </c>
    </row>
    <row r="85" spans="1:44" ht="15" x14ac:dyDescent="0.25">
      <c r="A85" s="258">
        <v>78</v>
      </c>
      <c r="B85" s="258" t="s">
        <v>314</v>
      </c>
      <c r="C85" s="258" t="s">
        <v>1395</v>
      </c>
      <c r="D85" s="859" t="s">
        <v>1398</v>
      </c>
      <c r="E85" s="99">
        <v>443.42433457653448</v>
      </c>
      <c r="F85" s="99">
        <v>0</v>
      </c>
      <c r="G85" s="99">
        <v>0</v>
      </c>
      <c r="H85" s="99">
        <v>0</v>
      </c>
      <c r="I85" s="99">
        <v>0</v>
      </c>
      <c r="J85" s="99">
        <v>0</v>
      </c>
      <c r="K85" s="99">
        <v>0</v>
      </c>
      <c r="L85" s="99">
        <v>0</v>
      </c>
      <c r="M85" s="99">
        <v>0</v>
      </c>
      <c r="N85" s="99">
        <v>0</v>
      </c>
      <c r="O85" s="99">
        <v>0</v>
      </c>
      <c r="P85" s="99">
        <v>236.15642269577066</v>
      </c>
      <c r="Q85" s="99">
        <v>0</v>
      </c>
      <c r="R85" s="99">
        <v>0</v>
      </c>
      <c r="S85" s="99">
        <v>0</v>
      </c>
      <c r="T85" s="99">
        <v>0</v>
      </c>
      <c r="U85" s="99">
        <v>0</v>
      </c>
      <c r="V85" s="99">
        <v>2.3771018857452835</v>
      </c>
      <c r="W85" s="99">
        <v>0</v>
      </c>
      <c r="X85" s="99">
        <v>0</v>
      </c>
      <c r="Y85" s="99">
        <v>0</v>
      </c>
      <c r="Z85" s="99">
        <v>0</v>
      </c>
      <c r="AA85" s="99">
        <v>0</v>
      </c>
      <c r="AB85" s="99">
        <v>0</v>
      </c>
      <c r="AC85" s="99">
        <v>0</v>
      </c>
      <c r="AD85" s="99">
        <v>0</v>
      </c>
      <c r="AE85" s="99">
        <v>0</v>
      </c>
      <c r="AF85" s="99">
        <v>3.9748779067568027</v>
      </c>
      <c r="AG85" s="99">
        <v>0</v>
      </c>
      <c r="AH85" s="99">
        <v>0</v>
      </c>
      <c r="AI85" s="99">
        <v>0</v>
      </c>
      <c r="AJ85" s="99">
        <v>0</v>
      </c>
      <c r="AK85" s="99">
        <v>0</v>
      </c>
      <c r="AL85" s="99">
        <v>0</v>
      </c>
      <c r="AM85" s="99">
        <v>0</v>
      </c>
      <c r="AN85" s="99">
        <v>0</v>
      </c>
      <c r="AO85" s="99">
        <v>0</v>
      </c>
      <c r="AP85" s="99">
        <v>0</v>
      </c>
      <c r="AQ85" s="99">
        <v>0</v>
      </c>
      <c r="AR85" s="99">
        <f t="shared" si="1"/>
        <v>685.93273706480727</v>
      </c>
    </row>
    <row r="86" spans="1:44" ht="15" x14ac:dyDescent="0.25">
      <c r="A86" s="258">
        <v>79</v>
      </c>
      <c r="B86" s="258" t="s">
        <v>314</v>
      </c>
      <c r="C86" s="258" t="s">
        <v>1395</v>
      </c>
      <c r="D86" s="859" t="s">
        <v>1399</v>
      </c>
      <c r="E86" s="99">
        <v>4444.3546845110322</v>
      </c>
      <c r="F86" s="99">
        <v>0</v>
      </c>
      <c r="G86" s="99">
        <v>0</v>
      </c>
      <c r="H86" s="99">
        <v>0</v>
      </c>
      <c r="I86" s="99">
        <v>0</v>
      </c>
      <c r="J86" s="99">
        <v>0</v>
      </c>
      <c r="K86" s="99">
        <v>146.14000416175776</v>
      </c>
      <c r="L86" s="99">
        <v>0</v>
      </c>
      <c r="M86" s="99">
        <v>0</v>
      </c>
      <c r="N86" s="99">
        <v>0</v>
      </c>
      <c r="O86" s="99">
        <v>0</v>
      </c>
      <c r="P86" s="99">
        <v>464.91517431914366</v>
      </c>
      <c r="Q86" s="99">
        <v>0</v>
      </c>
      <c r="R86" s="99">
        <v>0</v>
      </c>
      <c r="S86" s="99">
        <v>0</v>
      </c>
      <c r="T86" s="99">
        <v>0</v>
      </c>
      <c r="U86" s="99">
        <v>0</v>
      </c>
      <c r="V86" s="99">
        <v>965.89573290783346</v>
      </c>
      <c r="W86" s="99">
        <v>0</v>
      </c>
      <c r="X86" s="99">
        <v>0</v>
      </c>
      <c r="Y86" s="99">
        <v>0</v>
      </c>
      <c r="Z86" s="99">
        <v>0</v>
      </c>
      <c r="AA86" s="99">
        <v>0</v>
      </c>
      <c r="AB86" s="99">
        <v>0</v>
      </c>
      <c r="AC86" s="99">
        <v>0</v>
      </c>
      <c r="AD86" s="99">
        <v>0</v>
      </c>
      <c r="AE86" s="99">
        <v>0</v>
      </c>
      <c r="AF86" s="99">
        <v>0</v>
      </c>
      <c r="AG86" s="99">
        <v>0</v>
      </c>
      <c r="AH86" s="99">
        <v>0</v>
      </c>
      <c r="AI86" s="99">
        <v>0</v>
      </c>
      <c r="AJ86" s="99">
        <v>0</v>
      </c>
      <c r="AK86" s="99">
        <v>0</v>
      </c>
      <c r="AL86" s="99">
        <v>0</v>
      </c>
      <c r="AM86" s="99">
        <v>0</v>
      </c>
      <c r="AN86" s="99">
        <v>0</v>
      </c>
      <c r="AO86" s="99">
        <v>0</v>
      </c>
      <c r="AP86" s="99">
        <v>0</v>
      </c>
      <c r="AQ86" s="99">
        <v>0</v>
      </c>
      <c r="AR86" s="99">
        <f t="shared" si="1"/>
        <v>6021.3055958997666</v>
      </c>
    </row>
    <row r="87" spans="1:44" ht="15" x14ac:dyDescent="0.25">
      <c r="A87" s="258">
        <v>80</v>
      </c>
      <c r="B87" s="258" t="s">
        <v>314</v>
      </c>
      <c r="C87" s="258" t="s">
        <v>1395</v>
      </c>
      <c r="D87" s="859" t="s">
        <v>1400</v>
      </c>
      <c r="E87" s="99">
        <v>59.61476802145333</v>
      </c>
      <c r="F87" s="99">
        <v>0</v>
      </c>
      <c r="G87" s="99">
        <v>0</v>
      </c>
      <c r="H87" s="99">
        <v>0</v>
      </c>
      <c r="I87" s="99">
        <v>0</v>
      </c>
      <c r="J87" s="99">
        <v>0</v>
      </c>
      <c r="K87" s="99">
        <v>0</v>
      </c>
      <c r="L87" s="99">
        <v>0</v>
      </c>
      <c r="M87" s="99">
        <v>0</v>
      </c>
      <c r="N87" s="99">
        <v>0</v>
      </c>
      <c r="O87" s="99">
        <v>0</v>
      </c>
      <c r="P87" s="99">
        <v>0</v>
      </c>
      <c r="Q87" s="99">
        <v>0</v>
      </c>
      <c r="R87" s="99">
        <v>0</v>
      </c>
      <c r="S87" s="99">
        <v>0</v>
      </c>
      <c r="T87" s="99">
        <v>0</v>
      </c>
      <c r="U87" s="99">
        <v>0</v>
      </c>
      <c r="V87" s="99">
        <v>0</v>
      </c>
      <c r="W87" s="99">
        <v>0</v>
      </c>
      <c r="X87" s="99">
        <v>0</v>
      </c>
      <c r="Y87" s="99">
        <v>0</v>
      </c>
      <c r="Z87" s="99">
        <v>0</v>
      </c>
      <c r="AA87" s="99">
        <v>0</v>
      </c>
      <c r="AB87" s="99">
        <v>0</v>
      </c>
      <c r="AC87" s="99">
        <v>0</v>
      </c>
      <c r="AD87" s="99">
        <v>0</v>
      </c>
      <c r="AE87" s="99">
        <v>0</v>
      </c>
      <c r="AF87" s="99">
        <v>560.72277671315976</v>
      </c>
      <c r="AG87" s="99">
        <v>0</v>
      </c>
      <c r="AH87" s="99">
        <v>0</v>
      </c>
      <c r="AI87" s="99">
        <v>0</v>
      </c>
      <c r="AJ87" s="99">
        <v>0</v>
      </c>
      <c r="AK87" s="99">
        <v>0</v>
      </c>
      <c r="AL87" s="99">
        <v>0</v>
      </c>
      <c r="AM87" s="99">
        <v>0</v>
      </c>
      <c r="AN87" s="99">
        <v>0</v>
      </c>
      <c r="AO87" s="99">
        <v>0</v>
      </c>
      <c r="AP87" s="99">
        <v>0</v>
      </c>
      <c r="AQ87" s="99">
        <v>0</v>
      </c>
      <c r="AR87" s="99">
        <f t="shared" si="1"/>
        <v>620.33754473461306</v>
      </c>
    </row>
    <row r="88" spans="1:44" ht="15" x14ac:dyDescent="0.25">
      <c r="A88" s="258">
        <v>81</v>
      </c>
      <c r="B88" s="258" t="s">
        <v>314</v>
      </c>
      <c r="C88" s="258" t="s">
        <v>1395</v>
      </c>
      <c r="D88" s="859" t="s">
        <v>1401</v>
      </c>
      <c r="E88" s="99">
        <v>565.60301108693352</v>
      </c>
      <c r="F88" s="99">
        <v>0</v>
      </c>
      <c r="G88" s="99">
        <v>0</v>
      </c>
      <c r="H88" s="99">
        <v>0</v>
      </c>
      <c r="I88" s="99">
        <v>0</v>
      </c>
      <c r="J88" s="99">
        <v>0</v>
      </c>
      <c r="K88" s="99">
        <v>0</v>
      </c>
      <c r="L88" s="99">
        <v>0</v>
      </c>
      <c r="M88" s="99">
        <v>0</v>
      </c>
      <c r="N88" s="99">
        <v>0</v>
      </c>
      <c r="O88" s="99">
        <v>0</v>
      </c>
      <c r="P88" s="99">
        <v>30.1597359105442</v>
      </c>
      <c r="Q88" s="99">
        <v>0</v>
      </c>
      <c r="R88" s="99">
        <v>0</v>
      </c>
      <c r="S88" s="99">
        <v>0</v>
      </c>
      <c r="T88" s="99">
        <v>0</v>
      </c>
      <c r="U88" s="99">
        <v>0</v>
      </c>
      <c r="V88" s="99">
        <v>0</v>
      </c>
      <c r="W88" s="99">
        <v>0</v>
      </c>
      <c r="X88" s="99">
        <v>0</v>
      </c>
      <c r="Y88" s="99">
        <v>0</v>
      </c>
      <c r="Z88" s="99">
        <v>0</v>
      </c>
      <c r="AA88" s="99">
        <v>0</v>
      </c>
      <c r="AB88" s="99">
        <v>0</v>
      </c>
      <c r="AC88" s="99">
        <v>0</v>
      </c>
      <c r="AD88" s="99">
        <v>0</v>
      </c>
      <c r="AE88" s="99">
        <v>0</v>
      </c>
      <c r="AF88" s="99">
        <v>108.91165464513639</v>
      </c>
      <c r="AG88" s="99">
        <v>0</v>
      </c>
      <c r="AH88" s="99">
        <v>0</v>
      </c>
      <c r="AI88" s="99">
        <v>0</v>
      </c>
      <c r="AJ88" s="99">
        <v>0</v>
      </c>
      <c r="AK88" s="99">
        <v>0</v>
      </c>
      <c r="AL88" s="99">
        <v>0</v>
      </c>
      <c r="AM88" s="99">
        <v>0</v>
      </c>
      <c r="AN88" s="99">
        <v>0</v>
      </c>
      <c r="AO88" s="99">
        <v>0</v>
      </c>
      <c r="AP88" s="99">
        <v>0</v>
      </c>
      <c r="AQ88" s="99">
        <v>0</v>
      </c>
      <c r="AR88" s="99">
        <f t="shared" si="1"/>
        <v>704.67440164261416</v>
      </c>
    </row>
    <row r="89" spans="1:44" ht="15" x14ac:dyDescent="0.25">
      <c r="A89" s="258">
        <v>82</v>
      </c>
      <c r="B89" s="258" t="s">
        <v>345</v>
      </c>
      <c r="C89" s="258" t="s">
        <v>1402</v>
      </c>
      <c r="D89" s="859" t="s">
        <v>1403</v>
      </c>
      <c r="E89" s="99">
        <v>20671.789453997379</v>
      </c>
      <c r="F89" s="99">
        <v>0</v>
      </c>
      <c r="G89" s="99">
        <v>0</v>
      </c>
      <c r="H89" s="99">
        <v>0</v>
      </c>
      <c r="I89" s="99">
        <v>0</v>
      </c>
      <c r="J89" s="99">
        <v>0</v>
      </c>
      <c r="K89" s="99">
        <v>145.55072995142808</v>
      </c>
      <c r="L89" s="99">
        <v>0</v>
      </c>
      <c r="M89" s="99">
        <v>0</v>
      </c>
      <c r="N89" s="99">
        <v>0</v>
      </c>
      <c r="O89" s="99">
        <v>0</v>
      </c>
      <c r="P89" s="99">
        <v>301.02830748448838</v>
      </c>
      <c r="Q89" s="99">
        <v>0</v>
      </c>
      <c r="R89" s="99">
        <v>0</v>
      </c>
      <c r="S89" s="99">
        <v>0</v>
      </c>
      <c r="T89" s="99">
        <v>0</v>
      </c>
      <c r="U89" s="99">
        <v>0</v>
      </c>
      <c r="V89" s="99">
        <v>0</v>
      </c>
      <c r="W89" s="99">
        <v>0</v>
      </c>
      <c r="X89" s="99">
        <v>0</v>
      </c>
      <c r="Y89" s="99">
        <v>0</v>
      </c>
      <c r="Z89" s="99">
        <v>0</v>
      </c>
      <c r="AA89" s="99">
        <v>0</v>
      </c>
      <c r="AB89" s="99">
        <v>0</v>
      </c>
      <c r="AC89" s="99">
        <v>0</v>
      </c>
      <c r="AD89" s="99">
        <v>0</v>
      </c>
      <c r="AE89" s="99">
        <v>0</v>
      </c>
      <c r="AF89" s="99">
        <v>0</v>
      </c>
      <c r="AG89" s="99">
        <v>0</v>
      </c>
      <c r="AH89" s="99">
        <v>0</v>
      </c>
      <c r="AI89" s="99">
        <v>0</v>
      </c>
      <c r="AJ89" s="99">
        <v>0</v>
      </c>
      <c r="AK89" s="99">
        <v>0</v>
      </c>
      <c r="AL89" s="99">
        <v>0</v>
      </c>
      <c r="AM89" s="99">
        <v>0</v>
      </c>
      <c r="AN89" s="99">
        <v>0</v>
      </c>
      <c r="AO89" s="99">
        <v>0</v>
      </c>
      <c r="AP89" s="99">
        <v>0</v>
      </c>
      <c r="AQ89" s="99">
        <v>0</v>
      </c>
      <c r="AR89" s="99">
        <f t="shared" si="1"/>
        <v>21118.368491433295</v>
      </c>
    </row>
    <row r="90" spans="1:44" ht="15" x14ac:dyDescent="0.25">
      <c r="A90" s="258">
        <v>83</v>
      </c>
      <c r="B90" s="258" t="s">
        <v>345</v>
      </c>
      <c r="C90" s="258" t="s">
        <v>1402</v>
      </c>
      <c r="D90" s="859" t="s">
        <v>1404</v>
      </c>
      <c r="E90" s="99">
        <v>12804.535951180356</v>
      </c>
      <c r="F90" s="99">
        <v>0</v>
      </c>
      <c r="G90" s="99">
        <v>0</v>
      </c>
      <c r="H90" s="99">
        <v>0</v>
      </c>
      <c r="I90" s="99">
        <v>0</v>
      </c>
      <c r="J90" s="99">
        <v>0</v>
      </c>
      <c r="K90" s="99">
        <v>0</v>
      </c>
      <c r="L90" s="99">
        <v>0</v>
      </c>
      <c r="M90" s="99">
        <v>0</v>
      </c>
      <c r="N90" s="99">
        <v>0</v>
      </c>
      <c r="O90" s="99">
        <v>0</v>
      </c>
      <c r="P90" s="99">
        <v>3875.2415386944531</v>
      </c>
      <c r="Q90" s="99">
        <v>0</v>
      </c>
      <c r="R90" s="99">
        <v>0</v>
      </c>
      <c r="S90" s="99">
        <v>0</v>
      </c>
      <c r="T90" s="99">
        <v>0</v>
      </c>
      <c r="U90" s="99">
        <v>0</v>
      </c>
      <c r="V90" s="99">
        <v>0</v>
      </c>
      <c r="W90" s="99">
        <v>0</v>
      </c>
      <c r="X90" s="99">
        <v>0</v>
      </c>
      <c r="Y90" s="99">
        <v>0</v>
      </c>
      <c r="Z90" s="99">
        <v>0</v>
      </c>
      <c r="AA90" s="99">
        <v>0</v>
      </c>
      <c r="AB90" s="99">
        <v>0</v>
      </c>
      <c r="AC90" s="99">
        <v>0</v>
      </c>
      <c r="AD90" s="99">
        <v>0</v>
      </c>
      <c r="AE90" s="99">
        <v>0</v>
      </c>
      <c r="AF90" s="99">
        <v>0</v>
      </c>
      <c r="AG90" s="99">
        <v>0</v>
      </c>
      <c r="AH90" s="99">
        <v>0</v>
      </c>
      <c r="AI90" s="99">
        <v>0</v>
      </c>
      <c r="AJ90" s="99">
        <v>0</v>
      </c>
      <c r="AK90" s="99">
        <v>0</v>
      </c>
      <c r="AL90" s="99">
        <v>0</v>
      </c>
      <c r="AM90" s="99">
        <v>0</v>
      </c>
      <c r="AN90" s="99">
        <v>0</v>
      </c>
      <c r="AO90" s="99">
        <v>0</v>
      </c>
      <c r="AP90" s="99">
        <v>0</v>
      </c>
      <c r="AQ90" s="99">
        <v>0</v>
      </c>
      <c r="AR90" s="99">
        <f t="shared" si="1"/>
        <v>16679.77748987481</v>
      </c>
    </row>
    <row r="91" spans="1:44" ht="15" x14ac:dyDescent="0.25">
      <c r="A91" s="258">
        <v>84</v>
      </c>
      <c r="B91" s="258" t="s">
        <v>345</v>
      </c>
      <c r="C91" s="258" t="s">
        <v>1402</v>
      </c>
      <c r="D91" s="859" t="s">
        <v>1405</v>
      </c>
      <c r="E91" s="99">
        <v>1798.5543793892882</v>
      </c>
      <c r="F91" s="99">
        <v>0</v>
      </c>
      <c r="G91" s="99">
        <v>0</v>
      </c>
      <c r="H91" s="99">
        <v>0</v>
      </c>
      <c r="I91" s="99">
        <v>0</v>
      </c>
      <c r="J91" s="99">
        <v>0</v>
      </c>
      <c r="K91" s="99">
        <v>7678.3902791481614</v>
      </c>
      <c r="L91" s="99">
        <v>0</v>
      </c>
      <c r="M91" s="99">
        <v>0</v>
      </c>
      <c r="N91" s="99">
        <v>0</v>
      </c>
      <c r="O91" s="99">
        <v>0</v>
      </c>
      <c r="P91" s="99">
        <v>101.86024015070589</v>
      </c>
      <c r="Q91" s="99">
        <v>0</v>
      </c>
      <c r="R91" s="99">
        <v>0</v>
      </c>
      <c r="S91" s="99">
        <v>0</v>
      </c>
      <c r="T91" s="99">
        <v>0</v>
      </c>
      <c r="U91" s="99">
        <v>0</v>
      </c>
      <c r="V91" s="99">
        <v>1504.7054936767645</v>
      </c>
      <c r="W91" s="99">
        <v>0</v>
      </c>
      <c r="X91" s="99">
        <v>0</v>
      </c>
      <c r="Y91" s="99">
        <v>0</v>
      </c>
      <c r="Z91" s="99">
        <v>0</v>
      </c>
      <c r="AA91" s="99">
        <v>0</v>
      </c>
      <c r="AB91" s="99">
        <v>0</v>
      </c>
      <c r="AC91" s="99">
        <v>0</v>
      </c>
      <c r="AD91" s="99">
        <v>0</v>
      </c>
      <c r="AE91" s="99">
        <v>0</v>
      </c>
      <c r="AF91" s="99">
        <v>0</v>
      </c>
      <c r="AG91" s="99">
        <v>0</v>
      </c>
      <c r="AH91" s="99">
        <v>0</v>
      </c>
      <c r="AI91" s="99">
        <v>0</v>
      </c>
      <c r="AJ91" s="99">
        <v>0</v>
      </c>
      <c r="AK91" s="99">
        <v>0</v>
      </c>
      <c r="AL91" s="99">
        <v>0</v>
      </c>
      <c r="AM91" s="99">
        <v>0</v>
      </c>
      <c r="AN91" s="99">
        <v>0</v>
      </c>
      <c r="AO91" s="99">
        <v>0</v>
      </c>
      <c r="AP91" s="99">
        <v>0</v>
      </c>
      <c r="AQ91" s="99">
        <v>0</v>
      </c>
      <c r="AR91" s="99">
        <f t="shared" si="1"/>
        <v>11083.510392364919</v>
      </c>
    </row>
    <row r="92" spans="1:44" ht="15" x14ac:dyDescent="0.25">
      <c r="A92" s="258">
        <v>85</v>
      </c>
      <c r="B92" s="258" t="s">
        <v>345</v>
      </c>
      <c r="C92" s="258" t="s">
        <v>1402</v>
      </c>
      <c r="D92" s="859" t="s">
        <v>1406</v>
      </c>
      <c r="E92" s="99">
        <v>18439.079467215106</v>
      </c>
      <c r="F92" s="99">
        <v>0</v>
      </c>
      <c r="G92" s="99">
        <v>0</v>
      </c>
      <c r="H92" s="99">
        <v>0</v>
      </c>
      <c r="I92" s="99">
        <v>0</v>
      </c>
      <c r="J92" s="99">
        <v>0</v>
      </c>
      <c r="K92" s="99">
        <v>1630.9636956399397</v>
      </c>
      <c r="L92" s="99">
        <v>0</v>
      </c>
      <c r="M92" s="99">
        <v>0</v>
      </c>
      <c r="N92" s="99">
        <v>0</v>
      </c>
      <c r="O92" s="99">
        <v>0</v>
      </c>
      <c r="P92" s="99">
        <v>1211.5109010103511</v>
      </c>
      <c r="Q92" s="99">
        <v>0</v>
      </c>
      <c r="R92" s="99">
        <v>0</v>
      </c>
      <c r="S92" s="99">
        <v>0</v>
      </c>
      <c r="T92" s="99">
        <v>0</v>
      </c>
      <c r="U92" s="99">
        <v>0</v>
      </c>
      <c r="V92" s="99">
        <v>19.280937517711745</v>
      </c>
      <c r="W92" s="99">
        <v>0</v>
      </c>
      <c r="X92" s="99">
        <v>0</v>
      </c>
      <c r="Y92" s="99">
        <v>0</v>
      </c>
      <c r="Z92" s="99">
        <v>0</v>
      </c>
      <c r="AA92" s="99">
        <v>0</v>
      </c>
      <c r="AB92" s="99">
        <v>0</v>
      </c>
      <c r="AC92" s="99">
        <v>0</v>
      </c>
      <c r="AD92" s="99">
        <v>0</v>
      </c>
      <c r="AE92" s="99">
        <v>0</v>
      </c>
      <c r="AF92" s="99">
        <v>0</v>
      </c>
      <c r="AG92" s="99">
        <v>0</v>
      </c>
      <c r="AH92" s="99">
        <v>0</v>
      </c>
      <c r="AI92" s="99">
        <v>0</v>
      </c>
      <c r="AJ92" s="99">
        <v>0</v>
      </c>
      <c r="AK92" s="99">
        <v>0</v>
      </c>
      <c r="AL92" s="99">
        <v>0</v>
      </c>
      <c r="AM92" s="99">
        <v>0</v>
      </c>
      <c r="AN92" s="99">
        <v>0</v>
      </c>
      <c r="AO92" s="99">
        <v>0</v>
      </c>
      <c r="AP92" s="99">
        <v>0</v>
      </c>
      <c r="AQ92" s="99">
        <v>0</v>
      </c>
      <c r="AR92" s="99">
        <f t="shared" si="1"/>
        <v>21300.835001383111</v>
      </c>
    </row>
    <row r="93" spans="1:44" ht="15" x14ac:dyDescent="0.25">
      <c r="A93" s="258">
        <v>86</v>
      </c>
      <c r="B93" s="258" t="s">
        <v>345</v>
      </c>
      <c r="C93" s="258" t="s">
        <v>1402</v>
      </c>
      <c r="D93" s="859" t="s">
        <v>1407</v>
      </c>
      <c r="E93" s="99">
        <v>3054.4669127599764</v>
      </c>
      <c r="F93" s="99">
        <v>0</v>
      </c>
      <c r="G93" s="99">
        <v>0</v>
      </c>
      <c r="H93" s="99">
        <v>0</v>
      </c>
      <c r="I93" s="99">
        <v>0</v>
      </c>
      <c r="J93" s="99">
        <v>0</v>
      </c>
      <c r="K93" s="99">
        <v>0</v>
      </c>
      <c r="L93" s="99">
        <v>0</v>
      </c>
      <c r="M93" s="99">
        <v>0</v>
      </c>
      <c r="N93" s="99">
        <v>0</v>
      </c>
      <c r="O93" s="99">
        <v>0</v>
      </c>
      <c r="P93" s="99">
        <v>905.36112893727977</v>
      </c>
      <c r="Q93" s="99">
        <v>0</v>
      </c>
      <c r="R93" s="99">
        <v>0</v>
      </c>
      <c r="S93" s="99">
        <v>0</v>
      </c>
      <c r="T93" s="99">
        <v>0</v>
      </c>
      <c r="U93" s="99">
        <v>0</v>
      </c>
      <c r="V93" s="99">
        <v>0</v>
      </c>
      <c r="W93" s="99">
        <v>0</v>
      </c>
      <c r="X93" s="99">
        <v>0</v>
      </c>
      <c r="Y93" s="99">
        <v>0</v>
      </c>
      <c r="Z93" s="99">
        <v>0</v>
      </c>
      <c r="AA93" s="99">
        <v>0</v>
      </c>
      <c r="AB93" s="99">
        <v>0</v>
      </c>
      <c r="AC93" s="99">
        <v>0</v>
      </c>
      <c r="AD93" s="99">
        <v>0</v>
      </c>
      <c r="AE93" s="99">
        <v>0</v>
      </c>
      <c r="AF93" s="99">
        <v>0</v>
      </c>
      <c r="AG93" s="99">
        <v>0</v>
      </c>
      <c r="AH93" s="99">
        <v>0</v>
      </c>
      <c r="AI93" s="99">
        <v>0</v>
      </c>
      <c r="AJ93" s="99">
        <v>0</v>
      </c>
      <c r="AK93" s="99">
        <v>0</v>
      </c>
      <c r="AL93" s="99">
        <v>0</v>
      </c>
      <c r="AM93" s="99">
        <v>0</v>
      </c>
      <c r="AN93" s="99">
        <v>0</v>
      </c>
      <c r="AO93" s="99">
        <v>0</v>
      </c>
      <c r="AP93" s="99">
        <v>0</v>
      </c>
      <c r="AQ93" s="99">
        <v>0</v>
      </c>
      <c r="AR93" s="99">
        <f t="shared" si="1"/>
        <v>3959.8280416972561</v>
      </c>
    </row>
    <row r="94" spans="1:44" ht="15" x14ac:dyDescent="0.25">
      <c r="A94" s="258">
        <v>87</v>
      </c>
      <c r="B94" s="258" t="s">
        <v>345</v>
      </c>
      <c r="C94" s="258" t="s">
        <v>1402</v>
      </c>
      <c r="D94" s="859" t="s">
        <v>1408</v>
      </c>
      <c r="E94" s="99">
        <v>12871.10226458947</v>
      </c>
      <c r="F94" s="99">
        <v>0</v>
      </c>
      <c r="G94" s="99">
        <v>0</v>
      </c>
      <c r="H94" s="99">
        <v>0</v>
      </c>
      <c r="I94" s="99">
        <v>0</v>
      </c>
      <c r="J94" s="99">
        <v>0</v>
      </c>
      <c r="K94" s="99">
        <v>0</v>
      </c>
      <c r="L94" s="99">
        <v>0</v>
      </c>
      <c r="M94" s="99">
        <v>0</v>
      </c>
      <c r="N94" s="99">
        <v>0</v>
      </c>
      <c r="O94" s="99">
        <v>0</v>
      </c>
      <c r="P94" s="99">
        <v>3821.7506863248086</v>
      </c>
      <c r="Q94" s="99">
        <v>0</v>
      </c>
      <c r="R94" s="99">
        <v>0</v>
      </c>
      <c r="S94" s="99">
        <v>0</v>
      </c>
      <c r="T94" s="99">
        <v>0</v>
      </c>
      <c r="U94" s="99">
        <v>0</v>
      </c>
      <c r="V94" s="99">
        <v>0</v>
      </c>
      <c r="W94" s="99">
        <v>0</v>
      </c>
      <c r="X94" s="99">
        <v>0</v>
      </c>
      <c r="Y94" s="99">
        <v>0</v>
      </c>
      <c r="Z94" s="99">
        <v>0</v>
      </c>
      <c r="AA94" s="99">
        <v>0</v>
      </c>
      <c r="AB94" s="99">
        <v>0</v>
      </c>
      <c r="AC94" s="99">
        <v>0</v>
      </c>
      <c r="AD94" s="99">
        <v>0</v>
      </c>
      <c r="AE94" s="99">
        <v>0</v>
      </c>
      <c r="AF94" s="99">
        <v>0</v>
      </c>
      <c r="AG94" s="99">
        <v>0</v>
      </c>
      <c r="AH94" s="99">
        <v>0</v>
      </c>
      <c r="AI94" s="99">
        <v>0</v>
      </c>
      <c r="AJ94" s="99">
        <v>0</v>
      </c>
      <c r="AK94" s="99">
        <v>0</v>
      </c>
      <c r="AL94" s="99">
        <v>0</v>
      </c>
      <c r="AM94" s="99">
        <v>0</v>
      </c>
      <c r="AN94" s="99">
        <v>0</v>
      </c>
      <c r="AO94" s="99">
        <v>0</v>
      </c>
      <c r="AP94" s="99">
        <v>0</v>
      </c>
      <c r="AQ94" s="99">
        <v>0</v>
      </c>
      <c r="AR94" s="99">
        <f t="shared" si="1"/>
        <v>16692.852950914279</v>
      </c>
    </row>
    <row r="95" spans="1:44" ht="15" x14ac:dyDescent="0.25">
      <c r="A95" s="258">
        <v>88</v>
      </c>
      <c r="B95" s="258" t="s">
        <v>345</v>
      </c>
      <c r="C95" s="258" t="s">
        <v>1402</v>
      </c>
      <c r="D95" s="859" t="s">
        <v>1409</v>
      </c>
      <c r="E95" s="99">
        <v>4572.2209890658814</v>
      </c>
      <c r="F95" s="99">
        <v>0</v>
      </c>
      <c r="G95" s="99">
        <v>0</v>
      </c>
      <c r="H95" s="99">
        <v>0</v>
      </c>
      <c r="I95" s="99">
        <v>0</v>
      </c>
      <c r="J95" s="99">
        <v>0</v>
      </c>
      <c r="K95" s="99">
        <v>346.05128001609779</v>
      </c>
      <c r="L95" s="99">
        <v>0</v>
      </c>
      <c r="M95" s="99">
        <v>0</v>
      </c>
      <c r="N95" s="99">
        <v>0</v>
      </c>
      <c r="O95" s="99">
        <v>0</v>
      </c>
      <c r="P95" s="99">
        <v>984.45930424983897</v>
      </c>
      <c r="Q95" s="99">
        <v>0</v>
      </c>
      <c r="R95" s="99">
        <v>0</v>
      </c>
      <c r="S95" s="99">
        <v>0</v>
      </c>
      <c r="T95" s="99">
        <v>0</v>
      </c>
      <c r="U95" s="99">
        <v>0</v>
      </c>
      <c r="V95" s="99">
        <v>0</v>
      </c>
      <c r="W95" s="99">
        <v>0</v>
      </c>
      <c r="X95" s="99">
        <v>0</v>
      </c>
      <c r="Y95" s="99">
        <v>0</v>
      </c>
      <c r="Z95" s="99">
        <v>0</v>
      </c>
      <c r="AA95" s="99">
        <v>0</v>
      </c>
      <c r="AB95" s="99">
        <v>0</v>
      </c>
      <c r="AC95" s="99">
        <v>0</v>
      </c>
      <c r="AD95" s="99">
        <v>0</v>
      </c>
      <c r="AE95" s="99">
        <v>0</v>
      </c>
      <c r="AF95" s="99">
        <v>0</v>
      </c>
      <c r="AG95" s="99">
        <v>0</v>
      </c>
      <c r="AH95" s="99">
        <v>0</v>
      </c>
      <c r="AI95" s="99">
        <v>0</v>
      </c>
      <c r="AJ95" s="99">
        <v>0</v>
      </c>
      <c r="AK95" s="99">
        <v>0</v>
      </c>
      <c r="AL95" s="99">
        <v>0</v>
      </c>
      <c r="AM95" s="99">
        <v>0</v>
      </c>
      <c r="AN95" s="99">
        <v>0</v>
      </c>
      <c r="AO95" s="99">
        <v>0</v>
      </c>
      <c r="AP95" s="99">
        <v>0</v>
      </c>
      <c r="AQ95" s="99">
        <v>0</v>
      </c>
      <c r="AR95" s="99">
        <f t="shared" si="1"/>
        <v>5902.7315733318183</v>
      </c>
    </row>
    <row r="96" spans="1:44" ht="15" x14ac:dyDescent="0.25">
      <c r="A96" s="258">
        <v>89</v>
      </c>
      <c r="B96" s="258" t="s">
        <v>345</v>
      </c>
      <c r="C96" s="258" t="s">
        <v>1402</v>
      </c>
      <c r="D96" s="859" t="s">
        <v>1410</v>
      </c>
      <c r="E96" s="99">
        <v>11219.162297012661</v>
      </c>
      <c r="F96" s="99">
        <v>0</v>
      </c>
      <c r="G96" s="99">
        <v>0</v>
      </c>
      <c r="H96" s="99">
        <v>0</v>
      </c>
      <c r="I96" s="99">
        <v>0</v>
      </c>
      <c r="J96" s="99">
        <v>0</v>
      </c>
      <c r="K96" s="99">
        <v>12599.566528163807</v>
      </c>
      <c r="L96" s="99">
        <v>0</v>
      </c>
      <c r="M96" s="99">
        <v>0</v>
      </c>
      <c r="N96" s="99">
        <v>0</v>
      </c>
      <c r="O96" s="99">
        <v>0</v>
      </c>
      <c r="P96" s="99">
        <v>283.38770723492473</v>
      </c>
      <c r="Q96" s="99">
        <v>0</v>
      </c>
      <c r="R96" s="99">
        <v>0</v>
      </c>
      <c r="S96" s="99">
        <v>0</v>
      </c>
      <c r="T96" s="99">
        <v>0</v>
      </c>
      <c r="U96" s="99">
        <v>0</v>
      </c>
      <c r="V96" s="99">
        <v>0</v>
      </c>
      <c r="W96" s="99">
        <v>0</v>
      </c>
      <c r="X96" s="99">
        <v>0</v>
      </c>
      <c r="Y96" s="99">
        <v>0</v>
      </c>
      <c r="Z96" s="99">
        <v>0</v>
      </c>
      <c r="AA96" s="99">
        <v>0</v>
      </c>
      <c r="AB96" s="99">
        <v>0</v>
      </c>
      <c r="AC96" s="99">
        <v>0</v>
      </c>
      <c r="AD96" s="99">
        <v>0</v>
      </c>
      <c r="AE96" s="99">
        <v>0</v>
      </c>
      <c r="AF96" s="99">
        <v>0</v>
      </c>
      <c r="AG96" s="99">
        <v>0</v>
      </c>
      <c r="AH96" s="99">
        <v>0</v>
      </c>
      <c r="AI96" s="99">
        <v>0</v>
      </c>
      <c r="AJ96" s="99">
        <v>0</v>
      </c>
      <c r="AK96" s="99">
        <v>0</v>
      </c>
      <c r="AL96" s="99">
        <v>0</v>
      </c>
      <c r="AM96" s="99">
        <v>0</v>
      </c>
      <c r="AN96" s="99">
        <v>0</v>
      </c>
      <c r="AO96" s="99">
        <v>0</v>
      </c>
      <c r="AP96" s="99">
        <v>0</v>
      </c>
      <c r="AQ96" s="99">
        <v>0</v>
      </c>
      <c r="AR96" s="99">
        <f t="shared" si="1"/>
        <v>24102.116532411394</v>
      </c>
    </row>
    <row r="97" spans="1:44" ht="15" x14ac:dyDescent="0.25">
      <c r="A97" s="258">
        <v>90</v>
      </c>
      <c r="B97" s="258" t="s">
        <v>345</v>
      </c>
      <c r="C97" s="258" t="s">
        <v>1402</v>
      </c>
      <c r="D97" s="859" t="s">
        <v>1411</v>
      </c>
      <c r="E97" s="99">
        <v>3528.4359164641101</v>
      </c>
      <c r="F97" s="99">
        <v>0</v>
      </c>
      <c r="G97" s="99">
        <v>0</v>
      </c>
      <c r="H97" s="99">
        <v>1536.3873745108899</v>
      </c>
      <c r="I97" s="99">
        <v>0</v>
      </c>
      <c r="J97" s="99">
        <v>0</v>
      </c>
      <c r="K97" s="99">
        <v>14118.273486735943</v>
      </c>
      <c r="L97" s="99">
        <v>0</v>
      </c>
      <c r="M97" s="99">
        <v>0</v>
      </c>
      <c r="N97" s="99">
        <v>0</v>
      </c>
      <c r="O97" s="99">
        <v>0</v>
      </c>
      <c r="P97" s="99">
        <v>0</v>
      </c>
      <c r="Q97" s="99">
        <v>0</v>
      </c>
      <c r="R97" s="99">
        <v>0</v>
      </c>
      <c r="S97" s="99">
        <v>0</v>
      </c>
      <c r="T97" s="99">
        <v>0</v>
      </c>
      <c r="U97" s="99">
        <v>0</v>
      </c>
      <c r="V97" s="99">
        <v>0</v>
      </c>
      <c r="W97" s="99">
        <v>0</v>
      </c>
      <c r="X97" s="99">
        <v>0</v>
      </c>
      <c r="Y97" s="99">
        <v>0</v>
      </c>
      <c r="Z97" s="99">
        <v>0</v>
      </c>
      <c r="AA97" s="99">
        <v>0</v>
      </c>
      <c r="AB97" s="99">
        <v>0</v>
      </c>
      <c r="AC97" s="99">
        <v>0</v>
      </c>
      <c r="AD97" s="99">
        <v>0</v>
      </c>
      <c r="AE97" s="99">
        <v>0</v>
      </c>
      <c r="AF97" s="99">
        <v>0</v>
      </c>
      <c r="AG97" s="99">
        <v>0</v>
      </c>
      <c r="AH97" s="99">
        <v>0</v>
      </c>
      <c r="AI97" s="99">
        <v>0</v>
      </c>
      <c r="AJ97" s="99">
        <v>0</v>
      </c>
      <c r="AK97" s="99">
        <v>0</v>
      </c>
      <c r="AL97" s="99">
        <v>0</v>
      </c>
      <c r="AM97" s="99">
        <v>0</v>
      </c>
      <c r="AN97" s="99">
        <v>0</v>
      </c>
      <c r="AO97" s="99">
        <v>0</v>
      </c>
      <c r="AP97" s="99">
        <v>0</v>
      </c>
      <c r="AQ97" s="99">
        <v>0</v>
      </c>
      <c r="AR97" s="99">
        <f t="shared" si="1"/>
        <v>19183.096777710944</v>
      </c>
    </row>
    <row r="98" spans="1:44" ht="15" x14ac:dyDescent="0.25">
      <c r="A98" s="258">
        <v>91</v>
      </c>
      <c r="B98" s="258" t="s">
        <v>345</v>
      </c>
      <c r="C98" s="258" t="s">
        <v>1402</v>
      </c>
      <c r="D98" s="859" t="s">
        <v>1412</v>
      </c>
      <c r="E98" s="99">
        <v>3980.2863666620519</v>
      </c>
      <c r="F98" s="99">
        <v>0</v>
      </c>
      <c r="G98" s="99">
        <v>0</v>
      </c>
      <c r="H98" s="99">
        <v>0</v>
      </c>
      <c r="I98" s="99">
        <v>0</v>
      </c>
      <c r="J98" s="99">
        <v>0</v>
      </c>
      <c r="K98" s="99">
        <v>10588.962922518976</v>
      </c>
      <c r="L98" s="99">
        <v>0</v>
      </c>
      <c r="M98" s="99">
        <v>0</v>
      </c>
      <c r="N98" s="99">
        <v>0</v>
      </c>
      <c r="O98" s="99">
        <v>0</v>
      </c>
      <c r="P98" s="99">
        <v>3247.5776007825611</v>
      </c>
      <c r="Q98" s="99">
        <v>0</v>
      </c>
      <c r="R98" s="99">
        <v>0</v>
      </c>
      <c r="S98" s="99">
        <v>0</v>
      </c>
      <c r="T98" s="99">
        <v>0</v>
      </c>
      <c r="U98" s="99">
        <v>0</v>
      </c>
      <c r="V98" s="99">
        <v>0</v>
      </c>
      <c r="W98" s="99">
        <v>0</v>
      </c>
      <c r="X98" s="99">
        <v>0</v>
      </c>
      <c r="Y98" s="99">
        <v>0</v>
      </c>
      <c r="Z98" s="99">
        <v>0</v>
      </c>
      <c r="AA98" s="99">
        <v>0</v>
      </c>
      <c r="AB98" s="99">
        <v>0</v>
      </c>
      <c r="AC98" s="99">
        <v>0</v>
      </c>
      <c r="AD98" s="99">
        <v>0</v>
      </c>
      <c r="AE98" s="99">
        <v>0</v>
      </c>
      <c r="AF98" s="99">
        <v>0</v>
      </c>
      <c r="AG98" s="99">
        <v>0</v>
      </c>
      <c r="AH98" s="99">
        <v>0</v>
      </c>
      <c r="AI98" s="99">
        <v>0</v>
      </c>
      <c r="AJ98" s="99">
        <v>0</v>
      </c>
      <c r="AK98" s="99">
        <v>0</v>
      </c>
      <c r="AL98" s="99">
        <v>0</v>
      </c>
      <c r="AM98" s="99">
        <v>0</v>
      </c>
      <c r="AN98" s="99">
        <v>0</v>
      </c>
      <c r="AO98" s="99">
        <v>0</v>
      </c>
      <c r="AP98" s="99">
        <v>0</v>
      </c>
      <c r="AQ98" s="99">
        <v>0</v>
      </c>
      <c r="AR98" s="99">
        <f t="shared" si="1"/>
        <v>17816.826889963591</v>
      </c>
    </row>
    <row r="99" spans="1:44" ht="15" x14ac:dyDescent="0.25">
      <c r="A99" s="258">
        <v>92</v>
      </c>
      <c r="B99" s="258" t="s">
        <v>345</v>
      </c>
      <c r="C99" s="258" t="s">
        <v>1402</v>
      </c>
      <c r="D99" s="859" t="s">
        <v>1413</v>
      </c>
      <c r="E99" s="99">
        <v>16063.757473540518</v>
      </c>
      <c r="F99" s="99">
        <v>0</v>
      </c>
      <c r="G99" s="99">
        <v>0</v>
      </c>
      <c r="H99" s="99">
        <v>0</v>
      </c>
      <c r="I99" s="99">
        <v>0</v>
      </c>
      <c r="J99" s="99">
        <v>0</v>
      </c>
      <c r="K99" s="99">
        <v>9860.0307243411771</v>
      </c>
      <c r="L99" s="99">
        <v>0</v>
      </c>
      <c r="M99" s="99">
        <v>0</v>
      </c>
      <c r="N99" s="99">
        <v>0</v>
      </c>
      <c r="O99" s="99">
        <v>0</v>
      </c>
      <c r="P99" s="99">
        <v>7809.0953943471341</v>
      </c>
      <c r="Q99" s="99">
        <v>0</v>
      </c>
      <c r="R99" s="99">
        <v>0</v>
      </c>
      <c r="S99" s="99">
        <v>0</v>
      </c>
      <c r="T99" s="99">
        <v>0</v>
      </c>
      <c r="U99" s="99">
        <v>0</v>
      </c>
      <c r="V99" s="99">
        <v>0</v>
      </c>
      <c r="W99" s="99">
        <v>0</v>
      </c>
      <c r="X99" s="99">
        <v>0</v>
      </c>
      <c r="Y99" s="99">
        <v>0</v>
      </c>
      <c r="Z99" s="99">
        <v>0</v>
      </c>
      <c r="AA99" s="99">
        <v>0</v>
      </c>
      <c r="AB99" s="99">
        <v>0</v>
      </c>
      <c r="AC99" s="99">
        <v>0</v>
      </c>
      <c r="AD99" s="99">
        <v>0</v>
      </c>
      <c r="AE99" s="99">
        <v>0</v>
      </c>
      <c r="AF99" s="99">
        <v>0</v>
      </c>
      <c r="AG99" s="99">
        <v>0</v>
      </c>
      <c r="AH99" s="99">
        <v>0</v>
      </c>
      <c r="AI99" s="99">
        <v>0</v>
      </c>
      <c r="AJ99" s="99">
        <v>0</v>
      </c>
      <c r="AK99" s="99">
        <v>0</v>
      </c>
      <c r="AL99" s="99">
        <v>0</v>
      </c>
      <c r="AM99" s="99">
        <v>0</v>
      </c>
      <c r="AN99" s="99">
        <v>0</v>
      </c>
      <c r="AO99" s="99">
        <v>0</v>
      </c>
      <c r="AP99" s="99">
        <v>0</v>
      </c>
      <c r="AQ99" s="99">
        <v>0</v>
      </c>
      <c r="AR99" s="99">
        <f t="shared" si="1"/>
        <v>33732.883592228827</v>
      </c>
    </row>
    <row r="100" spans="1:44" ht="15" x14ac:dyDescent="0.25">
      <c r="A100" s="258">
        <v>93</v>
      </c>
      <c r="B100" s="258" t="s">
        <v>307</v>
      </c>
      <c r="C100" s="258" t="s">
        <v>1414</v>
      </c>
      <c r="D100" s="859" t="s">
        <v>1415</v>
      </c>
      <c r="E100" s="99">
        <v>21638.896874444345</v>
      </c>
      <c r="F100" s="99">
        <v>0</v>
      </c>
      <c r="G100" s="99">
        <v>0</v>
      </c>
      <c r="H100" s="99">
        <v>0</v>
      </c>
      <c r="I100" s="99">
        <v>0</v>
      </c>
      <c r="J100" s="99">
        <v>0</v>
      </c>
      <c r="K100" s="99">
        <v>937.8299057396672</v>
      </c>
      <c r="L100" s="99">
        <v>0</v>
      </c>
      <c r="M100" s="99">
        <v>0</v>
      </c>
      <c r="N100" s="99">
        <v>0</v>
      </c>
      <c r="O100" s="99">
        <v>0</v>
      </c>
      <c r="P100" s="99">
        <v>390.36941197421362</v>
      </c>
      <c r="Q100" s="99">
        <v>0</v>
      </c>
      <c r="R100" s="99">
        <v>0</v>
      </c>
      <c r="S100" s="99">
        <v>0</v>
      </c>
      <c r="T100" s="99">
        <v>0</v>
      </c>
      <c r="U100" s="99">
        <v>0</v>
      </c>
      <c r="V100" s="99">
        <v>40583.468128033972</v>
      </c>
      <c r="W100" s="99">
        <v>0</v>
      </c>
      <c r="X100" s="99">
        <v>0</v>
      </c>
      <c r="Y100" s="99">
        <v>0</v>
      </c>
      <c r="Z100" s="99">
        <v>0</v>
      </c>
      <c r="AA100" s="99">
        <v>0</v>
      </c>
      <c r="AB100" s="99">
        <v>0</v>
      </c>
      <c r="AC100" s="99">
        <v>0</v>
      </c>
      <c r="AD100" s="99">
        <v>0</v>
      </c>
      <c r="AE100" s="99">
        <v>261.68897588321573</v>
      </c>
      <c r="AF100" s="99">
        <v>0</v>
      </c>
      <c r="AG100" s="99">
        <v>0</v>
      </c>
      <c r="AH100" s="99">
        <v>0</v>
      </c>
      <c r="AI100" s="99">
        <v>0</v>
      </c>
      <c r="AJ100" s="99">
        <v>0</v>
      </c>
      <c r="AK100" s="99">
        <v>0</v>
      </c>
      <c r="AL100" s="99">
        <v>0</v>
      </c>
      <c r="AM100" s="99">
        <v>0</v>
      </c>
      <c r="AN100" s="99">
        <v>0</v>
      </c>
      <c r="AO100" s="99">
        <v>0</v>
      </c>
      <c r="AP100" s="99">
        <v>0</v>
      </c>
      <c r="AQ100" s="99">
        <v>0</v>
      </c>
      <c r="AR100" s="99">
        <f t="shared" si="1"/>
        <v>63812.253296075418</v>
      </c>
    </row>
    <row r="101" spans="1:44" ht="15" x14ac:dyDescent="0.25">
      <c r="A101" s="258">
        <v>94</v>
      </c>
      <c r="B101" s="258" t="s">
        <v>307</v>
      </c>
      <c r="C101" s="258" t="s">
        <v>1414</v>
      </c>
      <c r="D101" s="859" t="s">
        <v>1416</v>
      </c>
      <c r="E101" s="99">
        <v>0</v>
      </c>
      <c r="F101" s="99">
        <v>0</v>
      </c>
      <c r="G101" s="99">
        <v>0</v>
      </c>
      <c r="H101" s="99">
        <v>0</v>
      </c>
      <c r="I101" s="99">
        <v>0</v>
      </c>
      <c r="J101" s="99">
        <v>0</v>
      </c>
      <c r="K101" s="99">
        <v>6457.1194782399234</v>
      </c>
      <c r="L101" s="99">
        <v>0</v>
      </c>
      <c r="M101" s="99">
        <v>0</v>
      </c>
      <c r="N101" s="99">
        <v>0</v>
      </c>
      <c r="O101" s="99">
        <v>0</v>
      </c>
      <c r="P101" s="99">
        <v>0</v>
      </c>
      <c r="Q101" s="99">
        <v>0</v>
      </c>
      <c r="R101" s="99">
        <v>0</v>
      </c>
      <c r="S101" s="99">
        <v>0</v>
      </c>
      <c r="T101" s="99">
        <v>0</v>
      </c>
      <c r="U101" s="99">
        <v>0</v>
      </c>
      <c r="V101" s="99">
        <v>8654.2355987033297</v>
      </c>
      <c r="W101" s="99">
        <v>0</v>
      </c>
      <c r="X101" s="99">
        <v>0</v>
      </c>
      <c r="Y101" s="99">
        <v>0</v>
      </c>
      <c r="Z101" s="99">
        <v>0</v>
      </c>
      <c r="AA101" s="99">
        <v>0</v>
      </c>
      <c r="AB101" s="99">
        <v>0</v>
      </c>
      <c r="AC101" s="99">
        <v>0</v>
      </c>
      <c r="AD101" s="99">
        <v>0</v>
      </c>
      <c r="AE101" s="99">
        <v>0</v>
      </c>
      <c r="AF101" s="99">
        <v>0</v>
      </c>
      <c r="AG101" s="99">
        <v>0</v>
      </c>
      <c r="AH101" s="99">
        <v>0</v>
      </c>
      <c r="AI101" s="99">
        <v>0</v>
      </c>
      <c r="AJ101" s="99">
        <v>0</v>
      </c>
      <c r="AK101" s="99">
        <v>0</v>
      </c>
      <c r="AL101" s="99">
        <v>0</v>
      </c>
      <c r="AM101" s="99">
        <v>0</v>
      </c>
      <c r="AN101" s="99">
        <v>0</v>
      </c>
      <c r="AO101" s="99">
        <v>0</v>
      </c>
      <c r="AP101" s="99">
        <v>0</v>
      </c>
      <c r="AQ101" s="99">
        <v>0</v>
      </c>
      <c r="AR101" s="99">
        <f t="shared" si="1"/>
        <v>15111.355076943253</v>
      </c>
    </row>
    <row r="102" spans="1:44" ht="15" x14ac:dyDescent="0.25">
      <c r="A102" s="258">
        <v>95</v>
      </c>
      <c r="B102" s="258" t="s">
        <v>307</v>
      </c>
      <c r="C102" s="258" t="s">
        <v>1414</v>
      </c>
      <c r="D102" s="859" t="s">
        <v>1417</v>
      </c>
      <c r="E102" s="99">
        <v>25780.543355256341</v>
      </c>
      <c r="F102" s="99">
        <v>0</v>
      </c>
      <c r="G102" s="99">
        <v>0</v>
      </c>
      <c r="H102" s="99">
        <v>0</v>
      </c>
      <c r="I102" s="99">
        <v>0</v>
      </c>
      <c r="J102" s="99">
        <v>0</v>
      </c>
      <c r="K102" s="99">
        <v>8122.2610780789846</v>
      </c>
      <c r="L102" s="99">
        <v>0</v>
      </c>
      <c r="M102" s="99">
        <v>0</v>
      </c>
      <c r="N102" s="99">
        <v>0</v>
      </c>
      <c r="O102" s="99">
        <v>0</v>
      </c>
      <c r="P102" s="99">
        <v>0</v>
      </c>
      <c r="Q102" s="99">
        <v>0</v>
      </c>
      <c r="R102" s="99">
        <v>0</v>
      </c>
      <c r="S102" s="99">
        <v>0</v>
      </c>
      <c r="T102" s="99">
        <v>0</v>
      </c>
      <c r="U102" s="99">
        <v>0</v>
      </c>
      <c r="V102" s="99">
        <v>0</v>
      </c>
      <c r="W102" s="99">
        <v>0</v>
      </c>
      <c r="X102" s="99">
        <v>0</v>
      </c>
      <c r="Y102" s="99">
        <v>0</v>
      </c>
      <c r="Z102" s="99">
        <v>0</v>
      </c>
      <c r="AA102" s="99">
        <v>0</v>
      </c>
      <c r="AB102" s="99">
        <v>0</v>
      </c>
      <c r="AC102" s="99">
        <v>0</v>
      </c>
      <c r="AD102" s="99">
        <v>0</v>
      </c>
      <c r="AE102" s="99">
        <v>0</v>
      </c>
      <c r="AF102" s="99">
        <v>0</v>
      </c>
      <c r="AG102" s="99">
        <v>0</v>
      </c>
      <c r="AH102" s="99">
        <v>0</v>
      </c>
      <c r="AI102" s="99">
        <v>0</v>
      </c>
      <c r="AJ102" s="99">
        <v>0</v>
      </c>
      <c r="AK102" s="99">
        <v>0</v>
      </c>
      <c r="AL102" s="99">
        <v>0</v>
      </c>
      <c r="AM102" s="99">
        <v>0</v>
      </c>
      <c r="AN102" s="99">
        <v>0</v>
      </c>
      <c r="AO102" s="99">
        <v>0</v>
      </c>
      <c r="AP102" s="99">
        <v>0</v>
      </c>
      <c r="AQ102" s="99">
        <v>0</v>
      </c>
      <c r="AR102" s="99">
        <f t="shared" si="1"/>
        <v>33902.804433335325</v>
      </c>
    </row>
    <row r="103" spans="1:44" ht="15" x14ac:dyDescent="0.25">
      <c r="A103" s="258">
        <v>96</v>
      </c>
      <c r="B103" s="258" t="s">
        <v>307</v>
      </c>
      <c r="C103" s="258" t="s">
        <v>1414</v>
      </c>
      <c r="D103" s="859" t="s">
        <v>1418</v>
      </c>
      <c r="E103" s="99">
        <v>32436.964043277199</v>
      </c>
      <c r="F103" s="99">
        <v>0</v>
      </c>
      <c r="G103" s="99">
        <v>0</v>
      </c>
      <c r="H103" s="99">
        <v>2775.6335467990384</v>
      </c>
      <c r="I103" s="99">
        <v>0</v>
      </c>
      <c r="J103" s="99">
        <v>0</v>
      </c>
      <c r="K103" s="99">
        <v>3957.5655965740534</v>
      </c>
      <c r="L103" s="99">
        <v>0</v>
      </c>
      <c r="M103" s="99">
        <v>0</v>
      </c>
      <c r="N103" s="99">
        <v>0</v>
      </c>
      <c r="O103" s="99">
        <v>0</v>
      </c>
      <c r="P103" s="99">
        <v>0</v>
      </c>
      <c r="Q103" s="99">
        <v>0</v>
      </c>
      <c r="R103" s="99">
        <v>0</v>
      </c>
      <c r="S103" s="99">
        <v>0</v>
      </c>
      <c r="T103" s="99">
        <v>0</v>
      </c>
      <c r="U103" s="99">
        <v>0</v>
      </c>
      <c r="V103" s="99">
        <v>458.25241908534076</v>
      </c>
      <c r="W103" s="99">
        <v>0</v>
      </c>
      <c r="X103" s="99">
        <v>0</v>
      </c>
      <c r="Y103" s="99">
        <v>0</v>
      </c>
      <c r="Z103" s="99">
        <v>0</v>
      </c>
      <c r="AA103" s="99">
        <v>0</v>
      </c>
      <c r="AB103" s="99">
        <v>0</v>
      </c>
      <c r="AC103" s="99">
        <v>0</v>
      </c>
      <c r="AD103" s="99">
        <v>0</v>
      </c>
      <c r="AE103" s="99">
        <v>699.10339852070695</v>
      </c>
      <c r="AF103" s="99">
        <v>0</v>
      </c>
      <c r="AG103" s="99">
        <v>0</v>
      </c>
      <c r="AH103" s="99">
        <v>0</v>
      </c>
      <c r="AI103" s="99">
        <v>0</v>
      </c>
      <c r="AJ103" s="99">
        <v>0</v>
      </c>
      <c r="AK103" s="99">
        <v>0</v>
      </c>
      <c r="AL103" s="99">
        <v>0</v>
      </c>
      <c r="AM103" s="99">
        <v>0</v>
      </c>
      <c r="AN103" s="99">
        <v>0</v>
      </c>
      <c r="AO103" s="99">
        <v>0</v>
      </c>
      <c r="AP103" s="99">
        <v>0</v>
      </c>
      <c r="AQ103" s="99">
        <v>0</v>
      </c>
      <c r="AR103" s="99">
        <f t="shared" si="1"/>
        <v>40327.519004256341</v>
      </c>
    </row>
    <row r="104" spans="1:44" ht="15" x14ac:dyDescent="0.25">
      <c r="A104" s="258">
        <v>97</v>
      </c>
      <c r="B104" s="258" t="s">
        <v>307</v>
      </c>
      <c r="C104" s="258" t="s">
        <v>1414</v>
      </c>
      <c r="D104" s="859" t="s">
        <v>1419</v>
      </c>
      <c r="E104" s="99">
        <v>2067.9794263837716</v>
      </c>
      <c r="F104" s="99">
        <v>0</v>
      </c>
      <c r="G104" s="99">
        <v>0</v>
      </c>
      <c r="H104" s="99">
        <v>0</v>
      </c>
      <c r="I104" s="99">
        <v>0</v>
      </c>
      <c r="J104" s="99">
        <v>0</v>
      </c>
      <c r="K104" s="99">
        <v>21831.8728999513</v>
      </c>
      <c r="L104" s="99">
        <v>0</v>
      </c>
      <c r="M104" s="99">
        <v>0</v>
      </c>
      <c r="N104" s="99">
        <v>0</v>
      </c>
      <c r="O104" s="99">
        <v>0</v>
      </c>
      <c r="P104" s="99">
        <v>1474.9818015118976</v>
      </c>
      <c r="Q104" s="99">
        <v>0</v>
      </c>
      <c r="R104" s="99">
        <v>0</v>
      </c>
      <c r="S104" s="99">
        <v>0</v>
      </c>
      <c r="T104" s="99">
        <v>0</v>
      </c>
      <c r="U104" s="99">
        <v>0</v>
      </c>
      <c r="V104" s="99">
        <v>4509.3622772588033</v>
      </c>
      <c r="W104" s="99">
        <v>0</v>
      </c>
      <c r="X104" s="99">
        <v>0</v>
      </c>
      <c r="Y104" s="99">
        <v>0</v>
      </c>
      <c r="Z104" s="99">
        <v>0</v>
      </c>
      <c r="AA104" s="99">
        <v>0</v>
      </c>
      <c r="AB104" s="99">
        <v>0</v>
      </c>
      <c r="AC104" s="99">
        <v>0</v>
      </c>
      <c r="AD104" s="99">
        <v>0</v>
      </c>
      <c r="AE104" s="99">
        <v>0</v>
      </c>
      <c r="AF104" s="99">
        <v>0</v>
      </c>
      <c r="AG104" s="99">
        <v>0</v>
      </c>
      <c r="AH104" s="99">
        <v>0</v>
      </c>
      <c r="AI104" s="99">
        <v>0</v>
      </c>
      <c r="AJ104" s="99">
        <v>0</v>
      </c>
      <c r="AK104" s="99">
        <v>0</v>
      </c>
      <c r="AL104" s="99">
        <v>0</v>
      </c>
      <c r="AM104" s="99">
        <v>0</v>
      </c>
      <c r="AN104" s="99">
        <v>0</v>
      </c>
      <c r="AO104" s="99">
        <v>0</v>
      </c>
      <c r="AP104" s="99">
        <v>0</v>
      </c>
      <c r="AQ104" s="99">
        <v>0</v>
      </c>
      <c r="AR104" s="99">
        <f t="shared" si="1"/>
        <v>29884.196405105773</v>
      </c>
    </row>
    <row r="105" spans="1:44" ht="15" x14ac:dyDescent="0.25">
      <c r="A105" s="258">
        <v>98</v>
      </c>
      <c r="B105" s="258" t="s">
        <v>307</v>
      </c>
      <c r="C105" s="258" t="s">
        <v>1414</v>
      </c>
      <c r="D105" s="859" t="s">
        <v>1420</v>
      </c>
      <c r="E105" s="99">
        <v>16161.921720529905</v>
      </c>
      <c r="F105" s="99">
        <v>0</v>
      </c>
      <c r="G105" s="99">
        <v>0</v>
      </c>
      <c r="H105" s="99">
        <v>0</v>
      </c>
      <c r="I105" s="99">
        <v>0</v>
      </c>
      <c r="J105" s="99">
        <v>0</v>
      </c>
      <c r="K105" s="99">
        <v>1361.2234258615342</v>
      </c>
      <c r="L105" s="99">
        <v>0</v>
      </c>
      <c r="M105" s="99">
        <v>0</v>
      </c>
      <c r="N105" s="99">
        <v>0</v>
      </c>
      <c r="O105" s="99">
        <v>0</v>
      </c>
      <c r="P105" s="99">
        <v>0</v>
      </c>
      <c r="Q105" s="99">
        <v>0</v>
      </c>
      <c r="R105" s="99">
        <v>0</v>
      </c>
      <c r="S105" s="99">
        <v>0</v>
      </c>
      <c r="T105" s="99">
        <v>0</v>
      </c>
      <c r="U105" s="99">
        <v>0</v>
      </c>
      <c r="V105" s="99">
        <v>0</v>
      </c>
      <c r="W105" s="99">
        <v>0</v>
      </c>
      <c r="X105" s="99">
        <v>0</v>
      </c>
      <c r="Y105" s="99">
        <v>0</v>
      </c>
      <c r="Z105" s="99">
        <v>0</v>
      </c>
      <c r="AA105" s="99">
        <v>0</v>
      </c>
      <c r="AB105" s="99">
        <v>0</v>
      </c>
      <c r="AC105" s="99">
        <v>0</v>
      </c>
      <c r="AD105" s="99">
        <v>0</v>
      </c>
      <c r="AE105" s="99">
        <v>0</v>
      </c>
      <c r="AF105" s="99">
        <v>0</v>
      </c>
      <c r="AG105" s="99">
        <v>0</v>
      </c>
      <c r="AH105" s="99">
        <v>0</v>
      </c>
      <c r="AI105" s="99">
        <v>0</v>
      </c>
      <c r="AJ105" s="99">
        <v>0</v>
      </c>
      <c r="AK105" s="99">
        <v>0</v>
      </c>
      <c r="AL105" s="99">
        <v>0</v>
      </c>
      <c r="AM105" s="99">
        <v>0</v>
      </c>
      <c r="AN105" s="99">
        <v>0</v>
      </c>
      <c r="AO105" s="99">
        <v>0</v>
      </c>
      <c r="AP105" s="99">
        <v>0</v>
      </c>
      <c r="AQ105" s="99">
        <v>0</v>
      </c>
      <c r="AR105" s="99">
        <f t="shared" si="1"/>
        <v>17523.145146391438</v>
      </c>
    </row>
    <row r="106" spans="1:44" ht="15" x14ac:dyDescent="0.25">
      <c r="A106" s="258">
        <v>99</v>
      </c>
      <c r="B106" s="258" t="s">
        <v>336</v>
      </c>
      <c r="C106" s="258" t="s">
        <v>1421</v>
      </c>
      <c r="D106" s="859" t="s">
        <v>1422</v>
      </c>
      <c r="E106" s="99">
        <v>10079.530159217387</v>
      </c>
      <c r="F106" s="99">
        <v>0</v>
      </c>
      <c r="G106" s="99">
        <v>0</v>
      </c>
      <c r="H106" s="99">
        <v>2941.7294791785944</v>
      </c>
      <c r="I106" s="99">
        <v>0</v>
      </c>
      <c r="J106" s="99">
        <v>0</v>
      </c>
      <c r="K106" s="99">
        <v>0</v>
      </c>
      <c r="L106" s="99">
        <v>0</v>
      </c>
      <c r="M106" s="99">
        <v>0</v>
      </c>
      <c r="N106" s="99">
        <v>0</v>
      </c>
      <c r="O106" s="99">
        <v>0</v>
      </c>
      <c r="P106" s="99">
        <v>0</v>
      </c>
      <c r="Q106" s="99">
        <v>0</v>
      </c>
      <c r="R106" s="99">
        <v>0</v>
      </c>
      <c r="S106" s="99">
        <v>0</v>
      </c>
      <c r="T106" s="99">
        <v>0</v>
      </c>
      <c r="U106" s="99">
        <v>0</v>
      </c>
      <c r="V106" s="99">
        <v>0</v>
      </c>
      <c r="W106" s="99">
        <v>0</v>
      </c>
      <c r="X106" s="99">
        <v>0</v>
      </c>
      <c r="Y106" s="99">
        <v>0</v>
      </c>
      <c r="Z106" s="99">
        <v>0</v>
      </c>
      <c r="AA106" s="99">
        <v>0</v>
      </c>
      <c r="AB106" s="99">
        <v>0</v>
      </c>
      <c r="AC106" s="99">
        <v>0</v>
      </c>
      <c r="AD106" s="99">
        <v>0</v>
      </c>
      <c r="AE106" s="99">
        <v>31497.436903211739</v>
      </c>
      <c r="AF106" s="99">
        <v>0</v>
      </c>
      <c r="AG106" s="99">
        <v>0</v>
      </c>
      <c r="AH106" s="99">
        <v>0</v>
      </c>
      <c r="AI106" s="99">
        <v>0</v>
      </c>
      <c r="AJ106" s="99">
        <v>0</v>
      </c>
      <c r="AK106" s="99">
        <v>0</v>
      </c>
      <c r="AL106" s="99">
        <v>0</v>
      </c>
      <c r="AM106" s="99">
        <v>0</v>
      </c>
      <c r="AN106" s="99">
        <v>0</v>
      </c>
      <c r="AO106" s="99">
        <v>0</v>
      </c>
      <c r="AP106" s="99">
        <v>0</v>
      </c>
      <c r="AQ106" s="99">
        <v>0</v>
      </c>
      <c r="AR106" s="99">
        <f t="shared" si="1"/>
        <v>44518.696541607722</v>
      </c>
    </row>
    <row r="107" spans="1:44" ht="15" x14ac:dyDescent="0.25">
      <c r="A107" s="258">
        <v>100</v>
      </c>
      <c r="B107" s="258" t="s">
        <v>336</v>
      </c>
      <c r="C107" s="258" t="s">
        <v>1421</v>
      </c>
      <c r="D107" s="859" t="s">
        <v>1423</v>
      </c>
      <c r="E107" s="99">
        <v>20717.290478352974</v>
      </c>
      <c r="F107" s="99">
        <v>0</v>
      </c>
      <c r="G107" s="99">
        <v>0</v>
      </c>
      <c r="H107" s="99">
        <v>17405.495894918819</v>
      </c>
      <c r="I107" s="99">
        <v>0</v>
      </c>
      <c r="J107" s="99">
        <v>0</v>
      </c>
      <c r="K107" s="99">
        <v>10913.358375305459</v>
      </c>
      <c r="L107" s="99">
        <v>0</v>
      </c>
      <c r="M107" s="99">
        <v>0</v>
      </c>
      <c r="N107" s="99">
        <v>0</v>
      </c>
      <c r="O107" s="99">
        <v>0</v>
      </c>
      <c r="P107" s="99">
        <v>0</v>
      </c>
      <c r="Q107" s="99">
        <v>0</v>
      </c>
      <c r="R107" s="99">
        <v>0</v>
      </c>
      <c r="S107" s="99">
        <v>0</v>
      </c>
      <c r="T107" s="99">
        <v>0</v>
      </c>
      <c r="U107" s="99">
        <v>0</v>
      </c>
      <c r="V107" s="99">
        <v>0</v>
      </c>
      <c r="W107" s="99">
        <v>0</v>
      </c>
      <c r="X107" s="99">
        <v>0</v>
      </c>
      <c r="Y107" s="99">
        <v>0</v>
      </c>
      <c r="Z107" s="99">
        <v>0</v>
      </c>
      <c r="AA107" s="99">
        <v>0</v>
      </c>
      <c r="AB107" s="99">
        <v>0</v>
      </c>
      <c r="AC107" s="99">
        <v>0</v>
      </c>
      <c r="AD107" s="99">
        <v>0</v>
      </c>
      <c r="AE107" s="99">
        <v>1337.6324962831143</v>
      </c>
      <c r="AF107" s="99">
        <v>0</v>
      </c>
      <c r="AG107" s="99">
        <v>0</v>
      </c>
      <c r="AH107" s="99">
        <v>0</v>
      </c>
      <c r="AI107" s="99">
        <v>0</v>
      </c>
      <c r="AJ107" s="99">
        <v>0</v>
      </c>
      <c r="AK107" s="99">
        <v>0</v>
      </c>
      <c r="AL107" s="99">
        <v>0</v>
      </c>
      <c r="AM107" s="99">
        <v>0</v>
      </c>
      <c r="AN107" s="99">
        <v>0</v>
      </c>
      <c r="AO107" s="99">
        <v>0</v>
      </c>
      <c r="AP107" s="99">
        <v>0</v>
      </c>
      <c r="AQ107" s="99">
        <v>0</v>
      </c>
      <c r="AR107" s="99">
        <f t="shared" si="1"/>
        <v>50373.777244860365</v>
      </c>
    </row>
    <row r="108" spans="1:44" ht="15" x14ac:dyDescent="0.25">
      <c r="A108" s="258">
        <v>101</v>
      </c>
      <c r="B108" s="258" t="s">
        <v>336</v>
      </c>
      <c r="C108" s="258" t="s">
        <v>1421</v>
      </c>
      <c r="D108" s="859" t="s">
        <v>1424</v>
      </c>
      <c r="E108" s="99">
        <v>2505.2948271347864</v>
      </c>
      <c r="F108" s="99">
        <v>0</v>
      </c>
      <c r="G108" s="99">
        <v>0</v>
      </c>
      <c r="H108" s="99">
        <v>4207.0268195680992</v>
      </c>
      <c r="I108" s="99">
        <v>0</v>
      </c>
      <c r="J108" s="99">
        <v>0</v>
      </c>
      <c r="K108" s="99">
        <v>13650.831719391932</v>
      </c>
      <c r="L108" s="99">
        <v>0</v>
      </c>
      <c r="M108" s="99">
        <v>0</v>
      </c>
      <c r="N108" s="99">
        <v>0</v>
      </c>
      <c r="O108" s="99">
        <v>0</v>
      </c>
      <c r="P108" s="99">
        <v>0</v>
      </c>
      <c r="Q108" s="99">
        <v>0</v>
      </c>
      <c r="R108" s="99">
        <v>0</v>
      </c>
      <c r="S108" s="99">
        <v>0</v>
      </c>
      <c r="T108" s="99">
        <v>0</v>
      </c>
      <c r="U108" s="99">
        <v>0</v>
      </c>
      <c r="V108" s="99">
        <v>0</v>
      </c>
      <c r="W108" s="99">
        <v>0</v>
      </c>
      <c r="X108" s="99">
        <v>0</v>
      </c>
      <c r="Y108" s="99">
        <v>0</v>
      </c>
      <c r="Z108" s="99">
        <v>0</v>
      </c>
      <c r="AA108" s="99">
        <v>0</v>
      </c>
      <c r="AB108" s="99">
        <v>0</v>
      </c>
      <c r="AC108" s="99">
        <v>0</v>
      </c>
      <c r="AD108" s="99">
        <v>0</v>
      </c>
      <c r="AE108" s="99">
        <v>0</v>
      </c>
      <c r="AF108" s="99">
        <v>0</v>
      </c>
      <c r="AG108" s="99">
        <v>0</v>
      </c>
      <c r="AH108" s="99">
        <v>0</v>
      </c>
      <c r="AI108" s="99">
        <v>0</v>
      </c>
      <c r="AJ108" s="99">
        <v>0</v>
      </c>
      <c r="AK108" s="99">
        <v>0</v>
      </c>
      <c r="AL108" s="99">
        <v>0</v>
      </c>
      <c r="AM108" s="99">
        <v>0</v>
      </c>
      <c r="AN108" s="99">
        <v>0</v>
      </c>
      <c r="AO108" s="99">
        <v>0</v>
      </c>
      <c r="AP108" s="99">
        <v>0</v>
      </c>
      <c r="AQ108" s="99">
        <v>0</v>
      </c>
      <c r="AR108" s="99">
        <f t="shared" si="1"/>
        <v>20363.153366094819</v>
      </c>
    </row>
    <row r="109" spans="1:44" ht="15" x14ac:dyDescent="0.25">
      <c r="A109" s="258">
        <v>102</v>
      </c>
      <c r="B109" s="258" t="s">
        <v>336</v>
      </c>
      <c r="C109" s="258" t="s">
        <v>1421</v>
      </c>
      <c r="D109" s="859" t="s">
        <v>1425</v>
      </c>
      <c r="E109" s="99">
        <v>2597.771446079726</v>
      </c>
      <c r="F109" s="99">
        <v>0</v>
      </c>
      <c r="G109" s="99">
        <v>0</v>
      </c>
      <c r="H109" s="99">
        <v>0</v>
      </c>
      <c r="I109" s="99">
        <v>0</v>
      </c>
      <c r="J109" s="99">
        <v>0</v>
      </c>
      <c r="K109" s="99">
        <v>7326.151619923603</v>
      </c>
      <c r="L109" s="99">
        <v>0</v>
      </c>
      <c r="M109" s="99">
        <v>0</v>
      </c>
      <c r="N109" s="99">
        <v>0</v>
      </c>
      <c r="O109" s="99">
        <v>0</v>
      </c>
      <c r="P109" s="99">
        <v>2865.7439631226525</v>
      </c>
      <c r="Q109" s="99">
        <v>0</v>
      </c>
      <c r="R109" s="99">
        <v>0</v>
      </c>
      <c r="S109" s="99">
        <v>0</v>
      </c>
      <c r="T109" s="99">
        <v>0</v>
      </c>
      <c r="U109" s="99">
        <v>0</v>
      </c>
      <c r="V109" s="99">
        <v>0</v>
      </c>
      <c r="W109" s="99">
        <v>0</v>
      </c>
      <c r="X109" s="99">
        <v>0</v>
      </c>
      <c r="Y109" s="99">
        <v>0</v>
      </c>
      <c r="Z109" s="99">
        <v>0</v>
      </c>
      <c r="AA109" s="99">
        <v>0</v>
      </c>
      <c r="AB109" s="99">
        <v>0</v>
      </c>
      <c r="AC109" s="99">
        <v>0</v>
      </c>
      <c r="AD109" s="99">
        <v>0</v>
      </c>
      <c r="AE109" s="99">
        <v>0</v>
      </c>
      <c r="AF109" s="99">
        <v>0</v>
      </c>
      <c r="AG109" s="99">
        <v>0</v>
      </c>
      <c r="AH109" s="99">
        <v>0</v>
      </c>
      <c r="AI109" s="99">
        <v>0</v>
      </c>
      <c r="AJ109" s="99">
        <v>0</v>
      </c>
      <c r="AK109" s="99">
        <v>0</v>
      </c>
      <c r="AL109" s="99">
        <v>0</v>
      </c>
      <c r="AM109" s="99">
        <v>0</v>
      </c>
      <c r="AN109" s="99">
        <v>0</v>
      </c>
      <c r="AO109" s="99">
        <v>0</v>
      </c>
      <c r="AP109" s="99">
        <v>0</v>
      </c>
      <c r="AQ109" s="99">
        <v>0</v>
      </c>
      <c r="AR109" s="99">
        <f t="shared" si="1"/>
        <v>12789.66702912598</v>
      </c>
    </row>
    <row r="110" spans="1:44" ht="15" x14ac:dyDescent="0.25">
      <c r="A110" s="258">
        <v>103</v>
      </c>
      <c r="B110" s="258" t="s">
        <v>336</v>
      </c>
      <c r="C110" s="258" t="s">
        <v>1421</v>
      </c>
      <c r="D110" s="859" t="s">
        <v>1426</v>
      </c>
      <c r="E110" s="99">
        <v>1805.0846189958784</v>
      </c>
      <c r="F110" s="99">
        <v>0</v>
      </c>
      <c r="G110" s="99">
        <v>0</v>
      </c>
      <c r="H110" s="99">
        <v>0</v>
      </c>
      <c r="I110" s="99">
        <v>0</v>
      </c>
      <c r="J110" s="99">
        <v>0</v>
      </c>
      <c r="K110" s="99">
        <v>8985.6951147645304</v>
      </c>
      <c r="L110" s="99">
        <v>0</v>
      </c>
      <c r="M110" s="99">
        <v>0</v>
      </c>
      <c r="N110" s="99">
        <v>0</v>
      </c>
      <c r="O110" s="99">
        <v>0</v>
      </c>
      <c r="P110" s="99">
        <v>0</v>
      </c>
      <c r="Q110" s="99">
        <v>0</v>
      </c>
      <c r="R110" s="99">
        <v>0</v>
      </c>
      <c r="S110" s="99">
        <v>0</v>
      </c>
      <c r="T110" s="99">
        <v>0</v>
      </c>
      <c r="U110" s="99">
        <v>0</v>
      </c>
      <c r="V110" s="99">
        <v>0</v>
      </c>
      <c r="W110" s="99">
        <v>0</v>
      </c>
      <c r="X110" s="99">
        <v>0</v>
      </c>
      <c r="Y110" s="99">
        <v>0</v>
      </c>
      <c r="Z110" s="99">
        <v>0</v>
      </c>
      <c r="AA110" s="99">
        <v>0</v>
      </c>
      <c r="AB110" s="99">
        <v>0</v>
      </c>
      <c r="AC110" s="99">
        <v>0</v>
      </c>
      <c r="AD110" s="99">
        <v>0</v>
      </c>
      <c r="AE110" s="99">
        <v>0</v>
      </c>
      <c r="AF110" s="99">
        <v>0</v>
      </c>
      <c r="AG110" s="99">
        <v>0</v>
      </c>
      <c r="AH110" s="99">
        <v>0</v>
      </c>
      <c r="AI110" s="99">
        <v>0</v>
      </c>
      <c r="AJ110" s="99">
        <v>0</v>
      </c>
      <c r="AK110" s="99">
        <v>0</v>
      </c>
      <c r="AL110" s="99">
        <v>0</v>
      </c>
      <c r="AM110" s="99">
        <v>0</v>
      </c>
      <c r="AN110" s="99">
        <v>0</v>
      </c>
      <c r="AO110" s="99">
        <v>0</v>
      </c>
      <c r="AP110" s="99">
        <v>0</v>
      </c>
      <c r="AQ110" s="99">
        <v>0</v>
      </c>
      <c r="AR110" s="99">
        <f t="shared" si="1"/>
        <v>10790.77973376041</v>
      </c>
    </row>
    <row r="111" spans="1:44" ht="15" x14ac:dyDescent="0.25">
      <c r="A111" s="258">
        <v>104</v>
      </c>
      <c r="B111" s="258" t="s">
        <v>336</v>
      </c>
      <c r="C111" s="258" t="s">
        <v>1421</v>
      </c>
      <c r="D111" s="859" t="s">
        <v>1427</v>
      </c>
      <c r="E111" s="99">
        <v>4169.6633152531713</v>
      </c>
      <c r="F111" s="99">
        <v>0</v>
      </c>
      <c r="G111" s="99">
        <v>0</v>
      </c>
      <c r="H111" s="99">
        <v>0</v>
      </c>
      <c r="I111" s="99">
        <v>0</v>
      </c>
      <c r="J111" s="99">
        <v>0</v>
      </c>
      <c r="K111" s="99">
        <v>0</v>
      </c>
      <c r="L111" s="99">
        <v>0</v>
      </c>
      <c r="M111" s="99">
        <v>0</v>
      </c>
      <c r="N111" s="99">
        <v>0</v>
      </c>
      <c r="O111" s="99">
        <v>0</v>
      </c>
      <c r="P111" s="99">
        <v>4367.4711908193722</v>
      </c>
      <c r="Q111" s="99">
        <v>0</v>
      </c>
      <c r="R111" s="99">
        <v>0</v>
      </c>
      <c r="S111" s="99">
        <v>0</v>
      </c>
      <c r="T111" s="99">
        <v>0</v>
      </c>
      <c r="U111" s="99">
        <v>0</v>
      </c>
      <c r="V111" s="99">
        <v>0</v>
      </c>
      <c r="W111" s="99">
        <v>0</v>
      </c>
      <c r="X111" s="99">
        <v>0</v>
      </c>
      <c r="Y111" s="99">
        <v>0</v>
      </c>
      <c r="Z111" s="99">
        <v>0</v>
      </c>
      <c r="AA111" s="99">
        <v>0</v>
      </c>
      <c r="AB111" s="99">
        <v>0</v>
      </c>
      <c r="AC111" s="99">
        <v>0</v>
      </c>
      <c r="AD111" s="99">
        <v>0</v>
      </c>
      <c r="AE111" s="99">
        <v>0</v>
      </c>
      <c r="AF111" s="99">
        <v>0</v>
      </c>
      <c r="AG111" s="99">
        <v>0</v>
      </c>
      <c r="AH111" s="99">
        <v>0</v>
      </c>
      <c r="AI111" s="99">
        <v>0</v>
      </c>
      <c r="AJ111" s="99">
        <v>0</v>
      </c>
      <c r="AK111" s="99">
        <v>0</v>
      </c>
      <c r="AL111" s="99">
        <v>0</v>
      </c>
      <c r="AM111" s="99">
        <v>0</v>
      </c>
      <c r="AN111" s="99">
        <v>0</v>
      </c>
      <c r="AO111" s="99">
        <v>0</v>
      </c>
      <c r="AP111" s="99">
        <v>0</v>
      </c>
      <c r="AQ111" s="99">
        <v>0</v>
      </c>
      <c r="AR111" s="99">
        <f t="shared" si="1"/>
        <v>8537.1345060725434</v>
      </c>
    </row>
    <row r="112" spans="1:44" ht="15" x14ac:dyDescent="0.25">
      <c r="A112" s="258">
        <v>105</v>
      </c>
      <c r="B112" s="258" t="s">
        <v>336</v>
      </c>
      <c r="C112" s="258" t="s">
        <v>1421</v>
      </c>
      <c r="D112" s="859" t="s">
        <v>1428</v>
      </c>
      <c r="E112" s="99">
        <v>10182.539422689084</v>
      </c>
      <c r="F112" s="99">
        <v>0</v>
      </c>
      <c r="G112" s="99">
        <v>0</v>
      </c>
      <c r="H112" s="99">
        <v>0</v>
      </c>
      <c r="I112" s="99">
        <v>0</v>
      </c>
      <c r="J112" s="99">
        <v>0</v>
      </c>
      <c r="K112" s="99">
        <v>5365.3416850516314</v>
      </c>
      <c r="L112" s="99">
        <v>0</v>
      </c>
      <c r="M112" s="99">
        <v>0</v>
      </c>
      <c r="N112" s="99">
        <v>0</v>
      </c>
      <c r="O112" s="99">
        <v>0</v>
      </c>
      <c r="P112" s="99">
        <v>64.302833167764049</v>
      </c>
      <c r="Q112" s="99">
        <v>0</v>
      </c>
      <c r="R112" s="99">
        <v>0</v>
      </c>
      <c r="S112" s="99">
        <v>0</v>
      </c>
      <c r="T112" s="99">
        <v>0</v>
      </c>
      <c r="U112" s="99">
        <v>0</v>
      </c>
      <c r="V112" s="99">
        <v>0</v>
      </c>
      <c r="W112" s="99">
        <v>0</v>
      </c>
      <c r="X112" s="99">
        <v>0</v>
      </c>
      <c r="Y112" s="99">
        <v>0</v>
      </c>
      <c r="Z112" s="99">
        <v>0</v>
      </c>
      <c r="AA112" s="99">
        <v>0</v>
      </c>
      <c r="AB112" s="99">
        <v>0</v>
      </c>
      <c r="AC112" s="99">
        <v>0</v>
      </c>
      <c r="AD112" s="99">
        <v>0</v>
      </c>
      <c r="AE112" s="99">
        <v>0</v>
      </c>
      <c r="AF112" s="99">
        <v>0</v>
      </c>
      <c r="AG112" s="99">
        <v>0</v>
      </c>
      <c r="AH112" s="99">
        <v>0</v>
      </c>
      <c r="AI112" s="99">
        <v>0</v>
      </c>
      <c r="AJ112" s="99">
        <v>0</v>
      </c>
      <c r="AK112" s="99">
        <v>0</v>
      </c>
      <c r="AL112" s="99">
        <v>0</v>
      </c>
      <c r="AM112" s="99">
        <v>0</v>
      </c>
      <c r="AN112" s="99">
        <v>0</v>
      </c>
      <c r="AO112" s="99">
        <v>0</v>
      </c>
      <c r="AP112" s="99">
        <v>0</v>
      </c>
      <c r="AQ112" s="99">
        <v>0</v>
      </c>
      <c r="AR112" s="99">
        <f t="shared" si="1"/>
        <v>15612.183940908479</v>
      </c>
    </row>
    <row r="113" spans="1:44" ht="15" x14ac:dyDescent="0.25">
      <c r="A113" s="258">
        <v>106</v>
      </c>
      <c r="B113" s="258" t="s">
        <v>322</v>
      </c>
      <c r="C113" s="258" t="s">
        <v>1429</v>
      </c>
      <c r="D113" s="859" t="s">
        <v>1430</v>
      </c>
      <c r="E113" s="99">
        <v>1849.5323788987992</v>
      </c>
      <c r="F113" s="99">
        <v>0</v>
      </c>
      <c r="G113" s="99">
        <v>0</v>
      </c>
      <c r="H113" s="99">
        <v>0</v>
      </c>
      <c r="I113" s="99">
        <v>0</v>
      </c>
      <c r="J113" s="99">
        <v>0</v>
      </c>
      <c r="K113" s="99">
        <v>17210.784542546044</v>
      </c>
      <c r="L113" s="99">
        <v>0</v>
      </c>
      <c r="M113" s="99">
        <v>0</v>
      </c>
      <c r="N113" s="99">
        <v>0</v>
      </c>
      <c r="O113" s="99">
        <v>0</v>
      </c>
      <c r="P113" s="99">
        <v>0</v>
      </c>
      <c r="Q113" s="99">
        <v>0</v>
      </c>
      <c r="R113" s="99">
        <v>0</v>
      </c>
      <c r="S113" s="99">
        <v>0</v>
      </c>
      <c r="T113" s="99">
        <v>0</v>
      </c>
      <c r="U113" s="99">
        <v>0</v>
      </c>
      <c r="V113" s="99">
        <v>0</v>
      </c>
      <c r="W113" s="99">
        <v>0</v>
      </c>
      <c r="X113" s="99">
        <v>0</v>
      </c>
      <c r="Y113" s="99">
        <v>0</v>
      </c>
      <c r="Z113" s="99">
        <v>0</v>
      </c>
      <c r="AA113" s="99">
        <v>0</v>
      </c>
      <c r="AB113" s="99">
        <v>0</v>
      </c>
      <c r="AC113" s="99">
        <v>0</v>
      </c>
      <c r="AD113" s="99">
        <v>0</v>
      </c>
      <c r="AE113" s="99">
        <v>30429.290074988658</v>
      </c>
      <c r="AF113" s="99">
        <v>0</v>
      </c>
      <c r="AG113" s="99">
        <v>0</v>
      </c>
      <c r="AH113" s="99">
        <v>0</v>
      </c>
      <c r="AI113" s="99">
        <v>0</v>
      </c>
      <c r="AJ113" s="99">
        <v>0</v>
      </c>
      <c r="AK113" s="99">
        <v>0</v>
      </c>
      <c r="AL113" s="99">
        <v>0</v>
      </c>
      <c r="AM113" s="99">
        <v>0</v>
      </c>
      <c r="AN113" s="99">
        <v>0</v>
      </c>
      <c r="AO113" s="99">
        <v>0</v>
      </c>
      <c r="AP113" s="99">
        <v>0</v>
      </c>
      <c r="AQ113" s="99">
        <v>0</v>
      </c>
      <c r="AR113" s="99">
        <f t="shared" si="1"/>
        <v>49489.606996433504</v>
      </c>
    </row>
    <row r="114" spans="1:44" ht="15" x14ac:dyDescent="0.25">
      <c r="A114" s="258">
        <v>107</v>
      </c>
      <c r="B114" s="258" t="s">
        <v>322</v>
      </c>
      <c r="C114" s="258" t="s">
        <v>1429</v>
      </c>
      <c r="D114" s="859" t="s">
        <v>1431</v>
      </c>
      <c r="E114" s="99">
        <v>483.02707799714659</v>
      </c>
      <c r="F114" s="99">
        <v>0</v>
      </c>
      <c r="G114" s="99">
        <v>0</v>
      </c>
      <c r="H114" s="99">
        <v>0</v>
      </c>
      <c r="I114" s="99">
        <v>0</v>
      </c>
      <c r="J114" s="99">
        <v>0</v>
      </c>
      <c r="K114" s="99">
        <v>10845.002566907218</v>
      </c>
      <c r="L114" s="99">
        <v>0</v>
      </c>
      <c r="M114" s="99">
        <v>0</v>
      </c>
      <c r="N114" s="99">
        <v>0</v>
      </c>
      <c r="O114" s="99">
        <v>0</v>
      </c>
      <c r="P114" s="99">
        <v>0</v>
      </c>
      <c r="Q114" s="99">
        <v>0</v>
      </c>
      <c r="R114" s="99">
        <v>0</v>
      </c>
      <c r="S114" s="99">
        <v>0</v>
      </c>
      <c r="T114" s="99">
        <v>0</v>
      </c>
      <c r="U114" s="99">
        <v>0</v>
      </c>
      <c r="V114" s="99">
        <v>0</v>
      </c>
      <c r="W114" s="99">
        <v>0</v>
      </c>
      <c r="X114" s="99">
        <v>0</v>
      </c>
      <c r="Y114" s="99">
        <v>0</v>
      </c>
      <c r="Z114" s="99">
        <v>0</v>
      </c>
      <c r="AA114" s="99">
        <v>0</v>
      </c>
      <c r="AB114" s="99">
        <v>0</v>
      </c>
      <c r="AC114" s="99">
        <v>0</v>
      </c>
      <c r="AD114" s="99">
        <v>0</v>
      </c>
      <c r="AE114" s="99">
        <v>7988.2109231027762</v>
      </c>
      <c r="AF114" s="99">
        <v>0</v>
      </c>
      <c r="AG114" s="99">
        <v>0</v>
      </c>
      <c r="AH114" s="99">
        <v>0</v>
      </c>
      <c r="AI114" s="99">
        <v>0</v>
      </c>
      <c r="AJ114" s="99">
        <v>0</v>
      </c>
      <c r="AK114" s="99">
        <v>0</v>
      </c>
      <c r="AL114" s="99">
        <v>0</v>
      </c>
      <c r="AM114" s="99">
        <v>0</v>
      </c>
      <c r="AN114" s="99">
        <v>0</v>
      </c>
      <c r="AO114" s="99">
        <v>0</v>
      </c>
      <c r="AP114" s="99">
        <v>0</v>
      </c>
      <c r="AQ114" s="99">
        <v>0</v>
      </c>
      <c r="AR114" s="99">
        <f t="shared" si="1"/>
        <v>19316.240568007142</v>
      </c>
    </row>
    <row r="115" spans="1:44" ht="15" x14ac:dyDescent="0.25">
      <c r="A115" s="258">
        <v>108</v>
      </c>
      <c r="B115" s="258" t="s">
        <v>322</v>
      </c>
      <c r="C115" s="258" t="s">
        <v>1429</v>
      </c>
      <c r="D115" s="859" t="s">
        <v>1432</v>
      </c>
      <c r="E115" s="99">
        <v>3661.5685432823379</v>
      </c>
      <c r="F115" s="99">
        <v>0</v>
      </c>
      <c r="G115" s="99">
        <v>0</v>
      </c>
      <c r="H115" s="99">
        <v>0</v>
      </c>
      <c r="I115" s="99">
        <v>0</v>
      </c>
      <c r="J115" s="99">
        <v>0</v>
      </c>
      <c r="K115" s="99">
        <v>18926.309087368289</v>
      </c>
      <c r="L115" s="99">
        <v>0</v>
      </c>
      <c r="M115" s="99">
        <v>0</v>
      </c>
      <c r="N115" s="99">
        <v>0</v>
      </c>
      <c r="O115" s="99">
        <v>0</v>
      </c>
      <c r="P115" s="99">
        <v>0</v>
      </c>
      <c r="Q115" s="99">
        <v>0</v>
      </c>
      <c r="R115" s="99">
        <v>0</v>
      </c>
      <c r="S115" s="99">
        <v>0</v>
      </c>
      <c r="T115" s="99">
        <v>0</v>
      </c>
      <c r="U115" s="99">
        <v>0</v>
      </c>
      <c r="V115" s="99">
        <v>0</v>
      </c>
      <c r="W115" s="99">
        <v>0</v>
      </c>
      <c r="X115" s="99">
        <v>0</v>
      </c>
      <c r="Y115" s="99">
        <v>0</v>
      </c>
      <c r="Z115" s="99">
        <v>0</v>
      </c>
      <c r="AA115" s="99">
        <v>0</v>
      </c>
      <c r="AB115" s="99">
        <v>0</v>
      </c>
      <c r="AC115" s="99">
        <v>0</v>
      </c>
      <c r="AD115" s="99">
        <v>0</v>
      </c>
      <c r="AE115" s="99">
        <v>0</v>
      </c>
      <c r="AF115" s="99">
        <v>1729.3368812996596</v>
      </c>
      <c r="AG115" s="99">
        <v>0</v>
      </c>
      <c r="AH115" s="99">
        <v>0</v>
      </c>
      <c r="AI115" s="99">
        <v>0</v>
      </c>
      <c r="AJ115" s="99">
        <v>0</v>
      </c>
      <c r="AK115" s="99">
        <v>0</v>
      </c>
      <c r="AL115" s="99">
        <v>0</v>
      </c>
      <c r="AM115" s="99">
        <v>0</v>
      </c>
      <c r="AN115" s="99">
        <v>0</v>
      </c>
      <c r="AO115" s="99">
        <v>0</v>
      </c>
      <c r="AP115" s="99">
        <v>0</v>
      </c>
      <c r="AQ115" s="99">
        <v>0</v>
      </c>
      <c r="AR115" s="99">
        <f t="shared" si="1"/>
        <v>24317.214511950286</v>
      </c>
    </row>
    <row r="116" spans="1:44" ht="15" x14ac:dyDescent="0.25">
      <c r="A116" s="258">
        <v>109</v>
      </c>
      <c r="B116" s="258" t="s">
        <v>322</v>
      </c>
      <c r="C116" s="258" t="s">
        <v>1429</v>
      </c>
      <c r="D116" s="859" t="s">
        <v>1433</v>
      </c>
      <c r="E116" s="99">
        <v>23306.214503030224</v>
      </c>
      <c r="F116" s="99">
        <v>0</v>
      </c>
      <c r="G116" s="99">
        <v>0</v>
      </c>
      <c r="H116" s="99">
        <v>0</v>
      </c>
      <c r="I116" s="99">
        <v>0</v>
      </c>
      <c r="J116" s="99">
        <v>0</v>
      </c>
      <c r="K116" s="99">
        <v>37725.040308200209</v>
      </c>
      <c r="L116" s="99">
        <v>0</v>
      </c>
      <c r="M116" s="99">
        <v>0</v>
      </c>
      <c r="N116" s="99">
        <v>0</v>
      </c>
      <c r="O116" s="99">
        <v>0</v>
      </c>
      <c r="P116" s="99">
        <v>0</v>
      </c>
      <c r="Q116" s="99">
        <v>0</v>
      </c>
      <c r="R116" s="99">
        <v>0</v>
      </c>
      <c r="S116" s="99">
        <v>0</v>
      </c>
      <c r="T116" s="99">
        <v>0</v>
      </c>
      <c r="U116" s="99">
        <v>0</v>
      </c>
      <c r="V116" s="99">
        <v>0</v>
      </c>
      <c r="W116" s="99">
        <v>0</v>
      </c>
      <c r="X116" s="99">
        <v>0</v>
      </c>
      <c r="Y116" s="99">
        <v>0</v>
      </c>
      <c r="Z116" s="99">
        <v>0</v>
      </c>
      <c r="AA116" s="99">
        <v>0</v>
      </c>
      <c r="AB116" s="99">
        <v>0</v>
      </c>
      <c r="AC116" s="99">
        <v>0</v>
      </c>
      <c r="AD116" s="99">
        <v>0</v>
      </c>
      <c r="AE116" s="99">
        <v>0</v>
      </c>
      <c r="AF116" s="99">
        <v>3009.512559135801</v>
      </c>
      <c r="AG116" s="99">
        <v>0</v>
      </c>
      <c r="AH116" s="99">
        <v>0</v>
      </c>
      <c r="AI116" s="99">
        <v>0</v>
      </c>
      <c r="AJ116" s="99">
        <v>0</v>
      </c>
      <c r="AK116" s="99">
        <v>0</v>
      </c>
      <c r="AL116" s="99">
        <v>0</v>
      </c>
      <c r="AM116" s="99">
        <v>0</v>
      </c>
      <c r="AN116" s="99">
        <v>0</v>
      </c>
      <c r="AO116" s="99">
        <v>0</v>
      </c>
      <c r="AP116" s="99">
        <v>0</v>
      </c>
      <c r="AQ116" s="99">
        <v>0</v>
      </c>
      <c r="AR116" s="99">
        <f t="shared" si="1"/>
        <v>64040.767370366237</v>
      </c>
    </row>
    <row r="117" spans="1:44" ht="15" x14ac:dyDescent="0.25">
      <c r="A117" s="258">
        <v>110</v>
      </c>
      <c r="B117" s="258" t="s">
        <v>322</v>
      </c>
      <c r="C117" s="258" t="s">
        <v>1429</v>
      </c>
      <c r="D117" s="859" t="s">
        <v>1434</v>
      </c>
      <c r="E117" s="99">
        <v>14516.93329834076</v>
      </c>
      <c r="F117" s="99">
        <v>0</v>
      </c>
      <c r="G117" s="99">
        <v>0</v>
      </c>
      <c r="H117" s="99">
        <v>0</v>
      </c>
      <c r="I117" s="99">
        <v>0</v>
      </c>
      <c r="J117" s="99">
        <v>0</v>
      </c>
      <c r="K117" s="99">
        <v>17602.651892415273</v>
      </c>
      <c r="L117" s="99">
        <v>0</v>
      </c>
      <c r="M117" s="99">
        <v>0</v>
      </c>
      <c r="N117" s="99">
        <v>0</v>
      </c>
      <c r="O117" s="99">
        <v>0</v>
      </c>
      <c r="P117" s="99">
        <v>0</v>
      </c>
      <c r="Q117" s="99">
        <v>0</v>
      </c>
      <c r="R117" s="99">
        <v>0</v>
      </c>
      <c r="S117" s="99">
        <v>0</v>
      </c>
      <c r="T117" s="99">
        <v>0</v>
      </c>
      <c r="U117" s="99">
        <v>0</v>
      </c>
      <c r="V117" s="99">
        <v>0</v>
      </c>
      <c r="W117" s="99">
        <v>0</v>
      </c>
      <c r="X117" s="99">
        <v>0</v>
      </c>
      <c r="Y117" s="99">
        <v>0</v>
      </c>
      <c r="Z117" s="99">
        <v>0</v>
      </c>
      <c r="AA117" s="99">
        <v>0</v>
      </c>
      <c r="AB117" s="99">
        <v>0</v>
      </c>
      <c r="AC117" s="99">
        <v>0</v>
      </c>
      <c r="AD117" s="99">
        <v>0</v>
      </c>
      <c r="AE117" s="99">
        <v>0</v>
      </c>
      <c r="AF117" s="99">
        <v>0</v>
      </c>
      <c r="AG117" s="99">
        <v>0</v>
      </c>
      <c r="AH117" s="99">
        <v>0</v>
      </c>
      <c r="AI117" s="99">
        <v>0</v>
      </c>
      <c r="AJ117" s="99">
        <v>0</v>
      </c>
      <c r="AK117" s="99">
        <v>0</v>
      </c>
      <c r="AL117" s="99">
        <v>0</v>
      </c>
      <c r="AM117" s="99">
        <v>0</v>
      </c>
      <c r="AN117" s="99">
        <v>0</v>
      </c>
      <c r="AO117" s="99">
        <v>0</v>
      </c>
      <c r="AP117" s="99">
        <v>0</v>
      </c>
      <c r="AQ117" s="99">
        <v>0</v>
      </c>
      <c r="AR117" s="99">
        <f t="shared" si="1"/>
        <v>32119.585190756035</v>
      </c>
    </row>
    <row r="118" spans="1:44" ht="15" x14ac:dyDescent="0.25">
      <c r="A118" s="258">
        <v>111</v>
      </c>
      <c r="B118" s="258" t="s">
        <v>322</v>
      </c>
      <c r="C118" s="258" t="s">
        <v>1429</v>
      </c>
      <c r="D118" s="859" t="s">
        <v>1435</v>
      </c>
      <c r="E118" s="99">
        <v>5095.2721162647103</v>
      </c>
      <c r="F118" s="99">
        <v>0</v>
      </c>
      <c r="G118" s="99">
        <v>0</v>
      </c>
      <c r="H118" s="99">
        <v>0</v>
      </c>
      <c r="I118" s="99">
        <v>0</v>
      </c>
      <c r="J118" s="99">
        <v>0</v>
      </c>
      <c r="K118" s="99">
        <v>2092.2180837754877</v>
      </c>
      <c r="L118" s="99">
        <v>0</v>
      </c>
      <c r="M118" s="99">
        <v>0</v>
      </c>
      <c r="N118" s="99">
        <v>0</v>
      </c>
      <c r="O118" s="99">
        <v>0</v>
      </c>
      <c r="P118" s="99">
        <v>0</v>
      </c>
      <c r="Q118" s="99">
        <v>0</v>
      </c>
      <c r="R118" s="99">
        <v>0</v>
      </c>
      <c r="S118" s="99">
        <v>0</v>
      </c>
      <c r="T118" s="99">
        <v>0</v>
      </c>
      <c r="U118" s="99">
        <v>0</v>
      </c>
      <c r="V118" s="99">
        <v>0</v>
      </c>
      <c r="W118" s="99">
        <v>0</v>
      </c>
      <c r="X118" s="99">
        <v>0</v>
      </c>
      <c r="Y118" s="99">
        <v>0</v>
      </c>
      <c r="Z118" s="99">
        <v>0</v>
      </c>
      <c r="AA118" s="99">
        <v>0</v>
      </c>
      <c r="AB118" s="99">
        <v>0</v>
      </c>
      <c r="AC118" s="99">
        <v>0</v>
      </c>
      <c r="AD118" s="99">
        <v>0</v>
      </c>
      <c r="AE118" s="99">
        <v>11078.899668064209</v>
      </c>
      <c r="AF118" s="99">
        <v>0</v>
      </c>
      <c r="AG118" s="99">
        <v>0</v>
      </c>
      <c r="AH118" s="99">
        <v>0</v>
      </c>
      <c r="AI118" s="99">
        <v>0</v>
      </c>
      <c r="AJ118" s="99">
        <v>0</v>
      </c>
      <c r="AK118" s="99">
        <v>0</v>
      </c>
      <c r="AL118" s="99">
        <v>0</v>
      </c>
      <c r="AM118" s="99">
        <v>0</v>
      </c>
      <c r="AN118" s="99">
        <v>0</v>
      </c>
      <c r="AO118" s="99">
        <v>0</v>
      </c>
      <c r="AP118" s="99">
        <v>0</v>
      </c>
      <c r="AQ118" s="99">
        <v>0</v>
      </c>
      <c r="AR118" s="99">
        <f t="shared" si="1"/>
        <v>18266.389868104408</v>
      </c>
    </row>
    <row r="119" spans="1:44" ht="15" x14ac:dyDescent="0.25">
      <c r="A119" s="258">
        <v>112</v>
      </c>
      <c r="B119" s="258" t="s">
        <v>322</v>
      </c>
      <c r="C119" s="258" t="s">
        <v>1429</v>
      </c>
      <c r="D119" s="859" t="s">
        <v>1436</v>
      </c>
      <c r="E119" s="99">
        <v>18682.172902892689</v>
      </c>
      <c r="F119" s="99">
        <v>0</v>
      </c>
      <c r="G119" s="99">
        <v>0</v>
      </c>
      <c r="H119" s="99">
        <v>0</v>
      </c>
      <c r="I119" s="99">
        <v>0</v>
      </c>
      <c r="J119" s="99">
        <v>0</v>
      </c>
      <c r="K119" s="99">
        <v>15854.275310367146</v>
      </c>
      <c r="L119" s="99">
        <v>0</v>
      </c>
      <c r="M119" s="99">
        <v>0</v>
      </c>
      <c r="N119" s="99">
        <v>0</v>
      </c>
      <c r="O119" s="99">
        <v>0</v>
      </c>
      <c r="P119" s="99">
        <v>0</v>
      </c>
      <c r="Q119" s="99">
        <v>0</v>
      </c>
      <c r="R119" s="99">
        <v>0</v>
      </c>
      <c r="S119" s="99">
        <v>0</v>
      </c>
      <c r="T119" s="99">
        <v>0</v>
      </c>
      <c r="U119" s="99">
        <v>0</v>
      </c>
      <c r="V119" s="99">
        <v>0</v>
      </c>
      <c r="W119" s="99">
        <v>0</v>
      </c>
      <c r="X119" s="99">
        <v>0</v>
      </c>
      <c r="Y119" s="99">
        <v>0</v>
      </c>
      <c r="Z119" s="99">
        <v>0</v>
      </c>
      <c r="AA119" s="99">
        <v>0</v>
      </c>
      <c r="AB119" s="99">
        <v>0</v>
      </c>
      <c r="AC119" s="99">
        <v>0</v>
      </c>
      <c r="AD119" s="99">
        <v>0</v>
      </c>
      <c r="AE119" s="99">
        <v>0</v>
      </c>
      <c r="AF119" s="99">
        <v>0</v>
      </c>
      <c r="AG119" s="99">
        <v>0</v>
      </c>
      <c r="AH119" s="99">
        <v>0</v>
      </c>
      <c r="AI119" s="99">
        <v>0</v>
      </c>
      <c r="AJ119" s="99">
        <v>0</v>
      </c>
      <c r="AK119" s="99">
        <v>0</v>
      </c>
      <c r="AL119" s="99">
        <v>0</v>
      </c>
      <c r="AM119" s="99">
        <v>0</v>
      </c>
      <c r="AN119" s="99">
        <v>0</v>
      </c>
      <c r="AO119" s="99">
        <v>0</v>
      </c>
      <c r="AP119" s="99">
        <v>0</v>
      </c>
      <c r="AQ119" s="99">
        <v>0</v>
      </c>
      <c r="AR119" s="99">
        <f t="shared" si="1"/>
        <v>34536.448213259835</v>
      </c>
    </row>
    <row r="120" spans="1:44" ht="15" x14ac:dyDescent="0.25">
      <c r="A120" s="258">
        <v>113</v>
      </c>
      <c r="B120" s="258" t="s">
        <v>302</v>
      </c>
      <c r="C120" s="258" t="s">
        <v>1437</v>
      </c>
      <c r="D120" s="859" t="s">
        <v>1438</v>
      </c>
      <c r="E120" s="99">
        <v>3112.6071105476835</v>
      </c>
      <c r="F120" s="99">
        <v>0</v>
      </c>
      <c r="G120" s="99">
        <v>0</v>
      </c>
      <c r="H120" s="99">
        <v>43410.245551294385</v>
      </c>
      <c r="I120" s="99">
        <v>0</v>
      </c>
      <c r="J120" s="99">
        <v>0</v>
      </c>
      <c r="K120" s="99">
        <v>0</v>
      </c>
      <c r="L120" s="99">
        <v>0</v>
      </c>
      <c r="M120" s="99">
        <v>0</v>
      </c>
      <c r="N120" s="99">
        <v>0</v>
      </c>
      <c r="O120" s="99">
        <v>0</v>
      </c>
      <c r="P120" s="99">
        <v>0</v>
      </c>
      <c r="Q120" s="99">
        <v>0</v>
      </c>
      <c r="R120" s="99">
        <v>0</v>
      </c>
      <c r="S120" s="99">
        <v>0</v>
      </c>
      <c r="T120" s="99">
        <v>0</v>
      </c>
      <c r="U120" s="99">
        <v>0</v>
      </c>
      <c r="V120" s="99">
        <v>0</v>
      </c>
      <c r="W120" s="99">
        <v>0</v>
      </c>
      <c r="X120" s="99">
        <v>0</v>
      </c>
      <c r="Y120" s="99">
        <v>0</v>
      </c>
      <c r="Z120" s="99">
        <v>0</v>
      </c>
      <c r="AA120" s="99">
        <v>0</v>
      </c>
      <c r="AB120" s="99">
        <v>0</v>
      </c>
      <c r="AC120" s="99">
        <v>0</v>
      </c>
      <c r="AD120" s="99">
        <v>0</v>
      </c>
      <c r="AE120" s="99">
        <v>0</v>
      </c>
      <c r="AF120" s="99">
        <v>0</v>
      </c>
      <c r="AG120" s="99">
        <v>0</v>
      </c>
      <c r="AH120" s="99">
        <v>0</v>
      </c>
      <c r="AI120" s="99">
        <v>0</v>
      </c>
      <c r="AJ120" s="99">
        <v>0</v>
      </c>
      <c r="AK120" s="99">
        <v>0</v>
      </c>
      <c r="AL120" s="99">
        <v>0</v>
      </c>
      <c r="AM120" s="99">
        <v>0</v>
      </c>
      <c r="AN120" s="99">
        <v>0</v>
      </c>
      <c r="AO120" s="99">
        <v>0</v>
      </c>
      <c r="AP120" s="99">
        <v>0</v>
      </c>
      <c r="AQ120" s="99">
        <v>0</v>
      </c>
      <c r="AR120" s="99">
        <f t="shared" si="1"/>
        <v>46522.852661842066</v>
      </c>
    </row>
    <row r="121" spans="1:44" ht="15" x14ac:dyDescent="0.25">
      <c r="A121" s="258">
        <v>114</v>
      </c>
      <c r="B121" s="258" t="s">
        <v>302</v>
      </c>
      <c r="C121" s="258" t="s">
        <v>1437</v>
      </c>
      <c r="D121" s="859" t="s">
        <v>1439</v>
      </c>
      <c r="E121" s="99">
        <v>11981.936413640513</v>
      </c>
      <c r="F121" s="99">
        <v>0</v>
      </c>
      <c r="G121" s="99">
        <v>0</v>
      </c>
      <c r="H121" s="99">
        <v>30207.197785792516</v>
      </c>
      <c r="I121" s="99">
        <v>0</v>
      </c>
      <c r="J121" s="99">
        <v>0</v>
      </c>
      <c r="K121" s="99">
        <v>0</v>
      </c>
      <c r="L121" s="99">
        <v>0</v>
      </c>
      <c r="M121" s="99">
        <v>0</v>
      </c>
      <c r="N121" s="99">
        <v>0</v>
      </c>
      <c r="O121" s="99">
        <v>0</v>
      </c>
      <c r="P121" s="99">
        <v>0</v>
      </c>
      <c r="Q121" s="99">
        <v>0</v>
      </c>
      <c r="R121" s="99">
        <v>0</v>
      </c>
      <c r="S121" s="99">
        <v>0</v>
      </c>
      <c r="T121" s="99">
        <v>0</v>
      </c>
      <c r="U121" s="99">
        <v>0</v>
      </c>
      <c r="V121" s="99">
        <v>0</v>
      </c>
      <c r="W121" s="99">
        <v>0</v>
      </c>
      <c r="X121" s="99">
        <v>0</v>
      </c>
      <c r="Y121" s="99">
        <v>0</v>
      </c>
      <c r="Z121" s="99">
        <v>0</v>
      </c>
      <c r="AA121" s="99">
        <v>0</v>
      </c>
      <c r="AB121" s="99">
        <v>0</v>
      </c>
      <c r="AC121" s="99">
        <v>0</v>
      </c>
      <c r="AD121" s="99">
        <v>0</v>
      </c>
      <c r="AE121" s="99">
        <v>345.05360761988567</v>
      </c>
      <c r="AF121" s="99">
        <v>0</v>
      </c>
      <c r="AG121" s="99">
        <v>0</v>
      </c>
      <c r="AH121" s="99">
        <v>0</v>
      </c>
      <c r="AI121" s="99">
        <v>0</v>
      </c>
      <c r="AJ121" s="99">
        <v>0</v>
      </c>
      <c r="AK121" s="99">
        <v>0</v>
      </c>
      <c r="AL121" s="99">
        <v>0</v>
      </c>
      <c r="AM121" s="99">
        <v>0</v>
      </c>
      <c r="AN121" s="99">
        <v>0</v>
      </c>
      <c r="AO121" s="99">
        <v>0</v>
      </c>
      <c r="AP121" s="99">
        <v>0</v>
      </c>
      <c r="AQ121" s="99">
        <v>0</v>
      </c>
      <c r="AR121" s="99">
        <f t="shared" si="1"/>
        <v>42534.187807052913</v>
      </c>
    </row>
    <row r="122" spans="1:44" ht="15" x14ac:dyDescent="0.25">
      <c r="A122" s="258">
        <v>115</v>
      </c>
      <c r="B122" s="258" t="s">
        <v>302</v>
      </c>
      <c r="C122" s="258" t="s">
        <v>1437</v>
      </c>
      <c r="D122" s="859" t="s">
        <v>1440</v>
      </c>
      <c r="E122" s="99">
        <v>0</v>
      </c>
      <c r="F122" s="99">
        <v>0</v>
      </c>
      <c r="G122" s="99">
        <v>0</v>
      </c>
      <c r="H122" s="99">
        <v>32892.83638824142</v>
      </c>
      <c r="I122" s="99">
        <v>0</v>
      </c>
      <c r="J122" s="99">
        <v>0</v>
      </c>
      <c r="K122" s="99">
        <v>0</v>
      </c>
      <c r="L122" s="99">
        <v>0</v>
      </c>
      <c r="M122" s="99">
        <v>0</v>
      </c>
      <c r="N122" s="99">
        <v>0</v>
      </c>
      <c r="O122" s="99">
        <v>0</v>
      </c>
      <c r="P122" s="99">
        <v>0</v>
      </c>
      <c r="Q122" s="99">
        <v>0</v>
      </c>
      <c r="R122" s="99">
        <v>0</v>
      </c>
      <c r="S122" s="99">
        <v>0</v>
      </c>
      <c r="T122" s="99">
        <v>0</v>
      </c>
      <c r="U122" s="99">
        <v>0</v>
      </c>
      <c r="V122" s="99">
        <v>0</v>
      </c>
      <c r="W122" s="99">
        <v>0</v>
      </c>
      <c r="X122" s="99">
        <v>0</v>
      </c>
      <c r="Y122" s="99">
        <v>0</v>
      </c>
      <c r="Z122" s="99">
        <v>0</v>
      </c>
      <c r="AA122" s="99">
        <v>0</v>
      </c>
      <c r="AB122" s="99">
        <v>0</v>
      </c>
      <c r="AC122" s="99">
        <v>0</v>
      </c>
      <c r="AD122" s="99">
        <v>0</v>
      </c>
      <c r="AE122" s="99">
        <v>2818.404264325115</v>
      </c>
      <c r="AF122" s="99">
        <v>0</v>
      </c>
      <c r="AG122" s="99">
        <v>0</v>
      </c>
      <c r="AH122" s="99">
        <v>0</v>
      </c>
      <c r="AI122" s="99">
        <v>0</v>
      </c>
      <c r="AJ122" s="99">
        <v>0</v>
      </c>
      <c r="AK122" s="99">
        <v>0</v>
      </c>
      <c r="AL122" s="99">
        <v>0</v>
      </c>
      <c r="AM122" s="99">
        <v>0</v>
      </c>
      <c r="AN122" s="99">
        <v>0</v>
      </c>
      <c r="AO122" s="99">
        <v>0</v>
      </c>
      <c r="AP122" s="99">
        <v>0</v>
      </c>
      <c r="AQ122" s="99">
        <v>0</v>
      </c>
      <c r="AR122" s="99">
        <f t="shared" si="1"/>
        <v>35711.240652566536</v>
      </c>
    </row>
    <row r="123" spans="1:44" ht="15" x14ac:dyDescent="0.25">
      <c r="A123" s="258">
        <v>116</v>
      </c>
      <c r="B123" s="258" t="s">
        <v>302</v>
      </c>
      <c r="C123" s="258" t="s">
        <v>1437</v>
      </c>
      <c r="D123" s="859" t="s">
        <v>1441</v>
      </c>
      <c r="E123" s="99">
        <v>0</v>
      </c>
      <c r="F123" s="99">
        <v>0</v>
      </c>
      <c r="G123" s="99">
        <v>0</v>
      </c>
      <c r="H123" s="99">
        <v>2320.1328196935078</v>
      </c>
      <c r="I123" s="99">
        <v>0</v>
      </c>
      <c r="J123" s="99">
        <v>0</v>
      </c>
      <c r="K123" s="99">
        <v>2945.6344588854299</v>
      </c>
      <c r="L123" s="99">
        <v>0</v>
      </c>
      <c r="M123" s="99">
        <v>0</v>
      </c>
      <c r="N123" s="99">
        <v>0</v>
      </c>
      <c r="O123" s="99">
        <v>0</v>
      </c>
      <c r="P123" s="99">
        <v>0</v>
      </c>
      <c r="Q123" s="99">
        <v>0</v>
      </c>
      <c r="R123" s="99">
        <v>0</v>
      </c>
      <c r="S123" s="99">
        <v>0</v>
      </c>
      <c r="T123" s="99">
        <v>0</v>
      </c>
      <c r="U123" s="99">
        <v>0</v>
      </c>
      <c r="V123" s="99">
        <v>0</v>
      </c>
      <c r="W123" s="99">
        <v>0</v>
      </c>
      <c r="X123" s="99">
        <v>0</v>
      </c>
      <c r="Y123" s="99">
        <v>0</v>
      </c>
      <c r="Z123" s="99">
        <v>0</v>
      </c>
      <c r="AA123" s="99">
        <v>0</v>
      </c>
      <c r="AB123" s="99">
        <v>0</v>
      </c>
      <c r="AC123" s="99">
        <v>0</v>
      </c>
      <c r="AD123" s="99">
        <v>0</v>
      </c>
      <c r="AE123" s="99">
        <v>17990.167494846984</v>
      </c>
      <c r="AF123" s="99">
        <v>0</v>
      </c>
      <c r="AG123" s="99">
        <v>0</v>
      </c>
      <c r="AH123" s="99">
        <v>0</v>
      </c>
      <c r="AI123" s="99">
        <v>0</v>
      </c>
      <c r="AJ123" s="99">
        <v>0</v>
      </c>
      <c r="AK123" s="99">
        <v>0</v>
      </c>
      <c r="AL123" s="99">
        <v>0</v>
      </c>
      <c r="AM123" s="99">
        <v>0</v>
      </c>
      <c r="AN123" s="99">
        <v>0</v>
      </c>
      <c r="AO123" s="99">
        <v>0</v>
      </c>
      <c r="AP123" s="99">
        <v>0</v>
      </c>
      <c r="AQ123" s="99">
        <v>0</v>
      </c>
      <c r="AR123" s="99">
        <f t="shared" si="1"/>
        <v>23255.934773425921</v>
      </c>
    </row>
    <row r="124" spans="1:44" ht="15" x14ac:dyDescent="0.25">
      <c r="A124" s="258">
        <v>117</v>
      </c>
      <c r="B124" s="258" t="s">
        <v>302</v>
      </c>
      <c r="C124" s="258" t="s">
        <v>1437</v>
      </c>
      <c r="D124" s="859" t="s">
        <v>1442</v>
      </c>
      <c r="E124" s="99">
        <v>4543.5721959530983</v>
      </c>
      <c r="F124" s="99">
        <v>0</v>
      </c>
      <c r="G124" s="99">
        <v>0</v>
      </c>
      <c r="H124" s="99">
        <v>49063.191143421383</v>
      </c>
      <c r="I124" s="99">
        <v>0</v>
      </c>
      <c r="J124" s="99">
        <v>0</v>
      </c>
      <c r="K124" s="99">
        <v>0</v>
      </c>
      <c r="L124" s="99">
        <v>0</v>
      </c>
      <c r="M124" s="99">
        <v>0</v>
      </c>
      <c r="N124" s="99">
        <v>0</v>
      </c>
      <c r="O124" s="99">
        <v>0</v>
      </c>
      <c r="P124" s="99">
        <v>0</v>
      </c>
      <c r="Q124" s="99">
        <v>0</v>
      </c>
      <c r="R124" s="99">
        <v>0</v>
      </c>
      <c r="S124" s="99">
        <v>0</v>
      </c>
      <c r="T124" s="99">
        <v>0</v>
      </c>
      <c r="U124" s="99">
        <v>0</v>
      </c>
      <c r="V124" s="99">
        <v>0</v>
      </c>
      <c r="W124" s="99">
        <v>0</v>
      </c>
      <c r="X124" s="99">
        <v>0</v>
      </c>
      <c r="Y124" s="99">
        <v>0</v>
      </c>
      <c r="Z124" s="99">
        <v>0</v>
      </c>
      <c r="AA124" s="99">
        <v>0</v>
      </c>
      <c r="AB124" s="99">
        <v>0</v>
      </c>
      <c r="AC124" s="99">
        <v>0</v>
      </c>
      <c r="AD124" s="99">
        <v>0</v>
      </c>
      <c r="AE124" s="99">
        <v>52045.51917760475</v>
      </c>
      <c r="AF124" s="99">
        <v>0</v>
      </c>
      <c r="AG124" s="99">
        <v>0</v>
      </c>
      <c r="AH124" s="99">
        <v>0</v>
      </c>
      <c r="AI124" s="99">
        <v>0</v>
      </c>
      <c r="AJ124" s="99">
        <v>0</v>
      </c>
      <c r="AK124" s="99">
        <v>0</v>
      </c>
      <c r="AL124" s="99">
        <v>0</v>
      </c>
      <c r="AM124" s="99">
        <v>0</v>
      </c>
      <c r="AN124" s="99">
        <v>0</v>
      </c>
      <c r="AO124" s="99">
        <v>0</v>
      </c>
      <c r="AP124" s="99">
        <v>0</v>
      </c>
      <c r="AQ124" s="99">
        <v>0</v>
      </c>
      <c r="AR124" s="99">
        <f t="shared" si="1"/>
        <v>105652.28251697923</v>
      </c>
    </row>
    <row r="125" spans="1:44" ht="15" x14ac:dyDescent="0.25">
      <c r="A125" s="258">
        <v>118</v>
      </c>
      <c r="B125" s="258" t="s">
        <v>302</v>
      </c>
      <c r="C125" s="258" t="s">
        <v>1437</v>
      </c>
      <c r="D125" s="859" t="s">
        <v>1443</v>
      </c>
      <c r="E125" s="99">
        <v>13344.228656731462</v>
      </c>
      <c r="F125" s="99">
        <v>0</v>
      </c>
      <c r="G125" s="99">
        <v>0</v>
      </c>
      <c r="H125" s="99">
        <v>4409.7522731568342</v>
      </c>
      <c r="I125" s="99">
        <v>0</v>
      </c>
      <c r="J125" s="99">
        <v>0</v>
      </c>
      <c r="K125" s="99">
        <v>0</v>
      </c>
      <c r="L125" s="99">
        <v>0</v>
      </c>
      <c r="M125" s="99">
        <v>0</v>
      </c>
      <c r="N125" s="99">
        <v>0</v>
      </c>
      <c r="O125" s="99">
        <v>0</v>
      </c>
      <c r="P125" s="99">
        <v>0</v>
      </c>
      <c r="Q125" s="99">
        <v>0</v>
      </c>
      <c r="R125" s="99">
        <v>0</v>
      </c>
      <c r="S125" s="99">
        <v>0</v>
      </c>
      <c r="T125" s="99">
        <v>0</v>
      </c>
      <c r="U125" s="99">
        <v>0</v>
      </c>
      <c r="V125" s="99">
        <v>0</v>
      </c>
      <c r="W125" s="99">
        <v>0</v>
      </c>
      <c r="X125" s="99">
        <v>0</v>
      </c>
      <c r="Y125" s="99">
        <v>0</v>
      </c>
      <c r="Z125" s="99">
        <v>0</v>
      </c>
      <c r="AA125" s="99">
        <v>0</v>
      </c>
      <c r="AB125" s="99">
        <v>0</v>
      </c>
      <c r="AC125" s="99">
        <v>0</v>
      </c>
      <c r="AD125" s="99">
        <v>0</v>
      </c>
      <c r="AE125" s="99">
        <v>52610.079657279464</v>
      </c>
      <c r="AF125" s="99">
        <v>0</v>
      </c>
      <c r="AG125" s="99">
        <v>0</v>
      </c>
      <c r="AH125" s="99">
        <v>0</v>
      </c>
      <c r="AI125" s="99">
        <v>0</v>
      </c>
      <c r="AJ125" s="99">
        <v>0</v>
      </c>
      <c r="AK125" s="99">
        <v>0</v>
      </c>
      <c r="AL125" s="99">
        <v>0</v>
      </c>
      <c r="AM125" s="99">
        <v>0</v>
      </c>
      <c r="AN125" s="99">
        <v>0</v>
      </c>
      <c r="AO125" s="99">
        <v>0</v>
      </c>
      <c r="AP125" s="99">
        <v>0</v>
      </c>
      <c r="AQ125" s="99">
        <v>0</v>
      </c>
      <c r="AR125" s="99">
        <f t="shared" si="1"/>
        <v>70364.060587167769</v>
      </c>
    </row>
    <row r="126" spans="1:44" ht="15" x14ac:dyDescent="0.25">
      <c r="A126" s="258">
        <v>119</v>
      </c>
      <c r="B126" s="258" t="s">
        <v>321</v>
      </c>
      <c r="C126" s="258" t="s">
        <v>1444</v>
      </c>
      <c r="D126" s="859" t="s">
        <v>1445</v>
      </c>
      <c r="E126" s="99">
        <v>9478.3268096300089</v>
      </c>
      <c r="F126" s="99">
        <v>0</v>
      </c>
      <c r="G126" s="99">
        <v>0</v>
      </c>
      <c r="H126" s="99">
        <v>0</v>
      </c>
      <c r="I126" s="99">
        <v>0</v>
      </c>
      <c r="J126" s="99">
        <v>0</v>
      </c>
      <c r="K126" s="99">
        <v>49.204396562527307</v>
      </c>
      <c r="L126" s="99">
        <v>0</v>
      </c>
      <c r="M126" s="99">
        <v>0</v>
      </c>
      <c r="N126" s="99">
        <v>0</v>
      </c>
      <c r="O126" s="99">
        <v>0</v>
      </c>
      <c r="P126" s="99">
        <v>0</v>
      </c>
      <c r="Q126" s="99">
        <v>0</v>
      </c>
      <c r="R126" s="99">
        <v>0</v>
      </c>
      <c r="S126" s="99">
        <v>0</v>
      </c>
      <c r="T126" s="99">
        <v>0</v>
      </c>
      <c r="U126" s="99">
        <v>0</v>
      </c>
      <c r="V126" s="99">
        <v>0</v>
      </c>
      <c r="W126" s="99">
        <v>0</v>
      </c>
      <c r="X126" s="99">
        <v>0</v>
      </c>
      <c r="Y126" s="99">
        <v>0</v>
      </c>
      <c r="Z126" s="99">
        <v>0</v>
      </c>
      <c r="AA126" s="99">
        <v>0</v>
      </c>
      <c r="AB126" s="99">
        <v>0</v>
      </c>
      <c r="AC126" s="99">
        <v>0</v>
      </c>
      <c r="AD126" s="99">
        <v>0</v>
      </c>
      <c r="AE126" s="99">
        <v>14534.633539047607</v>
      </c>
      <c r="AF126" s="99">
        <v>0</v>
      </c>
      <c r="AG126" s="99">
        <v>0</v>
      </c>
      <c r="AH126" s="99">
        <v>0</v>
      </c>
      <c r="AI126" s="99">
        <v>0</v>
      </c>
      <c r="AJ126" s="99">
        <v>0</v>
      </c>
      <c r="AK126" s="99">
        <v>0</v>
      </c>
      <c r="AL126" s="99">
        <v>0</v>
      </c>
      <c r="AM126" s="99">
        <v>0</v>
      </c>
      <c r="AN126" s="99">
        <v>0</v>
      </c>
      <c r="AO126" s="99">
        <v>0</v>
      </c>
      <c r="AP126" s="99">
        <v>0</v>
      </c>
      <c r="AQ126" s="99">
        <v>0</v>
      </c>
      <c r="AR126" s="99">
        <f t="shared" si="1"/>
        <v>24062.164745240145</v>
      </c>
    </row>
    <row r="127" spans="1:44" ht="15" x14ac:dyDescent="0.25">
      <c r="A127" s="258">
        <v>120</v>
      </c>
      <c r="B127" s="258" t="s">
        <v>321</v>
      </c>
      <c r="C127" s="258" t="s">
        <v>1444</v>
      </c>
      <c r="D127" s="859" t="s">
        <v>1446</v>
      </c>
      <c r="E127" s="99">
        <v>8975.4983599225561</v>
      </c>
      <c r="F127" s="99">
        <v>0</v>
      </c>
      <c r="G127" s="99">
        <v>0</v>
      </c>
      <c r="H127" s="99">
        <v>0</v>
      </c>
      <c r="I127" s="99">
        <v>0</v>
      </c>
      <c r="J127" s="99">
        <v>0</v>
      </c>
      <c r="K127" s="99">
        <v>0</v>
      </c>
      <c r="L127" s="99">
        <v>0</v>
      </c>
      <c r="M127" s="99">
        <v>0</v>
      </c>
      <c r="N127" s="99">
        <v>0</v>
      </c>
      <c r="O127" s="99">
        <v>0</v>
      </c>
      <c r="P127" s="99">
        <v>0</v>
      </c>
      <c r="Q127" s="99">
        <v>0</v>
      </c>
      <c r="R127" s="99">
        <v>0</v>
      </c>
      <c r="S127" s="99">
        <v>0</v>
      </c>
      <c r="T127" s="99">
        <v>0</v>
      </c>
      <c r="U127" s="99">
        <v>0</v>
      </c>
      <c r="V127" s="99">
        <v>0</v>
      </c>
      <c r="W127" s="99">
        <v>0</v>
      </c>
      <c r="X127" s="99">
        <v>0</v>
      </c>
      <c r="Y127" s="99">
        <v>0</v>
      </c>
      <c r="Z127" s="99">
        <v>0</v>
      </c>
      <c r="AA127" s="99">
        <v>0</v>
      </c>
      <c r="AB127" s="99">
        <v>0</v>
      </c>
      <c r="AC127" s="99">
        <v>4832.4407109650565</v>
      </c>
      <c r="AD127" s="99">
        <v>0</v>
      </c>
      <c r="AE127" s="99">
        <v>35150.087230455625</v>
      </c>
      <c r="AF127" s="99">
        <v>0</v>
      </c>
      <c r="AG127" s="99">
        <v>0</v>
      </c>
      <c r="AH127" s="99">
        <v>0</v>
      </c>
      <c r="AI127" s="99">
        <v>0</v>
      </c>
      <c r="AJ127" s="99">
        <v>0</v>
      </c>
      <c r="AK127" s="99">
        <v>0</v>
      </c>
      <c r="AL127" s="99">
        <v>0</v>
      </c>
      <c r="AM127" s="99">
        <v>0</v>
      </c>
      <c r="AN127" s="99">
        <v>0</v>
      </c>
      <c r="AO127" s="99">
        <v>0</v>
      </c>
      <c r="AP127" s="99">
        <v>0</v>
      </c>
      <c r="AQ127" s="99">
        <v>0</v>
      </c>
      <c r="AR127" s="99">
        <f t="shared" si="1"/>
        <v>48958.026301343241</v>
      </c>
    </row>
    <row r="128" spans="1:44" ht="15" x14ac:dyDescent="0.25">
      <c r="A128" s="258">
        <v>121</v>
      </c>
      <c r="B128" s="258" t="s">
        <v>321</v>
      </c>
      <c r="C128" s="258" t="s">
        <v>1444</v>
      </c>
      <c r="D128" s="859" t="s">
        <v>1447</v>
      </c>
      <c r="E128" s="99">
        <v>9026.2657065415333</v>
      </c>
      <c r="F128" s="99">
        <v>0</v>
      </c>
      <c r="G128" s="99">
        <v>0</v>
      </c>
      <c r="H128" s="99">
        <v>0</v>
      </c>
      <c r="I128" s="99">
        <v>0</v>
      </c>
      <c r="J128" s="99">
        <v>0</v>
      </c>
      <c r="K128" s="99">
        <v>36070.652962699671</v>
      </c>
      <c r="L128" s="99">
        <v>0</v>
      </c>
      <c r="M128" s="99">
        <v>0</v>
      </c>
      <c r="N128" s="99">
        <v>0</v>
      </c>
      <c r="O128" s="99">
        <v>0</v>
      </c>
      <c r="P128" s="99">
        <v>0</v>
      </c>
      <c r="Q128" s="99">
        <v>0</v>
      </c>
      <c r="R128" s="99">
        <v>0</v>
      </c>
      <c r="S128" s="99">
        <v>0</v>
      </c>
      <c r="T128" s="99">
        <v>0</v>
      </c>
      <c r="U128" s="99">
        <v>0</v>
      </c>
      <c r="V128" s="99">
        <v>0</v>
      </c>
      <c r="W128" s="99">
        <v>0</v>
      </c>
      <c r="X128" s="99">
        <v>0</v>
      </c>
      <c r="Y128" s="99">
        <v>0</v>
      </c>
      <c r="Z128" s="99">
        <v>0</v>
      </c>
      <c r="AA128" s="99">
        <v>0</v>
      </c>
      <c r="AB128" s="99">
        <v>0</v>
      </c>
      <c r="AC128" s="99">
        <v>0</v>
      </c>
      <c r="AD128" s="99">
        <v>0</v>
      </c>
      <c r="AE128" s="99">
        <v>0</v>
      </c>
      <c r="AF128" s="99">
        <v>0</v>
      </c>
      <c r="AG128" s="99">
        <v>0</v>
      </c>
      <c r="AH128" s="99">
        <v>0</v>
      </c>
      <c r="AI128" s="99">
        <v>0</v>
      </c>
      <c r="AJ128" s="99">
        <v>0</v>
      </c>
      <c r="AK128" s="99">
        <v>0</v>
      </c>
      <c r="AL128" s="99">
        <v>0</v>
      </c>
      <c r="AM128" s="99">
        <v>0</v>
      </c>
      <c r="AN128" s="99">
        <v>0</v>
      </c>
      <c r="AO128" s="99">
        <v>0</v>
      </c>
      <c r="AP128" s="99">
        <v>0</v>
      </c>
      <c r="AQ128" s="99">
        <v>0</v>
      </c>
      <c r="AR128" s="99">
        <f t="shared" si="1"/>
        <v>45096.918669241204</v>
      </c>
    </row>
    <row r="129" spans="1:44" ht="15" x14ac:dyDescent="0.25">
      <c r="A129" s="258">
        <v>122</v>
      </c>
      <c r="B129" s="258" t="s">
        <v>321</v>
      </c>
      <c r="C129" s="258" t="s">
        <v>1444</v>
      </c>
      <c r="D129" s="859" t="s">
        <v>1448</v>
      </c>
      <c r="E129" s="99">
        <v>926.6620654642162</v>
      </c>
      <c r="F129" s="99">
        <v>6686.7284357787212</v>
      </c>
      <c r="G129" s="99">
        <v>0</v>
      </c>
      <c r="H129" s="99">
        <v>11925.277441597167</v>
      </c>
      <c r="I129" s="99">
        <v>0</v>
      </c>
      <c r="J129" s="99">
        <v>0</v>
      </c>
      <c r="K129" s="99">
        <v>14392.138675986655</v>
      </c>
      <c r="L129" s="99">
        <v>0</v>
      </c>
      <c r="M129" s="99">
        <v>0</v>
      </c>
      <c r="N129" s="99">
        <v>0</v>
      </c>
      <c r="O129" s="99">
        <v>0</v>
      </c>
      <c r="P129" s="99">
        <v>0</v>
      </c>
      <c r="Q129" s="99">
        <v>0</v>
      </c>
      <c r="R129" s="99">
        <v>0</v>
      </c>
      <c r="S129" s="99">
        <v>0</v>
      </c>
      <c r="T129" s="99">
        <v>0</v>
      </c>
      <c r="U129" s="99">
        <v>0</v>
      </c>
      <c r="V129" s="99">
        <v>0</v>
      </c>
      <c r="W129" s="99">
        <v>0</v>
      </c>
      <c r="X129" s="99">
        <v>0</v>
      </c>
      <c r="Y129" s="99">
        <v>0</v>
      </c>
      <c r="Z129" s="99">
        <v>0</v>
      </c>
      <c r="AA129" s="99">
        <v>0</v>
      </c>
      <c r="AB129" s="99">
        <v>0</v>
      </c>
      <c r="AC129" s="99">
        <v>0</v>
      </c>
      <c r="AD129" s="99">
        <v>0</v>
      </c>
      <c r="AE129" s="99">
        <v>0</v>
      </c>
      <c r="AF129" s="99">
        <v>0</v>
      </c>
      <c r="AG129" s="99">
        <v>0</v>
      </c>
      <c r="AH129" s="99">
        <v>0</v>
      </c>
      <c r="AI129" s="99">
        <v>0</v>
      </c>
      <c r="AJ129" s="99">
        <v>0</v>
      </c>
      <c r="AK129" s="99">
        <v>0</v>
      </c>
      <c r="AL129" s="99">
        <v>0</v>
      </c>
      <c r="AM129" s="99">
        <v>0</v>
      </c>
      <c r="AN129" s="99">
        <v>0</v>
      </c>
      <c r="AO129" s="99">
        <v>0</v>
      </c>
      <c r="AP129" s="99">
        <v>0</v>
      </c>
      <c r="AQ129" s="99">
        <v>0</v>
      </c>
      <c r="AR129" s="99">
        <f t="shared" si="1"/>
        <v>33930.806618826755</v>
      </c>
    </row>
    <row r="130" spans="1:44" ht="15" x14ac:dyDescent="0.25">
      <c r="A130" s="258">
        <v>123</v>
      </c>
      <c r="B130" s="258" t="s">
        <v>321</v>
      </c>
      <c r="C130" s="258" t="s">
        <v>1444</v>
      </c>
      <c r="D130" s="859" t="s">
        <v>1449</v>
      </c>
      <c r="E130" s="99">
        <v>21372.210315026823</v>
      </c>
      <c r="F130" s="99">
        <v>9314.7656082237609</v>
      </c>
      <c r="G130" s="99">
        <v>0</v>
      </c>
      <c r="H130" s="99">
        <v>15.788586728094645</v>
      </c>
      <c r="I130" s="99">
        <v>0</v>
      </c>
      <c r="J130" s="99">
        <v>0</v>
      </c>
      <c r="K130" s="99">
        <v>4585.584586232897</v>
      </c>
      <c r="L130" s="99">
        <v>0</v>
      </c>
      <c r="M130" s="99">
        <v>0</v>
      </c>
      <c r="N130" s="99">
        <v>0</v>
      </c>
      <c r="O130" s="99">
        <v>0</v>
      </c>
      <c r="P130" s="99">
        <v>0</v>
      </c>
      <c r="Q130" s="99">
        <v>0</v>
      </c>
      <c r="R130" s="99">
        <v>0</v>
      </c>
      <c r="S130" s="99">
        <v>0</v>
      </c>
      <c r="T130" s="99">
        <v>0</v>
      </c>
      <c r="U130" s="99">
        <v>0</v>
      </c>
      <c r="V130" s="99">
        <v>0</v>
      </c>
      <c r="W130" s="99">
        <v>0</v>
      </c>
      <c r="X130" s="99">
        <v>0</v>
      </c>
      <c r="Y130" s="99">
        <v>0</v>
      </c>
      <c r="Z130" s="99">
        <v>0</v>
      </c>
      <c r="AA130" s="99">
        <v>0</v>
      </c>
      <c r="AB130" s="99">
        <v>0</v>
      </c>
      <c r="AC130" s="99">
        <v>0</v>
      </c>
      <c r="AD130" s="99">
        <v>0</v>
      </c>
      <c r="AE130" s="99">
        <v>0</v>
      </c>
      <c r="AF130" s="99">
        <v>0</v>
      </c>
      <c r="AG130" s="99">
        <v>0</v>
      </c>
      <c r="AH130" s="99">
        <v>0</v>
      </c>
      <c r="AI130" s="99">
        <v>394.22778394208808</v>
      </c>
      <c r="AJ130" s="99">
        <v>0</v>
      </c>
      <c r="AK130" s="99">
        <v>0</v>
      </c>
      <c r="AL130" s="99">
        <v>0</v>
      </c>
      <c r="AM130" s="99">
        <v>0</v>
      </c>
      <c r="AN130" s="99">
        <v>0</v>
      </c>
      <c r="AO130" s="99">
        <v>0</v>
      </c>
      <c r="AP130" s="99">
        <v>0</v>
      </c>
      <c r="AQ130" s="99">
        <v>0</v>
      </c>
      <c r="AR130" s="99">
        <f t="shared" si="1"/>
        <v>35682.576880153661</v>
      </c>
    </row>
    <row r="131" spans="1:44" ht="15" x14ac:dyDescent="0.25">
      <c r="A131" s="258">
        <v>124</v>
      </c>
      <c r="B131" s="258" t="s">
        <v>321</v>
      </c>
      <c r="C131" s="258" t="s">
        <v>1444</v>
      </c>
      <c r="D131" s="859" t="s">
        <v>1450</v>
      </c>
      <c r="E131" s="99">
        <v>31389.176565755261</v>
      </c>
      <c r="F131" s="99">
        <v>10.654204753155565</v>
      </c>
      <c r="G131" s="99">
        <v>0</v>
      </c>
      <c r="H131" s="99">
        <v>0</v>
      </c>
      <c r="I131" s="99">
        <v>0</v>
      </c>
      <c r="J131" s="99">
        <v>0</v>
      </c>
      <c r="K131" s="99">
        <v>0</v>
      </c>
      <c r="L131" s="99">
        <v>0</v>
      </c>
      <c r="M131" s="99">
        <v>0</v>
      </c>
      <c r="N131" s="99">
        <v>0</v>
      </c>
      <c r="O131" s="99">
        <v>0</v>
      </c>
      <c r="P131" s="99">
        <v>0</v>
      </c>
      <c r="Q131" s="99">
        <v>0</v>
      </c>
      <c r="R131" s="99">
        <v>0</v>
      </c>
      <c r="S131" s="99">
        <v>0</v>
      </c>
      <c r="T131" s="99">
        <v>0</v>
      </c>
      <c r="U131" s="99">
        <v>0</v>
      </c>
      <c r="V131" s="99">
        <v>0</v>
      </c>
      <c r="W131" s="99">
        <v>0</v>
      </c>
      <c r="X131" s="99">
        <v>0</v>
      </c>
      <c r="Y131" s="99">
        <v>0</v>
      </c>
      <c r="Z131" s="99">
        <v>0</v>
      </c>
      <c r="AA131" s="99">
        <v>0</v>
      </c>
      <c r="AB131" s="99">
        <v>0</v>
      </c>
      <c r="AC131" s="99">
        <v>19207.714118554341</v>
      </c>
      <c r="AD131" s="99">
        <v>0</v>
      </c>
      <c r="AE131" s="99">
        <v>0</v>
      </c>
      <c r="AF131" s="99">
        <v>0</v>
      </c>
      <c r="AG131" s="99">
        <v>0</v>
      </c>
      <c r="AH131" s="99">
        <v>0</v>
      </c>
      <c r="AI131" s="99">
        <v>3424.9194610266059</v>
      </c>
      <c r="AJ131" s="99">
        <v>0</v>
      </c>
      <c r="AK131" s="99">
        <v>0</v>
      </c>
      <c r="AL131" s="99">
        <v>0</v>
      </c>
      <c r="AM131" s="99">
        <v>0</v>
      </c>
      <c r="AN131" s="99">
        <v>0</v>
      </c>
      <c r="AO131" s="99">
        <v>0</v>
      </c>
      <c r="AP131" s="99">
        <v>0</v>
      </c>
      <c r="AQ131" s="99">
        <v>0</v>
      </c>
      <c r="AR131" s="99">
        <f t="shared" si="1"/>
        <v>54032.464350089365</v>
      </c>
    </row>
    <row r="132" spans="1:44" ht="15" x14ac:dyDescent="0.25">
      <c r="A132" s="258">
        <v>125</v>
      </c>
      <c r="B132" s="258" t="s">
        <v>316</v>
      </c>
      <c r="C132" s="258" t="s">
        <v>1451</v>
      </c>
      <c r="D132" s="859" t="s">
        <v>1452</v>
      </c>
      <c r="E132" s="99">
        <v>46595.155469036567</v>
      </c>
      <c r="F132" s="99">
        <v>0</v>
      </c>
      <c r="G132" s="99">
        <v>0</v>
      </c>
      <c r="H132" s="99">
        <v>42682.86536073107</v>
      </c>
      <c r="I132" s="99">
        <v>0</v>
      </c>
      <c r="J132" s="99">
        <v>0</v>
      </c>
      <c r="K132" s="99">
        <v>0</v>
      </c>
      <c r="L132" s="99">
        <v>0</v>
      </c>
      <c r="M132" s="99">
        <v>0</v>
      </c>
      <c r="N132" s="99">
        <v>0</v>
      </c>
      <c r="O132" s="99">
        <v>0</v>
      </c>
      <c r="P132" s="99">
        <v>0</v>
      </c>
      <c r="Q132" s="99">
        <v>0</v>
      </c>
      <c r="R132" s="99">
        <v>0</v>
      </c>
      <c r="S132" s="99">
        <v>0</v>
      </c>
      <c r="T132" s="99">
        <v>0</v>
      </c>
      <c r="U132" s="99">
        <v>0</v>
      </c>
      <c r="V132" s="99">
        <v>0</v>
      </c>
      <c r="W132" s="99">
        <v>0</v>
      </c>
      <c r="X132" s="99">
        <v>0</v>
      </c>
      <c r="Y132" s="99">
        <v>0</v>
      </c>
      <c r="Z132" s="99">
        <v>0</v>
      </c>
      <c r="AA132" s="99">
        <v>0</v>
      </c>
      <c r="AB132" s="99">
        <v>0</v>
      </c>
      <c r="AC132" s="99">
        <v>0</v>
      </c>
      <c r="AD132" s="99">
        <v>0</v>
      </c>
      <c r="AE132" s="99">
        <v>20323.977353105704</v>
      </c>
      <c r="AF132" s="99">
        <v>0</v>
      </c>
      <c r="AG132" s="99">
        <v>0</v>
      </c>
      <c r="AH132" s="99">
        <v>0</v>
      </c>
      <c r="AI132" s="99">
        <v>0</v>
      </c>
      <c r="AJ132" s="99">
        <v>0</v>
      </c>
      <c r="AK132" s="99">
        <v>0</v>
      </c>
      <c r="AL132" s="99">
        <v>0</v>
      </c>
      <c r="AM132" s="99">
        <v>0</v>
      </c>
      <c r="AN132" s="99">
        <v>0</v>
      </c>
      <c r="AO132" s="99">
        <v>0</v>
      </c>
      <c r="AP132" s="99">
        <v>0</v>
      </c>
      <c r="AQ132" s="99">
        <v>0</v>
      </c>
      <c r="AR132" s="99">
        <f t="shared" si="1"/>
        <v>109601.99818287333</v>
      </c>
    </row>
    <row r="133" spans="1:44" ht="15" x14ac:dyDescent="0.25">
      <c r="A133" s="258">
        <v>126</v>
      </c>
      <c r="B133" s="258" t="s">
        <v>316</v>
      </c>
      <c r="C133" s="258" t="s">
        <v>1451</v>
      </c>
      <c r="D133" s="859" t="s">
        <v>1453</v>
      </c>
      <c r="E133" s="99">
        <v>27045.092657138972</v>
      </c>
      <c r="F133" s="99">
        <v>0</v>
      </c>
      <c r="G133" s="99">
        <v>0</v>
      </c>
      <c r="H133" s="99">
        <v>0</v>
      </c>
      <c r="I133" s="99">
        <v>0</v>
      </c>
      <c r="J133" s="99">
        <v>0</v>
      </c>
      <c r="K133" s="99">
        <v>0</v>
      </c>
      <c r="L133" s="99">
        <v>0</v>
      </c>
      <c r="M133" s="99">
        <v>0</v>
      </c>
      <c r="N133" s="99">
        <v>0</v>
      </c>
      <c r="O133" s="99">
        <v>0</v>
      </c>
      <c r="P133" s="99">
        <v>0</v>
      </c>
      <c r="Q133" s="99">
        <v>0</v>
      </c>
      <c r="R133" s="99">
        <v>0</v>
      </c>
      <c r="S133" s="99">
        <v>0</v>
      </c>
      <c r="T133" s="99">
        <v>0</v>
      </c>
      <c r="U133" s="99">
        <v>0</v>
      </c>
      <c r="V133" s="99">
        <v>0</v>
      </c>
      <c r="W133" s="99">
        <v>0</v>
      </c>
      <c r="X133" s="99">
        <v>0</v>
      </c>
      <c r="Y133" s="99">
        <v>0</v>
      </c>
      <c r="Z133" s="99">
        <v>0</v>
      </c>
      <c r="AA133" s="99">
        <v>0</v>
      </c>
      <c r="AB133" s="99">
        <v>0</v>
      </c>
      <c r="AC133" s="99">
        <v>0</v>
      </c>
      <c r="AD133" s="99">
        <v>0</v>
      </c>
      <c r="AE133" s="99">
        <v>46530.059165655141</v>
      </c>
      <c r="AF133" s="99">
        <v>0</v>
      </c>
      <c r="AG133" s="99">
        <v>0</v>
      </c>
      <c r="AH133" s="99">
        <v>0</v>
      </c>
      <c r="AI133" s="99">
        <v>0</v>
      </c>
      <c r="AJ133" s="99">
        <v>0</v>
      </c>
      <c r="AK133" s="99">
        <v>5079.4749530495264</v>
      </c>
      <c r="AL133" s="99">
        <v>0</v>
      </c>
      <c r="AM133" s="99">
        <v>0</v>
      </c>
      <c r="AN133" s="99">
        <v>0</v>
      </c>
      <c r="AO133" s="99">
        <v>0</v>
      </c>
      <c r="AP133" s="99">
        <v>0</v>
      </c>
      <c r="AQ133" s="99">
        <v>0</v>
      </c>
      <c r="AR133" s="99">
        <f t="shared" si="1"/>
        <v>78654.626775843644</v>
      </c>
    </row>
    <row r="134" spans="1:44" ht="15" x14ac:dyDescent="0.25">
      <c r="A134" s="258">
        <v>127</v>
      </c>
      <c r="B134" s="258" t="s">
        <v>316</v>
      </c>
      <c r="C134" s="258" t="s">
        <v>1451</v>
      </c>
      <c r="D134" s="859" t="s">
        <v>1454</v>
      </c>
      <c r="E134" s="99">
        <v>0</v>
      </c>
      <c r="F134" s="99">
        <v>0</v>
      </c>
      <c r="G134" s="99">
        <v>0</v>
      </c>
      <c r="H134" s="99">
        <v>0</v>
      </c>
      <c r="I134" s="99">
        <v>0</v>
      </c>
      <c r="J134" s="99">
        <v>0</v>
      </c>
      <c r="K134" s="99">
        <v>0</v>
      </c>
      <c r="L134" s="99">
        <v>0</v>
      </c>
      <c r="M134" s="99">
        <v>0</v>
      </c>
      <c r="N134" s="99">
        <v>0</v>
      </c>
      <c r="O134" s="99">
        <v>0</v>
      </c>
      <c r="P134" s="99">
        <v>0</v>
      </c>
      <c r="Q134" s="99">
        <v>0</v>
      </c>
      <c r="R134" s="99">
        <v>0</v>
      </c>
      <c r="S134" s="99">
        <v>0</v>
      </c>
      <c r="T134" s="99">
        <v>0</v>
      </c>
      <c r="U134" s="99">
        <v>0</v>
      </c>
      <c r="V134" s="99">
        <v>0</v>
      </c>
      <c r="W134" s="99">
        <v>0</v>
      </c>
      <c r="X134" s="99">
        <v>0</v>
      </c>
      <c r="Y134" s="99">
        <v>0</v>
      </c>
      <c r="Z134" s="99">
        <v>0</v>
      </c>
      <c r="AA134" s="99">
        <v>0</v>
      </c>
      <c r="AB134" s="99">
        <v>0</v>
      </c>
      <c r="AC134" s="99">
        <v>0</v>
      </c>
      <c r="AD134" s="99">
        <v>0</v>
      </c>
      <c r="AE134" s="99">
        <v>69976.511777981592</v>
      </c>
      <c r="AF134" s="99">
        <v>0</v>
      </c>
      <c r="AG134" s="99">
        <v>0</v>
      </c>
      <c r="AH134" s="99">
        <v>0</v>
      </c>
      <c r="AI134" s="99">
        <v>0</v>
      </c>
      <c r="AJ134" s="99">
        <v>0</v>
      </c>
      <c r="AK134" s="99">
        <v>2024.1087704461343</v>
      </c>
      <c r="AL134" s="99">
        <v>0</v>
      </c>
      <c r="AM134" s="99">
        <v>0</v>
      </c>
      <c r="AN134" s="99">
        <v>0</v>
      </c>
      <c r="AO134" s="99">
        <v>0</v>
      </c>
      <c r="AP134" s="99">
        <v>0</v>
      </c>
      <c r="AQ134" s="99">
        <v>0</v>
      </c>
      <c r="AR134" s="99">
        <f t="shared" si="1"/>
        <v>72000.620548427731</v>
      </c>
    </row>
    <row r="135" spans="1:44" ht="15" x14ac:dyDescent="0.25">
      <c r="A135" s="258">
        <v>128</v>
      </c>
      <c r="B135" s="258" t="s">
        <v>316</v>
      </c>
      <c r="C135" s="258" t="s">
        <v>1451</v>
      </c>
      <c r="D135" s="859" t="s">
        <v>1455</v>
      </c>
      <c r="E135" s="99">
        <v>0</v>
      </c>
      <c r="F135" s="99">
        <v>0</v>
      </c>
      <c r="G135" s="99">
        <v>0</v>
      </c>
      <c r="H135" s="99">
        <v>0</v>
      </c>
      <c r="I135" s="99">
        <v>0</v>
      </c>
      <c r="J135" s="99">
        <v>0</v>
      </c>
      <c r="K135" s="99">
        <v>0</v>
      </c>
      <c r="L135" s="99">
        <v>0</v>
      </c>
      <c r="M135" s="99">
        <v>0</v>
      </c>
      <c r="N135" s="99">
        <v>0</v>
      </c>
      <c r="O135" s="99">
        <v>0</v>
      </c>
      <c r="P135" s="99">
        <v>0</v>
      </c>
      <c r="Q135" s="99">
        <v>0</v>
      </c>
      <c r="R135" s="99">
        <v>0</v>
      </c>
      <c r="S135" s="99">
        <v>0</v>
      </c>
      <c r="T135" s="99">
        <v>0</v>
      </c>
      <c r="U135" s="99">
        <v>0</v>
      </c>
      <c r="V135" s="99">
        <v>0</v>
      </c>
      <c r="W135" s="99">
        <v>0</v>
      </c>
      <c r="X135" s="99">
        <v>0</v>
      </c>
      <c r="Y135" s="99">
        <v>0</v>
      </c>
      <c r="Z135" s="99">
        <v>0</v>
      </c>
      <c r="AA135" s="99">
        <v>0</v>
      </c>
      <c r="AB135" s="99">
        <v>0</v>
      </c>
      <c r="AC135" s="99">
        <v>7599.0937380489713</v>
      </c>
      <c r="AD135" s="99">
        <v>0</v>
      </c>
      <c r="AE135" s="99">
        <v>17709.28666129777</v>
      </c>
      <c r="AF135" s="99">
        <v>0</v>
      </c>
      <c r="AG135" s="99">
        <v>0</v>
      </c>
      <c r="AH135" s="99">
        <v>0</v>
      </c>
      <c r="AI135" s="99">
        <v>0</v>
      </c>
      <c r="AJ135" s="99">
        <v>0</v>
      </c>
      <c r="AK135" s="99">
        <v>0</v>
      </c>
      <c r="AL135" s="99">
        <v>0</v>
      </c>
      <c r="AM135" s="99">
        <v>0</v>
      </c>
      <c r="AN135" s="99">
        <v>0</v>
      </c>
      <c r="AO135" s="99">
        <v>0</v>
      </c>
      <c r="AP135" s="99">
        <v>0</v>
      </c>
      <c r="AQ135" s="99">
        <v>0</v>
      </c>
      <c r="AR135" s="99">
        <f t="shared" si="1"/>
        <v>25308.380399346741</v>
      </c>
    </row>
    <row r="136" spans="1:44" ht="15" x14ac:dyDescent="0.25">
      <c r="A136" s="258">
        <v>129</v>
      </c>
      <c r="B136" s="258" t="s">
        <v>316</v>
      </c>
      <c r="C136" s="258" t="s">
        <v>1451</v>
      </c>
      <c r="D136" s="859" t="s">
        <v>1456</v>
      </c>
      <c r="E136" s="99">
        <v>0</v>
      </c>
      <c r="F136" s="99">
        <v>0</v>
      </c>
      <c r="G136" s="99">
        <v>0</v>
      </c>
      <c r="H136" s="99">
        <v>0</v>
      </c>
      <c r="I136" s="99">
        <v>0</v>
      </c>
      <c r="J136" s="99">
        <v>0</v>
      </c>
      <c r="K136" s="99">
        <v>0</v>
      </c>
      <c r="L136" s="99">
        <v>0</v>
      </c>
      <c r="M136" s="99">
        <v>0</v>
      </c>
      <c r="N136" s="99">
        <v>0</v>
      </c>
      <c r="O136" s="99">
        <v>0</v>
      </c>
      <c r="P136" s="99">
        <v>0</v>
      </c>
      <c r="Q136" s="99">
        <v>0</v>
      </c>
      <c r="R136" s="99">
        <v>0</v>
      </c>
      <c r="S136" s="99">
        <v>0</v>
      </c>
      <c r="T136" s="99">
        <v>0</v>
      </c>
      <c r="U136" s="99">
        <v>0</v>
      </c>
      <c r="V136" s="99">
        <v>0</v>
      </c>
      <c r="W136" s="99">
        <v>0</v>
      </c>
      <c r="X136" s="99">
        <v>0</v>
      </c>
      <c r="Y136" s="99">
        <v>0</v>
      </c>
      <c r="Z136" s="99">
        <v>0</v>
      </c>
      <c r="AA136" s="99">
        <v>0</v>
      </c>
      <c r="AB136" s="99">
        <v>0</v>
      </c>
      <c r="AC136" s="99">
        <v>27267.665565386214</v>
      </c>
      <c r="AD136" s="99">
        <v>0</v>
      </c>
      <c r="AE136" s="99">
        <v>0</v>
      </c>
      <c r="AF136" s="99">
        <v>0</v>
      </c>
      <c r="AG136" s="99">
        <v>0</v>
      </c>
      <c r="AH136" s="99">
        <v>0</v>
      </c>
      <c r="AI136" s="99">
        <v>0</v>
      </c>
      <c r="AJ136" s="99">
        <v>0</v>
      </c>
      <c r="AK136" s="99">
        <v>0</v>
      </c>
      <c r="AL136" s="99">
        <v>0</v>
      </c>
      <c r="AM136" s="99">
        <v>0</v>
      </c>
      <c r="AN136" s="99">
        <v>0</v>
      </c>
      <c r="AO136" s="99">
        <v>0</v>
      </c>
      <c r="AP136" s="99">
        <v>0</v>
      </c>
      <c r="AQ136" s="99">
        <v>0</v>
      </c>
      <c r="AR136" s="99">
        <f t="shared" si="1"/>
        <v>27267.665565386214</v>
      </c>
    </row>
    <row r="137" spans="1:44" ht="15" x14ac:dyDescent="0.25">
      <c r="A137" s="258">
        <v>130</v>
      </c>
      <c r="B137" s="258" t="s">
        <v>316</v>
      </c>
      <c r="C137" s="258" t="s">
        <v>1451</v>
      </c>
      <c r="D137" s="859" t="s">
        <v>1457</v>
      </c>
      <c r="E137" s="99">
        <v>5115.4947937560873</v>
      </c>
      <c r="F137" s="99">
        <v>0</v>
      </c>
      <c r="G137" s="99">
        <v>0</v>
      </c>
      <c r="H137" s="99">
        <v>0</v>
      </c>
      <c r="I137" s="99">
        <v>0</v>
      </c>
      <c r="J137" s="99">
        <v>0</v>
      </c>
      <c r="K137" s="99">
        <v>0</v>
      </c>
      <c r="L137" s="99">
        <v>0</v>
      </c>
      <c r="M137" s="99">
        <v>0</v>
      </c>
      <c r="N137" s="99">
        <v>0</v>
      </c>
      <c r="O137" s="99">
        <v>0</v>
      </c>
      <c r="P137" s="99">
        <v>0</v>
      </c>
      <c r="Q137" s="99">
        <v>0</v>
      </c>
      <c r="R137" s="99">
        <v>0</v>
      </c>
      <c r="S137" s="99">
        <v>0</v>
      </c>
      <c r="T137" s="99">
        <v>0</v>
      </c>
      <c r="U137" s="99">
        <v>0</v>
      </c>
      <c r="V137" s="99">
        <v>0</v>
      </c>
      <c r="W137" s="99">
        <v>0</v>
      </c>
      <c r="X137" s="99">
        <v>0</v>
      </c>
      <c r="Y137" s="99">
        <v>0</v>
      </c>
      <c r="Z137" s="99">
        <v>0</v>
      </c>
      <c r="AA137" s="99">
        <v>0</v>
      </c>
      <c r="AB137" s="99">
        <v>0</v>
      </c>
      <c r="AC137" s="99">
        <v>117877.32804362563</v>
      </c>
      <c r="AD137" s="99">
        <v>0</v>
      </c>
      <c r="AE137" s="99">
        <v>1905.3916189021616</v>
      </c>
      <c r="AF137" s="99">
        <v>0</v>
      </c>
      <c r="AG137" s="99">
        <v>0</v>
      </c>
      <c r="AH137" s="99">
        <v>0</v>
      </c>
      <c r="AI137" s="99">
        <v>82.028762497266769</v>
      </c>
      <c r="AJ137" s="99">
        <v>0</v>
      </c>
      <c r="AK137" s="99">
        <v>0</v>
      </c>
      <c r="AL137" s="99">
        <v>0</v>
      </c>
      <c r="AM137" s="99">
        <v>0</v>
      </c>
      <c r="AN137" s="99">
        <v>0</v>
      </c>
      <c r="AO137" s="99">
        <v>0</v>
      </c>
      <c r="AP137" s="99">
        <v>0</v>
      </c>
      <c r="AQ137" s="99">
        <v>0</v>
      </c>
      <c r="AR137" s="99">
        <f t="shared" ref="AR137:AR200" si="2">SUM(E137:AQ137)</f>
        <v>124980.24321878115</v>
      </c>
    </row>
    <row r="138" spans="1:44" ht="15" x14ac:dyDescent="0.25">
      <c r="A138" s="258">
        <v>131</v>
      </c>
      <c r="B138" s="258" t="s">
        <v>316</v>
      </c>
      <c r="C138" s="258" t="s">
        <v>1451</v>
      </c>
      <c r="D138" s="859" t="s">
        <v>1458</v>
      </c>
      <c r="E138" s="99">
        <v>3615.2249073646008</v>
      </c>
      <c r="F138" s="99">
        <v>0</v>
      </c>
      <c r="G138" s="99">
        <v>0</v>
      </c>
      <c r="H138" s="99">
        <v>0</v>
      </c>
      <c r="I138" s="99">
        <v>0</v>
      </c>
      <c r="J138" s="99">
        <v>0</v>
      </c>
      <c r="K138" s="99">
        <v>0</v>
      </c>
      <c r="L138" s="99">
        <v>0</v>
      </c>
      <c r="M138" s="99">
        <v>0</v>
      </c>
      <c r="N138" s="99">
        <v>0</v>
      </c>
      <c r="O138" s="99">
        <v>0</v>
      </c>
      <c r="P138" s="99">
        <v>0</v>
      </c>
      <c r="Q138" s="99">
        <v>0</v>
      </c>
      <c r="R138" s="99">
        <v>0</v>
      </c>
      <c r="S138" s="99">
        <v>0</v>
      </c>
      <c r="T138" s="99">
        <v>0</v>
      </c>
      <c r="U138" s="99">
        <v>0</v>
      </c>
      <c r="V138" s="99">
        <v>0</v>
      </c>
      <c r="W138" s="99">
        <v>0</v>
      </c>
      <c r="X138" s="99">
        <v>0</v>
      </c>
      <c r="Y138" s="99">
        <v>0</v>
      </c>
      <c r="Z138" s="99">
        <v>0</v>
      </c>
      <c r="AA138" s="99">
        <v>0</v>
      </c>
      <c r="AB138" s="99">
        <v>0</v>
      </c>
      <c r="AC138" s="99">
        <v>19762.207092783559</v>
      </c>
      <c r="AD138" s="99">
        <v>0</v>
      </c>
      <c r="AE138" s="99">
        <v>0</v>
      </c>
      <c r="AF138" s="99">
        <v>0</v>
      </c>
      <c r="AG138" s="99">
        <v>0</v>
      </c>
      <c r="AH138" s="99">
        <v>0</v>
      </c>
      <c r="AI138" s="99">
        <v>843.19971001987869</v>
      </c>
      <c r="AJ138" s="99">
        <v>0</v>
      </c>
      <c r="AK138" s="99">
        <v>3557.0589777069226</v>
      </c>
      <c r="AL138" s="99">
        <v>0</v>
      </c>
      <c r="AM138" s="99">
        <v>0</v>
      </c>
      <c r="AN138" s="99">
        <v>0</v>
      </c>
      <c r="AO138" s="99">
        <v>0</v>
      </c>
      <c r="AP138" s="99">
        <v>0</v>
      </c>
      <c r="AQ138" s="99">
        <v>0</v>
      </c>
      <c r="AR138" s="99">
        <f t="shared" si="2"/>
        <v>27777.690687874961</v>
      </c>
    </row>
    <row r="139" spans="1:44" ht="15" x14ac:dyDescent="0.25">
      <c r="A139" s="258">
        <v>132</v>
      </c>
      <c r="B139" s="258" t="s">
        <v>299</v>
      </c>
      <c r="C139" s="258" t="s">
        <v>1459</v>
      </c>
      <c r="D139" s="859" t="s">
        <v>1460</v>
      </c>
      <c r="E139" s="99">
        <v>0</v>
      </c>
      <c r="F139" s="99">
        <v>0</v>
      </c>
      <c r="G139" s="99">
        <v>0</v>
      </c>
      <c r="H139" s="99">
        <v>0</v>
      </c>
      <c r="I139" s="99">
        <v>0</v>
      </c>
      <c r="J139" s="99">
        <v>0</v>
      </c>
      <c r="K139" s="99">
        <v>0</v>
      </c>
      <c r="L139" s="99">
        <v>0</v>
      </c>
      <c r="M139" s="99">
        <v>0</v>
      </c>
      <c r="N139" s="99">
        <v>0</v>
      </c>
      <c r="O139" s="99">
        <v>0</v>
      </c>
      <c r="P139" s="99">
        <v>0</v>
      </c>
      <c r="Q139" s="99">
        <v>0</v>
      </c>
      <c r="R139" s="99">
        <v>0</v>
      </c>
      <c r="S139" s="99">
        <v>0</v>
      </c>
      <c r="T139" s="99">
        <v>0</v>
      </c>
      <c r="U139" s="99">
        <v>0</v>
      </c>
      <c r="V139" s="99">
        <v>0</v>
      </c>
      <c r="W139" s="99">
        <v>0</v>
      </c>
      <c r="X139" s="99">
        <v>0</v>
      </c>
      <c r="Y139" s="99">
        <v>0</v>
      </c>
      <c r="Z139" s="99">
        <v>0</v>
      </c>
      <c r="AA139" s="99">
        <v>0</v>
      </c>
      <c r="AB139" s="99">
        <v>0</v>
      </c>
      <c r="AC139" s="99">
        <v>0</v>
      </c>
      <c r="AD139" s="99">
        <v>0</v>
      </c>
      <c r="AE139" s="99">
        <v>358.84775531732032</v>
      </c>
      <c r="AF139" s="99">
        <v>0</v>
      </c>
      <c r="AG139" s="99">
        <v>0</v>
      </c>
      <c r="AH139" s="99">
        <v>0</v>
      </c>
      <c r="AI139" s="99">
        <v>0</v>
      </c>
      <c r="AJ139" s="99">
        <v>0</v>
      </c>
      <c r="AK139" s="99">
        <v>97280.559280123198</v>
      </c>
      <c r="AL139" s="99">
        <v>0</v>
      </c>
      <c r="AM139" s="99">
        <v>0</v>
      </c>
      <c r="AN139" s="99">
        <v>0</v>
      </c>
      <c r="AO139" s="99">
        <v>0</v>
      </c>
      <c r="AP139" s="99">
        <v>0</v>
      </c>
      <c r="AQ139" s="99">
        <v>0</v>
      </c>
      <c r="AR139" s="99">
        <f t="shared" si="2"/>
        <v>97639.407035440512</v>
      </c>
    </row>
    <row r="140" spans="1:44" ht="15" x14ac:dyDescent="0.25">
      <c r="A140" s="258">
        <v>133</v>
      </c>
      <c r="B140" s="258" t="s">
        <v>299</v>
      </c>
      <c r="C140" s="258" t="s">
        <v>1459</v>
      </c>
      <c r="D140" s="859" t="s">
        <v>1461</v>
      </c>
      <c r="E140" s="99">
        <v>0</v>
      </c>
      <c r="F140" s="99">
        <v>0</v>
      </c>
      <c r="G140" s="99">
        <v>0</v>
      </c>
      <c r="H140" s="99">
        <v>0</v>
      </c>
      <c r="I140" s="99">
        <v>0</v>
      </c>
      <c r="J140" s="99">
        <v>0</v>
      </c>
      <c r="K140" s="99">
        <v>0</v>
      </c>
      <c r="L140" s="99">
        <v>0</v>
      </c>
      <c r="M140" s="99">
        <v>0</v>
      </c>
      <c r="N140" s="99">
        <v>0</v>
      </c>
      <c r="O140" s="99">
        <v>0</v>
      </c>
      <c r="P140" s="99">
        <v>0</v>
      </c>
      <c r="Q140" s="99">
        <v>0</v>
      </c>
      <c r="R140" s="99">
        <v>0</v>
      </c>
      <c r="S140" s="99">
        <v>0</v>
      </c>
      <c r="T140" s="99">
        <v>0</v>
      </c>
      <c r="U140" s="99">
        <v>0</v>
      </c>
      <c r="V140" s="99">
        <v>0</v>
      </c>
      <c r="W140" s="99">
        <v>0</v>
      </c>
      <c r="X140" s="99">
        <v>0</v>
      </c>
      <c r="Y140" s="99">
        <v>0</v>
      </c>
      <c r="Z140" s="99">
        <v>0</v>
      </c>
      <c r="AA140" s="99">
        <v>0</v>
      </c>
      <c r="AB140" s="99">
        <v>0</v>
      </c>
      <c r="AC140" s="99">
        <v>47321.541128697951</v>
      </c>
      <c r="AD140" s="99">
        <v>0</v>
      </c>
      <c r="AE140" s="99">
        <v>4566.6625485869336</v>
      </c>
      <c r="AF140" s="99">
        <v>0</v>
      </c>
      <c r="AG140" s="99">
        <v>0</v>
      </c>
      <c r="AH140" s="99">
        <v>0</v>
      </c>
      <c r="AI140" s="99">
        <v>0</v>
      </c>
      <c r="AJ140" s="99">
        <v>0</v>
      </c>
      <c r="AK140" s="99">
        <v>50209.660732706107</v>
      </c>
      <c r="AL140" s="99">
        <v>0</v>
      </c>
      <c r="AM140" s="99">
        <v>0</v>
      </c>
      <c r="AN140" s="99">
        <v>0</v>
      </c>
      <c r="AO140" s="99">
        <v>0</v>
      </c>
      <c r="AP140" s="99">
        <v>0</v>
      </c>
      <c r="AQ140" s="99">
        <v>0</v>
      </c>
      <c r="AR140" s="99">
        <f t="shared" si="2"/>
        <v>102097.86440999099</v>
      </c>
    </row>
    <row r="141" spans="1:44" ht="15" x14ac:dyDescent="0.25">
      <c r="A141" s="258">
        <v>134</v>
      </c>
      <c r="B141" s="258" t="s">
        <v>299</v>
      </c>
      <c r="C141" s="258" t="s">
        <v>1459</v>
      </c>
      <c r="D141" s="859" t="s">
        <v>1462</v>
      </c>
      <c r="E141" s="99">
        <v>1328.7984334958574</v>
      </c>
      <c r="F141" s="99">
        <v>0</v>
      </c>
      <c r="G141" s="99">
        <v>0</v>
      </c>
      <c r="H141" s="99">
        <v>0</v>
      </c>
      <c r="I141" s="99">
        <v>0</v>
      </c>
      <c r="J141" s="99">
        <v>0</v>
      </c>
      <c r="K141" s="99">
        <v>0</v>
      </c>
      <c r="L141" s="99">
        <v>0</v>
      </c>
      <c r="M141" s="99">
        <v>0</v>
      </c>
      <c r="N141" s="99">
        <v>0</v>
      </c>
      <c r="O141" s="99">
        <v>0</v>
      </c>
      <c r="P141" s="99">
        <v>0</v>
      </c>
      <c r="Q141" s="99">
        <v>0</v>
      </c>
      <c r="R141" s="99">
        <v>0</v>
      </c>
      <c r="S141" s="99">
        <v>0</v>
      </c>
      <c r="T141" s="99">
        <v>0</v>
      </c>
      <c r="U141" s="99">
        <v>0</v>
      </c>
      <c r="V141" s="99">
        <v>0</v>
      </c>
      <c r="W141" s="99">
        <v>0</v>
      </c>
      <c r="X141" s="99">
        <v>0</v>
      </c>
      <c r="Y141" s="99">
        <v>0</v>
      </c>
      <c r="Z141" s="99">
        <v>0</v>
      </c>
      <c r="AA141" s="99">
        <v>0</v>
      </c>
      <c r="AB141" s="99">
        <v>0</v>
      </c>
      <c r="AC141" s="99">
        <v>107006.38135205022</v>
      </c>
      <c r="AD141" s="99">
        <v>0</v>
      </c>
      <c r="AE141" s="99">
        <v>0</v>
      </c>
      <c r="AF141" s="99">
        <v>0</v>
      </c>
      <c r="AG141" s="99">
        <v>0</v>
      </c>
      <c r="AH141" s="99">
        <v>0</v>
      </c>
      <c r="AI141" s="99">
        <v>0</v>
      </c>
      <c r="AJ141" s="99">
        <v>0</v>
      </c>
      <c r="AK141" s="99">
        <v>0</v>
      </c>
      <c r="AL141" s="99">
        <v>0</v>
      </c>
      <c r="AM141" s="99">
        <v>0</v>
      </c>
      <c r="AN141" s="99">
        <v>0</v>
      </c>
      <c r="AO141" s="99">
        <v>0</v>
      </c>
      <c r="AP141" s="99">
        <v>0</v>
      </c>
      <c r="AQ141" s="99">
        <v>0</v>
      </c>
      <c r="AR141" s="99">
        <f t="shared" si="2"/>
        <v>108335.17978554608</v>
      </c>
    </row>
    <row r="142" spans="1:44" ht="15" x14ac:dyDescent="0.25">
      <c r="A142" s="258">
        <v>135</v>
      </c>
      <c r="B142" s="258" t="s">
        <v>299</v>
      </c>
      <c r="C142" s="258" t="s">
        <v>1459</v>
      </c>
      <c r="D142" s="859" t="s">
        <v>1463</v>
      </c>
      <c r="E142" s="99">
        <v>0</v>
      </c>
      <c r="F142" s="99">
        <v>0</v>
      </c>
      <c r="G142" s="99">
        <v>0</v>
      </c>
      <c r="H142" s="99">
        <v>0</v>
      </c>
      <c r="I142" s="99">
        <v>0</v>
      </c>
      <c r="J142" s="99">
        <v>0</v>
      </c>
      <c r="K142" s="99">
        <v>0</v>
      </c>
      <c r="L142" s="99">
        <v>0</v>
      </c>
      <c r="M142" s="99">
        <v>0</v>
      </c>
      <c r="N142" s="99">
        <v>0</v>
      </c>
      <c r="O142" s="99">
        <v>0</v>
      </c>
      <c r="P142" s="99">
        <v>0</v>
      </c>
      <c r="Q142" s="99">
        <v>0</v>
      </c>
      <c r="R142" s="99">
        <v>0</v>
      </c>
      <c r="S142" s="99">
        <v>0</v>
      </c>
      <c r="T142" s="99">
        <v>0</v>
      </c>
      <c r="U142" s="99">
        <v>0</v>
      </c>
      <c r="V142" s="99">
        <v>0</v>
      </c>
      <c r="W142" s="99">
        <v>0</v>
      </c>
      <c r="X142" s="99">
        <v>0</v>
      </c>
      <c r="Y142" s="99">
        <v>0</v>
      </c>
      <c r="Z142" s="99">
        <v>0</v>
      </c>
      <c r="AA142" s="99">
        <v>0</v>
      </c>
      <c r="AB142" s="99">
        <v>0</v>
      </c>
      <c r="AC142" s="99">
        <v>28568.442367896761</v>
      </c>
      <c r="AD142" s="99">
        <v>0</v>
      </c>
      <c r="AE142" s="99">
        <v>0</v>
      </c>
      <c r="AF142" s="99">
        <v>0</v>
      </c>
      <c r="AG142" s="99">
        <v>0</v>
      </c>
      <c r="AH142" s="99">
        <v>0</v>
      </c>
      <c r="AI142" s="99">
        <v>0</v>
      </c>
      <c r="AJ142" s="99">
        <v>0</v>
      </c>
      <c r="AK142" s="99">
        <v>41475.026767211573</v>
      </c>
      <c r="AL142" s="99">
        <v>0</v>
      </c>
      <c r="AM142" s="99">
        <v>0</v>
      </c>
      <c r="AN142" s="99">
        <v>0</v>
      </c>
      <c r="AO142" s="99">
        <v>0</v>
      </c>
      <c r="AP142" s="99">
        <v>0</v>
      </c>
      <c r="AQ142" s="99">
        <v>0</v>
      </c>
      <c r="AR142" s="99">
        <f t="shared" si="2"/>
        <v>70043.469135108331</v>
      </c>
    </row>
    <row r="143" spans="1:44" ht="15" x14ac:dyDescent="0.25">
      <c r="A143" s="258">
        <v>136</v>
      </c>
      <c r="B143" s="258" t="s">
        <v>299</v>
      </c>
      <c r="C143" s="258" t="s">
        <v>1459</v>
      </c>
      <c r="D143" s="859" t="s">
        <v>1464</v>
      </c>
      <c r="E143" s="99">
        <v>0</v>
      </c>
      <c r="F143" s="99">
        <v>0</v>
      </c>
      <c r="G143" s="99">
        <v>0</v>
      </c>
      <c r="H143" s="99">
        <v>0</v>
      </c>
      <c r="I143" s="99">
        <v>0</v>
      </c>
      <c r="J143" s="99">
        <v>0</v>
      </c>
      <c r="K143" s="99">
        <v>0</v>
      </c>
      <c r="L143" s="99">
        <v>0</v>
      </c>
      <c r="M143" s="99">
        <v>0</v>
      </c>
      <c r="N143" s="99">
        <v>0</v>
      </c>
      <c r="O143" s="99">
        <v>0</v>
      </c>
      <c r="P143" s="99">
        <v>0</v>
      </c>
      <c r="Q143" s="99">
        <v>0</v>
      </c>
      <c r="R143" s="99">
        <v>0</v>
      </c>
      <c r="S143" s="99">
        <v>0</v>
      </c>
      <c r="T143" s="99">
        <v>0</v>
      </c>
      <c r="U143" s="99">
        <v>0</v>
      </c>
      <c r="V143" s="99">
        <v>0</v>
      </c>
      <c r="W143" s="99">
        <v>0</v>
      </c>
      <c r="X143" s="99">
        <v>0</v>
      </c>
      <c r="Y143" s="99">
        <v>0</v>
      </c>
      <c r="Z143" s="99">
        <v>0</v>
      </c>
      <c r="AA143" s="99">
        <v>0</v>
      </c>
      <c r="AB143" s="99">
        <v>0</v>
      </c>
      <c r="AC143" s="99">
        <v>17689.746550905093</v>
      </c>
      <c r="AD143" s="99">
        <v>0</v>
      </c>
      <c r="AE143" s="99">
        <v>0</v>
      </c>
      <c r="AF143" s="99">
        <v>0</v>
      </c>
      <c r="AG143" s="99">
        <v>0</v>
      </c>
      <c r="AH143" s="99">
        <v>0</v>
      </c>
      <c r="AI143" s="99">
        <v>0</v>
      </c>
      <c r="AJ143" s="99">
        <v>0</v>
      </c>
      <c r="AK143" s="99">
        <v>36810.995585435434</v>
      </c>
      <c r="AL143" s="99">
        <v>0</v>
      </c>
      <c r="AM143" s="99">
        <v>0</v>
      </c>
      <c r="AN143" s="99">
        <v>0</v>
      </c>
      <c r="AO143" s="99">
        <v>0</v>
      </c>
      <c r="AP143" s="99">
        <v>0</v>
      </c>
      <c r="AQ143" s="99">
        <v>1099.1940732556357</v>
      </c>
      <c r="AR143" s="99">
        <f t="shared" si="2"/>
        <v>55599.936209596162</v>
      </c>
    </row>
    <row r="144" spans="1:44" ht="15" x14ac:dyDescent="0.25">
      <c r="A144" s="258">
        <v>137</v>
      </c>
      <c r="B144" s="258" t="s">
        <v>299</v>
      </c>
      <c r="C144" s="258" t="s">
        <v>1459</v>
      </c>
      <c r="D144" s="859" t="s">
        <v>1465</v>
      </c>
      <c r="E144" s="99">
        <v>0</v>
      </c>
      <c r="F144" s="99">
        <v>0</v>
      </c>
      <c r="G144" s="99">
        <v>0</v>
      </c>
      <c r="H144" s="99">
        <v>0</v>
      </c>
      <c r="I144" s="99">
        <v>0</v>
      </c>
      <c r="J144" s="99">
        <v>0</v>
      </c>
      <c r="K144" s="99">
        <v>0</v>
      </c>
      <c r="L144" s="99">
        <v>0</v>
      </c>
      <c r="M144" s="99">
        <v>0</v>
      </c>
      <c r="N144" s="99">
        <v>0</v>
      </c>
      <c r="O144" s="99">
        <v>0</v>
      </c>
      <c r="P144" s="99">
        <v>0</v>
      </c>
      <c r="Q144" s="99">
        <v>0</v>
      </c>
      <c r="R144" s="99">
        <v>0</v>
      </c>
      <c r="S144" s="99">
        <v>0</v>
      </c>
      <c r="T144" s="99">
        <v>0</v>
      </c>
      <c r="U144" s="99">
        <v>0</v>
      </c>
      <c r="V144" s="99">
        <v>0</v>
      </c>
      <c r="W144" s="99">
        <v>0</v>
      </c>
      <c r="X144" s="99">
        <v>0</v>
      </c>
      <c r="Y144" s="99">
        <v>0</v>
      </c>
      <c r="Z144" s="99">
        <v>0</v>
      </c>
      <c r="AA144" s="99">
        <v>0</v>
      </c>
      <c r="AB144" s="99">
        <v>0</v>
      </c>
      <c r="AC144" s="99">
        <v>88307.311215678958</v>
      </c>
      <c r="AD144" s="99">
        <v>0</v>
      </c>
      <c r="AE144" s="99">
        <v>0</v>
      </c>
      <c r="AF144" s="99">
        <v>0</v>
      </c>
      <c r="AG144" s="99">
        <v>0</v>
      </c>
      <c r="AH144" s="99">
        <v>0</v>
      </c>
      <c r="AI144" s="99">
        <v>0</v>
      </c>
      <c r="AJ144" s="99">
        <v>0</v>
      </c>
      <c r="AK144" s="99">
        <v>0</v>
      </c>
      <c r="AL144" s="99">
        <v>0</v>
      </c>
      <c r="AM144" s="99">
        <v>0</v>
      </c>
      <c r="AN144" s="99">
        <v>0</v>
      </c>
      <c r="AO144" s="99">
        <v>0</v>
      </c>
      <c r="AP144" s="99">
        <v>0</v>
      </c>
      <c r="AQ144" s="99">
        <v>1620.0443556418086</v>
      </c>
      <c r="AR144" s="99">
        <f t="shared" si="2"/>
        <v>89927.355571320761</v>
      </c>
    </row>
    <row r="145" spans="1:44" ht="15" x14ac:dyDescent="0.25">
      <c r="A145" s="258">
        <v>138</v>
      </c>
      <c r="B145" s="258" t="s">
        <v>299</v>
      </c>
      <c r="C145" s="258" t="s">
        <v>1459</v>
      </c>
      <c r="D145" s="859" t="s">
        <v>1466</v>
      </c>
      <c r="E145" s="99">
        <v>4152.8110840103573</v>
      </c>
      <c r="F145" s="99">
        <v>0</v>
      </c>
      <c r="G145" s="99">
        <v>0</v>
      </c>
      <c r="H145" s="99">
        <v>0</v>
      </c>
      <c r="I145" s="99">
        <v>0</v>
      </c>
      <c r="J145" s="99">
        <v>0</v>
      </c>
      <c r="K145" s="99">
        <v>0</v>
      </c>
      <c r="L145" s="99">
        <v>0</v>
      </c>
      <c r="M145" s="99">
        <v>0</v>
      </c>
      <c r="N145" s="99">
        <v>0</v>
      </c>
      <c r="O145" s="99">
        <v>0</v>
      </c>
      <c r="P145" s="99">
        <v>0</v>
      </c>
      <c r="Q145" s="99">
        <v>0</v>
      </c>
      <c r="R145" s="99">
        <v>0</v>
      </c>
      <c r="S145" s="99">
        <v>0</v>
      </c>
      <c r="T145" s="99">
        <v>0</v>
      </c>
      <c r="U145" s="99">
        <v>0</v>
      </c>
      <c r="V145" s="99">
        <v>0</v>
      </c>
      <c r="W145" s="99">
        <v>0</v>
      </c>
      <c r="X145" s="99">
        <v>0</v>
      </c>
      <c r="Y145" s="99">
        <v>0</v>
      </c>
      <c r="Z145" s="99">
        <v>0</v>
      </c>
      <c r="AA145" s="99">
        <v>0</v>
      </c>
      <c r="AB145" s="99">
        <v>0</v>
      </c>
      <c r="AC145" s="99">
        <v>43953.25461443598</v>
      </c>
      <c r="AD145" s="99">
        <v>0</v>
      </c>
      <c r="AE145" s="99">
        <v>0</v>
      </c>
      <c r="AF145" s="99">
        <v>0</v>
      </c>
      <c r="AG145" s="99">
        <v>0</v>
      </c>
      <c r="AH145" s="99">
        <v>0</v>
      </c>
      <c r="AI145" s="99">
        <v>1205.9452396986235</v>
      </c>
      <c r="AJ145" s="99">
        <v>0</v>
      </c>
      <c r="AK145" s="99">
        <v>3930.8047476375054</v>
      </c>
      <c r="AL145" s="99">
        <v>0</v>
      </c>
      <c r="AM145" s="99">
        <v>0</v>
      </c>
      <c r="AN145" s="99">
        <v>0</v>
      </c>
      <c r="AO145" s="99">
        <v>0</v>
      </c>
      <c r="AP145" s="99">
        <v>0</v>
      </c>
      <c r="AQ145" s="99">
        <v>27.042401223365861</v>
      </c>
      <c r="AR145" s="99">
        <f t="shared" si="2"/>
        <v>53269.858087005829</v>
      </c>
    </row>
    <row r="146" spans="1:44" ht="15" x14ac:dyDescent="0.25">
      <c r="A146" s="258">
        <v>139</v>
      </c>
      <c r="B146" s="258" t="s">
        <v>320</v>
      </c>
      <c r="C146" s="258" t="s">
        <v>1467</v>
      </c>
      <c r="D146" s="859" t="s">
        <v>1468</v>
      </c>
      <c r="E146" s="99">
        <v>56.033668882355428</v>
      </c>
      <c r="F146" s="99">
        <v>0</v>
      </c>
      <c r="G146" s="99">
        <v>0</v>
      </c>
      <c r="H146" s="99">
        <v>0</v>
      </c>
      <c r="I146" s="99">
        <v>0</v>
      </c>
      <c r="J146" s="99">
        <v>0</v>
      </c>
      <c r="K146" s="99">
        <v>0</v>
      </c>
      <c r="L146" s="99">
        <v>0</v>
      </c>
      <c r="M146" s="99">
        <v>0</v>
      </c>
      <c r="N146" s="99">
        <v>0</v>
      </c>
      <c r="O146" s="99">
        <v>0</v>
      </c>
      <c r="P146" s="99">
        <v>0</v>
      </c>
      <c r="Q146" s="99">
        <v>0</v>
      </c>
      <c r="R146" s="99">
        <v>0</v>
      </c>
      <c r="S146" s="99">
        <v>0</v>
      </c>
      <c r="T146" s="99">
        <v>0</v>
      </c>
      <c r="U146" s="99">
        <v>0</v>
      </c>
      <c r="V146" s="99">
        <v>0</v>
      </c>
      <c r="W146" s="99">
        <v>0</v>
      </c>
      <c r="X146" s="99">
        <v>0</v>
      </c>
      <c r="Y146" s="99">
        <v>0</v>
      </c>
      <c r="Z146" s="99">
        <v>0</v>
      </c>
      <c r="AA146" s="99">
        <v>0</v>
      </c>
      <c r="AB146" s="99">
        <v>0</v>
      </c>
      <c r="AC146" s="99">
        <v>14929.335874850934</v>
      </c>
      <c r="AD146" s="99">
        <v>0</v>
      </c>
      <c r="AE146" s="99">
        <v>0</v>
      </c>
      <c r="AF146" s="99">
        <v>0</v>
      </c>
      <c r="AG146" s="99">
        <v>0</v>
      </c>
      <c r="AH146" s="99">
        <v>0</v>
      </c>
      <c r="AI146" s="99">
        <v>0</v>
      </c>
      <c r="AJ146" s="99">
        <v>0</v>
      </c>
      <c r="AK146" s="99">
        <v>2587.9096412339604</v>
      </c>
      <c r="AL146" s="99">
        <v>0</v>
      </c>
      <c r="AM146" s="99">
        <v>0</v>
      </c>
      <c r="AN146" s="99">
        <v>0</v>
      </c>
      <c r="AO146" s="99">
        <v>0</v>
      </c>
      <c r="AP146" s="99">
        <v>0</v>
      </c>
      <c r="AQ146" s="99">
        <v>0</v>
      </c>
      <c r="AR146" s="99">
        <f t="shared" si="2"/>
        <v>17573.27918496725</v>
      </c>
    </row>
    <row r="147" spans="1:44" ht="15" x14ac:dyDescent="0.25">
      <c r="A147" s="258">
        <v>140</v>
      </c>
      <c r="B147" s="258" t="s">
        <v>320</v>
      </c>
      <c r="C147" s="258" t="s">
        <v>1467</v>
      </c>
      <c r="D147" s="859" t="s">
        <v>1469</v>
      </c>
      <c r="E147" s="99">
        <v>0</v>
      </c>
      <c r="F147" s="99">
        <v>2169.3456204407626</v>
      </c>
      <c r="G147" s="99">
        <v>0</v>
      </c>
      <c r="H147" s="99">
        <v>0</v>
      </c>
      <c r="I147" s="99">
        <v>0</v>
      </c>
      <c r="J147" s="99">
        <v>0</v>
      </c>
      <c r="K147" s="99">
        <v>0</v>
      </c>
      <c r="L147" s="99">
        <v>0</v>
      </c>
      <c r="M147" s="99">
        <v>0</v>
      </c>
      <c r="N147" s="99">
        <v>0</v>
      </c>
      <c r="O147" s="99">
        <v>0</v>
      </c>
      <c r="P147" s="99">
        <v>0</v>
      </c>
      <c r="Q147" s="99">
        <v>0</v>
      </c>
      <c r="R147" s="99">
        <v>0</v>
      </c>
      <c r="S147" s="99">
        <v>0</v>
      </c>
      <c r="T147" s="99">
        <v>0</v>
      </c>
      <c r="U147" s="99">
        <v>0</v>
      </c>
      <c r="V147" s="99">
        <v>0</v>
      </c>
      <c r="W147" s="99">
        <v>0</v>
      </c>
      <c r="X147" s="99">
        <v>0</v>
      </c>
      <c r="Y147" s="99">
        <v>0</v>
      </c>
      <c r="Z147" s="99">
        <v>0</v>
      </c>
      <c r="AA147" s="99">
        <v>0</v>
      </c>
      <c r="AB147" s="99">
        <v>0</v>
      </c>
      <c r="AC147" s="99">
        <v>0</v>
      </c>
      <c r="AD147" s="99">
        <v>0</v>
      </c>
      <c r="AE147" s="99">
        <v>0</v>
      </c>
      <c r="AF147" s="99">
        <v>0</v>
      </c>
      <c r="AG147" s="99">
        <v>0</v>
      </c>
      <c r="AH147" s="99">
        <v>0</v>
      </c>
      <c r="AI147" s="99">
        <v>0</v>
      </c>
      <c r="AJ147" s="99">
        <v>0</v>
      </c>
      <c r="AK147" s="99">
        <v>0</v>
      </c>
      <c r="AL147" s="99">
        <v>0</v>
      </c>
      <c r="AM147" s="99">
        <v>0</v>
      </c>
      <c r="AN147" s="99">
        <v>0</v>
      </c>
      <c r="AO147" s="99">
        <v>0</v>
      </c>
      <c r="AP147" s="99">
        <v>0</v>
      </c>
      <c r="AQ147" s="99">
        <v>0</v>
      </c>
      <c r="AR147" s="99">
        <f t="shared" si="2"/>
        <v>2169.3456204407626</v>
      </c>
    </row>
    <row r="148" spans="1:44" ht="15" x14ac:dyDescent="0.25">
      <c r="A148" s="258">
        <v>141</v>
      </c>
      <c r="B148" s="258" t="s">
        <v>320</v>
      </c>
      <c r="C148" s="258" t="s">
        <v>1467</v>
      </c>
      <c r="D148" s="859" t="s">
        <v>1470</v>
      </c>
      <c r="E148" s="99">
        <v>0</v>
      </c>
      <c r="F148" s="99">
        <v>1320.5606417727024</v>
      </c>
      <c r="G148" s="99">
        <v>0</v>
      </c>
      <c r="H148" s="99">
        <v>0</v>
      </c>
      <c r="I148" s="99">
        <v>0</v>
      </c>
      <c r="J148" s="99">
        <v>0</v>
      </c>
      <c r="K148" s="99">
        <v>0</v>
      </c>
      <c r="L148" s="99">
        <v>0</v>
      </c>
      <c r="M148" s="99">
        <v>0</v>
      </c>
      <c r="N148" s="99">
        <v>0</v>
      </c>
      <c r="O148" s="99">
        <v>0</v>
      </c>
      <c r="P148" s="99">
        <v>0</v>
      </c>
      <c r="Q148" s="99">
        <v>0</v>
      </c>
      <c r="R148" s="99">
        <v>0</v>
      </c>
      <c r="S148" s="99">
        <v>0</v>
      </c>
      <c r="T148" s="99">
        <v>0</v>
      </c>
      <c r="U148" s="99">
        <v>0</v>
      </c>
      <c r="V148" s="99">
        <v>0</v>
      </c>
      <c r="W148" s="99">
        <v>0</v>
      </c>
      <c r="X148" s="99">
        <v>0</v>
      </c>
      <c r="Y148" s="99">
        <v>0</v>
      </c>
      <c r="Z148" s="99">
        <v>0</v>
      </c>
      <c r="AA148" s="99">
        <v>0</v>
      </c>
      <c r="AB148" s="99">
        <v>0</v>
      </c>
      <c r="AC148" s="99">
        <v>0</v>
      </c>
      <c r="AD148" s="99">
        <v>0</v>
      </c>
      <c r="AE148" s="99">
        <v>0</v>
      </c>
      <c r="AF148" s="99">
        <v>0</v>
      </c>
      <c r="AG148" s="99">
        <v>0</v>
      </c>
      <c r="AH148" s="99">
        <v>0</v>
      </c>
      <c r="AI148" s="99">
        <v>7860.943988144254</v>
      </c>
      <c r="AJ148" s="99">
        <v>0</v>
      </c>
      <c r="AK148" s="99">
        <v>0</v>
      </c>
      <c r="AL148" s="99">
        <v>0</v>
      </c>
      <c r="AM148" s="99">
        <v>0</v>
      </c>
      <c r="AN148" s="99">
        <v>0</v>
      </c>
      <c r="AO148" s="99">
        <v>0</v>
      </c>
      <c r="AP148" s="99">
        <v>0</v>
      </c>
      <c r="AQ148" s="99">
        <v>0</v>
      </c>
      <c r="AR148" s="99">
        <f t="shared" si="2"/>
        <v>9181.5046299169571</v>
      </c>
    </row>
    <row r="149" spans="1:44" ht="15" x14ac:dyDescent="0.25">
      <c r="A149" s="258">
        <v>142</v>
      </c>
      <c r="B149" s="258" t="s">
        <v>320</v>
      </c>
      <c r="C149" s="258" t="s">
        <v>1467</v>
      </c>
      <c r="D149" s="859" t="s">
        <v>1471</v>
      </c>
      <c r="E149" s="99">
        <v>13.271132103715759</v>
      </c>
      <c r="F149" s="99">
        <v>0</v>
      </c>
      <c r="G149" s="99">
        <v>0</v>
      </c>
      <c r="H149" s="99">
        <v>0</v>
      </c>
      <c r="I149" s="99">
        <v>0</v>
      </c>
      <c r="J149" s="99">
        <v>0</v>
      </c>
      <c r="K149" s="99">
        <v>0</v>
      </c>
      <c r="L149" s="99">
        <v>0</v>
      </c>
      <c r="M149" s="99">
        <v>0</v>
      </c>
      <c r="N149" s="99">
        <v>0</v>
      </c>
      <c r="O149" s="99">
        <v>0</v>
      </c>
      <c r="P149" s="99">
        <v>0</v>
      </c>
      <c r="Q149" s="99">
        <v>0</v>
      </c>
      <c r="R149" s="99">
        <v>0</v>
      </c>
      <c r="S149" s="99">
        <v>0</v>
      </c>
      <c r="T149" s="99">
        <v>0</v>
      </c>
      <c r="U149" s="99">
        <v>0</v>
      </c>
      <c r="V149" s="99">
        <v>0</v>
      </c>
      <c r="W149" s="99">
        <v>0</v>
      </c>
      <c r="X149" s="99">
        <v>0</v>
      </c>
      <c r="Y149" s="99">
        <v>0</v>
      </c>
      <c r="Z149" s="99">
        <v>0</v>
      </c>
      <c r="AA149" s="99">
        <v>0</v>
      </c>
      <c r="AB149" s="99">
        <v>0</v>
      </c>
      <c r="AC149" s="99">
        <v>39.391387532588212</v>
      </c>
      <c r="AD149" s="99">
        <v>0</v>
      </c>
      <c r="AE149" s="99">
        <v>0</v>
      </c>
      <c r="AF149" s="99">
        <v>0</v>
      </c>
      <c r="AG149" s="99">
        <v>0</v>
      </c>
      <c r="AH149" s="99">
        <v>0</v>
      </c>
      <c r="AI149" s="99">
        <v>0</v>
      </c>
      <c r="AJ149" s="99">
        <v>0</v>
      </c>
      <c r="AK149" s="99">
        <v>0</v>
      </c>
      <c r="AL149" s="99">
        <v>0</v>
      </c>
      <c r="AM149" s="99">
        <v>0</v>
      </c>
      <c r="AN149" s="99">
        <v>0</v>
      </c>
      <c r="AO149" s="99">
        <v>0</v>
      </c>
      <c r="AP149" s="99">
        <v>0</v>
      </c>
      <c r="AQ149" s="99">
        <v>0</v>
      </c>
      <c r="AR149" s="99">
        <f t="shared" si="2"/>
        <v>52.662519636303969</v>
      </c>
    </row>
    <row r="150" spans="1:44" ht="15" x14ac:dyDescent="0.25">
      <c r="A150" s="258">
        <v>143</v>
      </c>
      <c r="B150" s="258" t="s">
        <v>320</v>
      </c>
      <c r="C150" s="258" t="s">
        <v>1467</v>
      </c>
      <c r="D150" s="859" t="s">
        <v>1472</v>
      </c>
      <c r="E150" s="99">
        <v>0</v>
      </c>
      <c r="F150" s="99">
        <v>0</v>
      </c>
      <c r="G150" s="99">
        <v>0</v>
      </c>
      <c r="H150" s="99">
        <v>0</v>
      </c>
      <c r="I150" s="99">
        <v>0</v>
      </c>
      <c r="J150" s="99">
        <v>0</v>
      </c>
      <c r="K150" s="99">
        <v>0</v>
      </c>
      <c r="L150" s="99">
        <v>0</v>
      </c>
      <c r="M150" s="99">
        <v>0</v>
      </c>
      <c r="N150" s="99">
        <v>0</v>
      </c>
      <c r="O150" s="99">
        <v>0</v>
      </c>
      <c r="P150" s="99">
        <v>0</v>
      </c>
      <c r="Q150" s="99">
        <v>0</v>
      </c>
      <c r="R150" s="99">
        <v>0</v>
      </c>
      <c r="S150" s="99">
        <v>0</v>
      </c>
      <c r="T150" s="99">
        <v>0</v>
      </c>
      <c r="U150" s="99">
        <v>0</v>
      </c>
      <c r="V150" s="99">
        <v>0</v>
      </c>
      <c r="W150" s="99">
        <v>0</v>
      </c>
      <c r="X150" s="99">
        <v>0</v>
      </c>
      <c r="Y150" s="99">
        <v>0</v>
      </c>
      <c r="Z150" s="99">
        <v>0</v>
      </c>
      <c r="AA150" s="99">
        <v>0</v>
      </c>
      <c r="AB150" s="99">
        <v>0</v>
      </c>
      <c r="AC150" s="99">
        <v>21.310094894678869</v>
      </c>
      <c r="AD150" s="99">
        <v>0</v>
      </c>
      <c r="AE150" s="99">
        <v>0</v>
      </c>
      <c r="AF150" s="99">
        <v>0</v>
      </c>
      <c r="AG150" s="99">
        <v>0</v>
      </c>
      <c r="AH150" s="99">
        <v>0</v>
      </c>
      <c r="AI150" s="99">
        <v>0</v>
      </c>
      <c r="AJ150" s="99">
        <v>0</v>
      </c>
      <c r="AK150" s="99">
        <v>0</v>
      </c>
      <c r="AL150" s="99">
        <v>0</v>
      </c>
      <c r="AM150" s="99">
        <v>0</v>
      </c>
      <c r="AN150" s="99">
        <v>0</v>
      </c>
      <c r="AO150" s="99">
        <v>0</v>
      </c>
      <c r="AP150" s="99">
        <v>0</v>
      </c>
      <c r="AQ150" s="99">
        <v>0</v>
      </c>
      <c r="AR150" s="99">
        <f t="shared" si="2"/>
        <v>21.310094894678869</v>
      </c>
    </row>
    <row r="151" spans="1:44" ht="15" x14ac:dyDescent="0.25">
      <c r="A151" s="258">
        <v>144</v>
      </c>
      <c r="B151" s="258" t="s">
        <v>320</v>
      </c>
      <c r="C151" s="258" t="s">
        <v>1467</v>
      </c>
      <c r="D151" s="859" t="s">
        <v>1473</v>
      </c>
      <c r="E151" s="99">
        <v>10.532644526758538</v>
      </c>
      <c r="F151" s="99">
        <v>0</v>
      </c>
      <c r="G151" s="99">
        <v>0</v>
      </c>
      <c r="H151" s="99">
        <v>0</v>
      </c>
      <c r="I151" s="99">
        <v>0</v>
      </c>
      <c r="J151" s="99">
        <v>0</v>
      </c>
      <c r="K151" s="99">
        <v>0</v>
      </c>
      <c r="L151" s="99">
        <v>0</v>
      </c>
      <c r="M151" s="99">
        <v>0</v>
      </c>
      <c r="N151" s="99">
        <v>0</v>
      </c>
      <c r="O151" s="99">
        <v>0</v>
      </c>
      <c r="P151" s="99">
        <v>0</v>
      </c>
      <c r="Q151" s="99">
        <v>0</v>
      </c>
      <c r="R151" s="99">
        <v>0</v>
      </c>
      <c r="S151" s="99">
        <v>0</v>
      </c>
      <c r="T151" s="99">
        <v>0</v>
      </c>
      <c r="U151" s="99">
        <v>0</v>
      </c>
      <c r="V151" s="99">
        <v>0</v>
      </c>
      <c r="W151" s="99">
        <v>0</v>
      </c>
      <c r="X151" s="99">
        <v>0</v>
      </c>
      <c r="Y151" s="99">
        <v>0</v>
      </c>
      <c r="Z151" s="99">
        <v>0</v>
      </c>
      <c r="AA151" s="99">
        <v>0</v>
      </c>
      <c r="AB151" s="99">
        <v>0</v>
      </c>
      <c r="AC151" s="99">
        <v>3337.7205195645511</v>
      </c>
      <c r="AD151" s="99">
        <v>0</v>
      </c>
      <c r="AE151" s="99">
        <v>0</v>
      </c>
      <c r="AF151" s="99">
        <v>0</v>
      </c>
      <c r="AG151" s="99">
        <v>0</v>
      </c>
      <c r="AH151" s="99">
        <v>0</v>
      </c>
      <c r="AI151" s="99">
        <v>158.28577837958727</v>
      </c>
      <c r="AJ151" s="99">
        <v>0</v>
      </c>
      <c r="AK151" s="99">
        <v>4130.7356909180462</v>
      </c>
      <c r="AL151" s="99">
        <v>0</v>
      </c>
      <c r="AM151" s="99">
        <v>0</v>
      </c>
      <c r="AN151" s="99">
        <v>0</v>
      </c>
      <c r="AO151" s="99">
        <v>0</v>
      </c>
      <c r="AP151" s="99">
        <v>0</v>
      </c>
      <c r="AQ151" s="99">
        <v>0</v>
      </c>
      <c r="AR151" s="99">
        <f t="shared" si="2"/>
        <v>7637.2746333889427</v>
      </c>
    </row>
    <row r="152" spans="1:44" ht="15" x14ac:dyDescent="0.25">
      <c r="A152" s="258">
        <v>145</v>
      </c>
      <c r="B152" s="258" t="s">
        <v>320</v>
      </c>
      <c r="C152" s="258" t="s">
        <v>1467</v>
      </c>
      <c r="D152" s="859" t="s">
        <v>1474</v>
      </c>
      <c r="E152" s="99">
        <v>1359.9750612950627</v>
      </c>
      <c r="F152" s="99">
        <v>0.37383174572475658</v>
      </c>
      <c r="G152" s="99">
        <v>0</v>
      </c>
      <c r="H152" s="99">
        <v>0</v>
      </c>
      <c r="I152" s="99">
        <v>0</v>
      </c>
      <c r="J152" s="99">
        <v>0</v>
      </c>
      <c r="K152" s="99">
        <v>0</v>
      </c>
      <c r="L152" s="99">
        <v>0</v>
      </c>
      <c r="M152" s="99">
        <v>0</v>
      </c>
      <c r="N152" s="99">
        <v>0</v>
      </c>
      <c r="O152" s="99">
        <v>0</v>
      </c>
      <c r="P152" s="99">
        <v>0</v>
      </c>
      <c r="Q152" s="99">
        <v>0</v>
      </c>
      <c r="R152" s="99">
        <v>0</v>
      </c>
      <c r="S152" s="99">
        <v>0</v>
      </c>
      <c r="T152" s="99">
        <v>0</v>
      </c>
      <c r="U152" s="99">
        <v>0</v>
      </c>
      <c r="V152" s="99">
        <v>0</v>
      </c>
      <c r="W152" s="99">
        <v>0</v>
      </c>
      <c r="X152" s="99">
        <v>0</v>
      </c>
      <c r="Y152" s="99">
        <v>0</v>
      </c>
      <c r="Z152" s="99">
        <v>0</v>
      </c>
      <c r="AA152" s="99">
        <v>0</v>
      </c>
      <c r="AB152" s="99">
        <v>0</v>
      </c>
      <c r="AC152" s="99">
        <v>1134.816366512596</v>
      </c>
      <c r="AD152" s="99">
        <v>0</v>
      </c>
      <c r="AE152" s="99">
        <v>0</v>
      </c>
      <c r="AF152" s="99">
        <v>0</v>
      </c>
      <c r="AG152" s="99">
        <v>0</v>
      </c>
      <c r="AH152" s="99">
        <v>0</v>
      </c>
      <c r="AI152" s="99">
        <v>15.91602854424579</v>
      </c>
      <c r="AJ152" s="99">
        <v>0</v>
      </c>
      <c r="AK152" s="99">
        <v>0</v>
      </c>
      <c r="AL152" s="99">
        <v>0</v>
      </c>
      <c r="AM152" s="99">
        <v>0</v>
      </c>
      <c r="AN152" s="99">
        <v>0</v>
      </c>
      <c r="AO152" s="99">
        <v>0</v>
      </c>
      <c r="AP152" s="99">
        <v>0</v>
      </c>
      <c r="AQ152" s="99">
        <v>0</v>
      </c>
      <c r="AR152" s="99">
        <f t="shared" si="2"/>
        <v>2511.0812880976291</v>
      </c>
    </row>
    <row r="153" spans="1:44" ht="15" x14ac:dyDescent="0.25">
      <c r="A153" s="258">
        <v>146</v>
      </c>
      <c r="B153" s="258" t="s">
        <v>320</v>
      </c>
      <c r="C153" s="258" t="s">
        <v>1467</v>
      </c>
      <c r="D153" s="859" t="s">
        <v>1475</v>
      </c>
      <c r="E153" s="99">
        <v>25.910305535826005</v>
      </c>
      <c r="F153" s="99">
        <v>7.2897190416327549</v>
      </c>
      <c r="G153" s="99">
        <v>0</v>
      </c>
      <c r="H153" s="99">
        <v>0</v>
      </c>
      <c r="I153" s="99">
        <v>0</v>
      </c>
      <c r="J153" s="99">
        <v>0</v>
      </c>
      <c r="K153" s="99">
        <v>0</v>
      </c>
      <c r="L153" s="99">
        <v>0</v>
      </c>
      <c r="M153" s="99">
        <v>0</v>
      </c>
      <c r="N153" s="99">
        <v>0</v>
      </c>
      <c r="O153" s="99">
        <v>0</v>
      </c>
      <c r="P153" s="99">
        <v>0</v>
      </c>
      <c r="Q153" s="99">
        <v>0</v>
      </c>
      <c r="R153" s="99">
        <v>0</v>
      </c>
      <c r="S153" s="99">
        <v>0</v>
      </c>
      <c r="T153" s="99">
        <v>0</v>
      </c>
      <c r="U153" s="99">
        <v>0</v>
      </c>
      <c r="V153" s="99">
        <v>0</v>
      </c>
      <c r="W153" s="99">
        <v>0</v>
      </c>
      <c r="X153" s="99">
        <v>0</v>
      </c>
      <c r="Y153" s="99">
        <v>0</v>
      </c>
      <c r="Z153" s="99">
        <v>0</v>
      </c>
      <c r="AA153" s="99">
        <v>0</v>
      </c>
      <c r="AB153" s="99">
        <v>0</v>
      </c>
      <c r="AC153" s="99">
        <v>0</v>
      </c>
      <c r="AD153" s="99">
        <v>0</v>
      </c>
      <c r="AE153" s="99">
        <v>0</v>
      </c>
      <c r="AF153" s="99">
        <v>0</v>
      </c>
      <c r="AG153" s="99">
        <v>0</v>
      </c>
      <c r="AH153" s="99">
        <v>0</v>
      </c>
      <c r="AI153" s="99">
        <v>428.33355939404339</v>
      </c>
      <c r="AJ153" s="99">
        <v>0</v>
      </c>
      <c r="AK153" s="99">
        <v>0</v>
      </c>
      <c r="AL153" s="99">
        <v>0</v>
      </c>
      <c r="AM153" s="99">
        <v>0</v>
      </c>
      <c r="AN153" s="99">
        <v>0</v>
      </c>
      <c r="AO153" s="99">
        <v>0</v>
      </c>
      <c r="AP153" s="99">
        <v>0</v>
      </c>
      <c r="AQ153" s="99">
        <v>0</v>
      </c>
      <c r="AR153" s="99">
        <f t="shared" si="2"/>
        <v>461.53358397150214</v>
      </c>
    </row>
    <row r="154" spans="1:44" ht="15" x14ac:dyDescent="0.25">
      <c r="A154" s="258">
        <v>147</v>
      </c>
      <c r="B154" s="258" t="s">
        <v>320</v>
      </c>
      <c r="C154" s="258" t="s">
        <v>1467</v>
      </c>
      <c r="D154" s="859" t="s">
        <v>1476</v>
      </c>
      <c r="E154" s="99">
        <v>8167.2232189391052</v>
      </c>
      <c r="F154" s="99">
        <v>0</v>
      </c>
      <c r="G154" s="99">
        <v>0</v>
      </c>
      <c r="H154" s="99">
        <v>0</v>
      </c>
      <c r="I154" s="99">
        <v>0</v>
      </c>
      <c r="J154" s="99">
        <v>0</v>
      </c>
      <c r="K154" s="99">
        <v>0</v>
      </c>
      <c r="L154" s="99">
        <v>0</v>
      </c>
      <c r="M154" s="99">
        <v>0</v>
      </c>
      <c r="N154" s="99">
        <v>0</v>
      </c>
      <c r="O154" s="99">
        <v>0</v>
      </c>
      <c r="P154" s="99">
        <v>0</v>
      </c>
      <c r="Q154" s="99">
        <v>0</v>
      </c>
      <c r="R154" s="99">
        <v>0</v>
      </c>
      <c r="S154" s="99">
        <v>0</v>
      </c>
      <c r="T154" s="99">
        <v>0</v>
      </c>
      <c r="U154" s="99">
        <v>0</v>
      </c>
      <c r="V154" s="99">
        <v>0</v>
      </c>
      <c r="W154" s="99">
        <v>0</v>
      </c>
      <c r="X154" s="99">
        <v>0</v>
      </c>
      <c r="Y154" s="99">
        <v>0</v>
      </c>
      <c r="Z154" s="99">
        <v>0</v>
      </c>
      <c r="AA154" s="99">
        <v>0</v>
      </c>
      <c r="AB154" s="99">
        <v>0</v>
      </c>
      <c r="AC154" s="99">
        <v>1.5067743864924454</v>
      </c>
      <c r="AD154" s="99">
        <v>0</v>
      </c>
      <c r="AE154" s="99">
        <v>0</v>
      </c>
      <c r="AF154" s="99">
        <v>0</v>
      </c>
      <c r="AG154" s="99">
        <v>0</v>
      </c>
      <c r="AH154" s="99">
        <v>0</v>
      </c>
      <c r="AI154" s="99">
        <v>4180.3186619342714</v>
      </c>
      <c r="AJ154" s="99">
        <v>0</v>
      </c>
      <c r="AK154" s="99">
        <v>0</v>
      </c>
      <c r="AL154" s="99">
        <v>0</v>
      </c>
      <c r="AM154" s="99">
        <v>0</v>
      </c>
      <c r="AN154" s="99">
        <v>0</v>
      </c>
      <c r="AO154" s="99">
        <v>0</v>
      </c>
      <c r="AP154" s="99">
        <v>0</v>
      </c>
      <c r="AQ154" s="99">
        <v>0</v>
      </c>
      <c r="AR154" s="99">
        <f t="shared" si="2"/>
        <v>12349.048655259869</v>
      </c>
    </row>
    <row r="155" spans="1:44" ht="15" x14ac:dyDescent="0.25">
      <c r="A155" s="258">
        <v>148</v>
      </c>
      <c r="B155" s="258" t="s">
        <v>303</v>
      </c>
      <c r="C155" s="258" t="s">
        <v>1477</v>
      </c>
      <c r="D155" s="859" t="s">
        <v>1478</v>
      </c>
      <c r="E155" s="99">
        <v>17.694842804954348</v>
      </c>
      <c r="F155" s="99">
        <v>0</v>
      </c>
      <c r="G155" s="99">
        <v>0</v>
      </c>
      <c r="H155" s="99">
        <v>0</v>
      </c>
      <c r="I155" s="99">
        <v>0</v>
      </c>
      <c r="J155" s="99">
        <v>0</v>
      </c>
      <c r="K155" s="99">
        <v>5554.2040694622892</v>
      </c>
      <c r="L155" s="99">
        <v>0</v>
      </c>
      <c r="M155" s="99">
        <v>0</v>
      </c>
      <c r="N155" s="99">
        <v>0</v>
      </c>
      <c r="O155" s="99">
        <v>0</v>
      </c>
      <c r="P155" s="99">
        <v>0</v>
      </c>
      <c r="Q155" s="99">
        <v>0</v>
      </c>
      <c r="R155" s="99">
        <v>0</v>
      </c>
      <c r="S155" s="99">
        <v>0</v>
      </c>
      <c r="T155" s="99">
        <v>0</v>
      </c>
      <c r="U155" s="99">
        <v>0</v>
      </c>
      <c r="V155" s="99">
        <v>0</v>
      </c>
      <c r="W155" s="99">
        <v>0</v>
      </c>
      <c r="X155" s="99">
        <v>0</v>
      </c>
      <c r="Y155" s="99">
        <v>0</v>
      </c>
      <c r="Z155" s="99">
        <v>0</v>
      </c>
      <c r="AA155" s="99">
        <v>0</v>
      </c>
      <c r="AB155" s="99">
        <v>0</v>
      </c>
      <c r="AC155" s="99">
        <v>0</v>
      </c>
      <c r="AD155" s="99">
        <v>0</v>
      </c>
      <c r="AE155" s="99">
        <v>0</v>
      </c>
      <c r="AF155" s="99">
        <v>4548.0553009111336</v>
      </c>
      <c r="AG155" s="99">
        <v>0</v>
      </c>
      <c r="AH155" s="99">
        <v>0</v>
      </c>
      <c r="AI155" s="99">
        <v>0</v>
      </c>
      <c r="AJ155" s="99">
        <v>0</v>
      </c>
      <c r="AK155" s="99">
        <v>0</v>
      </c>
      <c r="AL155" s="99">
        <v>0</v>
      </c>
      <c r="AM155" s="99">
        <v>0</v>
      </c>
      <c r="AN155" s="99">
        <v>0</v>
      </c>
      <c r="AO155" s="99">
        <v>0</v>
      </c>
      <c r="AP155" s="99">
        <v>0</v>
      </c>
      <c r="AQ155" s="99">
        <v>0</v>
      </c>
      <c r="AR155" s="99">
        <f t="shared" si="2"/>
        <v>10119.954213178378</v>
      </c>
    </row>
    <row r="156" spans="1:44" ht="15" x14ac:dyDescent="0.25">
      <c r="A156" s="258">
        <v>149</v>
      </c>
      <c r="B156" s="258" t="s">
        <v>303</v>
      </c>
      <c r="C156" s="258" t="s">
        <v>1477</v>
      </c>
      <c r="D156" s="859" t="s">
        <v>1479</v>
      </c>
      <c r="E156" s="99">
        <v>0</v>
      </c>
      <c r="F156" s="99">
        <v>17.943923794788319</v>
      </c>
      <c r="G156" s="99">
        <v>0</v>
      </c>
      <c r="H156" s="99">
        <v>6358.6954188728378</v>
      </c>
      <c r="I156" s="99">
        <v>0</v>
      </c>
      <c r="J156" s="99">
        <v>0</v>
      </c>
      <c r="K156" s="99">
        <v>26913.626371281778</v>
      </c>
      <c r="L156" s="99">
        <v>0</v>
      </c>
      <c r="M156" s="99">
        <v>0</v>
      </c>
      <c r="N156" s="99">
        <v>0</v>
      </c>
      <c r="O156" s="99">
        <v>0</v>
      </c>
      <c r="P156" s="99">
        <v>0</v>
      </c>
      <c r="Q156" s="99">
        <v>0</v>
      </c>
      <c r="R156" s="99">
        <v>0</v>
      </c>
      <c r="S156" s="99">
        <v>0</v>
      </c>
      <c r="T156" s="99">
        <v>0</v>
      </c>
      <c r="U156" s="99">
        <v>0</v>
      </c>
      <c r="V156" s="99">
        <v>0</v>
      </c>
      <c r="W156" s="99">
        <v>0</v>
      </c>
      <c r="X156" s="99">
        <v>0</v>
      </c>
      <c r="Y156" s="99">
        <v>0</v>
      </c>
      <c r="Z156" s="99">
        <v>0</v>
      </c>
      <c r="AA156" s="99">
        <v>0</v>
      </c>
      <c r="AB156" s="99">
        <v>0</v>
      </c>
      <c r="AC156" s="99">
        <v>0</v>
      </c>
      <c r="AD156" s="99">
        <v>0</v>
      </c>
      <c r="AE156" s="99">
        <v>0</v>
      </c>
      <c r="AF156" s="99">
        <v>2656.8083928762467</v>
      </c>
      <c r="AG156" s="99">
        <v>0</v>
      </c>
      <c r="AH156" s="99">
        <v>0</v>
      </c>
      <c r="AI156" s="99">
        <v>0</v>
      </c>
      <c r="AJ156" s="99">
        <v>0</v>
      </c>
      <c r="AK156" s="99">
        <v>0</v>
      </c>
      <c r="AL156" s="99">
        <v>0</v>
      </c>
      <c r="AM156" s="99">
        <v>0</v>
      </c>
      <c r="AN156" s="99">
        <v>0</v>
      </c>
      <c r="AO156" s="99">
        <v>0</v>
      </c>
      <c r="AP156" s="99">
        <v>0</v>
      </c>
      <c r="AQ156" s="99">
        <v>0</v>
      </c>
      <c r="AR156" s="99">
        <f t="shared" si="2"/>
        <v>35947.074106825654</v>
      </c>
    </row>
    <row r="157" spans="1:44" ht="15" x14ac:dyDescent="0.25">
      <c r="A157" s="258">
        <v>150</v>
      </c>
      <c r="B157" s="258" t="s">
        <v>303</v>
      </c>
      <c r="C157" s="258" t="s">
        <v>1477</v>
      </c>
      <c r="D157" s="859" t="s">
        <v>1480</v>
      </c>
      <c r="E157" s="99">
        <v>0</v>
      </c>
      <c r="F157" s="99">
        <v>655.88779787408544</v>
      </c>
      <c r="G157" s="99">
        <v>0</v>
      </c>
      <c r="H157" s="99">
        <v>7426.0038816920351</v>
      </c>
      <c r="I157" s="99">
        <v>0</v>
      </c>
      <c r="J157" s="99">
        <v>0</v>
      </c>
      <c r="K157" s="99">
        <v>27035.753451372602</v>
      </c>
      <c r="L157" s="99">
        <v>0</v>
      </c>
      <c r="M157" s="99">
        <v>0</v>
      </c>
      <c r="N157" s="99">
        <v>0</v>
      </c>
      <c r="O157" s="99">
        <v>0</v>
      </c>
      <c r="P157" s="99">
        <v>0</v>
      </c>
      <c r="Q157" s="99">
        <v>0</v>
      </c>
      <c r="R157" s="99">
        <v>0</v>
      </c>
      <c r="S157" s="99">
        <v>0</v>
      </c>
      <c r="T157" s="99">
        <v>0</v>
      </c>
      <c r="U157" s="99">
        <v>0</v>
      </c>
      <c r="V157" s="99">
        <v>0</v>
      </c>
      <c r="W157" s="99">
        <v>0</v>
      </c>
      <c r="X157" s="99">
        <v>0</v>
      </c>
      <c r="Y157" s="99">
        <v>0</v>
      </c>
      <c r="Z157" s="99">
        <v>0</v>
      </c>
      <c r="AA157" s="99">
        <v>0</v>
      </c>
      <c r="AB157" s="99">
        <v>0</v>
      </c>
      <c r="AC157" s="99">
        <v>0</v>
      </c>
      <c r="AD157" s="99">
        <v>0</v>
      </c>
      <c r="AE157" s="99">
        <v>0</v>
      </c>
      <c r="AF157" s="99">
        <v>0</v>
      </c>
      <c r="AG157" s="99">
        <v>0</v>
      </c>
      <c r="AH157" s="99">
        <v>0</v>
      </c>
      <c r="AI157" s="99">
        <v>0</v>
      </c>
      <c r="AJ157" s="99">
        <v>0</v>
      </c>
      <c r="AK157" s="99">
        <v>0</v>
      </c>
      <c r="AL157" s="99">
        <v>0</v>
      </c>
      <c r="AM157" s="99">
        <v>0</v>
      </c>
      <c r="AN157" s="99">
        <v>0</v>
      </c>
      <c r="AO157" s="99">
        <v>0</v>
      </c>
      <c r="AP157" s="99">
        <v>0</v>
      </c>
      <c r="AQ157" s="99">
        <v>0</v>
      </c>
      <c r="AR157" s="99">
        <f t="shared" si="2"/>
        <v>35117.645130938719</v>
      </c>
    </row>
    <row r="158" spans="1:44" ht="15" x14ac:dyDescent="0.25">
      <c r="A158" s="258">
        <v>151</v>
      </c>
      <c r="B158" s="258" t="s">
        <v>303</v>
      </c>
      <c r="C158" s="258" t="s">
        <v>1477</v>
      </c>
      <c r="D158" s="859" t="s">
        <v>1481</v>
      </c>
      <c r="E158" s="99">
        <v>0</v>
      </c>
      <c r="F158" s="99">
        <v>2619.252126420507</v>
      </c>
      <c r="G158" s="99">
        <v>0</v>
      </c>
      <c r="H158" s="99">
        <v>15673.803702581397</v>
      </c>
      <c r="I158" s="99">
        <v>0</v>
      </c>
      <c r="J158" s="99">
        <v>0</v>
      </c>
      <c r="K158" s="99">
        <v>47.289255378955886</v>
      </c>
      <c r="L158" s="99">
        <v>0</v>
      </c>
      <c r="M158" s="99">
        <v>0</v>
      </c>
      <c r="N158" s="99">
        <v>0</v>
      </c>
      <c r="O158" s="99">
        <v>0</v>
      </c>
      <c r="P158" s="99">
        <v>0</v>
      </c>
      <c r="Q158" s="99">
        <v>0</v>
      </c>
      <c r="R158" s="99">
        <v>0</v>
      </c>
      <c r="S158" s="99">
        <v>0</v>
      </c>
      <c r="T158" s="99">
        <v>0</v>
      </c>
      <c r="U158" s="99">
        <v>0</v>
      </c>
      <c r="V158" s="99">
        <v>0</v>
      </c>
      <c r="W158" s="99">
        <v>0</v>
      </c>
      <c r="X158" s="99">
        <v>0</v>
      </c>
      <c r="Y158" s="99">
        <v>0</v>
      </c>
      <c r="Z158" s="99">
        <v>0</v>
      </c>
      <c r="AA158" s="99">
        <v>0</v>
      </c>
      <c r="AB158" s="99">
        <v>0</v>
      </c>
      <c r="AC158" s="99">
        <v>0</v>
      </c>
      <c r="AD158" s="99">
        <v>0</v>
      </c>
      <c r="AE158" s="99">
        <v>0</v>
      </c>
      <c r="AF158" s="99">
        <v>0</v>
      </c>
      <c r="AG158" s="99">
        <v>0</v>
      </c>
      <c r="AH158" s="99">
        <v>0</v>
      </c>
      <c r="AI158" s="99">
        <v>0</v>
      </c>
      <c r="AJ158" s="99">
        <v>0</v>
      </c>
      <c r="AK158" s="99">
        <v>0</v>
      </c>
      <c r="AL158" s="99">
        <v>0</v>
      </c>
      <c r="AM158" s="99">
        <v>0</v>
      </c>
      <c r="AN158" s="99">
        <v>0</v>
      </c>
      <c r="AO158" s="99">
        <v>0</v>
      </c>
      <c r="AP158" s="99">
        <v>0</v>
      </c>
      <c r="AQ158" s="99">
        <v>0</v>
      </c>
      <c r="AR158" s="99">
        <f t="shared" si="2"/>
        <v>18340.34508438086</v>
      </c>
    </row>
    <row r="159" spans="1:44" ht="15" x14ac:dyDescent="0.25">
      <c r="A159" s="258">
        <v>152</v>
      </c>
      <c r="B159" s="258" t="s">
        <v>303</v>
      </c>
      <c r="C159" s="258" t="s">
        <v>1477</v>
      </c>
      <c r="D159" s="859" t="s">
        <v>1482</v>
      </c>
      <c r="E159" s="99">
        <v>0</v>
      </c>
      <c r="F159" s="99">
        <v>25058.689579421884</v>
      </c>
      <c r="G159" s="99">
        <v>0</v>
      </c>
      <c r="H159" s="99">
        <v>6703.8339247489857</v>
      </c>
      <c r="I159" s="99">
        <v>0</v>
      </c>
      <c r="J159" s="99">
        <v>0</v>
      </c>
      <c r="K159" s="99">
        <v>0</v>
      </c>
      <c r="L159" s="99">
        <v>0</v>
      </c>
      <c r="M159" s="99">
        <v>0</v>
      </c>
      <c r="N159" s="99">
        <v>0</v>
      </c>
      <c r="O159" s="99">
        <v>0</v>
      </c>
      <c r="P159" s="99">
        <v>0</v>
      </c>
      <c r="Q159" s="99">
        <v>0</v>
      </c>
      <c r="R159" s="99">
        <v>0</v>
      </c>
      <c r="S159" s="99">
        <v>0</v>
      </c>
      <c r="T159" s="99">
        <v>0</v>
      </c>
      <c r="U159" s="99">
        <v>0</v>
      </c>
      <c r="V159" s="99">
        <v>0</v>
      </c>
      <c r="W159" s="99">
        <v>0</v>
      </c>
      <c r="X159" s="99">
        <v>0</v>
      </c>
      <c r="Y159" s="99">
        <v>0</v>
      </c>
      <c r="Z159" s="99">
        <v>0</v>
      </c>
      <c r="AA159" s="99">
        <v>0</v>
      </c>
      <c r="AB159" s="99">
        <v>0</v>
      </c>
      <c r="AC159" s="99">
        <v>0</v>
      </c>
      <c r="AD159" s="99">
        <v>0</v>
      </c>
      <c r="AE159" s="99">
        <v>0</v>
      </c>
      <c r="AF159" s="99">
        <v>0</v>
      </c>
      <c r="AG159" s="99">
        <v>0</v>
      </c>
      <c r="AH159" s="99">
        <v>0</v>
      </c>
      <c r="AI159" s="99">
        <v>68.911156554207054</v>
      </c>
      <c r="AJ159" s="99">
        <v>0</v>
      </c>
      <c r="AK159" s="99">
        <v>0</v>
      </c>
      <c r="AL159" s="99">
        <v>0</v>
      </c>
      <c r="AM159" s="99">
        <v>0</v>
      </c>
      <c r="AN159" s="99">
        <v>0</v>
      </c>
      <c r="AO159" s="99">
        <v>0</v>
      </c>
      <c r="AP159" s="99">
        <v>0</v>
      </c>
      <c r="AQ159" s="99">
        <v>0</v>
      </c>
      <c r="AR159" s="99">
        <f t="shared" si="2"/>
        <v>31831.434660725077</v>
      </c>
    </row>
    <row r="160" spans="1:44" ht="15" x14ac:dyDescent="0.25">
      <c r="A160" s="258">
        <v>153</v>
      </c>
      <c r="B160" s="258" t="s">
        <v>303</v>
      </c>
      <c r="C160" s="258" t="s">
        <v>1477</v>
      </c>
      <c r="D160" s="859" t="s">
        <v>1483</v>
      </c>
      <c r="E160" s="99">
        <v>0</v>
      </c>
      <c r="F160" s="99">
        <v>6332.8966884502388</v>
      </c>
      <c r="G160" s="99">
        <v>0</v>
      </c>
      <c r="H160" s="99">
        <v>962.63013281193059</v>
      </c>
      <c r="I160" s="99">
        <v>0</v>
      </c>
      <c r="J160" s="99">
        <v>0</v>
      </c>
      <c r="K160" s="99">
        <v>0</v>
      </c>
      <c r="L160" s="99">
        <v>0</v>
      </c>
      <c r="M160" s="99">
        <v>0</v>
      </c>
      <c r="N160" s="99">
        <v>0</v>
      </c>
      <c r="O160" s="99">
        <v>0</v>
      </c>
      <c r="P160" s="99">
        <v>0</v>
      </c>
      <c r="Q160" s="99">
        <v>0</v>
      </c>
      <c r="R160" s="99">
        <v>0</v>
      </c>
      <c r="S160" s="99">
        <v>0</v>
      </c>
      <c r="T160" s="99">
        <v>0</v>
      </c>
      <c r="U160" s="99">
        <v>0</v>
      </c>
      <c r="V160" s="99">
        <v>0</v>
      </c>
      <c r="W160" s="99">
        <v>0</v>
      </c>
      <c r="X160" s="99">
        <v>0</v>
      </c>
      <c r="Y160" s="99">
        <v>0</v>
      </c>
      <c r="Z160" s="99">
        <v>0</v>
      </c>
      <c r="AA160" s="99">
        <v>0</v>
      </c>
      <c r="AB160" s="99">
        <v>0</v>
      </c>
      <c r="AC160" s="99">
        <v>0</v>
      </c>
      <c r="AD160" s="99">
        <v>0</v>
      </c>
      <c r="AE160" s="99">
        <v>0</v>
      </c>
      <c r="AF160" s="99">
        <v>0</v>
      </c>
      <c r="AG160" s="99">
        <v>0</v>
      </c>
      <c r="AH160" s="99">
        <v>0</v>
      </c>
      <c r="AI160" s="99">
        <v>0</v>
      </c>
      <c r="AJ160" s="99">
        <v>0</v>
      </c>
      <c r="AK160" s="99">
        <v>0</v>
      </c>
      <c r="AL160" s="99">
        <v>0</v>
      </c>
      <c r="AM160" s="99">
        <v>0</v>
      </c>
      <c r="AN160" s="99">
        <v>0</v>
      </c>
      <c r="AO160" s="99">
        <v>0</v>
      </c>
      <c r="AP160" s="99">
        <v>0</v>
      </c>
      <c r="AQ160" s="99">
        <v>0</v>
      </c>
      <c r="AR160" s="99">
        <f t="shared" si="2"/>
        <v>7295.5268212621695</v>
      </c>
    </row>
    <row r="161" spans="1:44" ht="15" x14ac:dyDescent="0.25">
      <c r="A161" s="258">
        <v>154</v>
      </c>
      <c r="B161" s="258" t="s">
        <v>303</v>
      </c>
      <c r="C161" s="258" t="s">
        <v>1477</v>
      </c>
      <c r="D161" s="859" t="s">
        <v>1484</v>
      </c>
      <c r="E161" s="99">
        <v>352.6329387558759</v>
      </c>
      <c r="F161" s="99">
        <v>16756.821086239353</v>
      </c>
      <c r="G161" s="99">
        <v>0</v>
      </c>
      <c r="H161" s="99">
        <v>2831.2093720819316</v>
      </c>
      <c r="I161" s="99">
        <v>0</v>
      </c>
      <c r="J161" s="99">
        <v>0</v>
      </c>
      <c r="K161" s="99">
        <v>0</v>
      </c>
      <c r="L161" s="99">
        <v>0</v>
      </c>
      <c r="M161" s="99">
        <v>0</v>
      </c>
      <c r="N161" s="99">
        <v>0</v>
      </c>
      <c r="O161" s="99">
        <v>0</v>
      </c>
      <c r="P161" s="99">
        <v>0</v>
      </c>
      <c r="Q161" s="99">
        <v>0</v>
      </c>
      <c r="R161" s="99">
        <v>0</v>
      </c>
      <c r="S161" s="99">
        <v>0</v>
      </c>
      <c r="T161" s="99">
        <v>0</v>
      </c>
      <c r="U161" s="99">
        <v>0</v>
      </c>
      <c r="V161" s="99">
        <v>0</v>
      </c>
      <c r="W161" s="99">
        <v>0</v>
      </c>
      <c r="X161" s="99">
        <v>0</v>
      </c>
      <c r="Y161" s="99">
        <v>0</v>
      </c>
      <c r="Z161" s="99">
        <v>0</v>
      </c>
      <c r="AA161" s="99">
        <v>0</v>
      </c>
      <c r="AB161" s="99">
        <v>0</v>
      </c>
      <c r="AC161" s="99">
        <v>0</v>
      </c>
      <c r="AD161" s="99">
        <v>0</v>
      </c>
      <c r="AE161" s="99">
        <v>0</v>
      </c>
      <c r="AF161" s="99">
        <v>0</v>
      </c>
      <c r="AG161" s="99">
        <v>0</v>
      </c>
      <c r="AH161" s="99">
        <v>0</v>
      </c>
      <c r="AI161" s="99">
        <v>9085.6036789883092</v>
      </c>
      <c r="AJ161" s="99">
        <v>0</v>
      </c>
      <c r="AK161" s="99">
        <v>0</v>
      </c>
      <c r="AL161" s="99">
        <v>0</v>
      </c>
      <c r="AM161" s="99">
        <v>0</v>
      </c>
      <c r="AN161" s="99">
        <v>0</v>
      </c>
      <c r="AO161" s="99">
        <v>0</v>
      </c>
      <c r="AP161" s="99">
        <v>0</v>
      </c>
      <c r="AQ161" s="99">
        <v>0</v>
      </c>
      <c r="AR161" s="99">
        <f t="shared" si="2"/>
        <v>29026.267076065473</v>
      </c>
    </row>
    <row r="162" spans="1:44" ht="15" x14ac:dyDescent="0.25">
      <c r="A162" s="258">
        <v>155</v>
      </c>
      <c r="B162" s="258" t="s">
        <v>331</v>
      </c>
      <c r="C162" s="258" t="s">
        <v>1485</v>
      </c>
      <c r="D162" s="859" t="s">
        <v>1486</v>
      </c>
      <c r="E162" s="99">
        <v>0</v>
      </c>
      <c r="F162" s="99">
        <v>0</v>
      </c>
      <c r="G162" s="99">
        <v>0</v>
      </c>
      <c r="H162" s="99">
        <v>0</v>
      </c>
      <c r="I162" s="99">
        <v>0</v>
      </c>
      <c r="J162" s="99">
        <v>0</v>
      </c>
      <c r="K162" s="99">
        <v>0</v>
      </c>
      <c r="L162" s="99">
        <v>0</v>
      </c>
      <c r="M162" s="99">
        <v>0</v>
      </c>
      <c r="N162" s="99">
        <v>0</v>
      </c>
      <c r="O162" s="99">
        <v>0</v>
      </c>
      <c r="P162" s="99">
        <v>0</v>
      </c>
      <c r="Q162" s="99">
        <v>0</v>
      </c>
      <c r="R162" s="99">
        <v>0</v>
      </c>
      <c r="S162" s="99">
        <v>0</v>
      </c>
      <c r="T162" s="99">
        <v>0</v>
      </c>
      <c r="U162" s="99">
        <v>0</v>
      </c>
      <c r="V162" s="99">
        <v>0</v>
      </c>
      <c r="W162" s="99">
        <v>0</v>
      </c>
      <c r="X162" s="99">
        <v>0</v>
      </c>
      <c r="Y162" s="99">
        <v>0</v>
      </c>
      <c r="Z162" s="99">
        <v>3.7637573762045151</v>
      </c>
      <c r="AA162" s="99">
        <v>0</v>
      </c>
      <c r="AB162" s="99">
        <v>0</v>
      </c>
      <c r="AC162" s="99">
        <v>0</v>
      </c>
      <c r="AD162" s="99">
        <v>0</v>
      </c>
      <c r="AE162" s="99">
        <v>0</v>
      </c>
      <c r="AF162" s="99">
        <v>0</v>
      </c>
      <c r="AG162" s="99">
        <v>0</v>
      </c>
      <c r="AH162" s="99">
        <v>0</v>
      </c>
      <c r="AI162" s="99">
        <v>0</v>
      </c>
      <c r="AJ162" s="99">
        <v>0</v>
      </c>
      <c r="AK162" s="99">
        <v>228.02222839569916</v>
      </c>
      <c r="AL162" s="99">
        <v>0</v>
      </c>
      <c r="AM162" s="99">
        <v>0</v>
      </c>
      <c r="AN162" s="99">
        <v>0</v>
      </c>
      <c r="AO162" s="99">
        <v>0</v>
      </c>
      <c r="AP162" s="99">
        <v>0</v>
      </c>
      <c r="AQ162" s="99">
        <v>0</v>
      </c>
      <c r="AR162" s="99">
        <f t="shared" si="2"/>
        <v>231.78598577190368</v>
      </c>
    </row>
    <row r="163" spans="1:44" ht="15" x14ac:dyDescent="0.25">
      <c r="A163" s="258">
        <v>156</v>
      </c>
      <c r="B163" s="258" t="s">
        <v>331</v>
      </c>
      <c r="C163" s="258" t="s">
        <v>1485</v>
      </c>
      <c r="D163" s="859" t="s">
        <v>1487</v>
      </c>
      <c r="E163" s="99">
        <v>2384.8013737486685</v>
      </c>
      <c r="F163" s="99">
        <v>0</v>
      </c>
      <c r="G163" s="99">
        <v>0</v>
      </c>
      <c r="H163" s="99">
        <v>0</v>
      </c>
      <c r="I163" s="99">
        <v>0</v>
      </c>
      <c r="J163" s="99">
        <v>0</v>
      </c>
      <c r="K163" s="99">
        <v>0</v>
      </c>
      <c r="L163" s="99">
        <v>0</v>
      </c>
      <c r="M163" s="99">
        <v>5269.0047958526875</v>
      </c>
      <c r="N163" s="99">
        <v>415.83041139165465</v>
      </c>
      <c r="O163" s="99">
        <v>0</v>
      </c>
      <c r="P163" s="99">
        <v>0</v>
      </c>
      <c r="Q163" s="99">
        <v>0</v>
      </c>
      <c r="R163" s="99">
        <v>0</v>
      </c>
      <c r="S163" s="99">
        <v>0</v>
      </c>
      <c r="T163" s="99">
        <v>0</v>
      </c>
      <c r="U163" s="99">
        <v>0</v>
      </c>
      <c r="V163" s="99">
        <v>0</v>
      </c>
      <c r="W163" s="99">
        <v>0</v>
      </c>
      <c r="X163" s="99">
        <v>0</v>
      </c>
      <c r="Y163" s="99">
        <v>0</v>
      </c>
      <c r="Z163" s="99">
        <v>7940.6424738206551</v>
      </c>
      <c r="AA163" s="99">
        <v>0</v>
      </c>
      <c r="AB163" s="99">
        <v>0</v>
      </c>
      <c r="AC163" s="99">
        <v>0</v>
      </c>
      <c r="AD163" s="99">
        <v>0</v>
      </c>
      <c r="AE163" s="99">
        <v>0</v>
      </c>
      <c r="AF163" s="99">
        <v>0</v>
      </c>
      <c r="AG163" s="99">
        <v>0</v>
      </c>
      <c r="AH163" s="99">
        <v>0</v>
      </c>
      <c r="AI163" s="99">
        <v>0</v>
      </c>
      <c r="AJ163" s="99">
        <v>0</v>
      </c>
      <c r="AK163" s="99">
        <v>80753.446716316728</v>
      </c>
      <c r="AL163" s="99">
        <v>0</v>
      </c>
      <c r="AM163" s="99">
        <v>0</v>
      </c>
      <c r="AN163" s="99">
        <v>0</v>
      </c>
      <c r="AO163" s="99">
        <v>0</v>
      </c>
      <c r="AP163" s="99">
        <v>0</v>
      </c>
      <c r="AQ163" s="99">
        <v>0</v>
      </c>
      <c r="AR163" s="99">
        <f t="shared" si="2"/>
        <v>96763.725771130397</v>
      </c>
    </row>
    <row r="164" spans="1:44" ht="15" x14ac:dyDescent="0.25">
      <c r="A164" s="258">
        <v>157</v>
      </c>
      <c r="B164" s="258" t="s">
        <v>331</v>
      </c>
      <c r="C164" s="258" t="s">
        <v>1485</v>
      </c>
      <c r="D164" s="859" t="s">
        <v>1488</v>
      </c>
      <c r="E164" s="99">
        <v>1.4745702337461954</v>
      </c>
      <c r="F164" s="99">
        <v>0</v>
      </c>
      <c r="G164" s="99">
        <v>0</v>
      </c>
      <c r="H164" s="99">
        <v>0</v>
      </c>
      <c r="I164" s="99">
        <v>0</v>
      </c>
      <c r="J164" s="99">
        <v>0</v>
      </c>
      <c r="K164" s="99">
        <v>0</v>
      </c>
      <c r="L164" s="99">
        <v>16.141861217048895</v>
      </c>
      <c r="M164" s="99">
        <v>0</v>
      </c>
      <c r="N164" s="99">
        <v>0</v>
      </c>
      <c r="O164" s="99">
        <v>0</v>
      </c>
      <c r="P164" s="99">
        <v>0</v>
      </c>
      <c r="Q164" s="99">
        <v>0</v>
      </c>
      <c r="R164" s="99">
        <v>0</v>
      </c>
      <c r="S164" s="99">
        <v>0</v>
      </c>
      <c r="T164" s="99">
        <v>0</v>
      </c>
      <c r="U164" s="99">
        <v>0</v>
      </c>
      <c r="V164" s="99">
        <v>0</v>
      </c>
      <c r="W164" s="99">
        <v>0</v>
      </c>
      <c r="X164" s="99">
        <v>0</v>
      </c>
      <c r="Y164" s="99">
        <v>0</v>
      </c>
      <c r="Z164" s="99">
        <v>0</v>
      </c>
      <c r="AA164" s="99">
        <v>0</v>
      </c>
      <c r="AB164" s="99">
        <v>0</v>
      </c>
      <c r="AC164" s="99">
        <v>0</v>
      </c>
      <c r="AD164" s="99">
        <v>0</v>
      </c>
      <c r="AE164" s="99">
        <v>0</v>
      </c>
      <c r="AF164" s="99">
        <v>0</v>
      </c>
      <c r="AG164" s="99">
        <v>0</v>
      </c>
      <c r="AH164" s="99">
        <v>0</v>
      </c>
      <c r="AI164" s="99">
        <v>0</v>
      </c>
      <c r="AJ164" s="99">
        <v>0</v>
      </c>
      <c r="AK164" s="99">
        <v>0</v>
      </c>
      <c r="AL164" s="99">
        <v>0</v>
      </c>
      <c r="AM164" s="99">
        <v>0</v>
      </c>
      <c r="AN164" s="99">
        <v>0</v>
      </c>
      <c r="AO164" s="99">
        <v>0</v>
      </c>
      <c r="AP164" s="99">
        <v>0</v>
      </c>
      <c r="AQ164" s="99">
        <v>0</v>
      </c>
      <c r="AR164" s="99">
        <f t="shared" si="2"/>
        <v>17.616431450795091</v>
      </c>
    </row>
    <row r="165" spans="1:44" ht="15" x14ac:dyDescent="0.25">
      <c r="A165" s="258">
        <v>158</v>
      </c>
      <c r="B165" s="258" t="s">
        <v>331</v>
      </c>
      <c r="C165" s="258" t="s">
        <v>1485</v>
      </c>
      <c r="D165" s="859" t="s">
        <v>1489</v>
      </c>
      <c r="E165" s="99">
        <v>686.5177702541215</v>
      </c>
      <c r="F165" s="99">
        <v>0</v>
      </c>
      <c r="G165" s="99">
        <v>0</v>
      </c>
      <c r="H165" s="99">
        <v>0</v>
      </c>
      <c r="I165" s="99">
        <v>0</v>
      </c>
      <c r="J165" s="99">
        <v>0</v>
      </c>
      <c r="K165" s="99">
        <v>0</v>
      </c>
      <c r="L165" s="99">
        <v>0</v>
      </c>
      <c r="M165" s="99">
        <v>36074.755896532901</v>
      </c>
      <c r="N165" s="99">
        <v>2.9112980960909312</v>
      </c>
      <c r="O165" s="99">
        <v>0</v>
      </c>
      <c r="P165" s="99">
        <v>0</v>
      </c>
      <c r="Q165" s="99">
        <v>0</v>
      </c>
      <c r="R165" s="99">
        <v>0</v>
      </c>
      <c r="S165" s="99">
        <v>0</v>
      </c>
      <c r="T165" s="99">
        <v>0</v>
      </c>
      <c r="U165" s="99">
        <v>0</v>
      </c>
      <c r="V165" s="99">
        <v>0</v>
      </c>
      <c r="W165" s="99">
        <v>0</v>
      </c>
      <c r="X165" s="99">
        <v>0</v>
      </c>
      <c r="Y165" s="99">
        <v>0</v>
      </c>
      <c r="Z165" s="99">
        <v>184.20271394130333</v>
      </c>
      <c r="AA165" s="99">
        <v>0</v>
      </c>
      <c r="AB165" s="99">
        <v>0</v>
      </c>
      <c r="AC165" s="99">
        <v>0</v>
      </c>
      <c r="AD165" s="99">
        <v>0</v>
      </c>
      <c r="AE165" s="99">
        <v>0</v>
      </c>
      <c r="AF165" s="99">
        <v>0</v>
      </c>
      <c r="AG165" s="99">
        <v>0</v>
      </c>
      <c r="AH165" s="99">
        <v>0</v>
      </c>
      <c r="AI165" s="99">
        <v>0</v>
      </c>
      <c r="AJ165" s="99">
        <v>0</v>
      </c>
      <c r="AK165" s="99">
        <v>14535.92326810466</v>
      </c>
      <c r="AL165" s="99">
        <v>0</v>
      </c>
      <c r="AM165" s="99">
        <v>0</v>
      </c>
      <c r="AN165" s="99">
        <v>0</v>
      </c>
      <c r="AO165" s="99">
        <v>0</v>
      </c>
      <c r="AP165" s="99">
        <v>0</v>
      </c>
      <c r="AQ165" s="99">
        <v>0</v>
      </c>
      <c r="AR165" s="99">
        <f t="shared" si="2"/>
        <v>51484.310946929079</v>
      </c>
    </row>
    <row r="166" spans="1:44" ht="15" x14ac:dyDescent="0.25">
      <c r="A166" s="258">
        <v>159</v>
      </c>
      <c r="B166" s="258" t="s">
        <v>331</v>
      </c>
      <c r="C166" s="258" t="s">
        <v>1485</v>
      </c>
      <c r="D166" s="859" t="s">
        <v>1490</v>
      </c>
      <c r="E166" s="99">
        <v>0</v>
      </c>
      <c r="F166" s="99">
        <v>0</v>
      </c>
      <c r="G166" s="99">
        <v>0</v>
      </c>
      <c r="H166" s="99">
        <v>0</v>
      </c>
      <c r="I166" s="99">
        <v>0</v>
      </c>
      <c r="J166" s="99">
        <v>0</v>
      </c>
      <c r="K166" s="99">
        <v>0</v>
      </c>
      <c r="L166" s="99">
        <v>3593.4965971362649</v>
      </c>
      <c r="M166" s="99">
        <v>0</v>
      </c>
      <c r="N166" s="99">
        <v>0</v>
      </c>
      <c r="O166" s="99">
        <v>0</v>
      </c>
      <c r="P166" s="99">
        <v>0</v>
      </c>
      <c r="Q166" s="99">
        <v>0</v>
      </c>
      <c r="R166" s="99">
        <v>0</v>
      </c>
      <c r="S166" s="99">
        <v>0</v>
      </c>
      <c r="T166" s="99">
        <v>0</v>
      </c>
      <c r="U166" s="99">
        <v>0</v>
      </c>
      <c r="V166" s="99">
        <v>0</v>
      </c>
      <c r="W166" s="99">
        <v>0</v>
      </c>
      <c r="X166" s="99">
        <v>0</v>
      </c>
      <c r="Y166" s="99">
        <v>0</v>
      </c>
      <c r="Z166" s="99">
        <v>0</v>
      </c>
      <c r="AA166" s="99">
        <v>0</v>
      </c>
      <c r="AB166" s="99">
        <v>0</v>
      </c>
      <c r="AC166" s="99">
        <v>0</v>
      </c>
      <c r="AD166" s="99">
        <v>0</v>
      </c>
      <c r="AE166" s="99">
        <v>0</v>
      </c>
      <c r="AF166" s="99">
        <v>0</v>
      </c>
      <c r="AG166" s="99">
        <v>0</v>
      </c>
      <c r="AH166" s="99">
        <v>0</v>
      </c>
      <c r="AI166" s="99">
        <v>0</v>
      </c>
      <c r="AJ166" s="99">
        <v>0</v>
      </c>
      <c r="AK166" s="99">
        <v>0</v>
      </c>
      <c r="AL166" s="99">
        <v>0</v>
      </c>
      <c r="AM166" s="99">
        <v>0</v>
      </c>
      <c r="AN166" s="99">
        <v>0</v>
      </c>
      <c r="AO166" s="99">
        <v>0</v>
      </c>
      <c r="AP166" s="99">
        <v>0</v>
      </c>
      <c r="AQ166" s="99">
        <v>0</v>
      </c>
      <c r="AR166" s="99">
        <f t="shared" si="2"/>
        <v>3593.4965971362649</v>
      </c>
    </row>
    <row r="167" spans="1:44" ht="15" x14ac:dyDescent="0.25">
      <c r="A167" s="258">
        <v>160</v>
      </c>
      <c r="B167" s="258" t="s">
        <v>331</v>
      </c>
      <c r="C167" s="258" t="s">
        <v>1485</v>
      </c>
      <c r="D167" s="859" t="s">
        <v>1491</v>
      </c>
      <c r="E167" s="99">
        <v>0</v>
      </c>
      <c r="F167" s="99">
        <v>0</v>
      </c>
      <c r="G167" s="99">
        <v>0</v>
      </c>
      <c r="H167" s="99">
        <v>0</v>
      </c>
      <c r="I167" s="99">
        <v>0</v>
      </c>
      <c r="J167" s="99">
        <v>0</v>
      </c>
      <c r="K167" s="99">
        <v>0</v>
      </c>
      <c r="L167" s="99">
        <v>31896.5451150466</v>
      </c>
      <c r="M167" s="99">
        <v>0</v>
      </c>
      <c r="N167" s="99">
        <v>0</v>
      </c>
      <c r="O167" s="99">
        <v>0</v>
      </c>
      <c r="P167" s="99">
        <v>0</v>
      </c>
      <c r="Q167" s="99">
        <v>0</v>
      </c>
      <c r="R167" s="99">
        <v>0</v>
      </c>
      <c r="S167" s="99">
        <v>0</v>
      </c>
      <c r="T167" s="99">
        <v>0</v>
      </c>
      <c r="U167" s="99">
        <v>0</v>
      </c>
      <c r="V167" s="99">
        <v>0</v>
      </c>
      <c r="W167" s="99">
        <v>0</v>
      </c>
      <c r="X167" s="99">
        <v>0</v>
      </c>
      <c r="Y167" s="99">
        <v>0</v>
      </c>
      <c r="Z167" s="99">
        <v>0</v>
      </c>
      <c r="AA167" s="99">
        <v>0</v>
      </c>
      <c r="AB167" s="99">
        <v>0</v>
      </c>
      <c r="AC167" s="99">
        <v>0</v>
      </c>
      <c r="AD167" s="99">
        <v>0</v>
      </c>
      <c r="AE167" s="99">
        <v>0</v>
      </c>
      <c r="AF167" s="99">
        <v>0</v>
      </c>
      <c r="AG167" s="99">
        <v>0</v>
      </c>
      <c r="AH167" s="99">
        <v>0</v>
      </c>
      <c r="AI167" s="99">
        <v>0</v>
      </c>
      <c r="AJ167" s="99">
        <v>0</v>
      </c>
      <c r="AK167" s="99">
        <v>0</v>
      </c>
      <c r="AL167" s="99">
        <v>53.591649957836658</v>
      </c>
      <c r="AM167" s="99">
        <v>0</v>
      </c>
      <c r="AN167" s="99">
        <v>0</v>
      </c>
      <c r="AO167" s="99">
        <v>0</v>
      </c>
      <c r="AP167" s="99">
        <v>0</v>
      </c>
      <c r="AQ167" s="99">
        <v>0</v>
      </c>
      <c r="AR167" s="99">
        <f t="shared" si="2"/>
        <v>31950.136765004438</v>
      </c>
    </row>
    <row r="168" spans="1:44" ht="15" x14ac:dyDescent="0.25">
      <c r="A168" s="258">
        <v>161</v>
      </c>
      <c r="B168" s="258" t="s">
        <v>331</v>
      </c>
      <c r="C168" s="258" t="s">
        <v>1485</v>
      </c>
      <c r="D168" s="859" t="s">
        <v>1492</v>
      </c>
      <c r="E168" s="99">
        <v>18293.939625636373</v>
      </c>
      <c r="F168" s="99">
        <v>0</v>
      </c>
      <c r="G168" s="99">
        <v>0</v>
      </c>
      <c r="H168" s="99">
        <v>0</v>
      </c>
      <c r="I168" s="99">
        <v>0</v>
      </c>
      <c r="J168" s="99">
        <v>0</v>
      </c>
      <c r="K168" s="99">
        <v>0</v>
      </c>
      <c r="L168" s="99">
        <v>34177.09454981023</v>
      </c>
      <c r="M168" s="99">
        <v>0</v>
      </c>
      <c r="N168" s="99">
        <v>0</v>
      </c>
      <c r="O168" s="99">
        <v>0</v>
      </c>
      <c r="P168" s="99">
        <v>0</v>
      </c>
      <c r="Q168" s="99">
        <v>0</v>
      </c>
      <c r="R168" s="99">
        <v>0</v>
      </c>
      <c r="S168" s="99">
        <v>0</v>
      </c>
      <c r="T168" s="99">
        <v>0</v>
      </c>
      <c r="U168" s="99">
        <v>0</v>
      </c>
      <c r="V168" s="99">
        <v>0</v>
      </c>
      <c r="W168" s="99">
        <v>0</v>
      </c>
      <c r="X168" s="99">
        <v>0</v>
      </c>
      <c r="Y168" s="99">
        <v>0</v>
      </c>
      <c r="Z168" s="99">
        <v>0</v>
      </c>
      <c r="AA168" s="99">
        <v>0</v>
      </c>
      <c r="AB168" s="99">
        <v>0</v>
      </c>
      <c r="AC168" s="99">
        <v>0</v>
      </c>
      <c r="AD168" s="99">
        <v>0</v>
      </c>
      <c r="AE168" s="99">
        <v>0</v>
      </c>
      <c r="AF168" s="99">
        <v>0</v>
      </c>
      <c r="AG168" s="99">
        <v>0</v>
      </c>
      <c r="AH168" s="99">
        <v>0</v>
      </c>
      <c r="AI168" s="99">
        <v>0</v>
      </c>
      <c r="AJ168" s="99">
        <v>0</v>
      </c>
      <c r="AK168" s="99">
        <v>36953.207716330922</v>
      </c>
      <c r="AL168" s="99">
        <v>0</v>
      </c>
      <c r="AM168" s="99">
        <v>0</v>
      </c>
      <c r="AN168" s="99">
        <v>0</v>
      </c>
      <c r="AO168" s="99">
        <v>0</v>
      </c>
      <c r="AP168" s="99">
        <v>0</v>
      </c>
      <c r="AQ168" s="99">
        <v>0</v>
      </c>
      <c r="AR168" s="99">
        <f t="shared" si="2"/>
        <v>89424.241891777521</v>
      </c>
    </row>
    <row r="169" spans="1:44" ht="15" x14ac:dyDescent="0.25">
      <c r="A169" s="258">
        <v>162</v>
      </c>
      <c r="B169" s="258" t="s">
        <v>331</v>
      </c>
      <c r="C169" s="258" t="s">
        <v>1485</v>
      </c>
      <c r="D169" s="859" t="s">
        <v>1493</v>
      </c>
      <c r="E169" s="99">
        <v>13129.573361276123</v>
      </c>
      <c r="F169" s="99">
        <v>0</v>
      </c>
      <c r="G169" s="99">
        <v>0</v>
      </c>
      <c r="H169" s="99">
        <v>0</v>
      </c>
      <c r="I169" s="99">
        <v>0</v>
      </c>
      <c r="J169" s="99">
        <v>0</v>
      </c>
      <c r="K169" s="99">
        <v>0</v>
      </c>
      <c r="L169" s="99">
        <v>20653.852452451039</v>
      </c>
      <c r="M169" s="99">
        <v>1146.699244982364</v>
      </c>
      <c r="N169" s="99">
        <v>0</v>
      </c>
      <c r="O169" s="99">
        <v>0</v>
      </c>
      <c r="P169" s="99">
        <v>0</v>
      </c>
      <c r="Q169" s="99">
        <v>0</v>
      </c>
      <c r="R169" s="99">
        <v>0</v>
      </c>
      <c r="S169" s="99">
        <v>0</v>
      </c>
      <c r="T169" s="99">
        <v>0</v>
      </c>
      <c r="U169" s="99">
        <v>0</v>
      </c>
      <c r="V169" s="99">
        <v>0</v>
      </c>
      <c r="W169" s="99">
        <v>0</v>
      </c>
      <c r="X169" s="99">
        <v>0</v>
      </c>
      <c r="Y169" s="99">
        <v>0</v>
      </c>
      <c r="Z169" s="99">
        <v>0</v>
      </c>
      <c r="AA169" s="99">
        <v>0</v>
      </c>
      <c r="AB169" s="99">
        <v>0</v>
      </c>
      <c r="AC169" s="99">
        <v>0</v>
      </c>
      <c r="AD169" s="99">
        <v>0</v>
      </c>
      <c r="AE169" s="99">
        <v>0</v>
      </c>
      <c r="AF169" s="99">
        <v>0</v>
      </c>
      <c r="AG169" s="99">
        <v>0</v>
      </c>
      <c r="AH169" s="99">
        <v>2302.9347969451928</v>
      </c>
      <c r="AI169" s="99">
        <v>0</v>
      </c>
      <c r="AJ169" s="99">
        <v>0</v>
      </c>
      <c r="AK169" s="99">
        <v>0</v>
      </c>
      <c r="AL169" s="99">
        <v>0</v>
      </c>
      <c r="AM169" s="99">
        <v>0</v>
      </c>
      <c r="AN169" s="99">
        <v>0</v>
      </c>
      <c r="AO169" s="99">
        <v>0</v>
      </c>
      <c r="AP169" s="99">
        <v>0</v>
      </c>
      <c r="AQ169" s="99">
        <v>0</v>
      </c>
      <c r="AR169" s="99">
        <f t="shared" si="2"/>
        <v>37233.059855654719</v>
      </c>
    </row>
    <row r="170" spans="1:44" ht="15" x14ac:dyDescent="0.25">
      <c r="A170" s="258">
        <v>163</v>
      </c>
      <c r="B170" s="258" t="s">
        <v>313</v>
      </c>
      <c r="C170" s="258" t="s">
        <v>1494</v>
      </c>
      <c r="D170" s="859" t="s">
        <v>1495</v>
      </c>
      <c r="E170" s="99">
        <v>226.87316310637894</v>
      </c>
      <c r="F170" s="99">
        <v>0</v>
      </c>
      <c r="G170" s="99">
        <v>0</v>
      </c>
      <c r="H170" s="99">
        <v>0</v>
      </c>
      <c r="I170" s="99">
        <v>0</v>
      </c>
      <c r="J170" s="99">
        <v>0</v>
      </c>
      <c r="K170" s="99">
        <v>0</v>
      </c>
      <c r="L170" s="99">
        <v>0</v>
      </c>
      <c r="M170" s="99">
        <v>1739.2722856155503</v>
      </c>
      <c r="N170" s="99">
        <v>432.57037544417756</v>
      </c>
      <c r="O170" s="99">
        <v>0</v>
      </c>
      <c r="P170" s="99">
        <v>307.28787531497863</v>
      </c>
      <c r="Q170" s="99">
        <v>0</v>
      </c>
      <c r="R170" s="99">
        <v>0</v>
      </c>
      <c r="S170" s="99">
        <v>0</v>
      </c>
      <c r="T170" s="99">
        <v>0</v>
      </c>
      <c r="U170" s="99">
        <v>0</v>
      </c>
      <c r="V170" s="99">
        <v>0</v>
      </c>
      <c r="W170" s="99">
        <v>0</v>
      </c>
      <c r="X170" s="99">
        <v>0</v>
      </c>
      <c r="Y170" s="99">
        <v>0</v>
      </c>
      <c r="Z170" s="99">
        <v>0</v>
      </c>
      <c r="AA170" s="99">
        <v>0</v>
      </c>
      <c r="AB170" s="99">
        <v>0</v>
      </c>
      <c r="AC170" s="99">
        <v>0</v>
      </c>
      <c r="AD170" s="99">
        <v>0</v>
      </c>
      <c r="AE170" s="99">
        <v>26802.628721667483</v>
      </c>
      <c r="AF170" s="99">
        <v>0</v>
      </c>
      <c r="AG170" s="99">
        <v>0</v>
      </c>
      <c r="AH170" s="99">
        <v>0</v>
      </c>
      <c r="AI170" s="99">
        <v>0</v>
      </c>
      <c r="AJ170" s="99">
        <v>0</v>
      </c>
      <c r="AK170" s="99">
        <v>0</v>
      </c>
      <c r="AL170" s="99">
        <v>0</v>
      </c>
      <c r="AM170" s="99">
        <v>0</v>
      </c>
      <c r="AN170" s="99">
        <v>0</v>
      </c>
      <c r="AO170" s="99">
        <v>0</v>
      </c>
      <c r="AP170" s="99">
        <v>0</v>
      </c>
      <c r="AQ170" s="99">
        <v>0</v>
      </c>
      <c r="AR170" s="99">
        <f t="shared" si="2"/>
        <v>29508.63242114857</v>
      </c>
    </row>
    <row r="171" spans="1:44" ht="15" x14ac:dyDescent="0.25">
      <c r="A171" s="258">
        <v>164</v>
      </c>
      <c r="B171" s="258" t="s">
        <v>313</v>
      </c>
      <c r="C171" s="258" t="s">
        <v>1494</v>
      </c>
      <c r="D171" s="859" t="s">
        <v>1496</v>
      </c>
      <c r="E171" s="99">
        <v>256.99652645290837</v>
      </c>
      <c r="F171" s="99">
        <v>0</v>
      </c>
      <c r="G171" s="99">
        <v>0</v>
      </c>
      <c r="H171" s="99">
        <v>0</v>
      </c>
      <c r="I171" s="99">
        <v>0</v>
      </c>
      <c r="J171" s="99">
        <v>0</v>
      </c>
      <c r="K171" s="99">
        <v>0</v>
      </c>
      <c r="L171" s="99">
        <v>0</v>
      </c>
      <c r="M171" s="99">
        <v>0</v>
      </c>
      <c r="N171" s="99">
        <v>0</v>
      </c>
      <c r="O171" s="99">
        <v>0</v>
      </c>
      <c r="P171" s="99">
        <v>0</v>
      </c>
      <c r="Q171" s="99">
        <v>0</v>
      </c>
      <c r="R171" s="99">
        <v>0</v>
      </c>
      <c r="S171" s="99">
        <v>0</v>
      </c>
      <c r="T171" s="99">
        <v>0</v>
      </c>
      <c r="U171" s="99">
        <v>0</v>
      </c>
      <c r="V171" s="99">
        <v>0</v>
      </c>
      <c r="W171" s="99">
        <v>0</v>
      </c>
      <c r="X171" s="99">
        <v>0</v>
      </c>
      <c r="Y171" s="99">
        <v>0</v>
      </c>
      <c r="Z171" s="99">
        <v>0</v>
      </c>
      <c r="AA171" s="99">
        <v>0</v>
      </c>
      <c r="AB171" s="99">
        <v>0</v>
      </c>
      <c r="AC171" s="99">
        <v>0</v>
      </c>
      <c r="AD171" s="99">
        <v>0</v>
      </c>
      <c r="AE171" s="99">
        <v>25555.957634113831</v>
      </c>
      <c r="AF171" s="99">
        <v>0</v>
      </c>
      <c r="AG171" s="99">
        <v>0</v>
      </c>
      <c r="AH171" s="99">
        <v>0</v>
      </c>
      <c r="AI171" s="99">
        <v>0</v>
      </c>
      <c r="AJ171" s="99">
        <v>0</v>
      </c>
      <c r="AK171" s="99">
        <v>0</v>
      </c>
      <c r="AL171" s="99">
        <v>0</v>
      </c>
      <c r="AM171" s="99">
        <v>0</v>
      </c>
      <c r="AN171" s="99">
        <v>0</v>
      </c>
      <c r="AO171" s="99">
        <v>0</v>
      </c>
      <c r="AP171" s="99">
        <v>0</v>
      </c>
      <c r="AQ171" s="99">
        <v>0</v>
      </c>
      <c r="AR171" s="99">
        <f t="shared" si="2"/>
        <v>25812.95416056674</v>
      </c>
    </row>
    <row r="172" spans="1:44" ht="15" x14ac:dyDescent="0.25">
      <c r="A172" s="258">
        <v>165</v>
      </c>
      <c r="B172" s="258" t="s">
        <v>313</v>
      </c>
      <c r="C172" s="258" t="s">
        <v>1494</v>
      </c>
      <c r="D172" s="859" t="s">
        <v>1497</v>
      </c>
      <c r="E172" s="99">
        <v>0</v>
      </c>
      <c r="F172" s="99">
        <v>0</v>
      </c>
      <c r="G172" s="99">
        <v>0</v>
      </c>
      <c r="H172" s="99">
        <v>0</v>
      </c>
      <c r="I172" s="99">
        <v>0</v>
      </c>
      <c r="J172" s="99">
        <v>0</v>
      </c>
      <c r="K172" s="99">
        <v>0</v>
      </c>
      <c r="L172" s="99">
        <v>0</v>
      </c>
      <c r="M172" s="99">
        <v>34056.520519740348</v>
      </c>
      <c r="N172" s="99">
        <v>1216.9226041660093</v>
      </c>
      <c r="O172" s="99">
        <v>0</v>
      </c>
      <c r="P172" s="99">
        <v>0</v>
      </c>
      <c r="Q172" s="99">
        <v>0</v>
      </c>
      <c r="R172" s="99">
        <v>0</v>
      </c>
      <c r="S172" s="99">
        <v>0</v>
      </c>
      <c r="T172" s="99">
        <v>0</v>
      </c>
      <c r="U172" s="99">
        <v>0</v>
      </c>
      <c r="V172" s="99">
        <v>0</v>
      </c>
      <c r="W172" s="99">
        <v>0</v>
      </c>
      <c r="X172" s="99">
        <v>0</v>
      </c>
      <c r="Y172" s="99">
        <v>0</v>
      </c>
      <c r="Z172" s="99">
        <v>0</v>
      </c>
      <c r="AA172" s="99">
        <v>0</v>
      </c>
      <c r="AB172" s="99">
        <v>0</v>
      </c>
      <c r="AC172" s="99">
        <v>0</v>
      </c>
      <c r="AD172" s="99">
        <v>0</v>
      </c>
      <c r="AE172" s="99">
        <v>11013.32748770539</v>
      </c>
      <c r="AF172" s="99">
        <v>0</v>
      </c>
      <c r="AG172" s="99">
        <v>0</v>
      </c>
      <c r="AH172" s="99">
        <v>0</v>
      </c>
      <c r="AI172" s="99">
        <v>0</v>
      </c>
      <c r="AJ172" s="99">
        <v>0</v>
      </c>
      <c r="AK172" s="99">
        <v>30564.854447446985</v>
      </c>
      <c r="AL172" s="99">
        <v>8632.6126879237218</v>
      </c>
      <c r="AM172" s="99">
        <v>0</v>
      </c>
      <c r="AN172" s="99">
        <v>0</v>
      </c>
      <c r="AO172" s="99">
        <v>0</v>
      </c>
      <c r="AP172" s="99">
        <v>0</v>
      </c>
      <c r="AQ172" s="99">
        <v>0</v>
      </c>
      <c r="AR172" s="99">
        <f t="shared" si="2"/>
        <v>85484.237746982457</v>
      </c>
    </row>
    <row r="173" spans="1:44" ht="15" x14ac:dyDescent="0.25">
      <c r="A173" s="258">
        <v>166</v>
      </c>
      <c r="B173" s="258" t="s">
        <v>313</v>
      </c>
      <c r="C173" s="258" t="s">
        <v>1494</v>
      </c>
      <c r="D173" s="859" t="s">
        <v>1498</v>
      </c>
      <c r="E173" s="99">
        <v>0</v>
      </c>
      <c r="F173" s="99">
        <v>0</v>
      </c>
      <c r="G173" s="99">
        <v>0</v>
      </c>
      <c r="H173" s="99">
        <v>0</v>
      </c>
      <c r="I173" s="99">
        <v>0</v>
      </c>
      <c r="J173" s="99">
        <v>0</v>
      </c>
      <c r="K173" s="99">
        <v>0</v>
      </c>
      <c r="L173" s="99">
        <v>0</v>
      </c>
      <c r="M173" s="99">
        <v>70112.723582485036</v>
      </c>
      <c r="N173" s="99">
        <v>1993.7539794729394</v>
      </c>
      <c r="O173" s="99">
        <v>0</v>
      </c>
      <c r="P173" s="99">
        <v>0</v>
      </c>
      <c r="Q173" s="99">
        <v>0</v>
      </c>
      <c r="R173" s="99">
        <v>0</v>
      </c>
      <c r="S173" s="99">
        <v>0</v>
      </c>
      <c r="T173" s="99">
        <v>0</v>
      </c>
      <c r="U173" s="99">
        <v>0</v>
      </c>
      <c r="V173" s="99">
        <v>0</v>
      </c>
      <c r="W173" s="99">
        <v>0</v>
      </c>
      <c r="X173" s="99">
        <v>0</v>
      </c>
      <c r="Y173" s="99">
        <v>0</v>
      </c>
      <c r="Z173" s="99">
        <v>0</v>
      </c>
      <c r="AA173" s="99">
        <v>0</v>
      </c>
      <c r="AB173" s="99">
        <v>0</v>
      </c>
      <c r="AC173" s="99">
        <v>0</v>
      </c>
      <c r="AD173" s="99">
        <v>0</v>
      </c>
      <c r="AE173" s="99">
        <v>0</v>
      </c>
      <c r="AF173" s="99">
        <v>0</v>
      </c>
      <c r="AG173" s="99">
        <v>0</v>
      </c>
      <c r="AH173" s="99">
        <v>0</v>
      </c>
      <c r="AI173" s="99">
        <v>0</v>
      </c>
      <c r="AJ173" s="99">
        <v>0</v>
      </c>
      <c r="AK173" s="99">
        <v>0</v>
      </c>
      <c r="AL173" s="99">
        <v>44.877560533798174</v>
      </c>
      <c r="AM173" s="99">
        <v>0</v>
      </c>
      <c r="AN173" s="99">
        <v>0</v>
      </c>
      <c r="AO173" s="99">
        <v>0</v>
      </c>
      <c r="AP173" s="99">
        <v>0</v>
      </c>
      <c r="AQ173" s="99">
        <v>0</v>
      </c>
      <c r="AR173" s="99">
        <f t="shared" si="2"/>
        <v>72151.355122491776</v>
      </c>
    </row>
    <row r="174" spans="1:44" ht="15" x14ac:dyDescent="0.25">
      <c r="A174" s="258">
        <v>167</v>
      </c>
      <c r="B174" s="258" t="s">
        <v>313</v>
      </c>
      <c r="C174" s="258" t="s">
        <v>1494</v>
      </c>
      <c r="D174" s="859" t="s">
        <v>1499</v>
      </c>
      <c r="E174" s="99">
        <v>0</v>
      </c>
      <c r="F174" s="99">
        <v>0</v>
      </c>
      <c r="G174" s="99">
        <v>0</v>
      </c>
      <c r="H174" s="99">
        <v>0</v>
      </c>
      <c r="I174" s="99">
        <v>0</v>
      </c>
      <c r="J174" s="99">
        <v>0</v>
      </c>
      <c r="K174" s="99">
        <v>0</v>
      </c>
      <c r="L174" s="99">
        <v>0</v>
      </c>
      <c r="M174" s="99">
        <v>27355.371072308328</v>
      </c>
      <c r="N174" s="99">
        <v>0</v>
      </c>
      <c r="O174" s="99">
        <v>0</v>
      </c>
      <c r="P174" s="99">
        <v>0</v>
      </c>
      <c r="Q174" s="99">
        <v>0</v>
      </c>
      <c r="R174" s="99">
        <v>0</v>
      </c>
      <c r="S174" s="99">
        <v>0</v>
      </c>
      <c r="T174" s="99">
        <v>0</v>
      </c>
      <c r="U174" s="99">
        <v>0</v>
      </c>
      <c r="V174" s="99">
        <v>0</v>
      </c>
      <c r="W174" s="99">
        <v>0</v>
      </c>
      <c r="X174" s="99">
        <v>0</v>
      </c>
      <c r="Y174" s="99">
        <v>0</v>
      </c>
      <c r="Z174" s="99">
        <v>0</v>
      </c>
      <c r="AA174" s="99">
        <v>0</v>
      </c>
      <c r="AB174" s="99">
        <v>0</v>
      </c>
      <c r="AC174" s="99">
        <v>0</v>
      </c>
      <c r="AD174" s="99">
        <v>0</v>
      </c>
      <c r="AE174" s="99">
        <v>0</v>
      </c>
      <c r="AF174" s="99">
        <v>0</v>
      </c>
      <c r="AG174" s="99">
        <v>0</v>
      </c>
      <c r="AH174" s="99">
        <v>0</v>
      </c>
      <c r="AI174" s="99">
        <v>0</v>
      </c>
      <c r="AJ174" s="99">
        <v>0</v>
      </c>
      <c r="AK174" s="99">
        <v>17830.943226846746</v>
      </c>
      <c r="AL174" s="99">
        <v>0</v>
      </c>
      <c r="AM174" s="99">
        <v>0</v>
      </c>
      <c r="AN174" s="99">
        <v>0</v>
      </c>
      <c r="AO174" s="99">
        <v>0</v>
      </c>
      <c r="AP174" s="99">
        <v>0</v>
      </c>
      <c r="AQ174" s="99">
        <v>0</v>
      </c>
      <c r="AR174" s="99">
        <f t="shared" si="2"/>
        <v>45186.31429915507</v>
      </c>
    </row>
    <row r="175" spans="1:44" ht="15" x14ac:dyDescent="0.25">
      <c r="A175" s="258">
        <v>168</v>
      </c>
      <c r="B175" s="258" t="s">
        <v>313</v>
      </c>
      <c r="C175" s="258" t="s">
        <v>1494</v>
      </c>
      <c r="D175" s="859" t="s">
        <v>1500</v>
      </c>
      <c r="E175" s="99">
        <v>9859.6085414986683</v>
      </c>
      <c r="F175" s="99">
        <v>0</v>
      </c>
      <c r="G175" s="99">
        <v>0</v>
      </c>
      <c r="H175" s="99">
        <v>0</v>
      </c>
      <c r="I175" s="99">
        <v>0</v>
      </c>
      <c r="J175" s="99">
        <v>0</v>
      </c>
      <c r="K175" s="99">
        <v>0</v>
      </c>
      <c r="L175" s="99">
        <v>0</v>
      </c>
      <c r="M175" s="99">
        <v>14528.880609232689</v>
      </c>
      <c r="N175" s="99">
        <v>0</v>
      </c>
      <c r="O175" s="99">
        <v>0</v>
      </c>
      <c r="P175" s="99">
        <v>0</v>
      </c>
      <c r="Q175" s="99">
        <v>0</v>
      </c>
      <c r="R175" s="99">
        <v>0</v>
      </c>
      <c r="S175" s="99">
        <v>0</v>
      </c>
      <c r="T175" s="99">
        <v>0</v>
      </c>
      <c r="U175" s="99">
        <v>0</v>
      </c>
      <c r="V175" s="99">
        <v>0</v>
      </c>
      <c r="W175" s="99">
        <v>0</v>
      </c>
      <c r="X175" s="99">
        <v>0</v>
      </c>
      <c r="Y175" s="99">
        <v>0</v>
      </c>
      <c r="Z175" s="99">
        <v>0</v>
      </c>
      <c r="AA175" s="99">
        <v>0</v>
      </c>
      <c r="AB175" s="99">
        <v>0</v>
      </c>
      <c r="AC175" s="99">
        <v>0</v>
      </c>
      <c r="AD175" s="99">
        <v>0</v>
      </c>
      <c r="AE175" s="99">
        <v>0</v>
      </c>
      <c r="AF175" s="99">
        <v>0</v>
      </c>
      <c r="AG175" s="99">
        <v>0</v>
      </c>
      <c r="AH175" s="99">
        <v>0</v>
      </c>
      <c r="AI175" s="99">
        <v>0</v>
      </c>
      <c r="AJ175" s="99">
        <v>0</v>
      </c>
      <c r="AK175" s="99">
        <v>42519.013042936625</v>
      </c>
      <c r="AL175" s="99">
        <v>6280.6799523757345</v>
      </c>
      <c r="AM175" s="99">
        <v>0</v>
      </c>
      <c r="AN175" s="99">
        <v>0</v>
      </c>
      <c r="AO175" s="99">
        <v>0</v>
      </c>
      <c r="AP175" s="99">
        <v>0</v>
      </c>
      <c r="AQ175" s="99">
        <v>0</v>
      </c>
      <c r="AR175" s="99">
        <f t="shared" si="2"/>
        <v>73188.18214604372</v>
      </c>
    </row>
    <row r="176" spans="1:44" ht="15" x14ac:dyDescent="0.25">
      <c r="A176" s="258">
        <v>169</v>
      </c>
      <c r="B176" s="258" t="s">
        <v>341</v>
      </c>
      <c r="C176" s="258" t="s">
        <v>1501</v>
      </c>
      <c r="D176" s="859" t="s">
        <v>1502</v>
      </c>
      <c r="E176" s="99">
        <v>0</v>
      </c>
      <c r="F176" s="99">
        <v>0</v>
      </c>
      <c r="G176" s="99">
        <v>0</v>
      </c>
      <c r="H176" s="99">
        <v>0</v>
      </c>
      <c r="I176" s="99">
        <v>30797.002076815603</v>
      </c>
      <c r="J176" s="99">
        <v>0</v>
      </c>
      <c r="K176" s="99">
        <v>0</v>
      </c>
      <c r="L176" s="99">
        <v>5310.6723404090853</v>
      </c>
      <c r="M176" s="99">
        <v>0</v>
      </c>
      <c r="N176" s="99">
        <v>0</v>
      </c>
      <c r="O176" s="99">
        <v>0</v>
      </c>
      <c r="P176" s="99">
        <v>0</v>
      </c>
      <c r="Q176" s="99">
        <v>0</v>
      </c>
      <c r="R176" s="99">
        <v>0</v>
      </c>
      <c r="S176" s="99">
        <v>0</v>
      </c>
      <c r="T176" s="99">
        <v>0</v>
      </c>
      <c r="U176" s="99">
        <v>0</v>
      </c>
      <c r="V176" s="99">
        <v>0</v>
      </c>
      <c r="W176" s="99">
        <v>0</v>
      </c>
      <c r="X176" s="99">
        <v>0</v>
      </c>
      <c r="Y176" s="99">
        <v>0</v>
      </c>
      <c r="Z176" s="99">
        <v>0</v>
      </c>
      <c r="AA176" s="99">
        <v>0</v>
      </c>
      <c r="AB176" s="99">
        <v>0</v>
      </c>
      <c r="AC176" s="99">
        <v>0</v>
      </c>
      <c r="AD176" s="99">
        <v>0</v>
      </c>
      <c r="AE176" s="99">
        <v>0</v>
      </c>
      <c r="AF176" s="99">
        <v>0</v>
      </c>
      <c r="AG176" s="99">
        <v>0</v>
      </c>
      <c r="AH176" s="99">
        <v>0</v>
      </c>
      <c r="AI176" s="99">
        <v>0</v>
      </c>
      <c r="AJ176" s="99">
        <v>0</v>
      </c>
      <c r="AK176" s="99">
        <v>0</v>
      </c>
      <c r="AL176" s="99">
        <v>3250.7910596375555</v>
      </c>
      <c r="AM176" s="99">
        <v>0</v>
      </c>
      <c r="AN176" s="99">
        <v>0</v>
      </c>
      <c r="AO176" s="99">
        <v>0</v>
      </c>
      <c r="AP176" s="99">
        <v>0</v>
      </c>
      <c r="AQ176" s="99">
        <v>0</v>
      </c>
      <c r="AR176" s="99">
        <f t="shared" si="2"/>
        <v>39358.465476862249</v>
      </c>
    </row>
    <row r="177" spans="1:44" ht="15" x14ac:dyDescent="0.25">
      <c r="A177" s="258">
        <v>170</v>
      </c>
      <c r="B177" s="258" t="s">
        <v>341</v>
      </c>
      <c r="C177" s="258" t="s">
        <v>1501</v>
      </c>
      <c r="D177" s="859" t="s">
        <v>1503</v>
      </c>
      <c r="E177" s="99">
        <v>0</v>
      </c>
      <c r="F177" s="99">
        <v>0</v>
      </c>
      <c r="G177" s="99">
        <v>0</v>
      </c>
      <c r="H177" s="99">
        <v>0</v>
      </c>
      <c r="I177" s="99">
        <v>22689.453714774063</v>
      </c>
      <c r="J177" s="99">
        <v>0</v>
      </c>
      <c r="K177" s="99">
        <v>0</v>
      </c>
      <c r="L177" s="99">
        <v>13492.777176188984</v>
      </c>
      <c r="M177" s="99">
        <v>0</v>
      </c>
      <c r="N177" s="99">
        <v>0</v>
      </c>
      <c r="O177" s="99">
        <v>0</v>
      </c>
      <c r="P177" s="99">
        <v>0</v>
      </c>
      <c r="Q177" s="99">
        <v>0</v>
      </c>
      <c r="R177" s="99">
        <v>0</v>
      </c>
      <c r="S177" s="99">
        <v>0</v>
      </c>
      <c r="T177" s="99">
        <v>0</v>
      </c>
      <c r="U177" s="99">
        <v>0</v>
      </c>
      <c r="V177" s="99">
        <v>0</v>
      </c>
      <c r="W177" s="99">
        <v>0</v>
      </c>
      <c r="X177" s="99">
        <v>0</v>
      </c>
      <c r="Y177" s="99">
        <v>0</v>
      </c>
      <c r="Z177" s="99">
        <v>0</v>
      </c>
      <c r="AA177" s="99">
        <v>0</v>
      </c>
      <c r="AB177" s="99">
        <v>0</v>
      </c>
      <c r="AC177" s="99">
        <v>0</v>
      </c>
      <c r="AD177" s="99">
        <v>0</v>
      </c>
      <c r="AE177" s="99">
        <v>0</v>
      </c>
      <c r="AF177" s="99">
        <v>0</v>
      </c>
      <c r="AG177" s="99">
        <v>0</v>
      </c>
      <c r="AH177" s="99">
        <v>0</v>
      </c>
      <c r="AI177" s="99">
        <v>0</v>
      </c>
      <c r="AJ177" s="99">
        <v>0</v>
      </c>
      <c r="AK177" s="99">
        <v>0</v>
      </c>
      <c r="AL177" s="99">
        <v>11866.846977655605</v>
      </c>
      <c r="AM177" s="99">
        <v>0</v>
      </c>
      <c r="AN177" s="99">
        <v>0</v>
      </c>
      <c r="AO177" s="99">
        <v>0</v>
      </c>
      <c r="AP177" s="99">
        <v>0</v>
      </c>
      <c r="AQ177" s="99">
        <v>0</v>
      </c>
      <c r="AR177" s="99">
        <f t="shared" si="2"/>
        <v>48049.077868618653</v>
      </c>
    </row>
    <row r="178" spans="1:44" ht="15" x14ac:dyDescent="0.25">
      <c r="A178" s="258">
        <v>171</v>
      </c>
      <c r="B178" s="258" t="s">
        <v>341</v>
      </c>
      <c r="C178" s="258" t="s">
        <v>1501</v>
      </c>
      <c r="D178" s="859" t="s">
        <v>1504</v>
      </c>
      <c r="E178" s="99">
        <v>0</v>
      </c>
      <c r="F178" s="99">
        <v>0</v>
      </c>
      <c r="G178" s="99">
        <v>0</v>
      </c>
      <c r="H178" s="99">
        <v>0</v>
      </c>
      <c r="I178" s="99">
        <v>1549.17299818893</v>
      </c>
      <c r="J178" s="99">
        <v>0</v>
      </c>
      <c r="K178" s="99">
        <v>0</v>
      </c>
      <c r="L178" s="99">
        <v>19894.275574617797</v>
      </c>
      <c r="M178" s="99">
        <v>0</v>
      </c>
      <c r="N178" s="99">
        <v>0</v>
      </c>
      <c r="O178" s="99">
        <v>0</v>
      </c>
      <c r="P178" s="99">
        <v>0</v>
      </c>
      <c r="Q178" s="99">
        <v>0</v>
      </c>
      <c r="R178" s="99">
        <v>0</v>
      </c>
      <c r="S178" s="99">
        <v>0</v>
      </c>
      <c r="T178" s="99">
        <v>0</v>
      </c>
      <c r="U178" s="99">
        <v>0</v>
      </c>
      <c r="V178" s="99">
        <v>0</v>
      </c>
      <c r="W178" s="99">
        <v>0</v>
      </c>
      <c r="X178" s="99">
        <v>0</v>
      </c>
      <c r="Y178" s="99">
        <v>0</v>
      </c>
      <c r="Z178" s="99">
        <v>0</v>
      </c>
      <c r="AA178" s="99">
        <v>0</v>
      </c>
      <c r="AB178" s="99">
        <v>0</v>
      </c>
      <c r="AC178" s="99">
        <v>0</v>
      </c>
      <c r="AD178" s="99">
        <v>0</v>
      </c>
      <c r="AE178" s="99">
        <v>0</v>
      </c>
      <c r="AF178" s="99">
        <v>0</v>
      </c>
      <c r="AG178" s="99">
        <v>0</v>
      </c>
      <c r="AH178" s="99">
        <v>0</v>
      </c>
      <c r="AI178" s="99">
        <v>0</v>
      </c>
      <c r="AJ178" s="99">
        <v>0</v>
      </c>
      <c r="AK178" s="99">
        <v>0</v>
      </c>
      <c r="AL178" s="99">
        <v>2172.4224934127933</v>
      </c>
      <c r="AM178" s="99">
        <v>0</v>
      </c>
      <c r="AN178" s="99">
        <v>0</v>
      </c>
      <c r="AO178" s="99">
        <v>0</v>
      </c>
      <c r="AP178" s="99">
        <v>0</v>
      </c>
      <c r="AQ178" s="99">
        <v>0</v>
      </c>
      <c r="AR178" s="99">
        <f t="shared" si="2"/>
        <v>23615.871066219519</v>
      </c>
    </row>
    <row r="179" spans="1:44" ht="15" x14ac:dyDescent="0.25">
      <c r="A179" s="258">
        <v>172</v>
      </c>
      <c r="B179" s="258" t="s">
        <v>341</v>
      </c>
      <c r="C179" s="258" t="s">
        <v>1501</v>
      </c>
      <c r="D179" s="859" t="s">
        <v>1505</v>
      </c>
      <c r="E179" s="99">
        <v>0</v>
      </c>
      <c r="F179" s="99">
        <v>0</v>
      </c>
      <c r="G179" s="99">
        <v>0</v>
      </c>
      <c r="H179" s="99">
        <v>0</v>
      </c>
      <c r="I179" s="99">
        <v>10798.607431836379</v>
      </c>
      <c r="J179" s="99">
        <v>0</v>
      </c>
      <c r="K179" s="99">
        <v>0</v>
      </c>
      <c r="L179" s="99">
        <v>10508.35165229883</v>
      </c>
      <c r="M179" s="99">
        <v>0</v>
      </c>
      <c r="N179" s="99">
        <v>0</v>
      </c>
      <c r="O179" s="99">
        <v>0</v>
      </c>
      <c r="P179" s="99">
        <v>0</v>
      </c>
      <c r="Q179" s="99">
        <v>0</v>
      </c>
      <c r="R179" s="99">
        <v>0</v>
      </c>
      <c r="S179" s="99">
        <v>0</v>
      </c>
      <c r="T179" s="99">
        <v>0</v>
      </c>
      <c r="U179" s="99">
        <v>0</v>
      </c>
      <c r="V179" s="99">
        <v>0</v>
      </c>
      <c r="W179" s="99">
        <v>0</v>
      </c>
      <c r="X179" s="99">
        <v>0</v>
      </c>
      <c r="Y179" s="99">
        <v>0</v>
      </c>
      <c r="Z179" s="99">
        <v>0</v>
      </c>
      <c r="AA179" s="99">
        <v>0</v>
      </c>
      <c r="AB179" s="99">
        <v>0</v>
      </c>
      <c r="AC179" s="99">
        <v>0</v>
      </c>
      <c r="AD179" s="99">
        <v>0</v>
      </c>
      <c r="AE179" s="99">
        <v>0</v>
      </c>
      <c r="AF179" s="99">
        <v>0</v>
      </c>
      <c r="AG179" s="99">
        <v>0</v>
      </c>
      <c r="AH179" s="99">
        <v>0</v>
      </c>
      <c r="AI179" s="99">
        <v>0</v>
      </c>
      <c r="AJ179" s="99">
        <v>0</v>
      </c>
      <c r="AK179" s="99">
        <v>0</v>
      </c>
      <c r="AL179" s="99">
        <v>4602.5641815415247</v>
      </c>
      <c r="AM179" s="99">
        <v>0</v>
      </c>
      <c r="AN179" s="99">
        <v>0</v>
      </c>
      <c r="AO179" s="99">
        <v>0</v>
      </c>
      <c r="AP179" s="99">
        <v>0</v>
      </c>
      <c r="AQ179" s="99">
        <v>0</v>
      </c>
      <c r="AR179" s="99">
        <f t="shared" si="2"/>
        <v>25909.523265676737</v>
      </c>
    </row>
    <row r="180" spans="1:44" ht="15" x14ac:dyDescent="0.25">
      <c r="A180" s="258">
        <v>173</v>
      </c>
      <c r="B180" s="258" t="s">
        <v>341</v>
      </c>
      <c r="C180" s="258" t="s">
        <v>1501</v>
      </c>
      <c r="D180" s="859" t="s">
        <v>1506</v>
      </c>
      <c r="E180" s="99">
        <v>0</v>
      </c>
      <c r="F180" s="99">
        <v>0</v>
      </c>
      <c r="G180" s="99">
        <v>0</v>
      </c>
      <c r="H180" s="99">
        <v>0</v>
      </c>
      <c r="I180" s="99">
        <v>0</v>
      </c>
      <c r="J180" s="99">
        <v>0</v>
      </c>
      <c r="K180" s="99">
        <v>0</v>
      </c>
      <c r="L180" s="99">
        <v>49580.067753402662</v>
      </c>
      <c r="M180" s="99">
        <v>0</v>
      </c>
      <c r="N180" s="99">
        <v>0</v>
      </c>
      <c r="O180" s="99">
        <v>0</v>
      </c>
      <c r="P180" s="99">
        <v>0</v>
      </c>
      <c r="Q180" s="99">
        <v>0</v>
      </c>
      <c r="R180" s="99">
        <v>0</v>
      </c>
      <c r="S180" s="99">
        <v>0</v>
      </c>
      <c r="T180" s="99">
        <v>0</v>
      </c>
      <c r="U180" s="99">
        <v>0</v>
      </c>
      <c r="V180" s="99">
        <v>0</v>
      </c>
      <c r="W180" s="99">
        <v>0</v>
      </c>
      <c r="X180" s="99">
        <v>0</v>
      </c>
      <c r="Y180" s="99">
        <v>0</v>
      </c>
      <c r="Z180" s="99">
        <v>0</v>
      </c>
      <c r="AA180" s="99">
        <v>0</v>
      </c>
      <c r="AB180" s="99">
        <v>0</v>
      </c>
      <c r="AC180" s="99">
        <v>0</v>
      </c>
      <c r="AD180" s="99">
        <v>0</v>
      </c>
      <c r="AE180" s="99">
        <v>0</v>
      </c>
      <c r="AF180" s="99">
        <v>0</v>
      </c>
      <c r="AG180" s="99">
        <v>0</v>
      </c>
      <c r="AH180" s="99">
        <v>0</v>
      </c>
      <c r="AI180" s="99">
        <v>0</v>
      </c>
      <c r="AJ180" s="99">
        <v>0</v>
      </c>
      <c r="AK180" s="99">
        <v>0</v>
      </c>
      <c r="AL180" s="99">
        <v>5292.0665072185693</v>
      </c>
      <c r="AM180" s="99">
        <v>0</v>
      </c>
      <c r="AN180" s="99">
        <v>0</v>
      </c>
      <c r="AO180" s="99">
        <v>0</v>
      </c>
      <c r="AP180" s="99">
        <v>0</v>
      </c>
      <c r="AQ180" s="99">
        <v>0</v>
      </c>
      <c r="AR180" s="99">
        <f t="shared" si="2"/>
        <v>54872.134260621227</v>
      </c>
    </row>
    <row r="181" spans="1:44" ht="15" x14ac:dyDescent="0.25">
      <c r="A181" s="258">
        <v>174</v>
      </c>
      <c r="B181" s="258" t="s">
        <v>341</v>
      </c>
      <c r="C181" s="258" t="s">
        <v>1501</v>
      </c>
      <c r="D181" s="859" t="s">
        <v>1507</v>
      </c>
      <c r="E181" s="99">
        <v>0</v>
      </c>
      <c r="F181" s="99">
        <v>0</v>
      </c>
      <c r="G181" s="99">
        <v>0</v>
      </c>
      <c r="H181" s="99">
        <v>0</v>
      </c>
      <c r="I181" s="99">
        <v>0</v>
      </c>
      <c r="J181" s="99">
        <v>0</v>
      </c>
      <c r="K181" s="99">
        <v>0</v>
      </c>
      <c r="L181" s="99">
        <v>68107.286828046999</v>
      </c>
      <c r="M181" s="99">
        <v>0</v>
      </c>
      <c r="N181" s="99">
        <v>0</v>
      </c>
      <c r="O181" s="99">
        <v>0</v>
      </c>
      <c r="P181" s="99">
        <v>0</v>
      </c>
      <c r="Q181" s="99">
        <v>0</v>
      </c>
      <c r="R181" s="99">
        <v>0</v>
      </c>
      <c r="S181" s="99">
        <v>0</v>
      </c>
      <c r="T181" s="99">
        <v>0</v>
      </c>
      <c r="U181" s="99">
        <v>0</v>
      </c>
      <c r="V181" s="99">
        <v>0</v>
      </c>
      <c r="W181" s="99">
        <v>0</v>
      </c>
      <c r="X181" s="99">
        <v>0</v>
      </c>
      <c r="Y181" s="99">
        <v>0</v>
      </c>
      <c r="Z181" s="99">
        <v>0</v>
      </c>
      <c r="AA181" s="99">
        <v>0</v>
      </c>
      <c r="AB181" s="99">
        <v>0</v>
      </c>
      <c r="AC181" s="99">
        <v>0</v>
      </c>
      <c r="AD181" s="99">
        <v>0</v>
      </c>
      <c r="AE181" s="99">
        <v>0</v>
      </c>
      <c r="AF181" s="99">
        <v>0</v>
      </c>
      <c r="AG181" s="99">
        <v>0</v>
      </c>
      <c r="AH181" s="99">
        <v>37.263590631923385</v>
      </c>
      <c r="AI181" s="99">
        <v>0</v>
      </c>
      <c r="AJ181" s="99">
        <v>0</v>
      </c>
      <c r="AK181" s="99">
        <v>0</v>
      </c>
      <c r="AL181" s="99">
        <v>1381.8367304169021</v>
      </c>
      <c r="AM181" s="99">
        <v>0</v>
      </c>
      <c r="AN181" s="99">
        <v>0</v>
      </c>
      <c r="AO181" s="99">
        <v>0</v>
      </c>
      <c r="AP181" s="99">
        <v>0</v>
      </c>
      <c r="AQ181" s="99">
        <v>0</v>
      </c>
      <c r="AR181" s="99">
        <f t="shared" si="2"/>
        <v>69526.387149095826</v>
      </c>
    </row>
    <row r="182" spans="1:44" ht="15" x14ac:dyDescent="0.25">
      <c r="A182" s="258">
        <v>175</v>
      </c>
      <c r="B182" s="258" t="s">
        <v>341</v>
      </c>
      <c r="C182" s="258" t="s">
        <v>1501</v>
      </c>
      <c r="D182" s="859" t="s">
        <v>1508</v>
      </c>
      <c r="E182" s="99">
        <v>0</v>
      </c>
      <c r="F182" s="99">
        <v>0</v>
      </c>
      <c r="G182" s="99">
        <v>0</v>
      </c>
      <c r="H182" s="99">
        <v>0</v>
      </c>
      <c r="I182" s="99">
        <v>0</v>
      </c>
      <c r="J182" s="99">
        <v>0</v>
      </c>
      <c r="K182" s="99">
        <v>0</v>
      </c>
      <c r="L182" s="99">
        <v>89166.049911872178</v>
      </c>
      <c r="M182" s="99">
        <v>0</v>
      </c>
      <c r="N182" s="99">
        <v>0</v>
      </c>
      <c r="O182" s="99">
        <v>0</v>
      </c>
      <c r="P182" s="99">
        <v>0</v>
      </c>
      <c r="Q182" s="99">
        <v>0</v>
      </c>
      <c r="R182" s="99">
        <v>0</v>
      </c>
      <c r="S182" s="99">
        <v>0</v>
      </c>
      <c r="T182" s="99">
        <v>0</v>
      </c>
      <c r="U182" s="99">
        <v>0</v>
      </c>
      <c r="V182" s="99">
        <v>0</v>
      </c>
      <c r="W182" s="99">
        <v>0</v>
      </c>
      <c r="X182" s="99">
        <v>0</v>
      </c>
      <c r="Y182" s="99">
        <v>0</v>
      </c>
      <c r="Z182" s="99">
        <v>0</v>
      </c>
      <c r="AA182" s="99">
        <v>0</v>
      </c>
      <c r="AB182" s="99">
        <v>0</v>
      </c>
      <c r="AC182" s="99">
        <v>0</v>
      </c>
      <c r="AD182" s="99">
        <v>0</v>
      </c>
      <c r="AE182" s="99">
        <v>0</v>
      </c>
      <c r="AF182" s="99">
        <v>0</v>
      </c>
      <c r="AG182" s="99">
        <v>0</v>
      </c>
      <c r="AH182" s="99">
        <v>174.64502115443611</v>
      </c>
      <c r="AI182" s="99">
        <v>0</v>
      </c>
      <c r="AJ182" s="99">
        <v>0</v>
      </c>
      <c r="AK182" s="99">
        <v>0</v>
      </c>
      <c r="AL182" s="99">
        <v>8177.083663282111</v>
      </c>
      <c r="AM182" s="99">
        <v>0</v>
      </c>
      <c r="AN182" s="99">
        <v>0</v>
      </c>
      <c r="AO182" s="99">
        <v>0</v>
      </c>
      <c r="AP182" s="99">
        <v>0</v>
      </c>
      <c r="AQ182" s="99">
        <v>0</v>
      </c>
      <c r="AR182" s="99">
        <f t="shared" si="2"/>
        <v>97517.778596308737</v>
      </c>
    </row>
    <row r="183" spans="1:44" ht="15" x14ac:dyDescent="0.25">
      <c r="A183" s="258">
        <v>176</v>
      </c>
      <c r="B183" s="258" t="s">
        <v>329</v>
      </c>
      <c r="C183" s="258" t="s">
        <v>1509</v>
      </c>
      <c r="D183" s="859" t="s">
        <v>1510</v>
      </c>
      <c r="E183" s="99">
        <v>0</v>
      </c>
      <c r="F183" s="99">
        <v>0</v>
      </c>
      <c r="G183" s="99">
        <v>0</v>
      </c>
      <c r="H183" s="99">
        <v>0</v>
      </c>
      <c r="I183" s="99">
        <v>0</v>
      </c>
      <c r="J183" s="99">
        <v>0</v>
      </c>
      <c r="K183" s="99">
        <v>0</v>
      </c>
      <c r="L183" s="99">
        <v>43987.935917406161</v>
      </c>
      <c r="M183" s="99">
        <v>0</v>
      </c>
      <c r="N183" s="99">
        <v>0</v>
      </c>
      <c r="O183" s="99">
        <v>0</v>
      </c>
      <c r="P183" s="99">
        <v>0</v>
      </c>
      <c r="Q183" s="99">
        <v>0</v>
      </c>
      <c r="R183" s="99">
        <v>0</v>
      </c>
      <c r="S183" s="99">
        <v>0</v>
      </c>
      <c r="T183" s="99">
        <v>0</v>
      </c>
      <c r="U183" s="99">
        <v>0</v>
      </c>
      <c r="V183" s="99">
        <v>0</v>
      </c>
      <c r="W183" s="99">
        <v>0</v>
      </c>
      <c r="X183" s="99">
        <v>0</v>
      </c>
      <c r="Y183" s="99">
        <v>0</v>
      </c>
      <c r="Z183" s="99">
        <v>0</v>
      </c>
      <c r="AA183" s="99">
        <v>0</v>
      </c>
      <c r="AB183" s="99">
        <v>0</v>
      </c>
      <c r="AC183" s="99">
        <v>0</v>
      </c>
      <c r="AD183" s="99">
        <v>0</v>
      </c>
      <c r="AE183" s="99">
        <v>0</v>
      </c>
      <c r="AF183" s="99">
        <v>0</v>
      </c>
      <c r="AG183" s="99">
        <v>0</v>
      </c>
      <c r="AH183" s="99">
        <v>108.19910050956067</v>
      </c>
      <c r="AI183" s="99">
        <v>0</v>
      </c>
      <c r="AJ183" s="99">
        <v>0</v>
      </c>
      <c r="AK183" s="99">
        <v>0</v>
      </c>
      <c r="AL183" s="99">
        <v>478.83921385091458</v>
      </c>
      <c r="AM183" s="99">
        <v>0</v>
      </c>
      <c r="AN183" s="99">
        <v>0</v>
      </c>
      <c r="AO183" s="99">
        <v>0</v>
      </c>
      <c r="AP183" s="99">
        <v>0</v>
      </c>
      <c r="AQ183" s="99">
        <v>0</v>
      </c>
      <c r="AR183" s="99">
        <f t="shared" si="2"/>
        <v>44574.974231766639</v>
      </c>
    </row>
    <row r="184" spans="1:44" ht="15" x14ac:dyDescent="0.25">
      <c r="A184" s="258">
        <v>177</v>
      </c>
      <c r="B184" s="258" t="s">
        <v>329</v>
      </c>
      <c r="C184" s="258" t="s">
        <v>1509</v>
      </c>
      <c r="D184" s="859" t="s">
        <v>1511</v>
      </c>
      <c r="E184" s="99">
        <v>0</v>
      </c>
      <c r="F184" s="99">
        <v>0</v>
      </c>
      <c r="G184" s="99">
        <v>0</v>
      </c>
      <c r="H184" s="99">
        <v>0</v>
      </c>
      <c r="I184" s="99">
        <v>0</v>
      </c>
      <c r="J184" s="99">
        <v>0</v>
      </c>
      <c r="K184" s="99">
        <v>0</v>
      </c>
      <c r="L184" s="99">
        <v>71962.236106867858</v>
      </c>
      <c r="M184" s="99">
        <v>30674.987151690992</v>
      </c>
      <c r="N184" s="99">
        <v>0</v>
      </c>
      <c r="O184" s="99">
        <v>0</v>
      </c>
      <c r="P184" s="99">
        <v>0</v>
      </c>
      <c r="Q184" s="99">
        <v>0</v>
      </c>
      <c r="R184" s="99">
        <v>0</v>
      </c>
      <c r="S184" s="99">
        <v>0</v>
      </c>
      <c r="T184" s="99">
        <v>0</v>
      </c>
      <c r="U184" s="99">
        <v>0</v>
      </c>
      <c r="V184" s="99">
        <v>0</v>
      </c>
      <c r="W184" s="99">
        <v>0</v>
      </c>
      <c r="X184" s="99">
        <v>0</v>
      </c>
      <c r="Y184" s="99">
        <v>0</v>
      </c>
      <c r="Z184" s="99">
        <v>0</v>
      </c>
      <c r="AA184" s="99">
        <v>0</v>
      </c>
      <c r="AB184" s="99">
        <v>0</v>
      </c>
      <c r="AC184" s="99">
        <v>0</v>
      </c>
      <c r="AD184" s="99">
        <v>0</v>
      </c>
      <c r="AE184" s="99">
        <v>0</v>
      </c>
      <c r="AF184" s="99">
        <v>0</v>
      </c>
      <c r="AG184" s="99">
        <v>0</v>
      </c>
      <c r="AH184" s="99">
        <v>10723.608361913326</v>
      </c>
      <c r="AI184" s="99">
        <v>0</v>
      </c>
      <c r="AJ184" s="99">
        <v>0</v>
      </c>
      <c r="AK184" s="99">
        <v>3621.8006113707638</v>
      </c>
      <c r="AL184" s="99">
        <v>0</v>
      </c>
      <c r="AM184" s="99">
        <v>0</v>
      </c>
      <c r="AN184" s="99">
        <v>0</v>
      </c>
      <c r="AO184" s="99">
        <v>0</v>
      </c>
      <c r="AP184" s="99">
        <v>0</v>
      </c>
      <c r="AQ184" s="99">
        <v>0</v>
      </c>
      <c r="AR184" s="99">
        <f t="shared" si="2"/>
        <v>116982.63223184294</v>
      </c>
    </row>
    <row r="185" spans="1:44" ht="15" x14ac:dyDescent="0.25">
      <c r="A185" s="258">
        <v>178</v>
      </c>
      <c r="B185" s="258" t="s">
        <v>329</v>
      </c>
      <c r="C185" s="258" t="s">
        <v>1509</v>
      </c>
      <c r="D185" s="859" t="s">
        <v>1512</v>
      </c>
      <c r="E185" s="99">
        <v>0</v>
      </c>
      <c r="F185" s="99">
        <v>0</v>
      </c>
      <c r="G185" s="99">
        <v>0</v>
      </c>
      <c r="H185" s="99">
        <v>0</v>
      </c>
      <c r="I185" s="99">
        <v>83718.468006101743</v>
      </c>
      <c r="J185" s="99">
        <v>0</v>
      </c>
      <c r="K185" s="99">
        <v>0</v>
      </c>
      <c r="L185" s="99">
        <v>20080.020653692853</v>
      </c>
      <c r="M185" s="99">
        <v>0</v>
      </c>
      <c r="N185" s="99">
        <v>0</v>
      </c>
      <c r="O185" s="99">
        <v>0</v>
      </c>
      <c r="P185" s="99">
        <v>0</v>
      </c>
      <c r="Q185" s="99">
        <v>859.9703255477084</v>
      </c>
      <c r="R185" s="99">
        <v>0</v>
      </c>
      <c r="S185" s="99">
        <v>0</v>
      </c>
      <c r="T185" s="99">
        <v>0</v>
      </c>
      <c r="U185" s="99">
        <v>0</v>
      </c>
      <c r="V185" s="99">
        <v>0</v>
      </c>
      <c r="W185" s="99">
        <v>0</v>
      </c>
      <c r="X185" s="99">
        <v>0</v>
      </c>
      <c r="Y185" s="99">
        <v>0</v>
      </c>
      <c r="Z185" s="99">
        <v>0</v>
      </c>
      <c r="AA185" s="99">
        <v>0</v>
      </c>
      <c r="AB185" s="99">
        <v>0</v>
      </c>
      <c r="AC185" s="99">
        <v>0</v>
      </c>
      <c r="AD185" s="99">
        <v>0</v>
      </c>
      <c r="AE185" s="99">
        <v>0</v>
      </c>
      <c r="AF185" s="99">
        <v>0</v>
      </c>
      <c r="AG185" s="99">
        <v>0</v>
      </c>
      <c r="AH185" s="99">
        <v>0</v>
      </c>
      <c r="AI185" s="99">
        <v>0</v>
      </c>
      <c r="AJ185" s="99">
        <v>0</v>
      </c>
      <c r="AK185" s="99">
        <v>0</v>
      </c>
      <c r="AL185" s="99">
        <v>9124.9587403818969</v>
      </c>
      <c r="AM185" s="99">
        <v>0</v>
      </c>
      <c r="AN185" s="99">
        <v>0</v>
      </c>
      <c r="AO185" s="99">
        <v>0</v>
      </c>
      <c r="AP185" s="99">
        <v>0</v>
      </c>
      <c r="AQ185" s="99">
        <v>0</v>
      </c>
      <c r="AR185" s="99">
        <f t="shared" si="2"/>
        <v>113783.4177257242</v>
      </c>
    </row>
    <row r="186" spans="1:44" ht="15" x14ac:dyDescent="0.25">
      <c r="A186" s="258">
        <v>179</v>
      </c>
      <c r="B186" s="258" t="s">
        <v>329</v>
      </c>
      <c r="C186" s="258" t="s">
        <v>1509</v>
      </c>
      <c r="D186" s="859" t="s">
        <v>1513</v>
      </c>
      <c r="E186" s="99">
        <v>0</v>
      </c>
      <c r="F186" s="99">
        <v>0</v>
      </c>
      <c r="G186" s="99">
        <v>0</v>
      </c>
      <c r="H186" s="99">
        <v>0</v>
      </c>
      <c r="I186" s="99">
        <v>49736.855079180808</v>
      </c>
      <c r="J186" s="99">
        <v>0</v>
      </c>
      <c r="K186" s="99">
        <v>0</v>
      </c>
      <c r="L186" s="99">
        <v>3409.5703193251024</v>
      </c>
      <c r="M186" s="99">
        <v>0</v>
      </c>
      <c r="N186" s="99">
        <v>0</v>
      </c>
      <c r="O186" s="99">
        <v>0</v>
      </c>
      <c r="P186" s="99">
        <v>0</v>
      </c>
      <c r="Q186" s="99">
        <v>0</v>
      </c>
      <c r="R186" s="99">
        <v>0</v>
      </c>
      <c r="S186" s="99">
        <v>0</v>
      </c>
      <c r="T186" s="99">
        <v>0</v>
      </c>
      <c r="U186" s="99">
        <v>0</v>
      </c>
      <c r="V186" s="99">
        <v>0</v>
      </c>
      <c r="W186" s="99">
        <v>0</v>
      </c>
      <c r="X186" s="99">
        <v>0</v>
      </c>
      <c r="Y186" s="99">
        <v>0</v>
      </c>
      <c r="Z186" s="99">
        <v>0</v>
      </c>
      <c r="AA186" s="99">
        <v>0</v>
      </c>
      <c r="AB186" s="99">
        <v>0</v>
      </c>
      <c r="AC186" s="99">
        <v>0</v>
      </c>
      <c r="AD186" s="99">
        <v>0</v>
      </c>
      <c r="AE186" s="99">
        <v>0</v>
      </c>
      <c r="AF186" s="99">
        <v>0</v>
      </c>
      <c r="AG186" s="99">
        <v>0</v>
      </c>
      <c r="AH186" s="99">
        <v>0</v>
      </c>
      <c r="AI186" s="99">
        <v>0</v>
      </c>
      <c r="AJ186" s="99">
        <v>0</v>
      </c>
      <c r="AK186" s="99">
        <v>0</v>
      </c>
      <c r="AL186" s="99">
        <v>1789.656115461903</v>
      </c>
      <c r="AM186" s="99">
        <v>0</v>
      </c>
      <c r="AN186" s="99">
        <v>0</v>
      </c>
      <c r="AO186" s="99">
        <v>0</v>
      </c>
      <c r="AP186" s="99">
        <v>0</v>
      </c>
      <c r="AQ186" s="99">
        <v>0</v>
      </c>
      <c r="AR186" s="99">
        <f t="shared" si="2"/>
        <v>54936.081513967816</v>
      </c>
    </row>
    <row r="187" spans="1:44" ht="15" x14ac:dyDescent="0.25">
      <c r="A187" s="258">
        <v>180</v>
      </c>
      <c r="B187" s="258" t="s">
        <v>329</v>
      </c>
      <c r="C187" s="258" t="s">
        <v>1509</v>
      </c>
      <c r="D187" s="859" t="s">
        <v>1514</v>
      </c>
      <c r="E187" s="99">
        <v>0</v>
      </c>
      <c r="F187" s="99">
        <v>0</v>
      </c>
      <c r="G187" s="99">
        <v>0</v>
      </c>
      <c r="H187" s="99">
        <v>0</v>
      </c>
      <c r="I187" s="99">
        <v>0</v>
      </c>
      <c r="J187" s="99">
        <v>0</v>
      </c>
      <c r="K187" s="99">
        <v>0</v>
      </c>
      <c r="L187" s="99">
        <v>60991.454233224271</v>
      </c>
      <c r="M187" s="99">
        <v>0</v>
      </c>
      <c r="N187" s="99">
        <v>0</v>
      </c>
      <c r="O187" s="99">
        <v>0</v>
      </c>
      <c r="P187" s="99">
        <v>0</v>
      </c>
      <c r="Q187" s="99">
        <v>0</v>
      </c>
      <c r="R187" s="99">
        <v>0</v>
      </c>
      <c r="S187" s="99">
        <v>0</v>
      </c>
      <c r="T187" s="99">
        <v>0</v>
      </c>
      <c r="U187" s="99">
        <v>0</v>
      </c>
      <c r="V187" s="99">
        <v>0</v>
      </c>
      <c r="W187" s="99">
        <v>0</v>
      </c>
      <c r="X187" s="99">
        <v>0</v>
      </c>
      <c r="Y187" s="99">
        <v>0</v>
      </c>
      <c r="Z187" s="99">
        <v>0</v>
      </c>
      <c r="AA187" s="99">
        <v>0</v>
      </c>
      <c r="AB187" s="99">
        <v>0</v>
      </c>
      <c r="AC187" s="99">
        <v>0</v>
      </c>
      <c r="AD187" s="99">
        <v>0</v>
      </c>
      <c r="AE187" s="99">
        <v>0</v>
      </c>
      <c r="AF187" s="99">
        <v>0</v>
      </c>
      <c r="AG187" s="99">
        <v>0</v>
      </c>
      <c r="AH187" s="99">
        <v>0</v>
      </c>
      <c r="AI187" s="99">
        <v>0</v>
      </c>
      <c r="AJ187" s="99">
        <v>0</v>
      </c>
      <c r="AK187" s="99">
        <v>0</v>
      </c>
      <c r="AL187" s="99">
        <v>8711.0394927400666</v>
      </c>
      <c r="AM187" s="99">
        <v>0</v>
      </c>
      <c r="AN187" s="99">
        <v>0</v>
      </c>
      <c r="AO187" s="99">
        <v>0</v>
      </c>
      <c r="AP187" s="99">
        <v>0</v>
      </c>
      <c r="AQ187" s="99">
        <v>0</v>
      </c>
      <c r="AR187" s="99">
        <f t="shared" si="2"/>
        <v>69702.493725964334</v>
      </c>
    </row>
    <row r="188" spans="1:44" ht="15" x14ac:dyDescent="0.25">
      <c r="A188" s="258">
        <v>181</v>
      </c>
      <c r="B188" s="258" t="s">
        <v>329</v>
      </c>
      <c r="C188" s="258" t="s">
        <v>1509</v>
      </c>
      <c r="D188" s="859" t="s">
        <v>1515</v>
      </c>
      <c r="E188" s="99">
        <v>0</v>
      </c>
      <c r="F188" s="99">
        <v>0</v>
      </c>
      <c r="G188" s="99">
        <v>0</v>
      </c>
      <c r="H188" s="99">
        <v>0</v>
      </c>
      <c r="I188" s="99">
        <v>6382.7005836055505</v>
      </c>
      <c r="J188" s="99">
        <v>0</v>
      </c>
      <c r="K188" s="99">
        <v>0</v>
      </c>
      <c r="L188" s="99">
        <v>73783.765572656543</v>
      </c>
      <c r="M188" s="99">
        <v>0</v>
      </c>
      <c r="N188" s="99">
        <v>0</v>
      </c>
      <c r="O188" s="99">
        <v>0</v>
      </c>
      <c r="P188" s="99">
        <v>0</v>
      </c>
      <c r="Q188" s="99">
        <v>0</v>
      </c>
      <c r="R188" s="99">
        <v>0</v>
      </c>
      <c r="S188" s="99">
        <v>0</v>
      </c>
      <c r="T188" s="99">
        <v>0</v>
      </c>
      <c r="U188" s="99">
        <v>0</v>
      </c>
      <c r="V188" s="99">
        <v>0</v>
      </c>
      <c r="W188" s="99">
        <v>0</v>
      </c>
      <c r="X188" s="99">
        <v>0</v>
      </c>
      <c r="Y188" s="99">
        <v>0</v>
      </c>
      <c r="Z188" s="99">
        <v>0</v>
      </c>
      <c r="AA188" s="99">
        <v>0</v>
      </c>
      <c r="AB188" s="99">
        <v>0</v>
      </c>
      <c r="AC188" s="99">
        <v>0</v>
      </c>
      <c r="AD188" s="99">
        <v>0</v>
      </c>
      <c r="AE188" s="99">
        <v>0</v>
      </c>
      <c r="AF188" s="99">
        <v>0</v>
      </c>
      <c r="AG188" s="99">
        <v>0</v>
      </c>
      <c r="AH188" s="99">
        <v>979.40389112699847</v>
      </c>
      <c r="AI188" s="99">
        <v>0</v>
      </c>
      <c r="AJ188" s="99">
        <v>0</v>
      </c>
      <c r="AK188" s="99">
        <v>0</v>
      </c>
      <c r="AL188" s="99">
        <v>10473.681930987452</v>
      </c>
      <c r="AM188" s="99">
        <v>0</v>
      </c>
      <c r="AN188" s="99">
        <v>0</v>
      </c>
      <c r="AO188" s="99">
        <v>0</v>
      </c>
      <c r="AP188" s="99">
        <v>0</v>
      </c>
      <c r="AQ188" s="99">
        <v>0</v>
      </c>
      <c r="AR188" s="99">
        <f t="shared" si="2"/>
        <v>91619.551978376549</v>
      </c>
    </row>
    <row r="189" spans="1:44" ht="15" x14ac:dyDescent="0.25">
      <c r="A189" s="258">
        <v>182</v>
      </c>
      <c r="B189" s="258" t="s">
        <v>329</v>
      </c>
      <c r="C189" s="258" t="s">
        <v>1509</v>
      </c>
      <c r="D189" s="859" t="s">
        <v>1516</v>
      </c>
      <c r="E189" s="99">
        <v>649.23220862939638</v>
      </c>
      <c r="F189" s="99">
        <v>0</v>
      </c>
      <c r="G189" s="99">
        <v>0</v>
      </c>
      <c r="H189" s="99">
        <v>0</v>
      </c>
      <c r="I189" s="99">
        <v>0</v>
      </c>
      <c r="J189" s="99">
        <v>0</v>
      </c>
      <c r="K189" s="99">
        <v>0</v>
      </c>
      <c r="L189" s="99">
        <v>0</v>
      </c>
      <c r="M189" s="99">
        <v>0</v>
      </c>
      <c r="N189" s="99">
        <v>0</v>
      </c>
      <c r="O189" s="99">
        <v>0</v>
      </c>
      <c r="P189" s="99">
        <v>0</v>
      </c>
      <c r="Q189" s="99">
        <v>0</v>
      </c>
      <c r="R189" s="99">
        <v>0</v>
      </c>
      <c r="S189" s="99">
        <v>0</v>
      </c>
      <c r="T189" s="99">
        <v>0</v>
      </c>
      <c r="U189" s="99">
        <v>0</v>
      </c>
      <c r="V189" s="99">
        <v>0</v>
      </c>
      <c r="W189" s="99">
        <v>0</v>
      </c>
      <c r="X189" s="99">
        <v>0</v>
      </c>
      <c r="Y189" s="99">
        <v>0</v>
      </c>
      <c r="Z189" s="99">
        <v>0</v>
      </c>
      <c r="AA189" s="99">
        <v>0</v>
      </c>
      <c r="AB189" s="99">
        <v>0</v>
      </c>
      <c r="AC189" s="99">
        <v>0</v>
      </c>
      <c r="AD189" s="99">
        <v>0</v>
      </c>
      <c r="AE189" s="99">
        <v>14209.5714498298</v>
      </c>
      <c r="AF189" s="99">
        <v>0</v>
      </c>
      <c r="AG189" s="99">
        <v>0</v>
      </c>
      <c r="AH189" s="99">
        <v>0</v>
      </c>
      <c r="AI189" s="99">
        <v>0</v>
      </c>
      <c r="AJ189" s="99">
        <v>0</v>
      </c>
      <c r="AK189" s="99">
        <v>68507.182648262431</v>
      </c>
      <c r="AL189" s="99">
        <v>0</v>
      </c>
      <c r="AM189" s="99">
        <v>0</v>
      </c>
      <c r="AN189" s="99">
        <v>0</v>
      </c>
      <c r="AO189" s="99">
        <v>0</v>
      </c>
      <c r="AP189" s="99">
        <v>0</v>
      </c>
      <c r="AQ189" s="99">
        <v>0</v>
      </c>
      <c r="AR189" s="99">
        <f t="shared" si="2"/>
        <v>83365.986306721636</v>
      </c>
    </row>
    <row r="190" spans="1:44" ht="15" x14ac:dyDescent="0.25">
      <c r="A190" s="258">
        <v>183</v>
      </c>
      <c r="B190" s="258" t="s">
        <v>329</v>
      </c>
      <c r="C190" s="258" t="s">
        <v>1509</v>
      </c>
      <c r="D190" s="859" t="s">
        <v>1517</v>
      </c>
      <c r="E190" s="99">
        <v>0</v>
      </c>
      <c r="F190" s="99">
        <v>0</v>
      </c>
      <c r="G190" s="99">
        <v>0</v>
      </c>
      <c r="H190" s="99">
        <v>0</v>
      </c>
      <c r="I190" s="99">
        <v>0</v>
      </c>
      <c r="J190" s="99">
        <v>0</v>
      </c>
      <c r="K190" s="99">
        <v>0</v>
      </c>
      <c r="L190" s="99">
        <v>0</v>
      </c>
      <c r="M190" s="99">
        <v>0</v>
      </c>
      <c r="N190" s="99">
        <v>0</v>
      </c>
      <c r="O190" s="99">
        <v>0</v>
      </c>
      <c r="P190" s="99">
        <v>0</v>
      </c>
      <c r="Q190" s="99">
        <v>0</v>
      </c>
      <c r="R190" s="99">
        <v>0</v>
      </c>
      <c r="S190" s="99">
        <v>0</v>
      </c>
      <c r="T190" s="99">
        <v>0</v>
      </c>
      <c r="U190" s="99">
        <v>0</v>
      </c>
      <c r="V190" s="99">
        <v>0</v>
      </c>
      <c r="W190" s="99">
        <v>0</v>
      </c>
      <c r="X190" s="99">
        <v>0</v>
      </c>
      <c r="Y190" s="99">
        <v>0</v>
      </c>
      <c r="Z190" s="99">
        <v>0</v>
      </c>
      <c r="AA190" s="99">
        <v>0</v>
      </c>
      <c r="AB190" s="99">
        <v>0</v>
      </c>
      <c r="AC190" s="99">
        <v>0</v>
      </c>
      <c r="AD190" s="99">
        <v>0</v>
      </c>
      <c r="AE190" s="99">
        <v>0</v>
      </c>
      <c r="AF190" s="99">
        <v>0</v>
      </c>
      <c r="AG190" s="99">
        <v>0</v>
      </c>
      <c r="AH190" s="99">
        <v>0</v>
      </c>
      <c r="AI190" s="99">
        <v>0</v>
      </c>
      <c r="AJ190" s="99">
        <v>0</v>
      </c>
      <c r="AK190" s="99">
        <v>87247.361767547467</v>
      </c>
      <c r="AL190" s="99">
        <v>0</v>
      </c>
      <c r="AM190" s="99">
        <v>0</v>
      </c>
      <c r="AN190" s="99">
        <v>0</v>
      </c>
      <c r="AO190" s="99">
        <v>0</v>
      </c>
      <c r="AP190" s="99">
        <v>0</v>
      </c>
      <c r="AQ190" s="99">
        <v>0</v>
      </c>
      <c r="AR190" s="99">
        <f t="shared" si="2"/>
        <v>87247.361767547467</v>
      </c>
    </row>
    <row r="191" spans="1:44" ht="15" x14ac:dyDescent="0.25">
      <c r="A191" s="258">
        <v>184</v>
      </c>
      <c r="B191" s="258" t="s">
        <v>329</v>
      </c>
      <c r="C191" s="258" t="s">
        <v>1509</v>
      </c>
      <c r="D191" s="859" t="s">
        <v>1518</v>
      </c>
      <c r="E191" s="99">
        <v>0</v>
      </c>
      <c r="F191" s="99">
        <v>0</v>
      </c>
      <c r="G191" s="99">
        <v>0</v>
      </c>
      <c r="H191" s="99">
        <v>0</v>
      </c>
      <c r="I191" s="99">
        <v>0</v>
      </c>
      <c r="J191" s="99">
        <v>0</v>
      </c>
      <c r="K191" s="99">
        <v>0</v>
      </c>
      <c r="L191" s="99">
        <v>0</v>
      </c>
      <c r="M191" s="99">
        <v>23954.390757999034</v>
      </c>
      <c r="N191" s="99">
        <v>0</v>
      </c>
      <c r="O191" s="99">
        <v>0</v>
      </c>
      <c r="P191" s="99">
        <v>0</v>
      </c>
      <c r="Q191" s="99">
        <v>0</v>
      </c>
      <c r="R191" s="99">
        <v>0</v>
      </c>
      <c r="S191" s="99">
        <v>0</v>
      </c>
      <c r="T191" s="99">
        <v>0</v>
      </c>
      <c r="U191" s="99">
        <v>0</v>
      </c>
      <c r="V191" s="99">
        <v>0</v>
      </c>
      <c r="W191" s="99">
        <v>0</v>
      </c>
      <c r="X191" s="99">
        <v>0</v>
      </c>
      <c r="Y191" s="99">
        <v>0</v>
      </c>
      <c r="Z191" s="99">
        <v>0</v>
      </c>
      <c r="AA191" s="99">
        <v>0</v>
      </c>
      <c r="AB191" s="99">
        <v>0</v>
      </c>
      <c r="AC191" s="99">
        <v>0</v>
      </c>
      <c r="AD191" s="99">
        <v>0</v>
      </c>
      <c r="AE191" s="99">
        <v>0</v>
      </c>
      <c r="AF191" s="99">
        <v>0</v>
      </c>
      <c r="AG191" s="99">
        <v>0</v>
      </c>
      <c r="AH191" s="99">
        <v>502.60951460768956</v>
      </c>
      <c r="AI191" s="99">
        <v>0</v>
      </c>
      <c r="AJ191" s="99">
        <v>0</v>
      </c>
      <c r="AK191" s="99">
        <v>57830.080209687687</v>
      </c>
      <c r="AL191" s="99">
        <v>0</v>
      </c>
      <c r="AM191" s="99">
        <v>0</v>
      </c>
      <c r="AN191" s="99">
        <v>0</v>
      </c>
      <c r="AO191" s="99">
        <v>0</v>
      </c>
      <c r="AP191" s="99">
        <v>0</v>
      </c>
      <c r="AQ191" s="99">
        <v>0</v>
      </c>
      <c r="AR191" s="99">
        <f t="shared" si="2"/>
        <v>82287.080482294405</v>
      </c>
    </row>
    <row r="192" spans="1:44" ht="15" x14ac:dyDescent="0.25">
      <c r="A192" s="258">
        <v>185</v>
      </c>
      <c r="B192" s="258" t="s">
        <v>329</v>
      </c>
      <c r="C192" s="258" t="s">
        <v>1509</v>
      </c>
      <c r="D192" s="859" t="s">
        <v>1519</v>
      </c>
      <c r="E192" s="99">
        <v>0</v>
      </c>
      <c r="F192" s="99">
        <v>0</v>
      </c>
      <c r="G192" s="99">
        <v>0</v>
      </c>
      <c r="H192" s="99">
        <v>0</v>
      </c>
      <c r="I192" s="99">
        <v>0</v>
      </c>
      <c r="J192" s="99">
        <v>0</v>
      </c>
      <c r="K192" s="99">
        <v>0</v>
      </c>
      <c r="L192" s="99">
        <v>67285.188656767452</v>
      </c>
      <c r="M192" s="99">
        <v>0</v>
      </c>
      <c r="N192" s="99">
        <v>0</v>
      </c>
      <c r="O192" s="99">
        <v>0</v>
      </c>
      <c r="P192" s="99">
        <v>0</v>
      </c>
      <c r="Q192" s="99">
        <v>0</v>
      </c>
      <c r="R192" s="99">
        <v>0</v>
      </c>
      <c r="S192" s="99">
        <v>0</v>
      </c>
      <c r="T192" s="99">
        <v>0</v>
      </c>
      <c r="U192" s="99">
        <v>0</v>
      </c>
      <c r="V192" s="99">
        <v>0</v>
      </c>
      <c r="W192" s="99">
        <v>0</v>
      </c>
      <c r="X192" s="99">
        <v>0</v>
      </c>
      <c r="Y192" s="99">
        <v>0</v>
      </c>
      <c r="Z192" s="99">
        <v>0</v>
      </c>
      <c r="AA192" s="99">
        <v>0</v>
      </c>
      <c r="AB192" s="99">
        <v>0</v>
      </c>
      <c r="AC192" s="99">
        <v>0</v>
      </c>
      <c r="AD192" s="99">
        <v>0</v>
      </c>
      <c r="AE192" s="99">
        <v>0</v>
      </c>
      <c r="AF192" s="99">
        <v>0</v>
      </c>
      <c r="AG192" s="99">
        <v>0</v>
      </c>
      <c r="AH192" s="99">
        <v>4845.3891794582305</v>
      </c>
      <c r="AI192" s="99">
        <v>0</v>
      </c>
      <c r="AJ192" s="99">
        <v>0</v>
      </c>
      <c r="AK192" s="99">
        <v>24262.311276063261</v>
      </c>
      <c r="AL192" s="99">
        <v>0</v>
      </c>
      <c r="AM192" s="99">
        <v>0</v>
      </c>
      <c r="AN192" s="99">
        <v>0</v>
      </c>
      <c r="AO192" s="99">
        <v>0</v>
      </c>
      <c r="AP192" s="99">
        <v>0</v>
      </c>
      <c r="AQ192" s="99">
        <v>0</v>
      </c>
      <c r="AR192" s="99">
        <f t="shared" si="2"/>
        <v>96392.889112288947</v>
      </c>
    </row>
    <row r="193" spans="1:44" ht="15" x14ac:dyDescent="0.25">
      <c r="A193" s="258">
        <v>186</v>
      </c>
      <c r="B193" s="258" t="s">
        <v>329</v>
      </c>
      <c r="C193" s="258" t="s">
        <v>1509</v>
      </c>
      <c r="D193" s="859" t="s">
        <v>1520</v>
      </c>
      <c r="E193" s="99">
        <v>0</v>
      </c>
      <c r="F193" s="99">
        <v>0</v>
      </c>
      <c r="G193" s="99">
        <v>0</v>
      </c>
      <c r="H193" s="99">
        <v>0</v>
      </c>
      <c r="I193" s="99">
        <v>0</v>
      </c>
      <c r="J193" s="99">
        <v>0</v>
      </c>
      <c r="K193" s="99">
        <v>0</v>
      </c>
      <c r="L193" s="99">
        <v>0</v>
      </c>
      <c r="M193" s="99">
        <v>0</v>
      </c>
      <c r="N193" s="99">
        <v>0</v>
      </c>
      <c r="O193" s="99">
        <v>0</v>
      </c>
      <c r="P193" s="99">
        <v>0</v>
      </c>
      <c r="Q193" s="99">
        <v>0</v>
      </c>
      <c r="R193" s="99">
        <v>0</v>
      </c>
      <c r="S193" s="99">
        <v>0</v>
      </c>
      <c r="T193" s="99">
        <v>0</v>
      </c>
      <c r="U193" s="99">
        <v>0</v>
      </c>
      <c r="V193" s="99">
        <v>0</v>
      </c>
      <c r="W193" s="99">
        <v>0</v>
      </c>
      <c r="X193" s="99">
        <v>0</v>
      </c>
      <c r="Y193" s="99">
        <v>0</v>
      </c>
      <c r="Z193" s="99">
        <v>0</v>
      </c>
      <c r="AA193" s="99">
        <v>0</v>
      </c>
      <c r="AB193" s="99">
        <v>0</v>
      </c>
      <c r="AC193" s="99">
        <v>0</v>
      </c>
      <c r="AD193" s="99">
        <v>0</v>
      </c>
      <c r="AE193" s="99">
        <v>0</v>
      </c>
      <c r="AF193" s="99">
        <v>0</v>
      </c>
      <c r="AG193" s="99">
        <v>0</v>
      </c>
      <c r="AH193" s="99">
        <v>1575.3968617761348</v>
      </c>
      <c r="AI193" s="99">
        <v>0</v>
      </c>
      <c r="AJ193" s="99">
        <v>0</v>
      </c>
      <c r="AK193" s="99">
        <v>104370.75575055617</v>
      </c>
      <c r="AL193" s="99">
        <v>0</v>
      </c>
      <c r="AM193" s="99">
        <v>0</v>
      </c>
      <c r="AN193" s="99">
        <v>0</v>
      </c>
      <c r="AO193" s="99">
        <v>0</v>
      </c>
      <c r="AP193" s="99">
        <v>0</v>
      </c>
      <c r="AQ193" s="99">
        <v>0</v>
      </c>
      <c r="AR193" s="99">
        <f t="shared" si="2"/>
        <v>105946.15261233231</v>
      </c>
    </row>
    <row r="194" spans="1:44" ht="15" x14ac:dyDescent="0.25">
      <c r="A194" s="258">
        <v>187</v>
      </c>
      <c r="B194" s="258" t="s">
        <v>329</v>
      </c>
      <c r="C194" s="258" t="s">
        <v>1509</v>
      </c>
      <c r="D194" s="859" t="s">
        <v>1521</v>
      </c>
      <c r="E194" s="99">
        <v>0</v>
      </c>
      <c r="F194" s="99">
        <v>0</v>
      </c>
      <c r="G194" s="99">
        <v>0</v>
      </c>
      <c r="H194" s="99">
        <v>0</v>
      </c>
      <c r="I194" s="99">
        <v>0</v>
      </c>
      <c r="J194" s="99">
        <v>0</v>
      </c>
      <c r="K194" s="99">
        <v>0</v>
      </c>
      <c r="L194" s="99">
        <v>29375.913913449123</v>
      </c>
      <c r="M194" s="99">
        <v>0</v>
      </c>
      <c r="N194" s="99">
        <v>0</v>
      </c>
      <c r="O194" s="99">
        <v>0</v>
      </c>
      <c r="P194" s="99">
        <v>0</v>
      </c>
      <c r="Q194" s="99">
        <v>0</v>
      </c>
      <c r="R194" s="99">
        <v>0</v>
      </c>
      <c r="S194" s="99">
        <v>0</v>
      </c>
      <c r="T194" s="99">
        <v>0</v>
      </c>
      <c r="U194" s="99">
        <v>0</v>
      </c>
      <c r="V194" s="99">
        <v>0</v>
      </c>
      <c r="W194" s="99">
        <v>0</v>
      </c>
      <c r="X194" s="99">
        <v>0</v>
      </c>
      <c r="Y194" s="99">
        <v>0</v>
      </c>
      <c r="Z194" s="99">
        <v>0</v>
      </c>
      <c r="AA194" s="99">
        <v>0</v>
      </c>
      <c r="AB194" s="99">
        <v>0</v>
      </c>
      <c r="AC194" s="99">
        <v>0</v>
      </c>
      <c r="AD194" s="99">
        <v>0</v>
      </c>
      <c r="AE194" s="99">
        <v>0</v>
      </c>
      <c r="AF194" s="99">
        <v>0</v>
      </c>
      <c r="AG194" s="99">
        <v>0</v>
      </c>
      <c r="AH194" s="99">
        <v>8183.8477329399457</v>
      </c>
      <c r="AI194" s="99">
        <v>0</v>
      </c>
      <c r="AJ194" s="99">
        <v>0</v>
      </c>
      <c r="AK194" s="99">
        <v>51760.826382658757</v>
      </c>
      <c r="AL194" s="99">
        <v>111.54034462769256</v>
      </c>
      <c r="AM194" s="99">
        <v>0</v>
      </c>
      <c r="AN194" s="99">
        <v>0</v>
      </c>
      <c r="AO194" s="99">
        <v>0</v>
      </c>
      <c r="AP194" s="99">
        <v>0</v>
      </c>
      <c r="AQ194" s="99">
        <v>0</v>
      </c>
      <c r="AR194" s="99">
        <f t="shared" si="2"/>
        <v>89432.128373675514</v>
      </c>
    </row>
    <row r="195" spans="1:44" ht="15" x14ac:dyDescent="0.25">
      <c r="A195" s="258">
        <v>188</v>
      </c>
      <c r="B195" s="258" t="s">
        <v>349</v>
      </c>
      <c r="C195" s="258" t="s">
        <v>1522</v>
      </c>
      <c r="D195" s="859" t="s">
        <v>1523</v>
      </c>
      <c r="E195" s="99">
        <v>0</v>
      </c>
      <c r="F195" s="99">
        <v>0</v>
      </c>
      <c r="G195" s="99">
        <v>0</v>
      </c>
      <c r="H195" s="99">
        <v>0</v>
      </c>
      <c r="I195" s="99">
        <v>0</v>
      </c>
      <c r="J195" s="99">
        <v>0</v>
      </c>
      <c r="K195" s="99">
        <v>0</v>
      </c>
      <c r="L195" s="99">
        <v>0</v>
      </c>
      <c r="M195" s="99">
        <v>0</v>
      </c>
      <c r="N195" s="99">
        <v>0</v>
      </c>
      <c r="O195" s="99">
        <v>0</v>
      </c>
      <c r="P195" s="99">
        <v>0</v>
      </c>
      <c r="Q195" s="99">
        <v>0</v>
      </c>
      <c r="R195" s="99">
        <v>0</v>
      </c>
      <c r="S195" s="99">
        <v>0</v>
      </c>
      <c r="T195" s="99">
        <v>0</v>
      </c>
      <c r="U195" s="99">
        <v>0</v>
      </c>
      <c r="V195" s="99">
        <v>0</v>
      </c>
      <c r="W195" s="99">
        <v>0</v>
      </c>
      <c r="X195" s="99">
        <v>0</v>
      </c>
      <c r="Y195" s="99">
        <v>0</v>
      </c>
      <c r="Z195" s="99">
        <v>0</v>
      </c>
      <c r="AA195" s="99">
        <v>0</v>
      </c>
      <c r="AB195" s="99">
        <v>0</v>
      </c>
      <c r="AC195" s="99">
        <v>0</v>
      </c>
      <c r="AD195" s="99">
        <v>0</v>
      </c>
      <c r="AE195" s="99">
        <v>97908.861204550543</v>
      </c>
      <c r="AF195" s="99">
        <v>0</v>
      </c>
      <c r="AG195" s="99">
        <v>0</v>
      </c>
      <c r="AH195" s="99">
        <v>0</v>
      </c>
      <c r="AI195" s="99">
        <v>0</v>
      </c>
      <c r="AJ195" s="99">
        <v>0</v>
      </c>
      <c r="AK195" s="99">
        <v>37765.001963526011</v>
      </c>
      <c r="AL195" s="99">
        <v>3439.233243432388</v>
      </c>
      <c r="AM195" s="99">
        <v>0</v>
      </c>
      <c r="AN195" s="99">
        <v>0</v>
      </c>
      <c r="AO195" s="99">
        <v>0</v>
      </c>
      <c r="AP195" s="99">
        <v>0</v>
      </c>
      <c r="AQ195" s="99">
        <v>0</v>
      </c>
      <c r="AR195" s="99">
        <f t="shared" si="2"/>
        <v>139113.09641150894</v>
      </c>
    </row>
    <row r="196" spans="1:44" ht="15" x14ac:dyDescent="0.25">
      <c r="A196" s="258">
        <v>189</v>
      </c>
      <c r="B196" s="258" t="s">
        <v>349</v>
      </c>
      <c r="C196" s="258" t="s">
        <v>1522</v>
      </c>
      <c r="D196" s="859" t="s">
        <v>1524</v>
      </c>
      <c r="E196" s="99">
        <v>666.92705143435057</v>
      </c>
      <c r="F196" s="99">
        <v>0</v>
      </c>
      <c r="G196" s="99">
        <v>0</v>
      </c>
      <c r="H196" s="99">
        <v>0</v>
      </c>
      <c r="I196" s="99">
        <v>0</v>
      </c>
      <c r="J196" s="99">
        <v>0</v>
      </c>
      <c r="K196" s="99">
        <v>0</v>
      </c>
      <c r="L196" s="99">
        <v>0</v>
      </c>
      <c r="M196" s="99">
        <v>0</v>
      </c>
      <c r="N196" s="99">
        <v>0</v>
      </c>
      <c r="O196" s="99">
        <v>0</v>
      </c>
      <c r="P196" s="99">
        <v>0</v>
      </c>
      <c r="Q196" s="99">
        <v>0</v>
      </c>
      <c r="R196" s="99">
        <v>0</v>
      </c>
      <c r="S196" s="99">
        <v>0</v>
      </c>
      <c r="T196" s="99">
        <v>0</v>
      </c>
      <c r="U196" s="99">
        <v>0</v>
      </c>
      <c r="V196" s="99">
        <v>0</v>
      </c>
      <c r="W196" s="99">
        <v>0</v>
      </c>
      <c r="X196" s="99">
        <v>0</v>
      </c>
      <c r="Y196" s="99">
        <v>0</v>
      </c>
      <c r="Z196" s="99">
        <v>0</v>
      </c>
      <c r="AA196" s="99">
        <v>0</v>
      </c>
      <c r="AB196" s="99">
        <v>0</v>
      </c>
      <c r="AC196" s="99">
        <v>0</v>
      </c>
      <c r="AD196" s="99">
        <v>0</v>
      </c>
      <c r="AE196" s="99">
        <v>35660.070864892659</v>
      </c>
      <c r="AF196" s="99">
        <v>0</v>
      </c>
      <c r="AG196" s="99">
        <v>0</v>
      </c>
      <c r="AH196" s="99">
        <v>0</v>
      </c>
      <c r="AI196" s="99">
        <v>0</v>
      </c>
      <c r="AJ196" s="99">
        <v>0</v>
      </c>
      <c r="AK196" s="99">
        <v>0</v>
      </c>
      <c r="AL196" s="99">
        <v>0</v>
      </c>
      <c r="AM196" s="99">
        <v>0</v>
      </c>
      <c r="AN196" s="99">
        <v>0</v>
      </c>
      <c r="AO196" s="99">
        <v>0</v>
      </c>
      <c r="AP196" s="99">
        <v>0</v>
      </c>
      <c r="AQ196" s="99">
        <v>0</v>
      </c>
      <c r="AR196" s="99">
        <f t="shared" si="2"/>
        <v>36326.997916327011</v>
      </c>
    </row>
    <row r="197" spans="1:44" ht="15" x14ac:dyDescent="0.25">
      <c r="A197" s="258">
        <v>190</v>
      </c>
      <c r="B197" s="258" t="s">
        <v>349</v>
      </c>
      <c r="C197" s="258" t="s">
        <v>1522</v>
      </c>
      <c r="D197" s="859" t="s">
        <v>1525</v>
      </c>
      <c r="E197" s="99">
        <v>1746.7337683176361</v>
      </c>
      <c r="F197" s="99">
        <v>0</v>
      </c>
      <c r="G197" s="99">
        <v>0</v>
      </c>
      <c r="H197" s="99">
        <v>0</v>
      </c>
      <c r="I197" s="99">
        <v>0</v>
      </c>
      <c r="J197" s="99">
        <v>0</v>
      </c>
      <c r="K197" s="99">
        <v>0</v>
      </c>
      <c r="L197" s="99">
        <v>0</v>
      </c>
      <c r="M197" s="99">
        <v>4836.0308314217236</v>
      </c>
      <c r="N197" s="99">
        <v>0</v>
      </c>
      <c r="O197" s="99">
        <v>0</v>
      </c>
      <c r="P197" s="99">
        <v>0</v>
      </c>
      <c r="Q197" s="99">
        <v>0</v>
      </c>
      <c r="R197" s="99">
        <v>0</v>
      </c>
      <c r="S197" s="99">
        <v>0</v>
      </c>
      <c r="T197" s="99">
        <v>0</v>
      </c>
      <c r="U197" s="99">
        <v>0</v>
      </c>
      <c r="V197" s="99">
        <v>0</v>
      </c>
      <c r="W197" s="99">
        <v>0</v>
      </c>
      <c r="X197" s="99">
        <v>0</v>
      </c>
      <c r="Y197" s="99">
        <v>0</v>
      </c>
      <c r="Z197" s="99">
        <v>0</v>
      </c>
      <c r="AA197" s="99">
        <v>0</v>
      </c>
      <c r="AB197" s="99">
        <v>0</v>
      </c>
      <c r="AC197" s="99">
        <v>0</v>
      </c>
      <c r="AD197" s="99">
        <v>0</v>
      </c>
      <c r="AE197" s="99">
        <v>39365.698715902043</v>
      </c>
      <c r="AF197" s="99">
        <v>0</v>
      </c>
      <c r="AG197" s="99">
        <v>0</v>
      </c>
      <c r="AH197" s="99">
        <v>0</v>
      </c>
      <c r="AI197" s="99">
        <v>0</v>
      </c>
      <c r="AJ197" s="99">
        <v>0</v>
      </c>
      <c r="AK197" s="99">
        <v>0</v>
      </c>
      <c r="AL197" s="99">
        <v>0</v>
      </c>
      <c r="AM197" s="99">
        <v>0</v>
      </c>
      <c r="AN197" s="99">
        <v>0</v>
      </c>
      <c r="AO197" s="99">
        <v>0</v>
      </c>
      <c r="AP197" s="99">
        <v>0</v>
      </c>
      <c r="AQ197" s="99">
        <v>0</v>
      </c>
      <c r="AR197" s="99">
        <f t="shared" si="2"/>
        <v>45948.463315641406</v>
      </c>
    </row>
    <row r="198" spans="1:44" ht="15" x14ac:dyDescent="0.25">
      <c r="A198" s="258">
        <v>191</v>
      </c>
      <c r="B198" s="258" t="s">
        <v>349</v>
      </c>
      <c r="C198" s="258" t="s">
        <v>1522</v>
      </c>
      <c r="D198" s="859" t="s">
        <v>1526</v>
      </c>
      <c r="E198" s="99">
        <v>6880.9766693313541</v>
      </c>
      <c r="F198" s="99">
        <v>0</v>
      </c>
      <c r="G198" s="99">
        <v>0</v>
      </c>
      <c r="H198" s="99">
        <v>0</v>
      </c>
      <c r="I198" s="99">
        <v>0</v>
      </c>
      <c r="J198" s="99">
        <v>0</v>
      </c>
      <c r="K198" s="99">
        <v>0</v>
      </c>
      <c r="L198" s="99">
        <v>0</v>
      </c>
      <c r="M198" s="99">
        <v>735.40750799063892</v>
      </c>
      <c r="N198" s="99">
        <v>0</v>
      </c>
      <c r="O198" s="99">
        <v>0</v>
      </c>
      <c r="P198" s="99">
        <v>0</v>
      </c>
      <c r="Q198" s="99">
        <v>0</v>
      </c>
      <c r="R198" s="99">
        <v>0</v>
      </c>
      <c r="S198" s="99">
        <v>0</v>
      </c>
      <c r="T198" s="99">
        <v>0</v>
      </c>
      <c r="U198" s="99">
        <v>0</v>
      </c>
      <c r="V198" s="99">
        <v>0</v>
      </c>
      <c r="W198" s="99">
        <v>0</v>
      </c>
      <c r="X198" s="99">
        <v>0</v>
      </c>
      <c r="Y198" s="99">
        <v>0</v>
      </c>
      <c r="Z198" s="99">
        <v>0</v>
      </c>
      <c r="AA198" s="99">
        <v>0</v>
      </c>
      <c r="AB198" s="99">
        <v>0</v>
      </c>
      <c r="AC198" s="99">
        <v>0</v>
      </c>
      <c r="AD198" s="99">
        <v>0</v>
      </c>
      <c r="AE198" s="99">
        <v>23494.432256491426</v>
      </c>
      <c r="AF198" s="99">
        <v>0</v>
      </c>
      <c r="AG198" s="99">
        <v>0</v>
      </c>
      <c r="AH198" s="99">
        <v>0</v>
      </c>
      <c r="AI198" s="99">
        <v>0</v>
      </c>
      <c r="AJ198" s="99">
        <v>0</v>
      </c>
      <c r="AK198" s="99">
        <v>0</v>
      </c>
      <c r="AL198" s="99">
        <v>0</v>
      </c>
      <c r="AM198" s="99">
        <v>0</v>
      </c>
      <c r="AN198" s="99">
        <v>0</v>
      </c>
      <c r="AO198" s="99">
        <v>0</v>
      </c>
      <c r="AP198" s="99">
        <v>0</v>
      </c>
      <c r="AQ198" s="99">
        <v>0</v>
      </c>
      <c r="AR198" s="99">
        <f t="shared" si="2"/>
        <v>31110.816433813419</v>
      </c>
    </row>
    <row r="199" spans="1:44" ht="15" x14ac:dyDescent="0.25">
      <c r="A199" s="258">
        <v>192</v>
      </c>
      <c r="B199" s="258" t="s">
        <v>349</v>
      </c>
      <c r="C199" s="258" t="s">
        <v>1522</v>
      </c>
      <c r="D199" s="859" t="s">
        <v>1527</v>
      </c>
      <c r="E199" s="99">
        <v>469.96659878396605</v>
      </c>
      <c r="F199" s="99">
        <v>0</v>
      </c>
      <c r="G199" s="99">
        <v>0</v>
      </c>
      <c r="H199" s="99">
        <v>0</v>
      </c>
      <c r="I199" s="99">
        <v>0</v>
      </c>
      <c r="J199" s="99">
        <v>0</v>
      </c>
      <c r="K199" s="99">
        <v>0</v>
      </c>
      <c r="L199" s="99">
        <v>0</v>
      </c>
      <c r="M199" s="99">
        <v>8753.3610981499751</v>
      </c>
      <c r="N199" s="99">
        <v>0</v>
      </c>
      <c r="O199" s="99">
        <v>0</v>
      </c>
      <c r="P199" s="99">
        <v>0</v>
      </c>
      <c r="Q199" s="99">
        <v>0</v>
      </c>
      <c r="R199" s="99">
        <v>0</v>
      </c>
      <c r="S199" s="99">
        <v>0</v>
      </c>
      <c r="T199" s="99">
        <v>0</v>
      </c>
      <c r="U199" s="99">
        <v>0</v>
      </c>
      <c r="V199" s="99">
        <v>0</v>
      </c>
      <c r="W199" s="99">
        <v>0</v>
      </c>
      <c r="X199" s="99">
        <v>0</v>
      </c>
      <c r="Y199" s="99">
        <v>0</v>
      </c>
      <c r="Z199" s="99">
        <v>0</v>
      </c>
      <c r="AA199" s="99">
        <v>0</v>
      </c>
      <c r="AB199" s="99">
        <v>0</v>
      </c>
      <c r="AC199" s="99">
        <v>0</v>
      </c>
      <c r="AD199" s="99">
        <v>0</v>
      </c>
      <c r="AE199" s="99">
        <v>20371.757082086668</v>
      </c>
      <c r="AF199" s="99">
        <v>0</v>
      </c>
      <c r="AG199" s="99">
        <v>0</v>
      </c>
      <c r="AH199" s="99">
        <v>0</v>
      </c>
      <c r="AI199" s="99">
        <v>0</v>
      </c>
      <c r="AJ199" s="99">
        <v>0</v>
      </c>
      <c r="AK199" s="99">
        <v>16096.964760480605</v>
      </c>
      <c r="AL199" s="99">
        <v>0</v>
      </c>
      <c r="AM199" s="99">
        <v>0</v>
      </c>
      <c r="AN199" s="99">
        <v>0</v>
      </c>
      <c r="AO199" s="99">
        <v>0</v>
      </c>
      <c r="AP199" s="99">
        <v>0</v>
      </c>
      <c r="AQ199" s="99">
        <v>0</v>
      </c>
      <c r="AR199" s="99">
        <f t="shared" si="2"/>
        <v>45692.049539501211</v>
      </c>
    </row>
    <row r="200" spans="1:44" ht="15" x14ac:dyDescent="0.25">
      <c r="A200" s="258">
        <v>193</v>
      </c>
      <c r="B200" s="258" t="s">
        <v>349</v>
      </c>
      <c r="C200" s="258" t="s">
        <v>1522</v>
      </c>
      <c r="D200" s="859" t="s">
        <v>1528</v>
      </c>
      <c r="E200" s="99">
        <v>30086.920396466834</v>
      </c>
      <c r="F200" s="99">
        <v>0</v>
      </c>
      <c r="G200" s="99">
        <v>0</v>
      </c>
      <c r="H200" s="99">
        <v>342.13867439781097</v>
      </c>
      <c r="I200" s="99">
        <v>0</v>
      </c>
      <c r="J200" s="99">
        <v>0</v>
      </c>
      <c r="K200" s="99">
        <v>0</v>
      </c>
      <c r="L200" s="99">
        <v>0</v>
      </c>
      <c r="M200" s="99">
        <v>23102.748628684643</v>
      </c>
      <c r="N200" s="99">
        <v>0</v>
      </c>
      <c r="O200" s="99">
        <v>0</v>
      </c>
      <c r="P200" s="99">
        <v>0</v>
      </c>
      <c r="Q200" s="99">
        <v>0</v>
      </c>
      <c r="R200" s="99">
        <v>0</v>
      </c>
      <c r="S200" s="99">
        <v>0</v>
      </c>
      <c r="T200" s="99">
        <v>0</v>
      </c>
      <c r="U200" s="99">
        <v>0</v>
      </c>
      <c r="V200" s="99">
        <v>0</v>
      </c>
      <c r="W200" s="99">
        <v>0</v>
      </c>
      <c r="X200" s="99">
        <v>0</v>
      </c>
      <c r="Y200" s="99">
        <v>0</v>
      </c>
      <c r="Z200" s="99">
        <v>0</v>
      </c>
      <c r="AA200" s="99">
        <v>0</v>
      </c>
      <c r="AB200" s="99">
        <v>0</v>
      </c>
      <c r="AC200" s="99">
        <v>0</v>
      </c>
      <c r="AD200" s="99">
        <v>0</v>
      </c>
      <c r="AE200" s="99">
        <v>41917.216209559403</v>
      </c>
      <c r="AF200" s="99">
        <v>0</v>
      </c>
      <c r="AG200" s="99">
        <v>0</v>
      </c>
      <c r="AH200" s="99">
        <v>0</v>
      </c>
      <c r="AI200" s="99">
        <v>0</v>
      </c>
      <c r="AJ200" s="99">
        <v>0</v>
      </c>
      <c r="AK200" s="99">
        <v>2.1946316496217442</v>
      </c>
      <c r="AL200" s="99">
        <v>0</v>
      </c>
      <c r="AM200" s="99">
        <v>0</v>
      </c>
      <c r="AN200" s="99">
        <v>0</v>
      </c>
      <c r="AO200" s="99">
        <v>0</v>
      </c>
      <c r="AP200" s="99">
        <v>0</v>
      </c>
      <c r="AQ200" s="99">
        <v>0</v>
      </c>
      <c r="AR200" s="99">
        <f t="shared" si="2"/>
        <v>95451.218540758302</v>
      </c>
    </row>
    <row r="201" spans="1:44" ht="15" x14ac:dyDescent="0.25">
      <c r="A201" s="258">
        <v>194</v>
      </c>
      <c r="B201" s="258" t="s">
        <v>349</v>
      </c>
      <c r="C201" s="258" t="s">
        <v>1522</v>
      </c>
      <c r="D201" s="859" t="s">
        <v>1529</v>
      </c>
      <c r="E201" s="99">
        <v>53111.070679070472</v>
      </c>
      <c r="F201" s="99">
        <v>0</v>
      </c>
      <c r="G201" s="99">
        <v>0</v>
      </c>
      <c r="H201" s="99">
        <v>0</v>
      </c>
      <c r="I201" s="99">
        <v>0</v>
      </c>
      <c r="J201" s="99">
        <v>0</v>
      </c>
      <c r="K201" s="99">
        <v>0</v>
      </c>
      <c r="L201" s="99">
        <v>0</v>
      </c>
      <c r="M201" s="99">
        <v>6486.7859823368817</v>
      </c>
      <c r="N201" s="99">
        <v>0</v>
      </c>
      <c r="O201" s="99">
        <v>0</v>
      </c>
      <c r="P201" s="99">
        <v>0</v>
      </c>
      <c r="Q201" s="99">
        <v>0</v>
      </c>
      <c r="R201" s="99">
        <v>0</v>
      </c>
      <c r="S201" s="99">
        <v>0</v>
      </c>
      <c r="T201" s="99">
        <v>0</v>
      </c>
      <c r="U201" s="99">
        <v>0</v>
      </c>
      <c r="V201" s="99">
        <v>0</v>
      </c>
      <c r="W201" s="99">
        <v>0</v>
      </c>
      <c r="X201" s="99">
        <v>0</v>
      </c>
      <c r="Y201" s="99">
        <v>0</v>
      </c>
      <c r="Z201" s="99">
        <v>0</v>
      </c>
      <c r="AA201" s="99">
        <v>0</v>
      </c>
      <c r="AB201" s="99">
        <v>0</v>
      </c>
      <c r="AC201" s="99">
        <v>0</v>
      </c>
      <c r="AD201" s="99">
        <v>0</v>
      </c>
      <c r="AE201" s="99">
        <v>5908.4932637344855</v>
      </c>
      <c r="AF201" s="99">
        <v>0</v>
      </c>
      <c r="AG201" s="99">
        <v>0</v>
      </c>
      <c r="AH201" s="99">
        <v>0</v>
      </c>
      <c r="AI201" s="99">
        <v>0</v>
      </c>
      <c r="AJ201" s="99">
        <v>0</v>
      </c>
      <c r="AK201" s="99">
        <v>31868.904573652228</v>
      </c>
      <c r="AL201" s="99">
        <v>313.92507150098635</v>
      </c>
      <c r="AM201" s="99">
        <v>0</v>
      </c>
      <c r="AN201" s="99">
        <v>0</v>
      </c>
      <c r="AO201" s="99">
        <v>0</v>
      </c>
      <c r="AP201" s="99">
        <v>0</v>
      </c>
      <c r="AQ201" s="99">
        <v>0</v>
      </c>
      <c r="AR201" s="99">
        <f t="shared" ref="AR201:AR264" si="3">SUM(E201:AQ201)</f>
        <v>97689.179570295048</v>
      </c>
    </row>
    <row r="202" spans="1:44" ht="15" x14ac:dyDescent="0.25">
      <c r="A202" s="258">
        <v>195</v>
      </c>
      <c r="B202" s="258" t="s">
        <v>349</v>
      </c>
      <c r="C202" s="258" t="s">
        <v>1522</v>
      </c>
      <c r="D202" s="859" t="s">
        <v>1530</v>
      </c>
      <c r="E202" s="99">
        <v>3159.1613993559563</v>
      </c>
      <c r="F202" s="99">
        <v>0</v>
      </c>
      <c r="G202" s="99">
        <v>0</v>
      </c>
      <c r="H202" s="99">
        <v>0</v>
      </c>
      <c r="I202" s="99">
        <v>0</v>
      </c>
      <c r="J202" s="99">
        <v>0</v>
      </c>
      <c r="K202" s="99">
        <v>0</v>
      </c>
      <c r="L202" s="99">
        <v>0</v>
      </c>
      <c r="M202" s="99">
        <v>66115.593777655668</v>
      </c>
      <c r="N202" s="99">
        <v>0</v>
      </c>
      <c r="O202" s="99">
        <v>0</v>
      </c>
      <c r="P202" s="99">
        <v>0</v>
      </c>
      <c r="Q202" s="99">
        <v>0</v>
      </c>
      <c r="R202" s="99">
        <v>0</v>
      </c>
      <c r="S202" s="99">
        <v>0</v>
      </c>
      <c r="T202" s="99">
        <v>0</v>
      </c>
      <c r="U202" s="99">
        <v>0</v>
      </c>
      <c r="V202" s="99">
        <v>0</v>
      </c>
      <c r="W202" s="99">
        <v>0</v>
      </c>
      <c r="X202" s="99">
        <v>0</v>
      </c>
      <c r="Y202" s="99">
        <v>0</v>
      </c>
      <c r="Z202" s="99">
        <v>0</v>
      </c>
      <c r="AA202" s="99">
        <v>0</v>
      </c>
      <c r="AB202" s="99">
        <v>0</v>
      </c>
      <c r="AC202" s="99">
        <v>0</v>
      </c>
      <c r="AD202" s="99">
        <v>0</v>
      </c>
      <c r="AE202" s="99">
        <v>32096.382794538033</v>
      </c>
      <c r="AF202" s="99">
        <v>0</v>
      </c>
      <c r="AG202" s="99">
        <v>0</v>
      </c>
      <c r="AH202" s="99">
        <v>0</v>
      </c>
      <c r="AI202" s="99">
        <v>0</v>
      </c>
      <c r="AJ202" s="99">
        <v>0</v>
      </c>
      <c r="AK202" s="99">
        <v>47610.777933224032</v>
      </c>
      <c r="AL202" s="99">
        <v>0</v>
      </c>
      <c r="AM202" s="99">
        <v>0</v>
      </c>
      <c r="AN202" s="99">
        <v>0</v>
      </c>
      <c r="AO202" s="99">
        <v>0</v>
      </c>
      <c r="AP202" s="99">
        <v>0</v>
      </c>
      <c r="AQ202" s="99">
        <v>0</v>
      </c>
      <c r="AR202" s="99">
        <f t="shared" si="3"/>
        <v>148981.91590477369</v>
      </c>
    </row>
    <row r="203" spans="1:44" ht="15" x14ac:dyDescent="0.25">
      <c r="A203" s="258">
        <v>196</v>
      </c>
      <c r="B203" s="258" t="s">
        <v>349</v>
      </c>
      <c r="C203" s="258" t="s">
        <v>1522</v>
      </c>
      <c r="D203" s="859" t="s">
        <v>1531</v>
      </c>
      <c r="E203" s="99">
        <v>30262.815560063704</v>
      </c>
      <c r="F203" s="99">
        <v>0</v>
      </c>
      <c r="G203" s="99">
        <v>0</v>
      </c>
      <c r="H203" s="99">
        <v>0</v>
      </c>
      <c r="I203" s="99">
        <v>0</v>
      </c>
      <c r="J203" s="99">
        <v>0</v>
      </c>
      <c r="K203" s="99">
        <v>0</v>
      </c>
      <c r="L203" s="99">
        <v>0</v>
      </c>
      <c r="M203" s="99">
        <v>695.17244676318751</v>
      </c>
      <c r="N203" s="99">
        <v>0</v>
      </c>
      <c r="O203" s="99">
        <v>0</v>
      </c>
      <c r="P203" s="99">
        <v>0</v>
      </c>
      <c r="Q203" s="99">
        <v>0</v>
      </c>
      <c r="R203" s="99">
        <v>0</v>
      </c>
      <c r="S203" s="99">
        <v>0</v>
      </c>
      <c r="T203" s="99">
        <v>0</v>
      </c>
      <c r="U203" s="99">
        <v>0</v>
      </c>
      <c r="V203" s="99">
        <v>0</v>
      </c>
      <c r="W203" s="99">
        <v>0</v>
      </c>
      <c r="X203" s="99">
        <v>0</v>
      </c>
      <c r="Y203" s="99">
        <v>0</v>
      </c>
      <c r="Z203" s="99">
        <v>0</v>
      </c>
      <c r="AA203" s="99">
        <v>0</v>
      </c>
      <c r="AB203" s="99">
        <v>0</v>
      </c>
      <c r="AC203" s="99">
        <v>0</v>
      </c>
      <c r="AD203" s="99">
        <v>0</v>
      </c>
      <c r="AE203" s="99">
        <v>0</v>
      </c>
      <c r="AF203" s="99">
        <v>0</v>
      </c>
      <c r="AG203" s="99">
        <v>0</v>
      </c>
      <c r="AH203" s="99">
        <v>86.649072192303791</v>
      </c>
      <c r="AI203" s="99">
        <v>0</v>
      </c>
      <c r="AJ203" s="99">
        <v>0</v>
      </c>
      <c r="AK203" s="99">
        <v>23738.891627628476</v>
      </c>
      <c r="AL203" s="99">
        <v>8379.2505379198028</v>
      </c>
      <c r="AM203" s="99">
        <v>0</v>
      </c>
      <c r="AN203" s="99">
        <v>0</v>
      </c>
      <c r="AO203" s="99">
        <v>0</v>
      </c>
      <c r="AP203" s="99">
        <v>0</v>
      </c>
      <c r="AQ203" s="99">
        <v>0</v>
      </c>
      <c r="AR203" s="99">
        <f t="shared" si="3"/>
        <v>63162.779244567479</v>
      </c>
    </row>
    <row r="204" spans="1:44" ht="15" x14ac:dyDescent="0.25">
      <c r="A204" s="258">
        <v>197</v>
      </c>
      <c r="B204" s="258" t="s">
        <v>349</v>
      </c>
      <c r="C204" s="258" t="s">
        <v>1522</v>
      </c>
      <c r="D204" s="859" t="s">
        <v>1532</v>
      </c>
      <c r="E204" s="99">
        <v>0</v>
      </c>
      <c r="F204" s="99">
        <v>0</v>
      </c>
      <c r="G204" s="99">
        <v>0</v>
      </c>
      <c r="H204" s="99">
        <v>0</v>
      </c>
      <c r="I204" s="99">
        <v>0</v>
      </c>
      <c r="J204" s="99">
        <v>0</v>
      </c>
      <c r="K204" s="99">
        <v>0</v>
      </c>
      <c r="L204" s="99">
        <v>0</v>
      </c>
      <c r="M204" s="99">
        <v>57498.808359561102</v>
      </c>
      <c r="N204" s="99">
        <v>0</v>
      </c>
      <c r="O204" s="99">
        <v>0</v>
      </c>
      <c r="P204" s="99">
        <v>0</v>
      </c>
      <c r="Q204" s="99">
        <v>0</v>
      </c>
      <c r="R204" s="99">
        <v>0</v>
      </c>
      <c r="S204" s="99">
        <v>0</v>
      </c>
      <c r="T204" s="99">
        <v>0</v>
      </c>
      <c r="U204" s="99">
        <v>0</v>
      </c>
      <c r="V204" s="99">
        <v>0</v>
      </c>
      <c r="W204" s="99">
        <v>0</v>
      </c>
      <c r="X204" s="99">
        <v>0</v>
      </c>
      <c r="Y204" s="99">
        <v>0</v>
      </c>
      <c r="Z204" s="99">
        <v>0</v>
      </c>
      <c r="AA204" s="99">
        <v>0</v>
      </c>
      <c r="AB204" s="99">
        <v>0</v>
      </c>
      <c r="AC204" s="99">
        <v>0</v>
      </c>
      <c r="AD204" s="99">
        <v>0</v>
      </c>
      <c r="AE204" s="99">
        <v>0</v>
      </c>
      <c r="AF204" s="99">
        <v>0</v>
      </c>
      <c r="AG204" s="99">
        <v>0</v>
      </c>
      <c r="AH204" s="99">
        <v>313.37332844677741</v>
      </c>
      <c r="AI204" s="99">
        <v>0</v>
      </c>
      <c r="AJ204" s="99">
        <v>0</v>
      </c>
      <c r="AK204" s="99">
        <v>716.10830727157497</v>
      </c>
      <c r="AL204" s="99">
        <v>0</v>
      </c>
      <c r="AM204" s="99">
        <v>0</v>
      </c>
      <c r="AN204" s="99">
        <v>0</v>
      </c>
      <c r="AO204" s="99">
        <v>0</v>
      </c>
      <c r="AP204" s="99">
        <v>0</v>
      </c>
      <c r="AQ204" s="99">
        <v>0</v>
      </c>
      <c r="AR204" s="99">
        <f t="shared" si="3"/>
        <v>58528.289995279454</v>
      </c>
    </row>
    <row r="205" spans="1:44" ht="15" x14ac:dyDescent="0.25">
      <c r="A205" s="258">
        <v>198</v>
      </c>
      <c r="B205" s="258" t="s">
        <v>349</v>
      </c>
      <c r="C205" s="258" t="s">
        <v>1522</v>
      </c>
      <c r="D205" s="859" t="s">
        <v>1533</v>
      </c>
      <c r="E205" s="99">
        <v>22060.202655514688</v>
      </c>
      <c r="F205" s="99">
        <v>0</v>
      </c>
      <c r="G205" s="99">
        <v>0</v>
      </c>
      <c r="H205" s="99">
        <v>0</v>
      </c>
      <c r="I205" s="99">
        <v>0</v>
      </c>
      <c r="J205" s="99">
        <v>0</v>
      </c>
      <c r="K205" s="99">
        <v>0</v>
      </c>
      <c r="L205" s="99">
        <v>0</v>
      </c>
      <c r="M205" s="99">
        <v>42626.365033069553</v>
      </c>
      <c r="N205" s="99">
        <v>0</v>
      </c>
      <c r="O205" s="99">
        <v>0</v>
      </c>
      <c r="P205" s="99">
        <v>0</v>
      </c>
      <c r="Q205" s="99">
        <v>0</v>
      </c>
      <c r="R205" s="99">
        <v>0</v>
      </c>
      <c r="S205" s="99">
        <v>0</v>
      </c>
      <c r="T205" s="99">
        <v>0</v>
      </c>
      <c r="U205" s="99">
        <v>0</v>
      </c>
      <c r="V205" s="99">
        <v>0</v>
      </c>
      <c r="W205" s="99">
        <v>0</v>
      </c>
      <c r="X205" s="99">
        <v>0</v>
      </c>
      <c r="Y205" s="99">
        <v>0</v>
      </c>
      <c r="Z205" s="99">
        <v>0</v>
      </c>
      <c r="AA205" s="99">
        <v>0</v>
      </c>
      <c r="AB205" s="99">
        <v>0</v>
      </c>
      <c r="AC205" s="99">
        <v>0</v>
      </c>
      <c r="AD205" s="99">
        <v>0</v>
      </c>
      <c r="AE205" s="99">
        <v>0</v>
      </c>
      <c r="AF205" s="99">
        <v>0</v>
      </c>
      <c r="AG205" s="99">
        <v>0</v>
      </c>
      <c r="AH205" s="99">
        <v>5245.8605390205885</v>
      </c>
      <c r="AI205" s="99">
        <v>0</v>
      </c>
      <c r="AJ205" s="99">
        <v>0</v>
      </c>
      <c r="AK205" s="99">
        <v>0</v>
      </c>
      <c r="AL205" s="99">
        <v>101.30128955444735</v>
      </c>
      <c r="AM205" s="99">
        <v>0</v>
      </c>
      <c r="AN205" s="99">
        <v>0</v>
      </c>
      <c r="AO205" s="99">
        <v>0</v>
      </c>
      <c r="AP205" s="99">
        <v>0</v>
      </c>
      <c r="AQ205" s="99">
        <v>0</v>
      </c>
      <c r="AR205" s="99">
        <f t="shared" si="3"/>
        <v>70033.729517159285</v>
      </c>
    </row>
    <row r="206" spans="1:44" ht="15" x14ac:dyDescent="0.25">
      <c r="A206" s="258">
        <v>199</v>
      </c>
      <c r="B206" s="258" t="s">
        <v>306</v>
      </c>
      <c r="C206" s="258" t="s">
        <v>1534</v>
      </c>
      <c r="D206" s="859" t="s">
        <v>1535</v>
      </c>
      <c r="E206" s="99">
        <v>0</v>
      </c>
      <c r="F206" s="99">
        <v>0</v>
      </c>
      <c r="G206" s="99">
        <v>0</v>
      </c>
      <c r="H206" s="99">
        <v>0</v>
      </c>
      <c r="I206" s="99">
        <v>58415.908097166764</v>
      </c>
      <c r="J206" s="99">
        <v>0</v>
      </c>
      <c r="K206" s="99">
        <v>0</v>
      </c>
      <c r="L206" s="99">
        <v>0</v>
      </c>
      <c r="M206" s="99">
        <v>0</v>
      </c>
      <c r="N206" s="99">
        <v>0</v>
      </c>
      <c r="O206" s="99">
        <v>0</v>
      </c>
      <c r="P206" s="99">
        <v>0</v>
      </c>
      <c r="Q206" s="99">
        <v>170.80821369271641</v>
      </c>
      <c r="R206" s="99">
        <v>0</v>
      </c>
      <c r="S206" s="99">
        <v>0</v>
      </c>
      <c r="T206" s="99">
        <v>0</v>
      </c>
      <c r="U206" s="99">
        <v>0</v>
      </c>
      <c r="V206" s="99">
        <v>0</v>
      </c>
      <c r="W206" s="99">
        <v>0</v>
      </c>
      <c r="X206" s="99">
        <v>0</v>
      </c>
      <c r="Y206" s="99">
        <v>0</v>
      </c>
      <c r="Z206" s="99">
        <v>0</v>
      </c>
      <c r="AA206" s="99">
        <v>0</v>
      </c>
      <c r="AB206" s="99">
        <v>0</v>
      </c>
      <c r="AC206" s="99">
        <v>0</v>
      </c>
      <c r="AD206" s="99">
        <v>0</v>
      </c>
      <c r="AE206" s="99">
        <v>0</v>
      </c>
      <c r="AF206" s="99">
        <v>0</v>
      </c>
      <c r="AG206" s="99">
        <v>0</v>
      </c>
      <c r="AH206" s="99">
        <v>0</v>
      </c>
      <c r="AI206" s="99">
        <v>0</v>
      </c>
      <c r="AJ206" s="99">
        <v>0</v>
      </c>
      <c r="AK206" s="99">
        <v>0</v>
      </c>
      <c r="AL206" s="99">
        <v>0</v>
      </c>
      <c r="AM206" s="99">
        <v>0</v>
      </c>
      <c r="AN206" s="99">
        <v>0</v>
      </c>
      <c r="AO206" s="99">
        <v>0</v>
      </c>
      <c r="AP206" s="99">
        <v>0</v>
      </c>
      <c r="AQ206" s="99">
        <v>0</v>
      </c>
      <c r="AR206" s="99">
        <f t="shared" si="3"/>
        <v>58586.716310859483</v>
      </c>
    </row>
    <row r="207" spans="1:44" ht="15" x14ac:dyDescent="0.25">
      <c r="A207" s="258">
        <v>200</v>
      </c>
      <c r="B207" s="258" t="s">
        <v>306</v>
      </c>
      <c r="C207" s="258" t="s">
        <v>1534</v>
      </c>
      <c r="D207" s="859" t="s">
        <v>1536</v>
      </c>
      <c r="E207" s="99">
        <v>0</v>
      </c>
      <c r="F207" s="99">
        <v>0</v>
      </c>
      <c r="G207" s="99">
        <v>0</v>
      </c>
      <c r="H207" s="99">
        <v>0</v>
      </c>
      <c r="I207" s="99">
        <v>40763.737755129128</v>
      </c>
      <c r="J207" s="99">
        <v>0</v>
      </c>
      <c r="K207" s="99">
        <v>0</v>
      </c>
      <c r="L207" s="99">
        <v>0</v>
      </c>
      <c r="M207" s="99">
        <v>0</v>
      </c>
      <c r="N207" s="99">
        <v>0</v>
      </c>
      <c r="O207" s="99">
        <v>0</v>
      </c>
      <c r="P207" s="99">
        <v>0</v>
      </c>
      <c r="Q207" s="99">
        <v>266.13242373751672</v>
      </c>
      <c r="R207" s="99">
        <v>0</v>
      </c>
      <c r="S207" s="99">
        <v>0</v>
      </c>
      <c r="T207" s="99">
        <v>0</v>
      </c>
      <c r="U207" s="99">
        <v>0</v>
      </c>
      <c r="V207" s="99">
        <v>0</v>
      </c>
      <c r="W207" s="99">
        <v>0</v>
      </c>
      <c r="X207" s="99">
        <v>0</v>
      </c>
      <c r="Y207" s="99">
        <v>0</v>
      </c>
      <c r="Z207" s="99">
        <v>0</v>
      </c>
      <c r="AA207" s="99">
        <v>0</v>
      </c>
      <c r="AB207" s="99">
        <v>0</v>
      </c>
      <c r="AC207" s="99">
        <v>0</v>
      </c>
      <c r="AD207" s="99">
        <v>0</v>
      </c>
      <c r="AE207" s="99">
        <v>0</v>
      </c>
      <c r="AF207" s="99">
        <v>0</v>
      </c>
      <c r="AG207" s="99">
        <v>0</v>
      </c>
      <c r="AH207" s="99">
        <v>0</v>
      </c>
      <c r="AI207" s="99">
        <v>0</v>
      </c>
      <c r="AJ207" s="99">
        <v>0</v>
      </c>
      <c r="AK207" s="99">
        <v>0</v>
      </c>
      <c r="AL207" s="99">
        <v>0</v>
      </c>
      <c r="AM207" s="99">
        <v>0</v>
      </c>
      <c r="AN207" s="99">
        <v>0</v>
      </c>
      <c r="AO207" s="99">
        <v>0</v>
      </c>
      <c r="AP207" s="99">
        <v>0</v>
      </c>
      <c r="AQ207" s="99">
        <v>0</v>
      </c>
      <c r="AR207" s="99">
        <f t="shared" si="3"/>
        <v>41029.870178866644</v>
      </c>
    </row>
    <row r="208" spans="1:44" ht="15" x14ac:dyDescent="0.25">
      <c r="A208" s="258">
        <v>201</v>
      </c>
      <c r="B208" s="258" t="s">
        <v>306</v>
      </c>
      <c r="C208" s="258" t="s">
        <v>1534</v>
      </c>
      <c r="D208" s="859" t="s">
        <v>1537</v>
      </c>
      <c r="E208" s="99">
        <v>0</v>
      </c>
      <c r="F208" s="99">
        <v>0</v>
      </c>
      <c r="G208" s="99">
        <v>0</v>
      </c>
      <c r="H208" s="99">
        <v>0</v>
      </c>
      <c r="I208" s="99">
        <v>10618.215042401098</v>
      </c>
      <c r="J208" s="99">
        <v>0</v>
      </c>
      <c r="K208" s="99">
        <v>0</v>
      </c>
      <c r="L208" s="99">
        <v>18727.969264146515</v>
      </c>
      <c r="M208" s="99">
        <v>0</v>
      </c>
      <c r="N208" s="99">
        <v>0</v>
      </c>
      <c r="O208" s="99">
        <v>0</v>
      </c>
      <c r="P208" s="99">
        <v>0</v>
      </c>
      <c r="Q208" s="99">
        <v>0</v>
      </c>
      <c r="R208" s="99">
        <v>0</v>
      </c>
      <c r="S208" s="99">
        <v>0</v>
      </c>
      <c r="T208" s="99">
        <v>0</v>
      </c>
      <c r="U208" s="99">
        <v>0</v>
      </c>
      <c r="V208" s="99">
        <v>0</v>
      </c>
      <c r="W208" s="99">
        <v>0</v>
      </c>
      <c r="X208" s="99">
        <v>0</v>
      </c>
      <c r="Y208" s="99">
        <v>0</v>
      </c>
      <c r="Z208" s="99">
        <v>0</v>
      </c>
      <c r="AA208" s="99">
        <v>0</v>
      </c>
      <c r="AB208" s="99">
        <v>0</v>
      </c>
      <c r="AC208" s="99">
        <v>0</v>
      </c>
      <c r="AD208" s="99">
        <v>0</v>
      </c>
      <c r="AE208" s="99">
        <v>0</v>
      </c>
      <c r="AF208" s="99">
        <v>0</v>
      </c>
      <c r="AG208" s="99">
        <v>0</v>
      </c>
      <c r="AH208" s="99">
        <v>0</v>
      </c>
      <c r="AI208" s="99">
        <v>0</v>
      </c>
      <c r="AJ208" s="99">
        <v>0</v>
      </c>
      <c r="AK208" s="99">
        <v>0</v>
      </c>
      <c r="AL208" s="99">
        <v>3914.8046737492878</v>
      </c>
      <c r="AM208" s="99">
        <v>0</v>
      </c>
      <c r="AN208" s="99">
        <v>0</v>
      </c>
      <c r="AO208" s="99">
        <v>0</v>
      </c>
      <c r="AP208" s="99">
        <v>17.34940943395037</v>
      </c>
      <c r="AQ208" s="99">
        <v>0</v>
      </c>
      <c r="AR208" s="99">
        <f t="shared" si="3"/>
        <v>33278.338389730845</v>
      </c>
    </row>
    <row r="209" spans="1:44" ht="15" x14ac:dyDescent="0.25">
      <c r="A209" s="258">
        <v>202</v>
      </c>
      <c r="B209" s="258" t="s">
        <v>306</v>
      </c>
      <c r="C209" s="258" t="s">
        <v>1534</v>
      </c>
      <c r="D209" s="859" t="s">
        <v>1538</v>
      </c>
      <c r="E209" s="99">
        <v>0</v>
      </c>
      <c r="F209" s="99">
        <v>0</v>
      </c>
      <c r="G209" s="99">
        <v>0</v>
      </c>
      <c r="H209" s="99">
        <v>0</v>
      </c>
      <c r="I209" s="99">
        <v>33634.980975615021</v>
      </c>
      <c r="J209" s="99">
        <v>0</v>
      </c>
      <c r="K209" s="99">
        <v>0</v>
      </c>
      <c r="L209" s="99">
        <v>17204.041155162311</v>
      </c>
      <c r="M209" s="99">
        <v>0</v>
      </c>
      <c r="N209" s="99">
        <v>0</v>
      </c>
      <c r="O209" s="99">
        <v>0</v>
      </c>
      <c r="P209" s="99">
        <v>0</v>
      </c>
      <c r="Q209" s="99">
        <v>0</v>
      </c>
      <c r="R209" s="99">
        <v>0</v>
      </c>
      <c r="S209" s="99">
        <v>0</v>
      </c>
      <c r="T209" s="99">
        <v>0</v>
      </c>
      <c r="U209" s="99">
        <v>0</v>
      </c>
      <c r="V209" s="99">
        <v>0</v>
      </c>
      <c r="W209" s="99">
        <v>0</v>
      </c>
      <c r="X209" s="99">
        <v>0</v>
      </c>
      <c r="Y209" s="99">
        <v>0</v>
      </c>
      <c r="Z209" s="99">
        <v>0</v>
      </c>
      <c r="AA209" s="99">
        <v>0</v>
      </c>
      <c r="AB209" s="99">
        <v>0</v>
      </c>
      <c r="AC209" s="99">
        <v>0</v>
      </c>
      <c r="AD209" s="99">
        <v>0</v>
      </c>
      <c r="AE209" s="99">
        <v>0</v>
      </c>
      <c r="AF209" s="99">
        <v>0</v>
      </c>
      <c r="AG209" s="99">
        <v>0</v>
      </c>
      <c r="AH209" s="99">
        <v>0</v>
      </c>
      <c r="AI209" s="99">
        <v>0</v>
      </c>
      <c r="AJ209" s="99">
        <v>0</v>
      </c>
      <c r="AK209" s="99">
        <v>0</v>
      </c>
      <c r="AL209" s="99">
        <v>9655.428934070238</v>
      </c>
      <c r="AM209" s="99">
        <v>0</v>
      </c>
      <c r="AN209" s="99">
        <v>0</v>
      </c>
      <c r="AO209" s="99">
        <v>0</v>
      </c>
      <c r="AP209" s="99">
        <v>0</v>
      </c>
      <c r="AQ209" s="99">
        <v>0</v>
      </c>
      <c r="AR209" s="99">
        <f t="shared" si="3"/>
        <v>60494.45106484757</v>
      </c>
    </row>
    <row r="210" spans="1:44" ht="15" x14ac:dyDescent="0.25">
      <c r="A210" s="258">
        <v>203</v>
      </c>
      <c r="B210" s="258" t="s">
        <v>306</v>
      </c>
      <c r="C210" s="258" t="s">
        <v>1534</v>
      </c>
      <c r="D210" s="859" t="s">
        <v>1539</v>
      </c>
      <c r="E210" s="99">
        <v>0</v>
      </c>
      <c r="F210" s="99">
        <v>0</v>
      </c>
      <c r="G210" s="99">
        <v>0</v>
      </c>
      <c r="H210" s="99">
        <v>0</v>
      </c>
      <c r="I210" s="99">
        <v>0</v>
      </c>
      <c r="J210" s="99">
        <v>0</v>
      </c>
      <c r="K210" s="99">
        <v>0</v>
      </c>
      <c r="L210" s="99">
        <v>44723.641028650803</v>
      </c>
      <c r="M210" s="99">
        <v>0</v>
      </c>
      <c r="N210" s="99">
        <v>0</v>
      </c>
      <c r="O210" s="99">
        <v>0</v>
      </c>
      <c r="P210" s="99">
        <v>0</v>
      </c>
      <c r="Q210" s="99">
        <v>0</v>
      </c>
      <c r="R210" s="99">
        <v>0</v>
      </c>
      <c r="S210" s="99">
        <v>0</v>
      </c>
      <c r="T210" s="99">
        <v>0</v>
      </c>
      <c r="U210" s="99">
        <v>0</v>
      </c>
      <c r="V210" s="99">
        <v>0</v>
      </c>
      <c r="W210" s="99">
        <v>0</v>
      </c>
      <c r="X210" s="99">
        <v>0</v>
      </c>
      <c r="Y210" s="99">
        <v>0</v>
      </c>
      <c r="Z210" s="99">
        <v>0</v>
      </c>
      <c r="AA210" s="99">
        <v>0</v>
      </c>
      <c r="AB210" s="99">
        <v>0</v>
      </c>
      <c r="AC210" s="99">
        <v>0</v>
      </c>
      <c r="AD210" s="99">
        <v>0</v>
      </c>
      <c r="AE210" s="99">
        <v>0</v>
      </c>
      <c r="AF210" s="99">
        <v>0</v>
      </c>
      <c r="AG210" s="99">
        <v>0</v>
      </c>
      <c r="AH210" s="99">
        <v>0</v>
      </c>
      <c r="AI210" s="99">
        <v>0</v>
      </c>
      <c r="AJ210" s="99">
        <v>0</v>
      </c>
      <c r="AK210" s="99">
        <v>0</v>
      </c>
      <c r="AL210" s="99">
        <v>1663.3018188133453</v>
      </c>
      <c r="AM210" s="99">
        <v>0</v>
      </c>
      <c r="AN210" s="99">
        <v>0</v>
      </c>
      <c r="AO210" s="99">
        <v>0</v>
      </c>
      <c r="AP210" s="99">
        <v>2331.2979770046909</v>
      </c>
      <c r="AQ210" s="99">
        <v>0</v>
      </c>
      <c r="AR210" s="99">
        <f t="shared" si="3"/>
        <v>48718.240824468834</v>
      </c>
    </row>
    <row r="211" spans="1:44" ht="15" x14ac:dyDescent="0.25">
      <c r="A211" s="258">
        <v>204</v>
      </c>
      <c r="B211" s="258" t="s">
        <v>306</v>
      </c>
      <c r="C211" s="258" t="s">
        <v>1534</v>
      </c>
      <c r="D211" s="859" t="s">
        <v>1540</v>
      </c>
      <c r="E211" s="99">
        <v>0</v>
      </c>
      <c r="F211" s="99">
        <v>0</v>
      </c>
      <c r="G211" s="99">
        <v>0</v>
      </c>
      <c r="H211" s="99">
        <v>0</v>
      </c>
      <c r="I211" s="99">
        <v>0</v>
      </c>
      <c r="J211" s="99">
        <v>0</v>
      </c>
      <c r="K211" s="99">
        <v>0</v>
      </c>
      <c r="L211" s="99">
        <v>30407.174230076358</v>
      </c>
      <c r="M211" s="99">
        <v>0</v>
      </c>
      <c r="N211" s="99">
        <v>0</v>
      </c>
      <c r="O211" s="99">
        <v>0</v>
      </c>
      <c r="P211" s="99">
        <v>0</v>
      </c>
      <c r="Q211" s="99">
        <v>0</v>
      </c>
      <c r="R211" s="99">
        <v>0</v>
      </c>
      <c r="S211" s="99">
        <v>0</v>
      </c>
      <c r="T211" s="99">
        <v>0</v>
      </c>
      <c r="U211" s="99">
        <v>0</v>
      </c>
      <c r="V211" s="99">
        <v>0</v>
      </c>
      <c r="W211" s="99">
        <v>0</v>
      </c>
      <c r="X211" s="99">
        <v>0</v>
      </c>
      <c r="Y211" s="99">
        <v>0</v>
      </c>
      <c r="Z211" s="99">
        <v>0</v>
      </c>
      <c r="AA211" s="99">
        <v>0</v>
      </c>
      <c r="AB211" s="99">
        <v>0</v>
      </c>
      <c r="AC211" s="99">
        <v>0</v>
      </c>
      <c r="AD211" s="99">
        <v>0</v>
      </c>
      <c r="AE211" s="99">
        <v>0</v>
      </c>
      <c r="AF211" s="99">
        <v>0</v>
      </c>
      <c r="AG211" s="99">
        <v>0</v>
      </c>
      <c r="AH211" s="99">
        <v>0</v>
      </c>
      <c r="AI211" s="99">
        <v>0</v>
      </c>
      <c r="AJ211" s="99">
        <v>0</v>
      </c>
      <c r="AK211" s="99">
        <v>0</v>
      </c>
      <c r="AL211" s="99">
        <v>8383.3897303962203</v>
      </c>
      <c r="AM211" s="99">
        <v>0</v>
      </c>
      <c r="AN211" s="99">
        <v>0</v>
      </c>
      <c r="AO211" s="99">
        <v>0</v>
      </c>
      <c r="AP211" s="99">
        <v>0</v>
      </c>
      <c r="AQ211" s="99">
        <v>0</v>
      </c>
      <c r="AR211" s="99">
        <f t="shared" si="3"/>
        <v>38790.56396047258</v>
      </c>
    </row>
    <row r="212" spans="1:44" ht="15" x14ac:dyDescent="0.25">
      <c r="A212" s="258">
        <v>205</v>
      </c>
      <c r="B212" s="258" t="s">
        <v>306</v>
      </c>
      <c r="C212" s="258" t="s">
        <v>1534</v>
      </c>
      <c r="D212" s="859" t="s">
        <v>1541</v>
      </c>
      <c r="E212" s="99">
        <v>0</v>
      </c>
      <c r="F212" s="99">
        <v>0</v>
      </c>
      <c r="G212" s="99">
        <v>0</v>
      </c>
      <c r="H212" s="99">
        <v>0</v>
      </c>
      <c r="I212" s="99">
        <v>0</v>
      </c>
      <c r="J212" s="99">
        <v>0</v>
      </c>
      <c r="K212" s="99">
        <v>0</v>
      </c>
      <c r="L212" s="99">
        <v>52911.656968538351</v>
      </c>
      <c r="M212" s="99">
        <v>0</v>
      </c>
      <c r="N212" s="99">
        <v>0</v>
      </c>
      <c r="O212" s="99">
        <v>0</v>
      </c>
      <c r="P212" s="99">
        <v>0</v>
      </c>
      <c r="Q212" s="99">
        <v>0</v>
      </c>
      <c r="R212" s="99">
        <v>0</v>
      </c>
      <c r="S212" s="99">
        <v>0</v>
      </c>
      <c r="T212" s="99">
        <v>0</v>
      </c>
      <c r="U212" s="99">
        <v>0</v>
      </c>
      <c r="V212" s="99">
        <v>0</v>
      </c>
      <c r="W212" s="99">
        <v>0</v>
      </c>
      <c r="X212" s="99">
        <v>0</v>
      </c>
      <c r="Y212" s="99">
        <v>0</v>
      </c>
      <c r="Z212" s="99">
        <v>0</v>
      </c>
      <c r="AA212" s="99">
        <v>0</v>
      </c>
      <c r="AB212" s="99">
        <v>0</v>
      </c>
      <c r="AC212" s="99">
        <v>0</v>
      </c>
      <c r="AD212" s="99">
        <v>0</v>
      </c>
      <c r="AE212" s="99">
        <v>0</v>
      </c>
      <c r="AF212" s="99">
        <v>0</v>
      </c>
      <c r="AG212" s="99">
        <v>0</v>
      </c>
      <c r="AH212" s="99">
        <v>590.38098410818372</v>
      </c>
      <c r="AI212" s="99">
        <v>0</v>
      </c>
      <c r="AJ212" s="99">
        <v>0</v>
      </c>
      <c r="AK212" s="99">
        <v>0</v>
      </c>
      <c r="AL212" s="99">
        <v>9793.7651036768475</v>
      </c>
      <c r="AM212" s="99">
        <v>0</v>
      </c>
      <c r="AN212" s="99">
        <v>0</v>
      </c>
      <c r="AO212" s="99">
        <v>0</v>
      </c>
      <c r="AP212" s="99">
        <v>0.23132545911933833</v>
      </c>
      <c r="AQ212" s="99">
        <v>0</v>
      </c>
      <c r="AR212" s="99">
        <f t="shared" si="3"/>
        <v>63296.034381782498</v>
      </c>
    </row>
    <row r="213" spans="1:44" ht="15" x14ac:dyDescent="0.25">
      <c r="A213" s="258">
        <v>206</v>
      </c>
      <c r="B213" s="258" t="s">
        <v>330</v>
      </c>
      <c r="C213" s="258" t="s">
        <v>1542</v>
      </c>
      <c r="D213" s="859" t="s">
        <v>1543</v>
      </c>
      <c r="E213" s="99">
        <v>0</v>
      </c>
      <c r="F213" s="99">
        <v>0</v>
      </c>
      <c r="G213" s="99">
        <v>0</v>
      </c>
      <c r="H213" s="99">
        <v>0</v>
      </c>
      <c r="I213" s="99">
        <v>0</v>
      </c>
      <c r="J213" s="99">
        <v>0</v>
      </c>
      <c r="K213" s="99">
        <v>0</v>
      </c>
      <c r="L213" s="99">
        <v>0</v>
      </c>
      <c r="M213" s="99">
        <v>0</v>
      </c>
      <c r="N213" s="99">
        <v>0</v>
      </c>
      <c r="O213" s="99">
        <v>0</v>
      </c>
      <c r="P213" s="99">
        <v>0</v>
      </c>
      <c r="Q213" s="99">
        <v>0</v>
      </c>
      <c r="R213" s="99">
        <v>0</v>
      </c>
      <c r="S213" s="99">
        <v>0</v>
      </c>
      <c r="T213" s="99">
        <v>0</v>
      </c>
      <c r="U213" s="99">
        <v>0</v>
      </c>
      <c r="V213" s="99">
        <v>0</v>
      </c>
      <c r="W213" s="99">
        <v>0</v>
      </c>
      <c r="X213" s="99">
        <v>0</v>
      </c>
      <c r="Y213" s="99">
        <v>0</v>
      </c>
      <c r="Z213" s="99">
        <v>0</v>
      </c>
      <c r="AA213" s="99">
        <v>0</v>
      </c>
      <c r="AB213" s="99">
        <v>0</v>
      </c>
      <c r="AC213" s="99">
        <v>0</v>
      </c>
      <c r="AD213" s="99">
        <v>0</v>
      </c>
      <c r="AE213" s="99">
        <v>0</v>
      </c>
      <c r="AF213" s="99">
        <v>0</v>
      </c>
      <c r="AG213" s="99">
        <v>0</v>
      </c>
      <c r="AH213" s="99">
        <v>464.67248559085186</v>
      </c>
      <c r="AI213" s="99">
        <v>0</v>
      </c>
      <c r="AJ213" s="99">
        <v>0</v>
      </c>
      <c r="AK213" s="99">
        <v>37969.10270694083</v>
      </c>
      <c r="AL213" s="99">
        <v>0</v>
      </c>
      <c r="AM213" s="99">
        <v>0</v>
      </c>
      <c r="AN213" s="99">
        <v>0</v>
      </c>
      <c r="AO213" s="99">
        <v>0</v>
      </c>
      <c r="AP213" s="99">
        <v>0</v>
      </c>
      <c r="AQ213" s="99">
        <v>0</v>
      </c>
      <c r="AR213" s="99">
        <f t="shared" si="3"/>
        <v>38433.775192531684</v>
      </c>
    </row>
    <row r="214" spans="1:44" ht="15" x14ac:dyDescent="0.25">
      <c r="A214" s="258">
        <v>207</v>
      </c>
      <c r="B214" s="258" t="s">
        <v>330</v>
      </c>
      <c r="C214" s="258" t="s">
        <v>1542</v>
      </c>
      <c r="D214" s="859" t="s">
        <v>1544</v>
      </c>
      <c r="E214" s="99">
        <v>0</v>
      </c>
      <c r="F214" s="99">
        <v>0</v>
      </c>
      <c r="G214" s="99">
        <v>0</v>
      </c>
      <c r="H214" s="99">
        <v>0</v>
      </c>
      <c r="I214" s="99">
        <v>0</v>
      </c>
      <c r="J214" s="99">
        <v>0</v>
      </c>
      <c r="K214" s="99">
        <v>0</v>
      </c>
      <c r="L214" s="99">
        <v>40204.374588193088</v>
      </c>
      <c r="M214" s="99">
        <v>0</v>
      </c>
      <c r="N214" s="99">
        <v>0</v>
      </c>
      <c r="O214" s="99">
        <v>0</v>
      </c>
      <c r="P214" s="99">
        <v>0</v>
      </c>
      <c r="Q214" s="99">
        <v>0</v>
      </c>
      <c r="R214" s="99">
        <v>0</v>
      </c>
      <c r="S214" s="99">
        <v>0</v>
      </c>
      <c r="T214" s="99">
        <v>0</v>
      </c>
      <c r="U214" s="99">
        <v>0</v>
      </c>
      <c r="V214" s="99">
        <v>0</v>
      </c>
      <c r="W214" s="99">
        <v>0</v>
      </c>
      <c r="X214" s="99">
        <v>0</v>
      </c>
      <c r="Y214" s="99">
        <v>0</v>
      </c>
      <c r="Z214" s="99">
        <v>0</v>
      </c>
      <c r="AA214" s="99">
        <v>0</v>
      </c>
      <c r="AB214" s="99">
        <v>0</v>
      </c>
      <c r="AC214" s="99">
        <v>0</v>
      </c>
      <c r="AD214" s="99">
        <v>0</v>
      </c>
      <c r="AE214" s="99">
        <v>0</v>
      </c>
      <c r="AF214" s="99">
        <v>0</v>
      </c>
      <c r="AG214" s="99">
        <v>0</v>
      </c>
      <c r="AH214" s="99">
        <v>164.54344538072195</v>
      </c>
      <c r="AI214" s="99">
        <v>0</v>
      </c>
      <c r="AJ214" s="99">
        <v>0</v>
      </c>
      <c r="AK214" s="99">
        <v>0</v>
      </c>
      <c r="AL214" s="99">
        <v>0</v>
      </c>
      <c r="AM214" s="99">
        <v>0</v>
      </c>
      <c r="AN214" s="99">
        <v>0</v>
      </c>
      <c r="AO214" s="99">
        <v>0</v>
      </c>
      <c r="AP214" s="99">
        <v>0</v>
      </c>
      <c r="AQ214" s="99">
        <v>0</v>
      </c>
      <c r="AR214" s="99">
        <f t="shared" si="3"/>
        <v>40368.918033573813</v>
      </c>
    </row>
    <row r="215" spans="1:44" ht="15" x14ac:dyDescent="0.25">
      <c r="A215" s="258">
        <v>208</v>
      </c>
      <c r="B215" s="258" t="s">
        <v>330</v>
      </c>
      <c r="C215" s="258" t="s">
        <v>1542</v>
      </c>
      <c r="D215" s="859" t="s">
        <v>1545</v>
      </c>
      <c r="E215" s="99">
        <v>0</v>
      </c>
      <c r="F215" s="99">
        <v>0</v>
      </c>
      <c r="G215" s="99">
        <v>0</v>
      </c>
      <c r="H215" s="99">
        <v>0</v>
      </c>
      <c r="I215" s="99">
        <v>0</v>
      </c>
      <c r="J215" s="99">
        <v>0</v>
      </c>
      <c r="K215" s="99">
        <v>0</v>
      </c>
      <c r="L215" s="99">
        <v>0</v>
      </c>
      <c r="M215" s="99">
        <v>0</v>
      </c>
      <c r="N215" s="99">
        <v>0</v>
      </c>
      <c r="O215" s="99">
        <v>0</v>
      </c>
      <c r="P215" s="99">
        <v>0</v>
      </c>
      <c r="Q215" s="99">
        <v>0</v>
      </c>
      <c r="R215" s="99">
        <v>0</v>
      </c>
      <c r="S215" s="99">
        <v>0</v>
      </c>
      <c r="T215" s="99">
        <v>0</v>
      </c>
      <c r="U215" s="99">
        <v>0</v>
      </c>
      <c r="V215" s="99">
        <v>0</v>
      </c>
      <c r="W215" s="99">
        <v>0</v>
      </c>
      <c r="X215" s="99">
        <v>0</v>
      </c>
      <c r="Y215" s="99">
        <v>0</v>
      </c>
      <c r="Z215" s="99">
        <v>0</v>
      </c>
      <c r="AA215" s="99">
        <v>0</v>
      </c>
      <c r="AB215" s="99">
        <v>0</v>
      </c>
      <c r="AC215" s="99">
        <v>0</v>
      </c>
      <c r="AD215" s="99">
        <v>0</v>
      </c>
      <c r="AE215" s="99">
        <v>0</v>
      </c>
      <c r="AF215" s="99">
        <v>0</v>
      </c>
      <c r="AG215" s="99">
        <v>0</v>
      </c>
      <c r="AH215" s="99">
        <v>894.99961355107553</v>
      </c>
      <c r="AI215" s="99">
        <v>0</v>
      </c>
      <c r="AJ215" s="99">
        <v>0</v>
      </c>
      <c r="AK215" s="99">
        <v>37870.344282707847</v>
      </c>
      <c r="AL215" s="99">
        <v>0</v>
      </c>
      <c r="AM215" s="99">
        <v>0</v>
      </c>
      <c r="AN215" s="99">
        <v>0</v>
      </c>
      <c r="AO215" s="99">
        <v>0</v>
      </c>
      <c r="AP215" s="99">
        <v>0</v>
      </c>
      <c r="AQ215" s="99">
        <v>0</v>
      </c>
      <c r="AR215" s="99">
        <f t="shared" si="3"/>
        <v>38765.343896258921</v>
      </c>
    </row>
    <row r="216" spans="1:44" ht="15" x14ac:dyDescent="0.25">
      <c r="A216" s="258">
        <v>209</v>
      </c>
      <c r="B216" s="258" t="s">
        <v>330</v>
      </c>
      <c r="C216" s="258" t="s">
        <v>1542</v>
      </c>
      <c r="D216" s="859" t="s">
        <v>1546</v>
      </c>
      <c r="E216" s="99">
        <v>0</v>
      </c>
      <c r="F216" s="99">
        <v>0</v>
      </c>
      <c r="G216" s="99">
        <v>0</v>
      </c>
      <c r="H216" s="99">
        <v>0</v>
      </c>
      <c r="I216" s="99">
        <v>0</v>
      </c>
      <c r="J216" s="99">
        <v>0</v>
      </c>
      <c r="K216" s="99">
        <v>0</v>
      </c>
      <c r="L216" s="99">
        <v>50862.549994605099</v>
      </c>
      <c r="M216" s="99">
        <v>0</v>
      </c>
      <c r="N216" s="99">
        <v>0</v>
      </c>
      <c r="O216" s="99">
        <v>0</v>
      </c>
      <c r="P216" s="99">
        <v>0</v>
      </c>
      <c r="Q216" s="99">
        <v>0</v>
      </c>
      <c r="R216" s="99">
        <v>0</v>
      </c>
      <c r="S216" s="99">
        <v>0</v>
      </c>
      <c r="T216" s="99">
        <v>0</v>
      </c>
      <c r="U216" s="99">
        <v>0</v>
      </c>
      <c r="V216" s="99">
        <v>0</v>
      </c>
      <c r="W216" s="99">
        <v>0</v>
      </c>
      <c r="X216" s="99">
        <v>0</v>
      </c>
      <c r="Y216" s="99">
        <v>0</v>
      </c>
      <c r="Z216" s="99">
        <v>0</v>
      </c>
      <c r="AA216" s="99">
        <v>0</v>
      </c>
      <c r="AB216" s="99">
        <v>0</v>
      </c>
      <c r="AC216" s="99">
        <v>0</v>
      </c>
      <c r="AD216" s="99">
        <v>0</v>
      </c>
      <c r="AE216" s="99">
        <v>0</v>
      </c>
      <c r="AF216" s="99">
        <v>0</v>
      </c>
      <c r="AG216" s="99">
        <v>0</v>
      </c>
      <c r="AH216" s="99">
        <v>9774.9581570307473</v>
      </c>
      <c r="AI216" s="99">
        <v>0</v>
      </c>
      <c r="AJ216" s="99">
        <v>0</v>
      </c>
      <c r="AK216" s="99">
        <v>18961.397989566904</v>
      </c>
      <c r="AL216" s="99">
        <v>0</v>
      </c>
      <c r="AM216" s="99">
        <v>0</v>
      </c>
      <c r="AN216" s="99">
        <v>0</v>
      </c>
      <c r="AO216" s="99">
        <v>0</v>
      </c>
      <c r="AP216" s="99">
        <v>22907.234914751596</v>
      </c>
      <c r="AQ216" s="99">
        <v>0</v>
      </c>
      <c r="AR216" s="99">
        <f t="shared" si="3"/>
        <v>102506.14105595434</v>
      </c>
    </row>
    <row r="217" spans="1:44" ht="15" x14ac:dyDescent="0.25">
      <c r="A217" s="258">
        <v>210</v>
      </c>
      <c r="B217" s="258" t="s">
        <v>330</v>
      </c>
      <c r="C217" s="258" t="s">
        <v>1542</v>
      </c>
      <c r="D217" s="859" t="s">
        <v>1547</v>
      </c>
      <c r="E217" s="99">
        <v>0</v>
      </c>
      <c r="F217" s="99">
        <v>0</v>
      </c>
      <c r="G217" s="99">
        <v>0</v>
      </c>
      <c r="H217" s="99">
        <v>0</v>
      </c>
      <c r="I217" s="99">
        <v>0</v>
      </c>
      <c r="J217" s="99">
        <v>0</v>
      </c>
      <c r="K217" s="99">
        <v>0</v>
      </c>
      <c r="L217" s="99">
        <v>0</v>
      </c>
      <c r="M217" s="99">
        <v>0</v>
      </c>
      <c r="N217" s="99">
        <v>0</v>
      </c>
      <c r="O217" s="99">
        <v>0</v>
      </c>
      <c r="P217" s="99">
        <v>0</v>
      </c>
      <c r="Q217" s="99">
        <v>0</v>
      </c>
      <c r="R217" s="99">
        <v>0</v>
      </c>
      <c r="S217" s="99">
        <v>0</v>
      </c>
      <c r="T217" s="99">
        <v>0</v>
      </c>
      <c r="U217" s="99">
        <v>0</v>
      </c>
      <c r="V217" s="99">
        <v>0</v>
      </c>
      <c r="W217" s="99">
        <v>0</v>
      </c>
      <c r="X217" s="99">
        <v>0</v>
      </c>
      <c r="Y217" s="99">
        <v>0</v>
      </c>
      <c r="Z217" s="99">
        <v>0</v>
      </c>
      <c r="AA217" s="99">
        <v>0</v>
      </c>
      <c r="AB217" s="99">
        <v>0</v>
      </c>
      <c r="AC217" s="99">
        <v>0</v>
      </c>
      <c r="AD217" s="99">
        <v>0</v>
      </c>
      <c r="AE217" s="99">
        <v>0</v>
      </c>
      <c r="AF217" s="99">
        <v>0</v>
      </c>
      <c r="AG217" s="99">
        <v>0</v>
      </c>
      <c r="AH217" s="99">
        <v>628.31801312502148</v>
      </c>
      <c r="AI217" s="99">
        <v>0</v>
      </c>
      <c r="AJ217" s="99">
        <v>0</v>
      </c>
      <c r="AK217" s="99">
        <v>45806.571254069997</v>
      </c>
      <c r="AL217" s="99">
        <v>0</v>
      </c>
      <c r="AM217" s="99">
        <v>0</v>
      </c>
      <c r="AN217" s="99">
        <v>0</v>
      </c>
      <c r="AO217" s="99">
        <v>0</v>
      </c>
      <c r="AP217" s="99">
        <v>0</v>
      </c>
      <c r="AQ217" s="99">
        <v>84.990403844864119</v>
      </c>
      <c r="AR217" s="99">
        <f t="shared" si="3"/>
        <v>46519.879671039882</v>
      </c>
    </row>
    <row r="218" spans="1:44" ht="15" x14ac:dyDescent="0.25">
      <c r="A218" s="258">
        <v>211</v>
      </c>
      <c r="B218" s="258" t="s">
        <v>330</v>
      </c>
      <c r="C218" s="258" t="s">
        <v>1542</v>
      </c>
      <c r="D218" s="859" t="s">
        <v>1548</v>
      </c>
      <c r="E218" s="99">
        <v>0</v>
      </c>
      <c r="F218" s="99">
        <v>0</v>
      </c>
      <c r="G218" s="99">
        <v>0</v>
      </c>
      <c r="H218" s="99">
        <v>0</v>
      </c>
      <c r="I218" s="99">
        <v>0</v>
      </c>
      <c r="J218" s="99">
        <v>0</v>
      </c>
      <c r="K218" s="99">
        <v>0</v>
      </c>
      <c r="L218" s="99">
        <v>0</v>
      </c>
      <c r="M218" s="99">
        <v>0</v>
      </c>
      <c r="N218" s="99">
        <v>0</v>
      </c>
      <c r="O218" s="99">
        <v>0</v>
      </c>
      <c r="P218" s="99">
        <v>0</v>
      </c>
      <c r="Q218" s="99">
        <v>0</v>
      </c>
      <c r="R218" s="99">
        <v>0</v>
      </c>
      <c r="S218" s="99">
        <v>0</v>
      </c>
      <c r="T218" s="99">
        <v>0</v>
      </c>
      <c r="U218" s="99">
        <v>0</v>
      </c>
      <c r="V218" s="99">
        <v>0</v>
      </c>
      <c r="W218" s="99">
        <v>0</v>
      </c>
      <c r="X218" s="99">
        <v>0</v>
      </c>
      <c r="Y218" s="99">
        <v>0</v>
      </c>
      <c r="Z218" s="99">
        <v>0</v>
      </c>
      <c r="AA218" s="99">
        <v>0</v>
      </c>
      <c r="AB218" s="99">
        <v>0</v>
      </c>
      <c r="AC218" s="99">
        <v>0</v>
      </c>
      <c r="AD218" s="99">
        <v>0</v>
      </c>
      <c r="AE218" s="99">
        <v>0</v>
      </c>
      <c r="AF218" s="99">
        <v>0</v>
      </c>
      <c r="AG218" s="99">
        <v>0</v>
      </c>
      <c r="AH218" s="99">
        <v>5344.4070226797103</v>
      </c>
      <c r="AI218" s="99">
        <v>0</v>
      </c>
      <c r="AJ218" s="99">
        <v>0</v>
      </c>
      <c r="AK218" s="99">
        <v>50098.392908070287</v>
      </c>
      <c r="AL218" s="99">
        <v>0</v>
      </c>
      <c r="AM218" s="99">
        <v>0</v>
      </c>
      <c r="AN218" s="99">
        <v>0</v>
      </c>
      <c r="AO218" s="99">
        <v>0</v>
      </c>
      <c r="AP218" s="99">
        <v>5527.29052019747</v>
      </c>
      <c r="AQ218" s="99">
        <v>793.09227117266255</v>
      </c>
      <c r="AR218" s="99">
        <f t="shared" si="3"/>
        <v>61763.182722120131</v>
      </c>
    </row>
    <row r="219" spans="1:44" ht="15" x14ac:dyDescent="0.25">
      <c r="A219" s="258">
        <v>212</v>
      </c>
      <c r="B219" s="258" t="s">
        <v>330</v>
      </c>
      <c r="C219" s="258" t="s">
        <v>1542</v>
      </c>
      <c r="D219" s="859" t="s">
        <v>1549</v>
      </c>
      <c r="E219" s="99">
        <v>15545.762015714534</v>
      </c>
      <c r="F219" s="99">
        <v>0</v>
      </c>
      <c r="G219" s="99">
        <v>0</v>
      </c>
      <c r="H219" s="99">
        <v>0</v>
      </c>
      <c r="I219" s="99">
        <v>0</v>
      </c>
      <c r="J219" s="99">
        <v>0</v>
      </c>
      <c r="K219" s="99">
        <v>0</v>
      </c>
      <c r="L219" s="99">
        <v>38473.330485283084</v>
      </c>
      <c r="M219" s="99">
        <v>0</v>
      </c>
      <c r="N219" s="99">
        <v>0</v>
      </c>
      <c r="O219" s="99">
        <v>0</v>
      </c>
      <c r="P219" s="99">
        <v>0</v>
      </c>
      <c r="Q219" s="99">
        <v>0</v>
      </c>
      <c r="R219" s="99">
        <v>0</v>
      </c>
      <c r="S219" s="99">
        <v>0</v>
      </c>
      <c r="T219" s="99">
        <v>0</v>
      </c>
      <c r="U219" s="99">
        <v>0</v>
      </c>
      <c r="V219" s="99">
        <v>0</v>
      </c>
      <c r="W219" s="99">
        <v>0</v>
      </c>
      <c r="X219" s="99">
        <v>0</v>
      </c>
      <c r="Y219" s="99">
        <v>0</v>
      </c>
      <c r="Z219" s="99">
        <v>0</v>
      </c>
      <c r="AA219" s="99">
        <v>0</v>
      </c>
      <c r="AB219" s="99">
        <v>0</v>
      </c>
      <c r="AC219" s="99">
        <v>0</v>
      </c>
      <c r="AD219" s="99">
        <v>0</v>
      </c>
      <c r="AE219" s="99">
        <v>0</v>
      </c>
      <c r="AF219" s="99">
        <v>0</v>
      </c>
      <c r="AG219" s="99">
        <v>0</v>
      </c>
      <c r="AH219" s="99">
        <v>0</v>
      </c>
      <c r="AI219" s="99">
        <v>0</v>
      </c>
      <c r="AJ219" s="99">
        <v>0</v>
      </c>
      <c r="AK219" s="99">
        <v>0</v>
      </c>
      <c r="AL219" s="99">
        <v>0</v>
      </c>
      <c r="AM219" s="99">
        <v>0</v>
      </c>
      <c r="AN219" s="99">
        <v>0</v>
      </c>
      <c r="AO219" s="99">
        <v>0</v>
      </c>
      <c r="AP219" s="99">
        <v>31729.062623726684</v>
      </c>
      <c r="AQ219" s="99">
        <v>0</v>
      </c>
      <c r="AR219" s="99">
        <f t="shared" si="3"/>
        <v>85748.155124724304</v>
      </c>
    </row>
    <row r="220" spans="1:44" ht="15" x14ac:dyDescent="0.25">
      <c r="A220" s="258">
        <v>213</v>
      </c>
      <c r="B220" s="258" t="s">
        <v>330</v>
      </c>
      <c r="C220" s="258" t="s">
        <v>1542</v>
      </c>
      <c r="D220" s="859" t="s">
        <v>1550</v>
      </c>
      <c r="E220" s="99">
        <v>124.70651119682111</v>
      </c>
      <c r="F220" s="99">
        <v>0</v>
      </c>
      <c r="G220" s="99">
        <v>0</v>
      </c>
      <c r="H220" s="99">
        <v>0</v>
      </c>
      <c r="I220" s="99">
        <v>0</v>
      </c>
      <c r="J220" s="99">
        <v>0</v>
      </c>
      <c r="K220" s="99">
        <v>0</v>
      </c>
      <c r="L220" s="99">
        <v>0</v>
      </c>
      <c r="M220" s="99">
        <v>0</v>
      </c>
      <c r="N220" s="99">
        <v>0</v>
      </c>
      <c r="O220" s="99">
        <v>0</v>
      </c>
      <c r="P220" s="99">
        <v>0</v>
      </c>
      <c r="Q220" s="99">
        <v>0</v>
      </c>
      <c r="R220" s="99">
        <v>0</v>
      </c>
      <c r="S220" s="99">
        <v>0</v>
      </c>
      <c r="T220" s="99">
        <v>0</v>
      </c>
      <c r="U220" s="99">
        <v>0</v>
      </c>
      <c r="V220" s="99">
        <v>0</v>
      </c>
      <c r="W220" s="99">
        <v>0</v>
      </c>
      <c r="X220" s="99">
        <v>0</v>
      </c>
      <c r="Y220" s="99">
        <v>0</v>
      </c>
      <c r="Z220" s="99">
        <v>0</v>
      </c>
      <c r="AA220" s="99">
        <v>0</v>
      </c>
      <c r="AB220" s="99">
        <v>0</v>
      </c>
      <c r="AC220" s="99">
        <v>0</v>
      </c>
      <c r="AD220" s="99">
        <v>0</v>
      </c>
      <c r="AE220" s="99">
        <v>0</v>
      </c>
      <c r="AF220" s="99">
        <v>0</v>
      </c>
      <c r="AG220" s="99">
        <v>0</v>
      </c>
      <c r="AH220" s="99">
        <v>0</v>
      </c>
      <c r="AI220" s="99">
        <v>0</v>
      </c>
      <c r="AJ220" s="99">
        <v>0</v>
      </c>
      <c r="AK220" s="99">
        <v>22059.998415667844</v>
      </c>
      <c r="AL220" s="99">
        <v>0</v>
      </c>
      <c r="AM220" s="99">
        <v>0</v>
      </c>
      <c r="AN220" s="99">
        <v>0</v>
      </c>
      <c r="AO220" s="99">
        <v>0</v>
      </c>
      <c r="AP220" s="99">
        <v>0</v>
      </c>
      <c r="AQ220" s="99">
        <v>7366.2137450033988</v>
      </c>
      <c r="AR220" s="99">
        <f t="shared" si="3"/>
        <v>29550.918671868065</v>
      </c>
    </row>
    <row r="221" spans="1:44" ht="15" x14ac:dyDescent="0.25">
      <c r="A221" s="258">
        <v>214</v>
      </c>
      <c r="B221" s="258" t="s">
        <v>330</v>
      </c>
      <c r="C221" s="258" t="s">
        <v>1542</v>
      </c>
      <c r="D221" s="859" t="s">
        <v>1551</v>
      </c>
      <c r="E221" s="99">
        <v>6325.2743440995728</v>
      </c>
      <c r="F221" s="99">
        <v>0</v>
      </c>
      <c r="G221" s="99">
        <v>0</v>
      </c>
      <c r="H221" s="99">
        <v>0</v>
      </c>
      <c r="I221" s="99">
        <v>0</v>
      </c>
      <c r="J221" s="99">
        <v>0</v>
      </c>
      <c r="K221" s="99">
        <v>0</v>
      </c>
      <c r="L221" s="99">
        <v>0</v>
      </c>
      <c r="M221" s="99">
        <v>0</v>
      </c>
      <c r="N221" s="99">
        <v>0</v>
      </c>
      <c r="O221" s="99">
        <v>0</v>
      </c>
      <c r="P221" s="99">
        <v>0</v>
      </c>
      <c r="Q221" s="99">
        <v>0</v>
      </c>
      <c r="R221" s="99">
        <v>0</v>
      </c>
      <c r="S221" s="99">
        <v>0</v>
      </c>
      <c r="T221" s="99">
        <v>0</v>
      </c>
      <c r="U221" s="99">
        <v>0</v>
      </c>
      <c r="V221" s="99">
        <v>0</v>
      </c>
      <c r="W221" s="99">
        <v>0</v>
      </c>
      <c r="X221" s="99">
        <v>0</v>
      </c>
      <c r="Y221" s="99">
        <v>0</v>
      </c>
      <c r="Z221" s="99">
        <v>0</v>
      </c>
      <c r="AA221" s="99">
        <v>0</v>
      </c>
      <c r="AB221" s="99">
        <v>0</v>
      </c>
      <c r="AC221" s="99">
        <v>0</v>
      </c>
      <c r="AD221" s="99">
        <v>0</v>
      </c>
      <c r="AE221" s="99">
        <v>0</v>
      </c>
      <c r="AF221" s="99">
        <v>0</v>
      </c>
      <c r="AG221" s="99">
        <v>0</v>
      </c>
      <c r="AH221" s="99">
        <v>0</v>
      </c>
      <c r="AI221" s="99">
        <v>0</v>
      </c>
      <c r="AJ221" s="99">
        <v>0</v>
      </c>
      <c r="AK221" s="99">
        <v>0</v>
      </c>
      <c r="AL221" s="99">
        <v>0</v>
      </c>
      <c r="AM221" s="99">
        <v>0</v>
      </c>
      <c r="AN221" s="99">
        <v>0</v>
      </c>
      <c r="AO221" s="99">
        <v>0</v>
      </c>
      <c r="AP221" s="99">
        <v>39183.988194765596</v>
      </c>
      <c r="AQ221" s="99">
        <v>0</v>
      </c>
      <c r="AR221" s="99">
        <f t="shared" si="3"/>
        <v>45509.262538865165</v>
      </c>
    </row>
    <row r="222" spans="1:44" ht="15" x14ac:dyDescent="0.25">
      <c r="A222" s="258">
        <v>215</v>
      </c>
      <c r="B222" s="258" t="s">
        <v>330</v>
      </c>
      <c r="C222" s="258" t="s">
        <v>1542</v>
      </c>
      <c r="D222" s="859" t="s">
        <v>1552</v>
      </c>
      <c r="E222" s="99">
        <v>6643.1495559171453</v>
      </c>
      <c r="F222" s="99">
        <v>0</v>
      </c>
      <c r="G222" s="99">
        <v>0</v>
      </c>
      <c r="H222" s="99">
        <v>0</v>
      </c>
      <c r="I222" s="99">
        <v>0</v>
      </c>
      <c r="J222" s="99">
        <v>0</v>
      </c>
      <c r="K222" s="99">
        <v>0</v>
      </c>
      <c r="L222" s="99">
        <v>0</v>
      </c>
      <c r="M222" s="99">
        <v>0</v>
      </c>
      <c r="N222" s="99">
        <v>0</v>
      </c>
      <c r="O222" s="99">
        <v>0</v>
      </c>
      <c r="P222" s="99">
        <v>0</v>
      </c>
      <c r="Q222" s="99">
        <v>0</v>
      </c>
      <c r="R222" s="99">
        <v>0</v>
      </c>
      <c r="S222" s="99">
        <v>0</v>
      </c>
      <c r="T222" s="99">
        <v>0</v>
      </c>
      <c r="U222" s="99">
        <v>0</v>
      </c>
      <c r="V222" s="99">
        <v>0</v>
      </c>
      <c r="W222" s="99">
        <v>0</v>
      </c>
      <c r="X222" s="99">
        <v>0</v>
      </c>
      <c r="Y222" s="99">
        <v>0</v>
      </c>
      <c r="Z222" s="99">
        <v>0</v>
      </c>
      <c r="AA222" s="99">
        <v>0</v>
      </c>
      <c r="AB222" s="99">
        <v>0</v>
      </c>
      <c r="AC222" s="99">
        <v>0</v>
      </c>
      <c r="AD222" s="99">
        <v>0</v>
      </c>
      <c r="AE222" s="99">
        <v>0</v>
      </c>
      <c r="AF222" s="99">
        <v>0</v>
      </c>
      <c r="AG222" s="99">
        <v>19.505359364717965</v>
      </c>
      <c r="AH222" s="99">
        <v>274.76286104502549</v>
      </c>
      <c r="AI222" s="99">
        <v>0</v>
      </c>
      <c r="AJ222" s="99">
        <v>0</v>
      </c>
      <c r="AK222" s="99">
        <v>5531.13014654168</v>
      </c>
      <c r="AL222" s="99">
        <v>0</v>
      </c>
      <c r="AM222" s="99">
        <v>0</v>
      </c>
      <c r="AN222" s="99">
        <v>0</v>
      </c>
      <c r="AO222" s="99">
        <v>0</v>
      </c>
      <c r="AP222" s="99">
        <v>44614.353347592056</v>
      </c>
      <c r="AQ222" s="99">
        <v>7742.9893855776891</v>
      </c>
      <c r="AR222" s="99">
        <f t="shared" si="3"/>
        <v>64825.890656038318</v>
      </c>
    </row>
    <row r="223" spans="1:44" ht="15" x14ac:dyDescent="0.25">
      <c r="A223" s="258">
        <v>216</v>
      </c>
      <c r="B223" s="258" t="s">
        <v>330</v>
      </c>
      <c r="C223" s="258" t="s">
        <v>1542</v>
      </c>
      <c r="D223" s="859" t="s">
        <v>1553</v>
      </c>
      <c r="E223" s="99">
        <v>4905.0525561114509</v>
      </c>
      <c r="F223" s="99">
        <v>0</v>
      </c>
      <c r="G223" s="99">
        <v>0</v>
      </c>
      <c r="H223" s="99">
        <v>0</v>
      </c>
      <c r="I223" s="99">
        <v>0</v>
      </c>
      <c r="J223" s="99">
        <v>0</v>
      </c>
      <c r="K223" s="99">
        <v>0</v>
      </c>
      <c r="L223" s="99">
        <v>0</v>
      </c>
      <c r="M223" s="99">
        <v>0</v>
      </c>
      <c r="N223" s="99">
        <v>0</v>
      </c>
      <c r="O223" s="99">
        <v>0</v>
      </c>
      <c r="P223" s="99">
        <v>0</v>
      </c>
      <c r="Q223" s="99">
        <v>0</v>
      </c>
      <c r="R223" s="99">
        <v>0</v>
      </c>
      <c r="S223" s="99">
        <v>0</v>
      </c>
      <c r="T223" s="99">
        <v>0</v>
      </c>
      <c r="U223" s="99">
        <v>0</v>
      </c>
      <c r="V223" s="99">
        <v>0</v>
      </c>
      <c r="W223" s="99">
        <v>0</v>
      </c>
      <c r="X223" s="99">
        <v>0</v>
      </c>
      <c r="Y223" s="99">
        <v>0</v>
      </c>
      <c r="Z223" s="99">
        <v>0</v>
      </c>
      <c r="AA223" s="99">
        <v>0</v>
      </c>
      <c r="AB223" s="99">
        <v>0</v>
      </c>
      <c r="AC223" s="99">
        <v>36109.632918807671</v>
      </c>
      <c r="AD223" s="99">
        <v>0</v>
      </c>
      <c r="AE223" s="99">
        <v>0</v>
      </c>
      <c r="AF223" s="99">
        <v>0</v>
      </c>
      <c r="AG223" s="99">
        <v>364.24614903551975</v>
      </c>
      <c r="AH223" s="99">
        <v>209.88829663161667</v>
      </c>
      <c r="AI223" s="99">
        <v>0</v>
      </c>
      <c r="AJ223" s="99">
        <v>0</v>
      </c>
      <c r="AK223" s="99">
        <v>20031.719845087428</v>
      </c>
      <c r="AL223" s="99">
        <v>0</v>
      </c>
      <c r="AM223" s="99">
        <v>0</v>
      </c>
      <c r="AN223" s="99">
        <v>0</v>
      </c>
      <c r="AO223" s="99">
        <v>0</v>
      </c>
      <c r="AP223" s="99">
        <v>0</v>
      </c>
      <c r="AQ223" s="99">
        <v>18986.038129493874</v>
      </c>
      <c r="AR223" s="99">
        <f t="shared" si="3"/>
        <v>80606.57789516756</v>
      </c>
    </row>
    <row r="224" spans="1:44" ht="15" x14ac:dyDescent="0.25">
      <c r="A224" s="258">
        <v>217</v>
      </c>
      <c r="B224" s="258" t="s">
        <v>346</v>
      </c>
      <c r="C224" s="258" t="s">
        <v>1554</v>
      </c>
      <c r="D224" s="859" t="s">
        <v>1555</v>
      </c>
      <c r="E224" s="99">
        <v>0</v>
      </c>
      <c r="F224" s="99">
        <v>0</v>
      </c>
      <c r="G224" s="99">
        <v>0</v>
      </c>
      <c r="H224" s="99">
        <v>0</v>
      </c>
      <c r="I224" s="99">
        <v>46432.956111030493</v>
      </c>
      <c r="J224" s="99">
        <v>0</v>
      </c>
      <c r="K224" s="99">
        <v>0</v>
      </c>
      <c r="L224" s="99">
        <v>710.01454339216468</v>
      </c>
      <c r="M224" s="99">
        <v>0</v>
      </c>
      <c r="N224" s="99">
        <v>0</v>
      </c>
      <c r="O224" s="99">
        <v>0</v>
      </c>
      <c r="P224" s="99">
        <v>0</v>
      </c>
      <c r="Q224" s="99">
        <v>0</v>
      </c>
      <c r="R224" s="99">
        <v>0</v>
      </c>
      <c r="S224" s="99">
        <v>0</v>
      </c>
      <c r="T224" s="99">
        <v>0</v>
      </c>
      <c r="U224" s="99">
        <v>0</v>
      </c>
      <c r="V224" s="99">
        <v>0</v>
      </c>
      <c r="W224" s="99">
        <v>0</v>
      </c>
      <c r="X224" s="99">
        <v>0</v>
      </c>
      <c r="Y224" s="99">
        <v>0</v>
      </c>
      <c r="Z224" s="99">
        <v>0</v>
      </c>
      <c r="AA224" s="99">
        <v>0</v>
      </c>
      <c r="AB224" s="99">
        <v>0</v>
      </c>
      <c r="AC224" s="99">
        <v>0</v>
      </c>
      <c r="AD224" s="99">
        <v>0</v>
      </c>
      <c r="AE224" s="99">
        <v>0</v>
      </c>
      <c r="AF224" s="99">
        <v>0</v>
      </c>
      <c r="AG224" s="99">
        <v>0</v>
      </c>
      <c r="AH224" s="99">
        <v>0</v>
      </c>
      <c r="AI224" s="99">
        <v>0</v>
      </c>
      <c r="AJ224" s="99">
        <v>0</v>
      </c>
      <c r="AK224" s="99">
        <v>0</v>
      </c>
      <c r="AL224" s="99">
        <v>0</v>
      </c>
      <c r="AM224" s="99">
        <v>0</v>
      </c>
      <c r="AN224" s="99">
        <v>0</v>
      </c>
      <c r="AO224" s="99">
        <v>0</v>
      </c>
      <c r="AP224" s="99">
        <v>142.95913373575107</v>
      </c>
      <c r="AQ224" s="99">
        <v>0</v>
      </c>
      <c r="AR224" s="99">
        <f t="shared" si="3"/>
        <v>47285.929788158406</v>
      </c>
    </row>
    <row r="225" spans="1:44" ht="15" x14ac:dyDescent="0.25">
      <c r="A225" s="258">
        <v>218</v>
      </c>
      <c r="B225" s="258" t="s">
        <v>346</v>
      </c>
      <c r="C225" s="258" t="s">
        <v>1554</v>
      </c>
      <c r="D225" s="859" t="s">
        <v>1556</v>
      </c>
      <c r="E225" s="99">
        <v>0</v>
      </c>
      <c r="F225" s="99">
        <v>0</v>
      </c>
      <c r="G225" s="99">
        <v>0</v>
      </c>
      <c r="H225" s="99">
        <v>0</v>
      </c>
      <c r="I225" s="99">
        <v>36820.93971405983</v>
      </c>
      <c r="J225" s="99">
        <v>0</v>
      </c>
      <c r="K225" s="99">
        <v>0</v>
      </c>
      <c r="L225" s="99">
        <v>5935.2032243982885</v>
      </c>
      <c r="M225" s="99">
        <v>0</v>
      </c>
      <c r="N225" s="99">
        <v>0</v>
      </c>
      <c r="O225" s="99">
        <v>0</v>
      </c>
      <c r="P225" s="99">
        <v>0</v>
      </c>
      <c r="Q225" s="99">
        <v>0</v>
      </c>
      <c r="R225" s="99">
        <v>0</v>
      </c>
      <c r="S225" s="99">
        <v>0</v>
      </c>
      <c r="T225" s="99">
        <v>0</v>
      </c>
      <c r="U225" s="99">
        <v>0</v>
      </c>
      <c r="V225" s="99">
        <v>0</v>
      </c>
      <c r="W225" s="99">
        <v>0</v>
      </c>
      <c r="X225" s="99">
        <v>0</v>
      </c>
      <c r="Y225" s="99">
        <v>0</v>
      </c>
      <c r="Z225" s="99">
        <v>0</v>
      </c>
      <c r="AA225" s="99">
        <v>0</v>
      </c>
      <c r="AB225" s="99">
        <v>0</v>
      </c>
      <c r="AC225" s="99">
        <v>0</v>
      </c>
      <c r="AD225" s="99">
        <v>0</v>
      </c>
      <c r="AE225" s="99">
        <v>0</v>
      </c>
      <c r="AF225" s="99">
        <v>0</v>
      </c>
      <c r="AG225" s="99">
        <v>0</v>
      </c>
      <c r="AH225" s="99">
        <v>0</v>
      </c>
      <c r="AI225" s="99">
        <v>0</v>
      </c>
      <c r="AJ225" s="99">
        <v>0</v>
      </c>
      <c r="AK225" s="99">
        <v>0</v>
      </c>
      <c r="AL225" s="99">
        <v>0</v>
      </c>
      <c r="AM225" s="99">
        <v>0</v>
      </c>
      <c r="AN225" s="99">
        <v>0</v>
      </c>
      <c r="AO225" s="99">
        <v>0</v>
      </c>
      <c r="AP225" s="99">
        <v>6731.5708603727444</v>
      </c>
      <c r="AQ225" s="99">
        <v>0</v>
      </c>
      <c r="AR225" s="99">
        <f t="shared" si="3"/>
        <v>49487.713798830868</v>
      </c>
    </row>
    <row r="226" spans="1:44" ht="15" x14ac:dyDescent="0.25">
      <c r="A226" s="258">
        <v>219</v>
      </c>
      <c r="B226" s="258" t="s">
        <v>346</v>
      </c>
      <c r="C226" s="258" t="s">
        <v>1554</v>
      </c>
      <c r="D226" s="859" t="s">
        <v>1557</v>
      </c>
      <c r="E226" s="99">
        <v>0</v>
      </c>
      <c r="F226" s="99">
        <v>0</v>
      </c>
      <c r="G226" s="99">
        <v>0</v>
      </c>
      <c r="H226" s="99">
        <v>0</v>
      </c>
      <c r="I226" s="99">
        <v>42571.25601838727</v>
      </c>
      <c r="J226" s="99">
        <v>0</v>
      </c>
      <c r="K226" s="99">
        <v>0</v>
      </c>
      <c r="L226" s="99">
        <v>3485.9599724086015</v>
      </c>
      <c r="M226" s="99">
        <v>0</v>
      </c>
      <c r="N226" s="99">
        <v>0</v>
      </c>
      <c r="O226" s="99">
        <v>0</v>
      </c>
      <c r="P226" s="99">
        <v>0</v>
      </c>
      <c r="Q226" s="99">
        <v>0</v>
      </c>
      <c r="R226" s="99">
        <v>0</v>
      </c>
      <c r="S226" s="99">
        <v>0</v>
      </c>
      <c r="T226" s="99">
        <v>0</v>
      </c>
      <c r="U226" s="99">
        <v>0</v>
      </c>
      <c r="V226" s="99">
        <v>0</v>
      </c>
      <c r="W226" s="99">
        <v>0</v>
      </c>
      <c r="X226" s="99">
        <v>0</v>
      </c>
      <c r="Y226" s="99">
        <v>0</v>
      </c>
      <c r="Z226" s="99">
        <v>0</v>
      </c>
      <c r="AA226" s="99">
        <v>0</v>
      </c>
      <c r="AB226" s="99">
        <v>0</v>
      </c>
      <c r="AC226" s="99">
        <v>0</v>
      </c>
      <c r="AD226" s="99">
        <v>0</v>
      </c>
      <c r="AE226" s="99">
        <v>0</v>
      </c>
      <c r="AF226" s="99">
        <v>0</v>
      </c>
      <c r="AG226" s="99">
        <v>0</v>
      </c>
      <c r="AH226" s="99">
        <v>0</v>
      </c>
      <c r="AI226" s="99">
        <v>0</v>
      </c>
      <c r="AJ226" s="99">
        <v>0</v>
      </c>
      <c r="AK226" s="99">
        <v>0</v>
      </c>
      <c r="AL226" s="99">
        <v>0</v>
      </c>
      <c r="AM226" s="99">
        <v>0</v>
      </c>
      <c r="AN226" s="99">
        <v>0</v>
      </c>
      <c r="AO226" s="99">
        <v>0</v>
      </c>
      <c r="AP226" s="99">
        <v>0</v>
      </c>
      <c r="AQ226" s="99">
        <v>0</v>
      </c>
      <c r="AR226" s="99">
        <f t="shared" si="3"/>
        <v>46057.21599079587</v>
      </c>
    </row>
    <row r="227" spans="1:44" ht="15" x14ac:dyDescent="0.25">
      <c r="A227" s="258">
        <v>220</v>
      </c>
      <c r="B227" s="258" t="s">
        <v>346</v>
      </c>
      <c r="C227" s="258" t="s">
        <v>1554</v>
      </c>
      <c r="D227" s="859" t="s">
        <v>1558</v>
      </c>
      <c r="E227" s="99">
        <v>0</v>
      </c>
      <c r="F227" s="99">
        <v>0</v>
      </c>
      <c r="G227" s="99">
        <v>0</v>
      </c>
      <c r="H227" s="99">
        <v>0</v>
      </c>
      <c r="I227" s="99">
        <v>40172.23942214893</v>
      </c>
      <c r="J227" s="99">
        <v>0</v>
      </c>
      <c r="K227" s="99">
        <v>0</v>
      </c>
      <c r="L227" s="99">
        <v>31637.138584783886</v>
      </c>
      <c r="M227" s="99">
        <v>0</v>
      </c>
      <c r="N227" s="99">
        <v>0</v>
      </c>
      <c r="O227" s="99">
        <v>0</v>
      </c>
      <c r="P227" s="99">
        <v>0</v>
      </c>
      <c r="Q227" s="99">
        <v>0</v>
      </c>
      <c r="R227" s="99">
        <v>0</v>
      </c>
      <c r="S227" s="99">
        <v>0</v>
      </c>
      <c r="T227" s="99">
        <v>0</v>
      </c>
      <c r="U227" s="99">
        <v>0</v>
      </c>
      <c r="V227" s="99">
        <v>0</v>
      </c>
      <c r="W227" s="99">
        <v>0</v>
      </c>
      <c r="X227" s="99">
        <v>0</v>
      </c>
      <c r="Y227" s="99">
        <v>0</v>
      </c>
      <c r="Z227" s="99">
        <v>0</v>
      </c>
      <c r="AA227" s="99">
        <v>0</v>
      </c>
      <c r="AB227" s="99">
        <v>0</v>
      </c>
      <c r="AC227" s="99">
        <v>0</v>
      </c>
      <c r="AD227" s="99">
        <v>0</v>
      </c>
      <c r="AE227" s="99">
        <v>0</v>
      </c>
      <c r="AF227" s="99">
        <v>0</v>
      </c>
      <c r="AG227" s="99">
        <v>0</v>
      </c>
      <c r="AH227" s="99">
        <v>0</v>
      </c>
      <c r="AI227" s="99">
        <v>0</v>
      </c>
      <c r="AJ227" s="99">
        <v>0</v>
      </c>
      <c r="AK227" s="99">
        <v>0</v>
      </c>
      <c r="AL227" s="99">
        <v>0</v>
      </c>
      <c r="AM227" s="99">
        <v>0</v>
      </c>
      <c r="AN227" s="99">
        <v>0</v>
      </c>
      <c r="AO227" s="99">
        <v>0</v>
      </c>
      <c r="AP227" s="99">
        <v>8899.7843886983028</v>
      </c>
      <c r="AQ227" s="99">
        <v>0</v>
      </c>
      <c r="AR227" s="99">
        <f t="shared" si="3"/>
        <v>80709.162395631123</v>
      </c>
    </row>
    <row r="228" spans="1:44" ht="15" x14ac:dyDescent="0.25">
      <c r="A228" s="258">
        <v>221</v>
      </c>
      <c r="B228" s="258" t="s">
        <v>346</v>
      </c>
      <c r="C228" s="258" t="s">
        <v>1554</v>
      </c>
      <c r="D228" s="859" t="s">
        <v>1559</v>
      </c>
      <c r="E228" s="99">
        <v>0</v>
      </c>
      <c r="F228" s="99">
        <v>0</v>
      </c>
      <c r="G228" s="99">
        <v>0</v>
      </c>
      <c r="H228" s="99">
        <v>0</v>
      </c>
      <c r="I228" s="99">
        <v>90840.485343918393</v>
      </c>
      <c r="J228" s="99">
        <v>0</v>
      </c>
      <c r="K228" s="99">
        <v>0</v>
      </c>
      <c r="L228" s="99">
        <v>15813.112888600266</v>
      </c>
      <c r="M228" s="99">
        <v>0</v>
      </c>
      <c r="N228" s="99">
        <v>0</v>
      </c>
      <c r="O228" s="99">
        <v>0</v>
      </c>
      <c r="P228" s="99">
        <v>0</v>
      </c>
      <c r="Q228" s="99">
        <v>0</v>
      </c>
      <c r="R228" s="99">
        <v>0</v>
      </c>
      <c r="S228" s="99">
        <v>0</v>
      </c>
      <c r="T228" s="99">
        <v>0</v>
      </c>
      <c r="U228" s="99">
        <v>0</v>
      </c>
      <c r="V228" s="99">
        <v>0</v>
      </c>
      <c r="W228" s="99">
        <v>0</v>
      </c>
      <c r="X228" s="99">
        <v>0</v>
      </c>
      <c r="Y228" s="99">
        <v>0</v>
      </c>
      <c r="Z228" s="99">
        <v>0</v>
      </c>
      <c r="AA228" s="99">
        <v>0</v>
      </c>
      <c r="AB228" s="99">
        <v>0</v>
      </c>
      <c r="AC228" s="99">
        <v>0</v>
      </c>
      <c r="AD228" s="99">
        <v>0</v>
      </c>
      <c r="AE228" s="99">
        <v>0</v>
      </c>
      <c r="AF228" s="99">
        <v>0</v>
      </c>
      <c r="AG228" s="99">
        <v>0</v>
      </c>
      <c r="AH228" s="99">
        <v>0</v>
      </c>
      <c r="AI228" s="99">
        <v>0</v>
      </c>
      <c r="AJ228" s="99">
        <v>0</v>
      </c>
      <c r="AK228" s="99">
        <v>0</v>
      </c>
      <c r="AL228" s="99">
        <v>0</v>
      </c>
      <c r="AM228" s="99">
        <v>0</v>
      </c>
      <c r="AN228" s="99">
        <v>0</v>
      </c>
      <c r="AO228" s="99">
        <v>0</v>
      </c>
      <c r="AP228" s="99">
        <v>2537.1776356209025</v>
      </c>
      <c r="AQ228" s="99">
        <v>0</v>
      </c>
      <c r="AR228" s="99">
        <f t="shared" si="3"/>
        <v>109190.77586813956</v>
      </c>
    </row>
    <row r="229" spans="1:44" ht="15" x14ac:dyDescent="0.25">
      <c r="A229" s="258">
        <v>222</v>
      </c>
      <c r="B229" s="258" t="s">
        <v>346</v>
      </c>
      <c r="C229" s="258" t="s">
        <v>1554</v>
      </c>
      <c r="D229" s="859" t="s">
        <v>1560</v>
      </c>
      <c r="E229" s="99">
        <v>5916.8183893518762</v>
      </c>
      <c r="F229" s="99">
        <v>0</v>
      </c>
      <c r="G229" s="99">
        <v>0</v>
      </c>
      <c r="H229" s="99">
        <v>0</v>
      </c>
      <c r="I229" s="99">
        <v>0</v>
      </c>
      <c r="J229" s="99">
        <v>0</v>
      </c>
      <c r="K229" s="99">
        <v>0</v>
      </c>
      <c r="L229" s="99">
        <v>99096.704812727054</v>
      </c>
      <c r="M229" s="99">
        <v>0</v>
      </c>
      <c r="N229" s="99">
        <v>0</v>
      </c>
      <c r="O229" s="99">
        <v>0</v>
      </c>
      <c r="P229" s="99">
        <v>0</v>
      </c>
      <c r="Q229" s="99">
        <v>0</v>
      </c>
      <c r="R229" s="99">
        <v>0</v>
      </c>
      <c r="S229" s="99">
        <v>0</v>
      </c>
      <c r="T229" s="99">
        <v>0</v>
      </c>
      <c r="U229" s="99">
        <v>0</v>
      </c>
      <c r="V229" s="99">
        <v>0</v>
      </c>
      <c r="W229" s="99">
        <v>0</v>
      </c>
      <c r="X229" s="99">
        <v>0</v>
      </c>
      <c r="Y229" s="99">
        <v>0</v>
      </c>
      <c r="Z229" s="99">
        <v>0</v>
      </c>
      <c r="AA229" s="99">
        <v>0</v>
      </c>
      <c r="AB229" s="99">
        <v>0</v>
      </c>
      <c r="AC229" s="99">
        <v>0</v>
      </c>
      <c r="AD229" s="99">
        <v>0</v>
      </c>
      <c r="AE229" s="99">
        <v>0</v>
      </c>
      <c r="AF229" s="99">
        <v>0</v>
      </c>
      <c r="AG229" s="99">
        <v>640.17027757686708</v>
      </c>
      <c r="AH229" s="99">
        <v>0</v>
      </c>
      <c r="AI229" s="99">
        <v>0</v>
      </c>
      <c r="AJ229" s="99">
        <v>0</v>
      </c>
      <c r="AK229" s="99">
        <v>0</v>
      </c>
      <c r="AL229" s="99">
        <v>0</v>
      </c>
      <c r="AM229" s="99">
        <v>0</v>
      </c>
      <c r="AN229" s="99">
        <v>0</v>
      </c>
      <c r="AO229" s="99">
        <v>0</v>
      </c>
      <c r="AP229" s="99">
        <v>11865.376774608219</v>
      </c>
      <c r="AQ229" s="99">
        <v>0</v>
      </c>
      <c r="AR229" s="99">
        <f t="shared" si="3"/>
        <v>117519.07025426401</v>
      </c>
    </row>
    <row r="230" spans="1:44" ht="15" x14ac:dyDescent="0.25">
      <c r="A230" s="258">
        <v>223</v>
      </c>
      <c r="B230" s="258" t="s">
        <v>346</v>
      </c>
      <c r="C230" s="258" t="s">
        <v>1554</v>
      </c>
      <c r="D230" s="859" t="s">
        <v>1561</v>
      </c>
      <c r="E230" s="99">
        <v>0</v>
      </c>
      <c r="F230" s="99">
        <v>0</v>
      </c>
      <c r="G230" s="99">
        <v>0</v>
      </c>
      <c r="H230" s="99">
        <v>0</v>
      </c>
      <c r="I230" s="99">
        <v>0</v>
      </c>
      <c r="J230" s="99">
        <v>0</v>
      </c>
      <c r="K230" s="99">
        <v>0</v>
      </c>
      <c r="L230" s="99">
        <v>147431.3484006791</v>
      </c>
      <c r="M230" s="99">
        <v>0</v>
      </c>
      <c r="N230" s="99">
        <v>0</v>
      </c>
      <c r="O230" s="99">
        <v>0</v>
      </c>
      <c r="P230" s="99">
        <v>0</v>
      </c>
      <c r="Q230" s="99">
        <v>0</v>
      </c>
      <c r="R230" s="99">
        <v>0</v>
      </c>
      <c r="S230" s="99">
        <v>0</v>
      </c>
      <c r="T230" s="99">
        <v>0</v>
      </c>
      <c r="U230" s="99">
        <v>0</v>
      </c>
      <c r="V230" s="99">
        <v>0</v>
      </c>
      <c r="W230" s="99">
        <v>0</v>
      </c>
      <c r="X230" s="99">
        <v>0</v>
      </c>
      <c r="Y230" s="99">
        <v>0</v>
      </c>
      <c r="Z230" s="99">
        <v>0</v>
      </c>
      <c r="AA230" s="99">
        <v>0</v>
      </c>
      <c r="AB230" s="99">
        <v>0</v>
      </c>
      <c r="AC230" s="99">
        <v>0</v>
      </c>
      <c r="AD230" s="99">
        <v>0</v>
      </c>
      <c r="AE230" s="99">
        <v>0</v>
      </c>
      <c r="AF230" s="99">
        <v>0</v>
      </c>
      <c r="AG230" s="99">
        <v>5.0407108470619457</v>
      </c>
      <c r="AH230" s="99">
        <v>0</v>
      </c>
      <c r="AI230" s="99">
        <v>0</v>
      </c>
      <c r="AJ230" s="99">
        <v>0</v>
      </c>
      <c r="AK230" s="99">
        <v>0</v>
      </c>
      <c r="AL230" s="99">
        <v>268.61180649598623</v>
      </c>
      <c r="AM230" s="99">
        <v>0</v>
      </c>
      <c r="AN230" s="99">
        <v>0</v>
      </c>
      <c r="AO230" s="99">
        <v>0</v>
      </c>
      <c r="AP230" s="99">
        <v>12936.182324871636</v>
      </c>
      <c r="AQ230" s="99">
        <v>0</v>
      </c>
      <c r="AR230" s="99">
        <f t="shared" si="3"/>
        <v>160641.18324289378</v>
      </c>
    </row>
    <row r="231" spans="1:44" ht="15" x14ac:dyDescent="0.25">
      <c r="A231" s="258">
        <v>224</v>
      </c>
      <c r="B231" s="258" t="s">
        <v>346</v>
      </c>
      <c r="C231" s="258" t="s">
        <v>1554</v>
      </c>
      <c r="D231" s="859" t="s">
        <v>1562</v>
      </c>
      <c r="E231" s="99">
        <v>8062.950038124196</v>
      </c>
      <c r="F231" s="99">
        <v>0</v>
      </c>
      <c r="G231" s="99">
        <v>0</v>
      </c>
      <c r="H231" s="99">
        <v>0</v>
      </c>
      <c r="I231" s="99">
        <v>0</v>
      </c>
      <c r="J231" s="99">
        <v>0</v>
      </c>
      <c r="K231" s="99">
        <v>0</v>
      </c>
      <c r="L231" s="99">
        <v>27360.909463213851</v>
      </c>
      <c r="M231" s="99">
        <v>0</v>
      </c>
      <c r="N231" s="99">
        <v>0</v>
      </c>
      <c r="O231" s="99">
        <v>0</v>
      </c>
      <c r="P231" s="99">
        <v>0</v>
      </c>
      <c r="Q231" s="99">
        <v>0</v>
      </c>
      <c r="R231" s="99">
        <v>0</v>
      </c>
      <c r="S231" s="99">
        <v>0</v>
      </c>
      <c r="T231" s="99">
        <v>0</v>
      </c>
      <c r="U231" s="99">
        <v>0</v>
      </c>
      <c r="V231" s="99">
        <v>0</v>
      </c>
      <c r="W231" s="99">
        <v>0</v>
      </c>
      <c r="X231" s="99">
        <v>0</v>
      </c>
      <c r="Y231" s="99">
        <v>0</v>
      </c>
      <c r="Z231" s="99">
        <v>0</v>
      </c>
      <c r="AA231" s="99">
        <v>0</v>
      </c>
      <c r="AB231" s="99">
        <v>0</v>
      </c>
      <c r="AC231" s="99">
        <v>0</v>
      </c>
      <c r="AD231" s="99">
        <v>0</v>
      </c>
      <c r="AE231" s="99">
        <v>0</v>
      </c>
      <c r="AF231" s="99">
        <v>0</v>
      </c>
      <c r="AG231" s="99">
        <v>3124.1449184725238</v>
      </c>
      <c r="AH231" s="99">
        <v>175.09398007771227</v>
      </c>
      <c r="AI231" s="99">
        <v>0</v>
      </c>
      <c r="AJ231" s="99">
        <v>0</v>
      </c>
      <c r="AK231" s="99">
        <v>0</v>
      </c>
      <c r="AL231" s="99">
        <v>0</v>
      </c>
      <c r="AM231" s="99">
        <v>0</v>
      </c>
      <c r="AN231" s="99">
        <v>0</v>
      </c>
      <c r="AO231" s="99">
        <v>0</v>
      </c>
      <c r="AP231" s="99">
        <v>37299.611004779465</v>
      </c>
      <c r="AQ231" s="99">
        <v>0</v>
      </c>
      <c r="AR231" s="99">
        <f t="shared" si="3"/>
        <v>76022.709404667752</v>
      </c>
    </row>
    <row r="232" spans="1:44" ht="15" x14ac:dyDescent="0.25">
      <c r="A232" s="258">
        <v>225</v>
      </c>
      <c r="B232" s="258" t="s">
        <v>354</v>
      </c>
      <c r="C232" s="258" t="s">
        <v>1563</v>
      </c>
      <c r="D232" s="859" t="s">
        <v>1564</v>
      </c>
      <c r="E232" s="99">
        <v>0</v>
      </c>
      <c r="F232" s="99">
        <v>0</v>
      </c>
      <c r="G232" s="99">
        <v>0</v>
      </c>
      <c r="H232" s="99">
        <v>0</v>
      </c>
      <c r="I232" s="99">
        <v>0</v>
      </c>
      <c r="J232" s="99">
        <v>0</v>
      </c>
      <c r="K232" s="99">
        <v>0</v>
      </c>
      <c r="L232" s="99">
        <v>0</v>
      </c>
      <c r="M232" s="99">
        <v>0</v>
      </c>
      <c r="N232" s="99">
        <v>0</v>
      </c>
      <c r="O232" s="99">
        <v>0</v>
      </c>
      <c r="P232" s="99">
        <v>0</v>
      </c>
      <c r="Q232" s="99">
        <v>0</v>
      </c>
      <c r="R232" s="99">
        <v>0</v>
      </c>
      <c r="S232" s="99">
        <v>0</v>
      </c>
      <c r="T232" s="99">
        <v>0</v>
      </c>
      <c r="U232" s="99">
        <v>0</v>
      </c>
      <c r="V232" s="99">
        <v>0</v>
      </c>
      <c r="W232" s="99">
        <v>0</v>
      </c>
      <c r="X232" s="99">
        <v>0</v>
      </c>
      <c r="Y232" s="99">
        <v>0</v>
      </c>
      <c r="Z232" s="99">
        <v>0</v>
      </c>
      <c r="AA232" s="99">
        <v>0</v>
      </c>
      <c r="AB232" s="99">
        <v>0</v>
      </c>
      <c r="AC232" s="99">
        <v>0</v>
      </c>
      <c r="AD232" s="99">
        <v>0</v>
      </c>
      <c r="AE232" s="99">
        <v>0</v>
      </c>
      <c r="AF232" s="99">
        <v>0</v>
      </c>
      <c r="AG232" s="99">
        <v>1095.5875445418551</v>
      </c>
      <c r="AH232" s="99">
        <v>0</v>
      </c>
      <c r="AI232" s="99">
        <v>0</v>
      </c>
      <c r="AJ232" s="99">
        <v>0</v>
      </c>
      <c r="AK232" s="99">
        <v>0</v>
      </c>
      <c r="AL232" s="99">
        <v>0</v>
      </c>
      <c r="AM232" s="99">
        <v>0</v>
      </c>
      <c r="AN232" s="99">
        <v>0</v>
      </c>
      <c r="AO232" s="99">
        <v>0</v>
      </c>
      <c r="AP232" s="99">
        <v>3796.5134350665799</v>
      </c>
      <c r="AQ232" s="99">
        <v>15026.257950358158</v>
      </c>
      <c r="AR232" s="99">
        <f t="shared" si="3"/>
        <v>19918.358929966591</v>
      </c>
    </row>
    <row r="233" spans="1:44" ht="15" x14ac:dyDescent="0.25">
      <c r="A233" s="258">
        <v>226</v>
      </c>
      <c r="B233" s="258" t="s">
        <v>354</v>
      </c>
      <c r="C233" s="258" t="s">
        <v>1563</v>
      </c>
      <c r="D233" s="859" t="s">
        <v>1565</v>
      </c>
      <c r="E233" s="99">
        <v>0</v>
      </c>
      <c r="F233" s="99">
        <v>0</v>
      </c>
      <c r="G233" s="99">
        <v>0</v>
      </c>
      <c r="H233" s="99">
        <v>0</v>
      </c>
      <c r="I233" s="99">
        <v>0</v>
      </c>
      <c r="J233" s="99">
        <v>0</v>
      </c>
      <c r="K233" s="99">
        <v>0</v>
      </c>
      <c r="L233" s="99">
        <v>0</v>
      </c>
      <c r="M233" s="99">
        <v>0</v>
      </c>
      <c r="N233" s="99">
        <v>0</v>
      </c>
      <c r="O233" s="99">
        <v>0</v>
      </c>
      <c r="P233" s="99">
        <v>0</v>
      </c>
      <c r="Q233" s="99">
        <v>0</v>
      </c>
      <c r="R233" s="99">
        <v>0</v>
      </c>
      <c r="S233" s="99">
        <v>0</v>
      </c>
      <c r="T233" s="99">
        <v>0</v>
      </c>
      <c r="U233" s="99">
        <v>0</v>
      </c>
      <c r="V233" s="99">
        <v>0</v>
      </c>
      <c r="W233" s="99">
        <v>0</v>
      </c>
      <c r="X233" s="99">
        <v>0</v>
      </c>
      <c r="Y233" s="99">
        <v>0</v>
      </c>
      <c r="Z233" s="99">
        <v>0</v>
      </c>
      <c r="AA233" s="99">
        <v>0</v>
      </c>
      <c r="AB233" s="99">
        <v>0</v>
      </c>
      <c r="AC233" s="99">
        <v>1941.586423737408</v>
      </c>
      <c r="AD233" s="99">
        <v>0</v>
      </c>
      <c r="AE233" s="99">
        <v>0</v>
      </c>
      <c r="AF233" s="99">
        <v>0</v>
      </c>
      <c r="AG233" s="99">
        <v>1730.0596272481303</v>
      </c>
      <c r="AH233" s="99">
        <v>0</v>
      </c>
      <c r="AI233" s="99">
        <v>0</v>
      </c>
      <c r="AJ233" s="99">
        <v>0</v>
      </c>
      <c r="AK233" s="99">
        <v>0</v>
      </c>
      <c r="AL233" s="99">
        <v>0</v>
      </c>
      <c r="AM233" s="99">
        <v>0</v>
      </c>
      <c r="AN233" s="99">
        <v>0</v>
      </c>
      <c r="AO233" s="99">
        <v>0</v>
      </c>
      <c r="AP233" s="99">
        <v>0</v>
      </c>
      <c r="AQ233" s="99">
        <v>3050.1101615127445</v>
      </c>
      <c r="AR233" s="99">
        <f t="shared" si="3"/>
        <v>6721.7562124982833</v>
      </c>
    </row>
    <row r="234" spans="1:44" ht="15" x14ac:dyDescent="0.25">
      <c r="A234" s="258">
        <v>227</v>
      </c>
      <c r="B234" s="258" t="s">
        <v>354</v>
      </c>
      <c r="C234" s="258" t="s">
        <v>1563</v>
      </c>
      <c r="D234" s="859" t="s">
        <v>1566</v>
      </c>
      <c r="E234" s="99">
        <v>0</v>
      </c>
      <c r="F234" s="99">
        <v>0</v>
      </c>
      <c r="G234" s="99">
        <v>0</v>
      </c>
      <c r="H234" s="99">
        <v>0</v>
      </c>
      <c r="I234" s="99">
        <v>0</v>
      </c>
      <c r="J234" s="99">
        <v>0</v>
      </c>
      <c r="K234" s="99">
        <v>0</v>
      </c>
      <c r="L234" s="99">
        <v>0</v>
      </c>
      <c r="M234" s="99">
        <v>0</v>
      </c>
      <c r="N234" s="99">
        <v>0</v>
      </c>
      <c r="O234" s="99">
        <v>0</v>
      </c>
      <c r="P234" s="99">
        <v>0</v>
      </c>
      <c r="Q234" s="99">
        <v>0</v>
      </c>
      <c r="R234" s="99">
        <v>0</v>
      </c>
      <c r="S234" s="99">
        <v>0</v>
      </c>
      <c r="T234" s="99">
        <v>0</v>
      </c>
      <c r="U234" s="99">
        <v>0</v>
      </c>
      <c r="V234" s="99">
        <v>0</v>
      </c>
      <c r="W234" s="99">
        <v>0</v>
      </c>
      <c r="X234" s="99">
        <v>0</v>
      </c>
      <c r="Y234" s="99">
        <v>0</v>
      </c>
      <c r="Z234" s="99">
        <v>0</v>
      </c>
      <c r="AA234" s="99">
        <v>0</v>
      </c>
      <c r="AB234" s="99">
        <v>0</v>
      </c>
      <c r="AC234" s="99">
        <v>3625.0839204170388</v>
      </c>
      <c r="AD234" s="99">
        <v>0</v>
      </c>
      <c r="AE234" s="99">
        <v>0</v>
      </c>
      <c r="AF234" s="99">
        <v>0</v>
      </c>
      <c r="AG234" s="99">
        <v>5614.6943996034779</v>
      </c>
      <c r="AH234" s="99">
        <v>0</v>
      </c>
      <c r="AI234" s="99">
        <v>0</v>
      </c>
      <c r="AJ234" s="99">
        <v>0</v>
      </c>
      <c r="AK234" s="99">
        <v>0</v>
      </c>
      <c r="AL234" s="99">
        <v>0</v>
      </c>
      <c r="AM234" s="99">
        <v>0</v>
      </c>
      <c r="AN234" s="99">
        <v>0</v>
      </c>
      <c r="AO234" s="99">
        <v>0</v>
      </c>
      <c r="AP234" s="99">
        <v>0</v>
      </c>
      <c r="AQ234" s="99">
        <v>25517.118895540385</v>
      </c>
      <c r="AR234" s="99">
        <f t="shared" si="3"/>
        <v>34756.897215560901</v>
      </c>
    </row>
    <row r="235" spans="1:44" ht="15" x14ac:dyDescent="0.25">
      <c r="A235" s="258">
        <v>228</v>
      </c>
      <c r="B235" s="258" t="s">
        <v>354</v>
      </c>
      <c r="C235" s="258" t="s">
        <v>1563</v>
      </c>
      <c r="D235" s="859" t="s">
        <v>1567</v>
      </c>
      <c r="E235" s="99">
        <v>19.380065929235709</v>
      </c>
      <c r="F235" s="99">
        <v>0</v>
      </c>
      <c r="G235" s="99">
        <v>0</v>
      </c>
      <c r="H235" s="99">
        <v>0</v>
      </c>
      <c r="I235" s="99">
        <v>0</v>
      </c>
      <c r="J235" s="99">
        <v>0</v>
      </c>
      <c r="K235" s="99">
        <v>0</v>
      </c>
      <c r="L235" s="99">
        <v>0</v>
      </c>
      <c r="M235" s="99">
        <v>0</v>
      </c>
      <c r="N235" s="99">
        <v>0</v>
      </c>
      <c r="O235" s="99">
        <v>0</v>
      </c>
      <c r="P235" s="99">
        <v>0</v>
      </c>
      <c r="Q235" s="99">
        <v>0</v>
      </c>
      <c r="R235" s="99">
        <v>0</v>
      </c>
      <c r="S235" s="99">
        <v>0</v>
      </c>
      <c r="T235" s="99">
        <v>0</v>
      </c>
      <c r="U235" s="99">
        <v>0</v>
      </c>
      <c r="V235" s="99">
        <v>0</v>
      </c>
      <c r="W235" s="99">
        <v>0</v>
      </c>
      <c r="X235" s="99">
        <v>0</v>
      </c>
      <c r="Y235" s="99">
        <v>0</v>
      </c>
      <c r="Z235" s="99">
        <v>0</v>
      </c>
      <c r="AA235" s="99">
        <v>0</v>
      </c>
      <c r="AB235" s="99">
        <v>0</v>
      </c>
      <c r="AC235" s="99">
        <v>98484.495929016513</v>
      </c>
      <c r="AD235" s="99">
        <v>0</v>
      </c>
      <c r="AE235" s="99">
        <v>0</v>
      </c>
      <c r="AF235" s="99">
        <v>0</v>
      </c>
      <c r="AG235" s="99">
        <v>8151.2677623815198</v>
      </c>
      <c r="AH235" s="99">
        <v>0</v>
      </c>
      <c r="AI235" s="99">
        <v>0</v>
      </c>
      <c r="AJ235" s="99">
        <v>0</v>
      </c>
      <c r="AK235" s="99">
        <v>0</v>
      </c>
      <c r="AL235" s="99">
        <v>0</v>
      </c>
      <c r="AM235" s="99">
        <v>0</v>
      </c>
      <c r="AN235" s="99">
        <v>0</v>
      </c>
      <c r="AO235" s="99">
        <v>0</v>
      </c>
      <c r="AP235" s="99">
        <v>0</v>
      </c>
      <c r="AQ235" s="99">
        <v>45543.266860322874</v>
      </c>
      <c r="AR235" s="99">
        <f t="shared" si="3"/>
        <v>152198.41061765014</v>
      </c>
    </row>
    <row r="236" spans="1:44" ht="15" x14ac:dyDescent="0.25">
      <c r="A236" s="258">
        <v>229</v>
      </c>
      <c r="B236" s="258" t="s">
        <v>354</v>
      </c>
      <c r="C236" s="258" t="s">
        <v>1563</v>
      </c>
      <c r="D236" s="859" t="s">
        <v>1568</v>
      </c>
      <c r="E236" s="99">
        <v>0</v>
      </c>
      <c r="F236" s="99">
        <v>0</v>
      </c>
      <c r="G236" s="99">
        <v>0</v>
      </c>
      <c r="H236" s="99">
        <v>0</v>
      </c>
      <c r="I236" s="99">
        <v>0</v>
      </c>
      <c r="J236" s="99">
        <v>0</v>
      </c>
      <c r="K236" s="99">
        <v>0</v>
      </c>
      <c r="L236" s="99">
        <v>447.87981123361016</v>
      </c>
      <c r="M236" s="99">
        <v>0</v>
      </c>
      <c r="N236" s="99">
        <v>0</v>
      </c>
      <c r="O236" s="99">
        <v>0</v>
      </c>
      <c r="P236" s="99">
        <v>0</v>
      </c>
      <c r="Q236" s="99">
        <v>0</v>
      </c>
      <c r="R236" s="99">
        <v>0</v>
      </c>
      <c r="S236" s="99">
        <v>0</v>
      </c>
      <c r="T236" s="99">
        <v>0</v>
      </c>
      <c r="U236" s="99">
        <v>0</v>
      </c>
      <c r="V236" s="99">
        <v>0</v>
      </c>
      <c r="W236" s="99">
        <v>0</v>
      </c>
      <c r="X236" s="99">
        <v>0</v>
      </c>
      <c r="Y236" s="99">
        <v>0</v>
      </c>
      <c r="Z236" s="99">
        <v>0</v>
      </c>
      <c r="AA236" s="99">
        <v>0</v>
      </c>
      <c r="AB236" s="99">
        <v>0</v>
      </c>
      <c r="AC236" s="99">
        <v>0</v>
      </c>
      <c r="AD236" s="99">
        <v>0</v>
      </c>
      <c r="AE236" s="99">
        <v>0</v>
      </c>
      <c r="AF236" s="99">
        <v>0</v>
      </c>
      <c r="AG236" s="99">
        <v>4829.2201528265205</v>
      </c>
      <c r="AH236" s="99">
        <v>0</v>
      </c>
      <c r="AI236" s="99">
        <v>0</v>
      </c>
      <c r="AJ236" s="99">
        <v>0</v>
      </c>
      <c r="AK236" s="99">
        <v>0</v>
      </c>
      <c r="AL236" s="99">
        <v>0</v>
      </c>
      <c r="AM236" s="99">
        <v>0</v>
      </c>
      <c r="AN236" s="99">
        <v>0</v>
      </c>
      <c r="AO236" s="99">
        <v>0</v>
      </c>
      <c r="AP236" s="99">
        <v>31386.469618770941</v>
      </c>
      <c r="AQ236" s="99">
        <v>8160.8967456597884</v>
      </c>
      <c r="AR236" s="99">
        <f t="shared" si="3"/>
        <v>44824.46632849086</v>
      </c>
    </row>
    <row r="237" spans="1:44" ht="15" x14ac:dyDescent="0.25">
      <c r="A237" s="258">
        <v>230</v>
      </c>
      <c r="B237" s="258" t="s">
        <v>354</v>
      </c>
      <c r="C237" s="258" t="s">
        <v>1563</v>
      </c>
      <c r="D237" s="859" t="s">
        <v>1569</v>
      </c>
      <c r="E237" s="99">
        <v>0</v>
      </c>
      <c r="F237" s="99">
        <v>0</v>
      </c>
      <c r="G237" s="99">
        <v>0</v>
      </c>
      <c r="H237" s="99">
        <v>0</v>
      </c>
      <c r="I237" s="99">
        <v>0</v>
      </c>
      <c r="J237" s="99">
        <v>0</v>
      </c>
      <c r="K237" s="99">
        <v>0</v>
      </c>
      <c r="L237" s="99">
        <v>1657.8373520383172</v>
      </c>
      <c r="M237" s="99">
        <v>0</v>
      </c>
      <c r="N237" s="99">
        <v>0</v>
      </c>
      <c r="O237" s="99">
        <v>0</v>
      </c>
      <c r="P237" s="99">
        <v>0</v>
      </c>
      <c r="Q237" s="99">
        <v>0</v>
      </c>
      <c r="R237" s="99">
        <v>0</v>
      </c>
      <c r="S237" s="99">
        <v>0</v>
      </c>
      <c r="T237" s="99">
        <v>0</v>
      </c>
      <c r="U237" s="99">
        <v>0</v>
      </c>
      <c r="V237" s="99">
        <v>0</v>
      </c>
      <c r="W237" s="99">
        <v>0</v>
      </c>
      <c r="X237" s="99">
        <v>0</v>
      </c>
      <c r="Y237" s="99">
        <v>0</v>
      </c>
      <c r="Z237" s="99">
        <v>0</v>
      </c>
      <c r="AA237" s="99">
        <v>0</v>
      </c>
      <c r="AB237" s="99">
        <v>0</v>
      </c>
      <c r="AC237" s="99">
        <v>0</v>
      </c>
      <c r="AD237" s="99">
        <v>0</v>
      </c>
      <c r="AE237" s="99">
        <v>0</v>
      </c>
      <c r="AF237" s="99">
        <v>0</v>
      </c>
      <c r="AG237" s="99">
        <v>2993.0864364489134</v>
      </c>
      <c r="AH237" s="99">
        <v>0</v>
      </c>
      <c r="AI237" s="99">
        <v>0</v>
      </c>
      <c r="AJ237" s="99">
        <v>0</v>
      </c>
      <c r="AK237" s="99">
        <v>0</v>
      </c>
      <c r="AL237" s="99">
        <v>0</v>
      </c>
      <c r="AM237" s="99">
        <v>0</v>
      </c>
      <c r="AN237" s="99">
        <v>0</v>
      </c>
      <c r="AO237" s="99">
        <v>0</v>
      </c>
      <c r="AP237" s="99">
        <v>54523.179388968914</v>
      </c>
      <c r="AQ237" s="99">
        <v>7030.3425768678117</v>
      </c>
      <c r="AR237" s="99">
        <f t="shared" si="3"/>
        <v>66204.445754323955</v>
      </c>
    </row>
    <row r="238" spans="1:44" ht="15" x14ac:dyDescent="0.25">
      <c r="A238" s="258">
        <v>231</v>
      </c>
      <c r="B238" s="258" t="s">
        <v>354</v>
      </c>
      <c r="C238" s="258" t="s">
        <v>1563</v>
      </c>
      <c r="D238" s="859" t="s">
        <v>1570</v>
      </c>
      <c r="E238" s="99">
        <v>0</v>
      </c>
      <c r="F238" s="99">
        <v>0</v>
      </c>
      <c r="G238" s="99">
        <v>0</v>
      </c>
      <c r="H238" s="99">
        <v>0</v>
      </c>
      <c r="I238" s="99">
        <v>0</v>
      </c>
      <c r="J238" s="99">
        <v>0</v>
      </c>
      <c r="K238" s="99">
        <v>0</v>
      </c>
      <c r="L238" s="99">
        <v>0</v>
      </c>
      <c r="M238" s="99">
        <v>0</v>
      </c>
      <c r="N238" s="99">
        <v>0</v>
      </c>
      <c r="O238" s="99">
        <v>0</v>
      </c>
      <c r="P238" s="99">
        <v>0</v>
      </c>
      <c r="Q238" s="99">
        <v>0</v>
      </c>
      <c r="R238" s="99">
        <v>0</v>
      </c>
      <c r="S238" s="99">
        <v>0</v>
      </c>
      <c r="T238" s="99">
        <v>0</v>
      </c>
      <c r="U238" s="99">
        <v>0</v>
      </c>
      <c r="V238" s="99">
        <v>0</v>
      </c>
      <c r="W238" s="99">
        <v>0</v>
      </c>
      <c r="X238" s="99">
        <v>0</v>
      </c>
      <c r="Y238" s="99">
        <v>0</v>
      </c>
      <c r="Z238" s="99">
        <v>0</v>
      </c>
      <c r="AA238" s="99">
        <v>0</v>
      </c>
      <c r="AB238" s="99">
        <v>0</v>
      </c>
      <c r="AC238" s="99">
        <v>5914.5199739504169</v>
      </c>
      <c r="AD238" s="99">
        <v>0</v>
      </c>
      <c r="AE238" s="99">
        <v>0</v>
      </c>
      <c r="AF238" s="99">
        <v>0</v>
      </c>
      <c r="AG238" s="99">
        <v>3840.1450200964964</v>
      </c>
      <c r="AH238" s="99">
        <v>0</v>
      </c>
      <c r="AI238" s="99">
        <v>0</v>
      </c>
      <c r="AJ238" s="99">
        <v>0</v>
      </c>
      <c r="AK238" s="99">
        <v>0</v>
      </c>
      <c r="AL238" s="99">
        <v>0</v>
      </c>
      <c r="AM238" s="99">
        <v>0</v>
      </c>
      <c r="AN238" s="99">
        <v>0</v>
      </c>
      <c r="AO238" s="99">
        <v>0</v>
      </c>
      <c r="AP238" s="99">
        <v>36614.193669408865</v>
      </c>
      <c r="AQ238" s="99">
        <v>25109.437653567958</v>
      </c>
      <c r="AR238" s="99">
        <f t="shared" si="3"/>
        <v>71478.296317023734</v>
      </c>
    </row>
    <row r="239" spans="1:44" ht="15" x14ac:dyDescent="0.25">
      <c r="A239" s="258">
        <v>232</v>
      </c>
      <c r="B239" s="258" t="s">
        <v>354</v>
      </c>
      <c r="C239" s="258" t="s">
        <v>1563</v>
      </c>
      <c r="D239" s="859" t="s">
        <v>1571</v>
      </c>
      <c r="E239" s="99">
        <v>0</v>
      </c>
      <c r="F239" s="99">
        <v>0</v>
      </c>
      <c r="G239" s="99">
        <v>0</v>
      </c>
      <c r="H239" s="99">
        <v>0</v>
      </c>
      <c r="I239" s="99">
        <v>0</v>
      </c>
      <c r="J239" s="99">
        <v>0</v>
      </c>
      <c r="K239" s="99">
        <v>0</v>
      </c>
      <c r="L239" s="99">
        <v>788.22299773955649</v>
      </c>
      <c r="M239" s="99">
        <v>0</v>
      </c>
      <c r="N239" s="99">
        <v>0</v>
      </c>
      <c r="O239" s="99">
        <v>0</v>
      </c>
      <c r="P239" s="99">
        <v>0</v>
      </c>
      <c r="Q239" s="99">
        <v>0</v>
      </c>
      <c r="R239" s="99">
        <v>0</v>
      </c>
      <c r="S239" s="99">
        <v>0</v>
      </c>
      <c r="T239" s="99">
        <v>0</v>
      </c>
      <c r="U239" s="99">
        <v>0</v>
      </c>
      <c r="V239" s="99">
        <v>0</v>
      </c>
      <c r="W239" s="99">
        <v>0</v>
      </c>
      <c r="X239" s="99">
        <v>0</v>
      </c>
      <c r="Y239" s="99">
        <v>0</v>
      </c>
      <c r="Z239" s="99">
        <v>0</v>
      </c>
      <c r="AA239" s="99">
        <v>0</v>
      </c>
      <c r="AB239" s="99">
        <v>0</v>
      </c>
      <c r="AC239" s="99">
        <v>0</v>
      </c>
      <c r="AD239" s="99">
        <v>0</v>
      </c>
      <c r="AE239" s="99">
        <v>0</v>
      </c>
      <c r="AF239" s="99">
        <v>0</v>
      </c>
      <c r="AG239" s="99">
        <v>291.26542242370982</v>
      </c>
      <c r="AH239" s="99">
        <v>0</v>
      </c>
      <c r="AI239" s="99">
        <v>0</v>
      </c>
      <c r="AJ239" s="99">
        <v>0</v>
      </c>
      <c r="AK239" s="99">
        <v>0</v>
      </c>
      <c r="AL239" s="99">
        <v>0</v>
      </c>
      <c r="AM239" s="99">
        <v>0</v>
      </c>
      <c r="AN239" s="99">
        <v>0</v>
      </c>
      <c r="AO239" s="99">
        <v>0</v>
      </c>
      <c r="AP239" s="99">
        <v>141163.81684752592</v>
      </c>
      <c r="AQ239" s="99">
        <v>13428.483807488532</v>
      </c>
      <c r="AR239" s="99">
        <f t="shared" si="3"/>
        <v>155671.78907517769</v>
      </c>
    </row>
    <row r="240" spans="1:44" ht="15" x14ac:dyDescent="0.25">
      <c r="A240" s="258">
        <v>233</v>
      </c>
      <c r="B240" s="258" t="s">
        <v>354</v>
      </c>
      <c r="C240" s="258" t="s">
        <v>1563</v>
      </c>
      <c r="D240" s="859" t="s">
        <v>1572</v>
      </c>
      <c r="E240" s="99">
        <v>0</v>
      </c>
      <c r="F240" s="99">
        <v>0</v>
      </c>
      <c r="G240" s="99">
        <v>0</v>
      </c>
      <c r="H240" s="99">
        <v>0</v>
      </c>
      <c r="I240" s="99">
        <v>0</v>
      </c>
      <c r="J240" s="99">
        <v>0</v>
      </c>
      <c r="K240" s="99">
        <v>0</v>
      </c>
      <c r="L240" s="99">
        <v>0</v>
      </c>
      <c r="M240" s="99">
        <v>0</v>
      </c>
      <c r="N240" s="99">
        <v>0</v>
      </c>
      <c r="O240" s="99">
        <v>0</v>
      </c>
      <c r="P240" s="99">
        <v>0</v>
      </c>
      <c r="Q240" s="99">
        <v>0</v>
      </c>
      <c r="R240" s="99">
        <v>0</v>
      </c>
      <c r="S240" s="99">
        <v>0</v>
      </c>
      <c r="T240" s="99">
        <v>0</v>
      </c>
      <c r="U240" s="99">
        <v>0</v>
      </c>
      <c r="V240" s="99">
        <v>0</v>
      </c>
      <c r="W240" s="99">
        <v>0</v>
      </c>
      <c r="X240" s="99">
        <v>0</v>
      </c>
      <c r="Y240" s="99">
        <v>0</v>
      </c>
      <c r="Z240" s="99">
        <v>0</v>
      </c>
      <c r="AA240" s="99">
        <v>0</v>
      </c>
      <c r="AB240" s="99">
        <v>0</v>
      </c>
      <c r="AC240" s="99">
        <v>0</v>
      </c>
      <c r="AD240" s="99">
        <v>0</v>
      </c>
      <c r="AE240" s="99">
        <v>0</v>
      </c>
      <c r="AF240" s="99">
        <v>0</v>
      </c>
      <c r="AG240" s="99">
        <v>72.980726611809914</v>
      </c>
      <c r="AH240" s="99">
        <v>0</v>
      </c>
      <c r="AI240" s="99">
        <v>0</v>
      </c>
      <c r="AJ240" s="99">
        <v>0</v>
      </c>
      <c r="AK240" s="99">
        <v>0</v>
      </c>
      <c r="AL240" s="99">
        <v>0</v>
      </c>
      <c r="AM240" s="99">
        <v>0</v>
      </c>
      <c r="AN240" s="99">
        <v>0</v>
      </c>
      <c r="AO240" s="99">
        <v>0</v>
      </c>
      <c r="AP240" s="99">
        <v>15975.104881322384</v>
      </c>
      <c r="AQ240" s="99">
        <v>33846.178472337066</v>
      </c>
      <c r="AR240" s="99">
        <f t="shared" si="3"/>
        <v>49894.264080271256</v>
      </c>
    </row>
    <row r="241" spans="1:44" ht="15" x14ac:dyDescent="0.25">
      <c r="A241" s="258">
        <v>234</v>
      </c>
      <c r="B241" s="258" t="s">
        <v>354</v>
      </c>
      <c r="C241" s="258" t="s">
        <v>1563</v>
      </c>
      <c r="D241" s="859" t="s">
        <v>1573</v>
      </c>
      <c r="E241" s="99">
        <v>62.774561379480893</v>
      </c>
      <c r="F241" s="99">
        <v>0</v>
      </c>
      <c r="G241" s="99">
        <v>0</v>
      </c>
      <c r="H241" s="99">
        <v>0</v>
      </c>
      <c r="I241" s="99">
        <v>0</v>
      </c>
      <c r="J241" s="99">
        <v>0</v>
      </c>
      <c r="K241" s="99">
        <v>0</v>
      </c>
      <c r="L241" s="99">
        <v>0</v>
      </c>
      <c r="M241" s="99">
        <v>0</v>
      </c>
      <c r="N241" s="99">
        <v>0</v>
      </c>
      <c r="O241" s="99">
        <v>0</v>
      </c>
      <c r="P241" s="99">
        <v>0</v>
      </c>
      <c r="Q241" s="99">
        <v>0</v>
      </c>
      <c r="R241" s="99">
        <v>0</v>
      </c>
      <c r="S241" s="99">
        <v>0</v>
      </c>
      <c r="T241" s="99">
        <v>0</v>
      </c>
      <c r="U241" s="99">
        <v>0</v>
      </c>
      <c r="V241" s="99">
        <v>0</v>
      </c>
      <c r="W241" s="99">
        <v>0</v>
      </c>
      <c r="X241" s="99">
        <v>0</v>
      </c>
      <c r="Y241" s="99">
        <v>0</v>
      </c>
      <c r="Z241" s="99">
        <v>0</v>
      </c>
      <c r="AA241" s="99">
        <v>0</v>
      </c>
      <c r="AB241" s="99">
        <v>0</v>
      </c>
      <c r="AC241" s="99">
        <v>0</v>
      </c>
      <c r="AD241" s="99">
        <v>0</v>
      </c>
      <c r="AE241" s="99">
        <v>0</v>
      </c>
      <c r="AF241" s="99">
        <v>0</v>
      </c>
      <c r="AG241" s="99">
        <v>10427.477451841753</v>
      </c>
      <c r="AH241" s="99">
        <v>0</v>
      </c>
      <c r="AI241" s="99">
        <v>0</v>
      </c>
      <c r="AJ241" s="99">
        <v>0</v>
      </c>
      <c r="AK241" s="99">
        <v>0</v>
      </c>
      <c r="AL241" s="99">
        <v>0</v>
      </c>
      <c r="AM241" s="99">
        <v>0</v>
      </c>
      <c r="AN241" s="99">
        <v>0</v>
      </c>
      <c r="AO241" s="99">
        <v>0</v>
      </c>
      <c r="AP241" s="99">
        <v>4923.5310718959963</v>
      </c>
      <c r="AQ241" s="99">
        <v>25166.02217377484</v>
      </c>
      <c r="AR241" s="99">
        <f t="shared" si="3"/>
        <v>40579.805258892069</v>
      </c>
    </row>
    <row r="242" spans="1:44" ht="15" x14ac:dyDescent="0.25">
      <c r="A242" s="258">
        <v>235</v>
      </c>
      <c r="B242" s="258" t="s">
        <v>291</v>
      </c>
      <c r="C242" s="258" t="s">
        <v>1574</v>
      </c>
      <c r="D242" s="859" t="s">
        <v>1575</v>
      </c>
      <c r="E242" s="99">
        <v>1286.4572024982879</v>
      </c>
      <c r="F242" s="99">
        <v>0</v>
      </c>
      <c r="G242" s="99">
        <v>0</v>
      </c>
      <c r="H242" s="99">
        <v>0</v>
      </c>
      <c r="I242" s="99">
        <v>0</v>
      </c>
      <c r="J242" s="99">
        <v>0</v>
      </c>
      <c r="K242" s="99">
        <v>0</v>
      </c>
      <c r="L242" s="99">
        <v>34625.201711201829</v>
      </c>
      <c r="M242" s="99">
        <v>0</v>
      </c>
      <c r="N242" s="99">
        <v>0</v>
      </c>
      <c r="O242" s="99">
        <v>0</v>
      </c>
      <c r="P242" s="99">
        <v>0</v>
      </c>
      <c r="Q242" s="99">
        <v>0</v>
      </c>
      <c r="R242" s="99">
        <v>0</v>
      </c>
      <c r="S242" s="99">
        <v>0</v>
      </c>
      <c r="T242" s="99">
        <v>0</v>
      </c>
      <c r="U242" s="99">
        <v>0</v>
      </c>
      <c r="V242" s="99">
        <v>0</v>
      </c>
      <c r="W242" s="99">
        <v>0</v>
      </c>
      <c r="X242" s="99">
        <v>0</v>
      </c>
      <c r="Y242" s="99">
        <v>0</v>
      </c>
      <c r="Z242" s="99">
        <v>0</v>
      </c>
      <c r="AA242" s="99">
        <v>0</v>
      </c>
      <c r="AB242" s="99">
        <v>0</v>
      </c>
      <c r="AC242" s="99">
        <v>0</v>
      </c>
      <c r="AD242" s="99">
        <v>0</v>
      </c>
      <c r="AE242" s="99">
        <v>0</v>
      </c>
      <c r="AF242" s="99">
        <v>0</v>
      </c>
      <c r="AG242" s="99">
        <v>0</v>
      </c>
      <c r="AH242" s="99">
        <v>0</v>
      </c>
      <c r="AI242" s="99">
        <v>0</v>
      </c>
      <c r="AJ242" s="99">
        <v>0</v>
      </c>
      <c r="AK242" s="99">
        <v>0</v>
      </c>
      <c r="AL242" s="99">
        <v>0</v>
      </c>
      <c r="AM242" s="99">
        <v>0</v>
      </c>
      <c r="AN242" s="99">
        <v>0</v>
      </c>
      <c r="AO242" s="99">
        <v>0</v>
      </c>
      <c r="AP242" s="99">
        <v>31669.843306192128</v>
      </c>
      <c r="AQ242" s="99">
        <v>0</v>
      </c>
      <c r="AR242" s="99">
        <f t="shared" si="3"/>
        <v>67581.502219892238</v>
      </c>
    </row>
    <row r="243" spans="1:44" ht="15" x14ac:dyDescent="0.25">
      <c r="A243" s="258">
        <v>236</v>
      </c>
      <c r="B243" s="258" t="s">
        <v>291</v>
      </c>
      <c r="C243" s="258" t="s">
        <v>1574</v>
      </c>
      <c r="D243" s="859" t="s">
        <v>1576</v>
      </c>
      <c r="E243" s="99">
        <v>2799.9982209934901</v>
      </c>
      <c r="F243" s="99">
        <v>0</v>
      </c>
      <c r="G243" s="99">
        <v>0</v>
      </c>
      <c r="H243" s="99">
        <v>0</v>
      </c>
      <c r="I243" s="99">
        <v>0</v>
      </c>
      <c r="J243" s="99">
        <v>0</v>
      </c>
      <c r="K243" s="99">
        <v>0</v>
      </c>
      <c r="L243" s="99">
        <v>37436.159064548199</v>
      </c>
      <c r="M243" s="99">
        <v>0</v>
      </c>
      <c r="N243" s="99">
        <v>0</v>
      </c>
      <c r="O243" s="99">
        <v>0</v>
      </c>
      <c r="P243" s="99">
        <v>0</v>
      </c>
      <c r="Q243" s="99">
        <v>0</v>
      </c>
      <c r="R243" s="99">
        <v>0</v>
      </c>
      <c r="S243" s="99">
        <v>0</v>
      </c>
      <c r="T243" s="99">
        <v>0</v>
      </c>
      <c r="U243" s="99">
        <v>0</v>
      </c>
      <c r="V243" s="99">
        <v>0</v>
      </c>
      <c r="W243" s="99">
        <v>0</v>
      </c>
      <c r="X243" s="99">
        <v>0</v>
      </c>
      <c r="Y243" s="99">
        <v>0</v>
      </c>
      <c r="Z243" s="99">
        <v>0</v>
      </c>
      <c r="AA243" s="99">
        <v>0</v>
      </c>
      <c r="AB243" s="99">
        <v>0</v>
      </c>
      <c r="AC243" s="99">
        <v>0</v>
      </c>
      <c r="AD243" s="99">
        <v>0</v>
      </c>
      <c r="AE243" s="99">
        <v>0</v>
      </c>
      <c r="AF243" s="99">
        <v>0</v>
      </c>
      <c r="AG243" s="99">
        <v>0</v>
      </c>
      <c r="AH243" s="99">
        <v>0</v>
      </c>
      <c r="AI243" s="99">
        <v>0</v>
      </c>
      <c r="AJ243" s="99">
        <v>0</v>
      </c>
      <c r="AK243" s="99">
        <v>0</v>
      </c>
      <c r="AL243" s="99">
        <v>0</v>
      </c>
      <c r="AM243" s="99">
        <v>0</v>
      </c>
      <c r="AN243" s="99">
        <v>0</v>
      </c>
      <c r="AO243" s="99">
        <v>0</v>
      </c>
      <c r="AP243" s="99">
        <v>800.61741401202983</v>
      </c>
      <c r="AQ243" s="99">
        <v>0</v>
      </c>
      <c r="AR243" s="99">
        <f t="shared" si="3"/>
        <v>41036.774699553716</v>
      </c>
    </row>
    <row r="244" spans="1:44" ht="15" x14ac:dyDescent="0.25">
      <c r="A244" s="258">
        <v>237</v>
      </c>
      <c r="B244" s="258" t="s">
        <v>291</v>
      </c>
      <c r="C244" s="258" t="s">
        <v>1574</v>
      </c>
      <c r="D244" s="859" t="s">
        <v>1577</v>
      </c>
      <c r="E244" s="99">
        <v>12600.834606032846</v>
      </c>
      <c r="F244" s="99">
        <v>0</v>
      </c>
      <c r="G244" s="99">
        <v>0</v>
      </c>
      <c r="H244" s="99">
        <v>0</v>
      </c>
      <c r="I244" s="99">
        <v>0</v>
      </c>
      <c r="J244" s="99">
        <v>0</v>
      </c>
      <c r="K244" s="99">
        <v>0</v>
      </c>
      <c r="L244" s="99">
        <v>625.66763477913457</v>
      </c>
      <c r="M244" s="99">
        <v>0</v>
      </c>
      <c r="N244" s="99">
        <v>0</v>
      </c>
      <c r="O244" s="99">
        <v>0</v>
      </c>
      <c r="P244" s="99">
        <v>0</v>
      </c>
      <c r="Q244" s="99">
        <v>0</v>
      </c>
      <c r="R244" s="99">
        <v>0</v>
      </c>
      <c r="S244" s="99">
        <v>0</v>
      </c>
      <c r="T244" s="99">
        <v>0</v>
      </c>
      <c r="U244" s="99">
        <v>0</v>
      </c>
      <c r="V244" s="99">
        <v>0</v>
      </c>
      <c r="W244" s="99">
        <v>0</v>
      </c>
      <c r="X244" s="99">
        <v>0</v>
      </c>
      <c r="Y244" s="99">
        <v>0</v>
      </c>
      <c r="Z244" s="99">
        <v>0</v>
      </c>
      <c r="AA244" s="99">
        <v>0</v>
      </c>
      <c r="AB244" s="99">
        <v>0</v>
      </c>
      <c r="AC244" s="99">
        <v>0</v>
      </c>
      <c r="AD244" s="99">
        <v>0</v>
      </c>
      <c r="AE244" s="99">
        <v>0</v>
      </c>
      <c r="AF244" s="99">
        <v>0</v>
      </c>
      <c r="AG244" s="99">
        <v>0</v>
      </c>
      <c r="AH244" s="99">
        <v>0</v>
      </c>
      <c r="AI244" s="99">
        <v>0</v>
      </c>
      <c r="AJ244" s="99">
        <v>0</v>
      </c>
      <c r="AK244" s="99">
        <v>0</v>
      </c>
      <c r="AL244" s="99">
        <v>0</v>
      </c>
      <c r="AM244" s="99">
        <v>0</v>
      </c>
      <c r="AN244" s="99">
        <v>0</v>
      </c>
      <c r="AO244" s="99">
        <v>0</v>
      </c>
      <c r="AP244" s="99">
        <v>53579.602841221131</v>
      </c>
      <c r="AQ244" s="99">
        <v>684.69541921009534</v>
      </c>
      <c r="AR244" s="99">
        <f t="shared" si="3"/>
        <v>67490.800501243211</v>
      </c>
    </row>
    <row r="245" spans="1:44" ht="15" x14ac:dyDescent="0.25">
      <c r="A245" s="258">
        <v>238</v>
      </c>
      <c r="B245" s="258" t="s">
        <v>291</v>
      </c>
      <c r="C245" s="258" t="s">
        <v>1574</v>
      </c>
      <c r="D245" s="859" t="s">
        <v>1578</v>
      </c>
      <c r="E245" s="99">
        <v>11655.003127529928</v>
      </c>
      <c r="F245" s="99">
        <v>0</v>
      </c>
      <c r="G245" s="99">
        <v>0</v>
      </c>
      <c r="H245" s="99">
        <v>0</v>
      </c>
      <c r="I245" s="99">
        <v>0</v>
      </c>
      <c r="J245" s="99">
        <v>0</v>
      </c>
      <c r="K245" s="99">
        <v>0</v>
      </c>
      <c r="L245" s="99">
        <v>256.67832836687609</v>
      </c>
      <c r="M245" s="99">
        <v>0</v>
      </c>
      <c r="N245" s="99">
        <v>0</v>
      </c>
      <c r="O245" s="99">
        <v>0</v>
      </c>
      <c r="P245" s="99">
        <v>0</v>
      </c>
      <c r="Q245" s="99">
        <v>0</v>
      </c>
      <c r="R245" s="99">
        <v>0</v>
      </c>
      <c r="S245" s="99">
        <v>0</v>
      </c>
      <c r="T245" s="99">
        <v>0</v>
      </c>
      <c r="U245" s="99">
        <v>0</v>
      </c>
      <c r="V245" s="99">
        <v>0</v>
      </c>
      <c r="W245" s="99">
        <v>0</v>
      </c>
      <c r="X245" s="99">
        <v>0</v>
      </c>
      <c r="Y245" s="99">
        <v>0</v>
      </c>
      <c r="Z245" s="99">
        <v>0</v>
      </c>
      <c r="AA245" s="99">
        <v>0</v>
      </c>
      <c r="AB245" s="99">
        <v>0</v>
      </c>
      <c r="AC245" s="99">
        <v>0</v>
      </c>
      <c r="AD245" s="99">
        <v>0</v>
      </c>
      <c r="AE245" s="99">
        <v>0</v>
      </c>
      <c r="AF245" s="99">
        <v>0</v>
      </c>
      <c r="AG245" s="99">
        <v>0</v>
      </c>
      <c r="AH245" s="99">
        <v>0</v>
      </c>
      <c r="AI245" s="99">
        <v>0</v>
      </c>
      <c r="AJ245" s="99">
        <v>0</v>
      </c>
      <c r="AK245" s="99">
        <v>0</v>
      </c>
      <c r="AL245" s="99">
        <v>0</v>
      </c>
      <c r="AM245" s="99">
        <v>0</v>
      </c>
      <c r="AN245" s="99">
        <v>0</v>
      </c>
      <c r="AO245" s="99">
        <v>0</v>
      </c>
      <c r="AP245" s="99">
        <v>98365.137028561527</v>
      </c>
      <c r="AQ245" s="99">
        <v>6072.0416864566032</v>
      </c>
      <c r="AR245" s="99">
        <f t="shared" si="3"/>
        <v>116348.86017091494</v>
      </c>
    </row>
    <row r="246" spans="1:44" ht="15" x14ac:dyDescent="0.25">
      <c r="A246" s="258">
        <v>239</v>
      </c>
      <c r="B246" s="258" t="s">
        <v>291</v>
      </c>
      <c r="C246" s="258" t="s">
        <v>1574</v>
      </c>
      <c r="D246" s="859" t="s">
        <v>1579</v>
      </c>
      <c r="E246" s="99">
        <v>902.85828883374199</v>
      </c>
      <c r="F246" s="99">
        <v>0</v>
      </c>
      <c r="G246" s="99">
        <v>0</v>
      </c>
      <c r="H246" s="99">
        <v>0</v>
      </c>
      <c r="I246" s="99">
        <v>0</v>
      </c>
      <c r="J246" s="99">
        <v>0</v>
      </c>
      <c r="K246" s="99">
        <v>0</v>
      </c>
      <c r="L246" s="99">
        <v>0</v>
      </c>
      <c r="M246" s="99">
        <v>0</v>
      </c>
      <c r="N246" s="99">
        <v>0</v>
      </c>
      <c r="O246" s="99">
        <v>0</v>
      </c>
      <c r="P246" s="99">
        <v>0</v>
      </c>
      <c r="Q246" s="99">
        <v>0</v>
      </c>
      <c r="R246" s="99">
        <v>0</v>
      </c>
      <c r="S246" s="99">
        <v>0</v>
      </c>
      <c r="T246" s="99">
        <v>0</v>
      </c>
      <c r="U246" s="99">
        <v>0</v>
      </c>
      <c r="V246" s="99">
        <v>0</v>
      </c>
      <c r="W246" s="99">
        <v>0</v>
      </c>
      <c r="X246" s="99">
        <v>0</v>
      </c>
      <c r="Y246" s="99">
        <v>0</v>
      </c>
      <c r="Z246" s="99">
        <v>0</v>
      </c>
      <c r="AA246" s="99">
        <v>0</v>
      </c>
      <c r="AB246" s="99">
        <v>0</v>
      </c>
      <c r="AC246" s="99">
        <v>0</v>
      </c>
      <c r="AD246" s="99">
        <v>0</v>
      </c>
      <c r="AE246" s="99">
        <v>0</v>
      </c>
      <c r="AF246" s="99">
        <v>0</v>
      </c>
      <c r="AG246" s="99">
        <v>0</v>
      </c>
      <c r="AH246" s="99">
        <v>0</v>
      </c>
      <c r="AI246" s="99">
        <v>0</v>
      </c>
      <c r="AJ246" s="99">
        <v>0</v>
      </c>
      <c r="AK246" s="99">
        <v>0</v>
      </c>
      <c r="AL246" s="99">
        <v>0</v>
      </c>
      <c r="AM246" s="99">
        <v>0</v>
      </c>
      <c r="AN246" s="99">
        <v>0</v>
      </c>
      <c r="AO246" s="99">
        <v>0</v>
      </c>
      <c r="AP246" s="99">
        <v>36207.523512277075</v>
      </c>
      <c r="AQ246" s="99">
        <v>48352.26788151636</v>
      </c>
      <c r="AR246" s="99">
        <f t="shared" si="3"/>
        <v>85462.649682627176</v>
      </c>
    </row>
    <row r="247" spans="1:44" ht="15" x14ac:dyDescent="0.25">
      <c r="A247" s="258">
        <v>240</v>
      </c>
      <c r="B247" s="258" t="s">
        <v>291</v>
      </c>
      <c r="C247" s="258" t="s">
        <v>1574</v>
      </c>
      <c r="D247" s="859" t="s">
        <v>1580</v>
      </c>
      <c r="E247" s="99">
        <v>21258.036448356757</v>
      </c>
      <c r="F247" s="99">
        <v>0</v>
      </c>
      <c r="G247" s="99">
        <v>0</v>
      </c>
      <c r="H247" s="99">
        <v>0</v>
      </c>
      <c r="I247" s="99">
        <v>0</v>
      </c>
      <c r="J247" s="99">
        <v>0</v>
      </c>
      <c r="K247" s="99">
        <v>0</v>
      </c>
      <c r="L247" s="99">
        <v>1656.473251090398</v>
      </c>
      <c r="M247" s="99">
        <v>0</v>
      </c>
      <c r="N247" s="99">
        <v>0</v>
      </c>
      <c r="O247" s="99">
        <v>0</v>
      </c>
      <c r="P247" s="99">
        <v>0</v>
      </c>
      <c r="Q247" s="99">
        <v>0</v>
      </c>
      <c r="R247" s="99">
        <v>0</v>
      </c>
      <c r="S247" s="99">
        <v>0</v>
      </c>
      <c r="T247" s="99">
        <v>0</v>
      </c>
      <c r="U247" s="99">
        <v>0</v>
      </c>
      <c r="V247" s="99">
        <v>0</v>
      </c>
      <c r="W247" s="99">
        <v>0</v>
      </c>
      <c r="X247" s="99">
        <v>0</v>
      </c>
      <c r="Y247" s="99">
        <v>0</v>
      </c>
      <c r="Z247" s="99">
        <v>0</v>
      </c>
      <c r="AA247" s="99">
        <v>0</v>
      </c>
      <c r="AB247" s="99">
        <v>0</v>
      </c>
      <c r="AC247" s="99">
        <v>0</v>
      </c>
      <c r="AD247" s="99">
        <v>0</v>
      </c>
      <c r="AE247" s="99">
        <v>0</v>
      </c>
      <c r="AF247" s="99">
        <v>0</v>
      </c>
      <c r="AG247" s="99">
        <v>850.12684242405601</v>
      </c>
      <c r="AH247" s="99">
        <v>0</v>
      </c>
      <c r="AI247" s="99">
        <v>0</v>
      </c>
      <c r="AJ247" s="99">
        <v>0</v>
      </c>
      <c r="AK247" s="99">
        <v>0</v>
      </c>
      <c r="AL247" s="99">
        <v>0</v>
      </c>
      <c r="AM247" s="99">
        <v>0</v>
      </c>
      <c r="AN247" s="99">
        <v>0</v>
      </c>
      <c r="AO247" s="99">
        <v>0</v>
      </c>
      <c r="AP247" s="99">
        <v>51859.929378127985</v>
      </c>
      <c r="AQ247" s="99">
        <v>20833.5568013087</v>
      </c>
      <c r="AR247" s="99">
        <f t="shared" si="3"/>
        <v>96458.122721307896</v>
      </c>
    </row>
    <row r="248" spans="1:44" ht="15" x14ac:dyDescent="0.25">
      <c r="A248" s="258">
        <v>241</v>
      </c>
      <c r="B248" s="258" t="s">
        <v>339</v>
      </c>
      <c r="C248" s="258" t="s">
        <v>1581</v>
      </c>
      <c r="D248" s="859" t="s">
        <v>1582</v>
      </c>
      <c r="E248" s="99">
        <v>109.5395030782888</v>
      </c>
      <c r="F248" s="99">
        <v>0</v>
      </c>
      <c r="G248" s="99">
        <v>0</v>
      </c>
      <c r="H248" s="99">
        <v>0</v>
      </c>
      <c r="I248" s="99">
        <v>0</v>
      </c>
      <c r="J248" s="99">
        <v>0</v>
      </c>
      <c r="K248" s="99">
        <v>0</v>
      </c>
      <c r="L248" s="99">
        <v>0</v>
      </c>
      <c r="M248" s="99">
        <v>0</v>
      </c>
      <c r="N248" s="99">
        <v>0</v>
      </c>
      <c r="O248" s="99">
        <v>0</v>
      </c>
      <c r="P248" s="99">
        <v>0</v>
      </c>
      <c r="Q248" s="99">
        <v>0</v>
      </c>
      <c r="R248" s="99">
        <v>0</v>
      </c>
      <c r="S248" s="99">
        <v>0</v>
      </c>
      <c r="T248" s="99">
        <v>0</v>
      </c>
      <c r="U248" s="99">
        <v>0</v>
      </c>
      <c r="V248" s="99">
        <v>0</v>
      </c>
      <c r="W248" s="99">
        <v>0</v>
      </c>
      <c r="X248" s="99">
        <v>0</v>
      </c>
      <c r="Y248" s="99">
        <v>0</v>
      </c>
      <c r="Z248" s="99">
        <v>0</v>
      </c>
      <c r="AA248" s="99">
        <v>0</v>
      </c>
      <c r="AB248" s="99">
        <v>0</v>
      </c>
      <c r="AC248" s="99">
        <v>109964.82523318623</v>
      </c>
      <c r="AD248" s="99">
        <v>0</v>
      </c>
      <c r="AE248" s="99">
        <v>0</v>
      </c>
      <c r="AF248" s="99">
        <v>0</v>
      </c>
      <c r="AG248" s="99">
        <v>0</v>
      </c>
      <c r="AH248" s="99">
        <v>0</v>
      </c>
      <c r="AI248" s="99">
        <v>0</v>
      </c>
      <c r="AJ248" s="99">
        <v>0</v>
      </c>
      <c r="AK248" s="99">
        <v>0</v>
      </c>
      <c r="AL248" s="99">
        <v>0</v>
      </c>
      <c r="AM248" s="99">
        <v>0</v>
      </c>
      <c r="AN248" s="99">
        <v>0</v>
      </c>
      <c r="AO248" s="99">
        <v>0</v>
      </c>
      <c r="AP248" s="99">
        <v>0</v>
      </c>
      <c r="AQ248" s="99">
        <v>19137.157430447973</v>
      </c>
      <c r="AR248" s="99">
        <f t="shared" si="3"/>
        <v>129211.52216671249</v>
      </c>
    </row>
    <row r="249" spans="1:44" ht="15" x14ac:dyDescent="0.25">
      <c r="A249" s="258">
        <v>242</v>
      </c>
      <c r="B249" s="258" t="s">
        <v>339</v>
      </c>
      <c r="C249" s="258" t="s">
        <v>1581</v>
      </c>
      <c r="D249" s="859" t="s">
        <v>1583</v>
      </c>
      <c r="E249" s="99">
        <v>0</v>
      </c>
      <c r="F249" s="99">
        <v>0</v>
      </c>
      <c r="G249" s="99">
        <v>0</v>
      </c>
      <c r="H249" s="99">
        <v>0</v>
      </c>
      <c r="I249" s="99">
        <v>0</v>
      </c>
      <c r="J249" s="99">
        <v>0</v>
      </c>
      <c r="K249" s="99">
        <v>0</v>
      </c>
      <c r="L249" s="99">
        <v>0</v>
      </c>
      <c r="M249" s="99">
        <v>0</v>
      </c>
      <c r="N249" s="99">
        <v>0</v>
      </c>
      <c r="O249" s="99">
        <v>0</v>
      </c>
      <c r="P249" s="99">
        <v>0</v>
      </c>
      <c r="Q249" s="99">
        <v>0</v>
      </c>
      <c r="R249" s="99">
        <v>0</v>
      </c>
      <c r="S249" s="99">
        <v>0</v>
      </c>
      <c r="T249" s="99">
        <v>0</v>
      </c>
      <c r="U249" s="99">
        <v>0</v>
      </c>
      <c r="V249" s="99">
        <v>0</v>
      </c>
      <c r="W249" s="99">
        <v>0</v>
      </c>
      <c r="X249" s="99">
        <v>0</v>
      </c>
      <c r="Y249" s="99">
        <v>0</v>
      </c>
      <c r="Z249" s="99">
        <v>0</v>
      </c>
      <c r="AA249" s="99">
        <v>0</v>
      </c>
      <c r="AB249" s="99">
        <v>0</v>
      </c>
      <c r="AC249" s="99">
        <v>1083.8012908556375</v>
      </c>
      <c r="AD249" s="99">
        <v>0</v>
      </c>
      <c r="AE249" s="99">
        <v>0</v>
      </c>
      <c r="AF249" s="99">
        <v>0</v>
      </c>
      <c r="AG249" s="99">
        <v>46.023881647087329</v>
      </c>
      <c r="AH249" s="99">
        <v>0</v>
      </c>
      <c r="AI249" s="99">
        <v>0</v>
      </c>
      <c r="AJ249" s="99">
        <v>0</v>
      </c>
      <c r="AK249" s="99">
        <v>0</v>
      </c>
      <c r="AL249" s="99">
        <v>0</v>
      </c>
      <c r="AM249" s="99">
        <v>0</v>
      </c>
      <c r="AN249" s="99">
        <v>0</v>
      </c>
      <c r="AO249" s="99">
        <v>0</v>
      </c>
      <c r="AP249" s="99">
        <v>0</v>
      </c>
      <c r="AQ249" s="99">
        <v>70304.334756954529</v>
      </c>
      <c r="AR249" s="99">
        <f t="shared" si="3"/>
        <v>71434.159929457252</v>
      </c>
    </row>
    <row r="250" spans="1:44" ht="15" x14ac:dyDescent="0.25">
      <c r="A250" s="258">
        <v>243</v>
      </c>
      <c r="B250" s="258" t="s">
        <v>339</v>
      </c>
      <c r="C250" s="258" t="s">
        <v>1581</v>
      </c>
      <c r="D250" s="859" t="s">
        <v>1584</v>
      </c>
      <c r="E250" s="99">
        <v>0</v>
      </c>
      <c r="F250" s="99">
        <v>0</v>
      </c>
      <c r="G250" s="99">
        <v>0</v>
      </c>
      <c r="H250" s="99">
        <v>0</v>
      </c>
      <c r="I250" s="99">
        <v>0</v>
      </c>
      <c r="J250" s="99">
        <v>0</v>
      </c>
      <c r="K250" s="99">
        <v>0</v>
      </c>
      <c r="L250" s="99">
        <v>0</v>
      </c>
      <c r="M250" s="99">
        <v>0</v>
      </c>
      <c r="N250" s="99">
        <v>0</v>
      </c>
      <c r="O250" s="99">
        <v>0</v>
      </c>
      <c r="P250" s="99">
        <v>0</v>
      </c>
      <c r="Q250" s="99">
        <v>0</v>
      </c>
      <c r="R250" s="99">
        <v>0</v>
      </c>
      <c r="S250" s="99">
        <v>0</v>
      </c>
      <c r="T250" s="99">
        <v>0</v>
      </c>
      <c r="U250" s="99">
        <v>0</v>
      </c>
      <c r="V250" s="99">
        <v>0</v>
      </c>
      <c r="W250" s="99">
        <v>0</v>
      </c>
      <c r="X250" s="99">
        <v>0</v>
      </c>
      <c r="Y250" s="99">
        <v>0</v>
      </c>
      <c r="Z250" s="99">
        <v>0</v>
      </c>
      <c r="AA250" s="99">
        <v>0</v>
      </c>
      <c r="AB250" s="99">
        <v>0</v>
      </c>
      <c r="AC250" s="99">
        <v>17247.831148695237</v>
      </c>
      <c r="AD250" s="99">
        <v>0</v>
      </c>
      <c r="AE250" s="99">
        <v>0</v>
      </c>
      <c r="AF250" s="99">
        <v>0</v>
      </c>
      <c r="AG250" s="99">
        <v>2630.8127394839826</v>
      </c>
      <c r="AH250" s="99">
        <v>0</v>
      </c>
      <c r="AI250" s="99">
        <v>0</v>
      </c>
      <c r="AJ250" s="99">
        <v>0</v>
      </c>
      <c r="AK250" s="99">
        <v>0</v>
      </c>
      <c r="AL250" s="99">
        <v>0</v>
      </c>
      <c r="AM250" s="99">
        <v>0</v>
      </c>
      <c r="AN250" s="99">
        <v>0</v>
      </c>
      <c r="AO250" s="99">
        <v>0</v>
      </c>
      <c r="AP250" s="99">
        <v>0</v>
      </c>
      <c r="AQ250" s="99">
        <v>73477.612829921592</v>
      </c>
      <c r="AR250" s="99">
        <f t="shared" si="3"/>
        <v>93356.256718100805</v>
      </c>
    </row>
    <row r="251" spans="1:44" ht="15" x14ac:dyDescent="0.25">
      <c r="A251" s="258">
        <v>244</v>
      </c>
      <c r="B251" s="258" t="s">
        <v>339</v>
      </c>
      <c r="C251" s="258" t="s">
        <v>1581</v>
      </c>
      <c r="D251" s="859" t="s">
        <v>1585</v>
      </c>
      <c r="E251" s="99">
        <v>0</v>
      </c>
      <c r="F251" s="99">
        <v>0</v>
      </c>
      <c r="G251" s="99">
        <v>0</v>
      </c>
      <c r="H251" s="99">
        <v>0</v>
      </c>
      <c r="I251" s="99">
        <v>0</v>
      </c>
      <c r="J251" s="99">
        <v>0</v>
      </c>
      <c r="K251" s="99">
        <v>0</v>
      </c>
      <c r="L251" s="99">
        <v>0</v>
      </c>
      <c r="M251" s="99">
        <v>0</v>
      </c>
      <c r="N251" s="99">
        <v>0</v>
      </c>
      <c r="O251" s="99">
        <v>0</v>
      </c>
      <c r="P251" s="99">
        <v>0</v>
      </c>
      <c r="Q251" s="99">
        <v>0</v>
      </c>
      <c r="R251" s="99">
        <v>0</v>
      </c>
      <c r="S251" s="99">
        <v>0</v>
      </c>
      <c r="T251" s="99">
        <v>0</v>
      </c>
      <c r="U251" s="99">
        <v>0</v>
      </c>
      <c r="V251" s="99">
        <v>0</v>
      </c>
      <c r="W251" s="99">
        <v>0</v>
      </c>
      <c r="X251" s="99">
        <v>0</v>
      </c>
      <c r="Y251" s="99">
        <v>0</v>
      </c>
      <c r="Z251" s="99">
        <v>0</v>
      </c>
      <c r="AA251" s="99">
        <v>0</v>
      </c>
      <c r="AB251" s="99">
        <v>0</v>
      </c>
      <c r="AC251" s="99">
        <v>14840.651439531663</v>
      </c>
      <c r="AD251" s="99">
        <v>0</v>
      </c>
      <c r="AE251" s="99">
        <v>0</v>
      </c>
      <c r="AF251" s="99">
        <v>0</v>
      </c>
      <c r="AG251" s="99">
        <v>191.32785084717733</v>
      </c>
      <c r="AH251" s="99">
        <v>0</v>
      </c>
      <c r="AI251" s="99">
        <v>0</v>
      </c>
      <c r="AJ251" s="99">
        <v>0</v>
      </c>
      <c r="AK251" s="99">
        <v>0</v>
      </c>
      <c r="AL251" s="99">
        <v>0</v>
      </c>
      <c r="AM251" s="99">
        <v>0</v>
      </c>
      <c r="AN251" s="99">
        <v>0</v>
      </c>
      <c r="AO251" s="99">
        <v>0</v>
      </c>
      <c r="AP251" s="99">
        <v>0</v>
      </c>
      <c r="AQ251" s="99">
        <v>26464.284679565502</v>
      </c>
      <c r="AR251" s="99">
        <f t="shared" si="3"/>
        <v>41496.263969944339</v>
      </c>
    </row>
    <row r="252" spans="1:44" ht="15" x14ac:dyDescent="0.25">
      <c r="A252" s="258">
        <v>245</v>
      </c>
      <c r="B252" s="258" t="s">
        <v>339</v>
      </c>
      <c r="C252" s="258" t="s">
        <v>1581</v>
      </c>
      <c r="D252" s="859" t="s">
        <v>1586</v>
      </c>
      <c r="E252" s="99">
        <v>0</v>
      </c>
      <c r="F252" s="99">
        <v>0</v>
      </c>
      <c r="G252" s="99">
        <v>0</v>
      </c>
      <c r="H252" s="99">
        <v>0</v>
      </c>
      <c r="I252" s="99">
        <v>0</v>
      </c>
      <c r="J252" s="99">
        <v>0</v>
      </c>
      <c r="K252" s="99">
        <v>0</v>
      </c>
      <c r="L252" s="99">
        <v>0</v>
      </c>
      <c r="M252" s="99">
        <v>0</v>
      </c>
      <c r="N252" s="99">
        <v>0</v>
      </c>
      <c r="O252" s="99">
        <v>0</v>
      </c>
      <c r="P252" s="99">
        <v>0</v>
      </c>
      <c r="Q252" s="99">
        <v>0</v>
      </c>
      <c r="R252" s="99">
        <v>0</v>
      </c>
      <c r="S252" s="99">
        <v>0</v>
      </c>
      <c r="T252" s="99">
        <v>0</v>
      </c>
      <c r="U252" s="99">
        <v>0</v>
      </c>
      <c r="V252" s="99">
        <v>0</v>
      </c>
      <c r="W252" s="99">
        <v>0</v>
      </c>
      <c r="X252" s="99">
        <v>0</v>
      </c>
      <c r="Y252" s="99">
        <v>0</v>
      </c>
      <c r="Z252" s="99">
        <v>0</v>
      </c>
      <c r="AA252" s="99">
        <v>0</v>
      </c>
      <c r="AB252" s="99">
        <v>0</v>
      </c>
      <c r="AC252" s="99">
        <v>17394.849278120142</v>
      </c>
      <c r="AD252" s="99">
        <v>0</v>
      </c>
      <c r="AE252" s="99">
        <v>0</v>
      </c>
      <c r="AF252" s="99">
        <v>0</v>
      </c>
      <c r="AG252" s="99">
        <v>4266.8521513673495</v>
      </c>
      <c r="AH252" s="99">
        <v>0</v>
      </c>
      <c r="AI252" s="99">
        <v>0</v>
      </c>
      <c r="AJ252" s="99">
        <v>0</v>
      </c>
      <c r="AK252" s="99">
        <v>0</v>
      </c>
      <c r="AL252" s="99">
        <v>0</v>
      </c>
      <c r="AM252" s="99">
        <v>0</v>
      </c>
      <c r="AN252" s="99">
        <v>0</v>
      </c>
      <c r="AO252" s="99">
        <v>0</v>
      </c>
      <c r="AP252" s="99">
        <v>0</v>
      </c>
      <c r="AQ252" s="99">
        <v>119919.18735441225</v>
      </c>
      <c r="AR252" s="99">
        <f t="shared" si="3"/>
        <v>141580.88878389975</v>
      </c>
    </row>
    <row r="253" spans="1:44" ht="15" x14ac:dyDescent="0.25">
      <c r="A253" s="258">
        <v>246</v>
      </c>
      <c r="B253" s="258" t="s">
        <v>339</v>
      </c>
      <c r="C253" s="258" t="s">
        <v>1581</v>
      </c>
      <c r="D253" s="859" t="s">
        <v>1587</v>
      </c>
      <c r="E253" s="99">
        <v>0</v>
      </c>
      <c r="F253" s="99">
        <v>0</v>
      </c>
      <c r="G253" s="99">
        <v>0</v>
      </c>
      <c r="H253" s="99">
        <v>0</v>
      </c>
      <c r="I253" s="99">
        <v>0</v>
      </c>
      <c r="J253" s="99">
        <v>0</v>
      </c>
      <c r="K253" s="99">
        <v>0</v>
      </c>
      <c r="L253" s="99">
        <v>0</v>
      </c>
      <c r="M253" s="99">
        <v>0</v>
      </c>
      <c r="N253" s="99">
        <v>0</v>
      </c>
      <c r="O253" s="99">
        <v>0</v>
      </c>
      <c r="P253" s="99">
        <v>0</v>
      </c>
      <c r="Q253" s="99">
        <v>0</v>
      </c>
      <c r="R253" s="99">
        <v>0</v>
      </c>
      <c r="S253" s="99">
        <v>0</v>
      </c>
      <c r="T253" s="99">
        <v>0</v>
      </c>
      <c r="U253" s="99">
        <v>0</v>
      </c>
      <c r="V253" s="99">
        <v>0</v>
      </c>
      <c r="W253" s="99">
        <v>0</v>
      </c>
      <c r="X253" s="99">
        <v>0</v>
      </c>
      <c r="Y253" s="99">
        <v>0</v>
      </c>
      <c r="Z253" s="99">
        <v>0</v>
      </c>
      <c r="AA253" s="99">
        <v>0</v>
      </c>
      <c r="AB253" s="99">
        <v>0</v>
      </c>
      <c r="AC253" s="99">
        <v>74705.874082295428</v>
      </c>
      <c r="AD253" s="99">
        <v>0</v>
      </c>
      <c r="AE253" s="99">
        <v>0</v>
      </c>
      <c r="AF253" s="99">
        <v>0</v>
      </c>
      <c r="AG253" s="99">
        <v>3257.1758525667237</v>
      </c>
      <c r="AH253" s="99">
        <v>0</v>
      </c>
      <c r="AI253" s="99">
        <v>0</v>
      </c>
      <c r="AJ253" s="99">
        <v>0</v>
      </c>
      <c r="AK253" s="99">
        <v>0</v>
      </c>
      <c r="AL253" s="99">
        <v>0</v>
      </c>
      <c r="AM253" s="99">
        <v>0</v>
      </c>
      <c r="AN253" s="99">
        <v>0</v>
      </c>
      <c r="AO253" s="99">
        <v>0</v>
      </c>
      <c r="AP253" s="99">
        <v>0</v>
      </c>
      <c r="AQ253" s="99">
        <v>8212.4818303463762</v>
      </c>
      <c r="AR253" s="99">
        <f t="shared" si="3"/>
        <v>86175.531765208521</v>
      </c>
    </row>
    <row r="254" spans="1:44" ht="15" x14ac:dyDescent="0.25">
      <c r="A254" s="258">
        <v>247</v>
      </c>
      <c r="B254" s="258" t="s">
        <v>333</v>
      </c>
      <c r="C254" s="258" t="s">
        <v>1588</v>
      </c>
      <c r="D254" s="859" t="s">
        <v>1589</v>
      </c>
      <c r="E254" s="99">
        <v>124.49585830628592</v>
      </c>
      <c r="F254" s="99">
        <v>0</v>
      </c>
      <c r="G254" s="99">
        <v>0</v>
      </c>
      <c r="H254" s="99">
        <v>0</v>
      </c>
      <c r="I254" s="99">
        <v>0</v>
      </c>
      <c r="J254" s="99">
        <v>0</v>
      </c>
      <c r="K254" s="99">
        <v>0</v>
      </c>
      <c r="L254" s="99">
        <v>0</v>
      </c>
      <c r="M254" s="99">
        <v>0</v>
      </c>
      <c r="N254" s="99">
        <v>0</v>
      </c>
      <c r="O254" s="99">
        <v>0</v>
      </c>
      <c r="P254" s="99">
        <v>0</v>
      </c>
      <c r="Q254" s="99">
        <v>0</v>
      </c>
      <c r="R254" s="99">
        <v>0</v>
      </c>
      <c r="S254" s="99">
        <v>0</v>
      </c>
      <c r="T254" s="99">
        <v>0</v>
      </c>
      <c r="U254" s="99">
        <v>0</v>
      </c>
      <c r="V254" s="99">
        <v>0</v>
      </c>
      <c r="W254" s="99">
        <v>0</v>
      </c>
      <c r="X254" s="99">
        <v>0</v>
      </c>
      <c r="Y254" s="99">
        <v>0</v>
      </c>
      <c r="Z254" s="99">
        <v>0</v>
      </c>
      <c r="AA254" s="99">
        <v>0</v>
      </c>
      <c r="AB254" s="99">
        <v>0</v>
      </c>
      <c r="AC254" s="99">
        <v>67943.255382233547</v>
      </c>
      <c r="AD254" s="99">
        <v>0</v>
      </c>
      <c r="AE254" s="99">
        <v>0</v>
      </c>
      <c r="AF254" s="99">
        <v>0</v>
      </c>
      <c r="AG254" s="99">
        <v>0</v>
      </c>
      <c r="AH254" s="99">
        <v>666.03056268022101</v>
      </c>
      <c r="AI254" s="99">
        <v>0</v>
      </c>
      <c r="AJ254" s="99">
        <v>0</v>
      </c>
      <c r="AK254" s="99">
        <v>0</v>
      </c>
      <c r="AL254" s="99">
        <v>0</v>
      </c>
      <c r="AM254" s="99">
        <v>0</v>
      </c>
      <c r="AN254" s="99">
        <v>0</v>
      </c>
      <c r="AO254" s="99">
        <v>0</v>
      </c>
      <c r="AP254" s="99">
        <v>0</v>
      </c>
      <c r="AQ254" s="99">
        <v>0</v>
      </c>
      <c r="AR254" s="99">
        <f t="shared" si="3"/>
        <v>68733.781803220045</v>
      </c>
    </row>
    <row r="255" spans="1:44" ht="15" x14ac:dyDescent="0.25">
      <c r="A255" s="258">
        <v>248</v>
      </c>
      <c r="B255" s="258" t="s">
        <v>333</v>
      </c>
      <c r="C255" s="258" t="s">
        <v>1588</v>
      </c>
      <c r="D255" s="859" t="s">
        <v>1590</v>
      </c>
      <c r="E255" s="99">
        <v>0</v>
      </c>
      <c r="F255" s="99">
        <v>0</v>
      </c>
      <c r="G255" s="99">
        <v>0</v>
      </c>
      <c r="H255" s="99">
        <v>0</v>
      </c>
      <c r="I255" s="99">
        <v>0</v>
      </c>
      <c r="J255" s="99">
        <v>0</v>
      </c>
      <c r="K255" s="99">
        <v>0</v>
      </c>
      <c r="L255" s="99">
        <v>0</v>
      </c>
      <c r="M255" s="99">
        <v>0</v>
      </c>
      <c r="N255" s="99">
        <v>0</v>
      </c>
      <c r="O255" s="99">
        <v>0</v>
      </c>
      <c r="P255" s="99">
        <v>0</v>
      </c>
      <c r="Q255" s="99">
        <v>0</v>
      </c>
      <c r="R255" s="99">
        <v>0</v>
      </c>
      <c r="S255" s="99">
        <v>0</v>
      </c>
      <c r="T255" s="99">
        <v>0</v>
      </c>
      <c r="U255" s="99">
        <v>0</v>
      </c>
      <c r="V255" s="99">
        <v>0</v>
      </c>
      <c r="W255" s="99">
        <v>0</v>
      </c>
      <c r="X255" s="99">
        <v>0</v>
      </c>
      <c r="Y255" s="99">
        <v>0</v>
      </c>
      <c r="Z255" s="99">
        <v>0</v>
      </c>
      <c r="AA255" s="99">
        <v>0</v>
      </c>
      <c r="AB255" s="99">
        <v>0</v>
      </c>
      <c r="AC255" s="99">
        <v>0</v>
      </c>
      <c r="AD255" s="99">
        <v>0</v>
      </c>
      <c r="AE255" s="99">
        <v>0</v>
      </c>
      <c r="AF255" s="99">
        <v>0</v>
      </c>
      <c r="AG255" s="99">
        <v>0</v>
      </c>
      <c r="AH255" s="99">
        <v>0</v>
      </c>
      <c r="AI255" s="99">
        <v>0</v>
      </c>
      <c r="AJ255" s="99">
        <v>0</v>
      </c>
      <c r="AK255" s="99">
        <v>0</v>
      </c>
      <c r="AL255" s="99">
        <v>0</v>
      </c>
      <c r="AM255" s="99">
        <v>0</v>
      </c>
      <c r="AN255" s="99">
        <v>0</v>
      </c>
      <c r="AO255" s="99">
        <v>0</v>
      </c>
      <c r="AP255" s="99">
        <v>0</v>
      </c>
      <c r="AQ255" s="99">
        <v>54851.988552026538</v>
      </c>
      <c r="AR255" s="99">
        <f t="shared" si="3"/>
        <v>54851.988552026538</v>
      </c>
    </row>
    <row r="256" spans="1:44" ht="15" x14ac:dyDescent="0.25">
      <c r="A256" s="258">
        <v>249</v>
      </c>
      <c r="B256" s="258" t="s">
        <v>333</v>
      </c>
      <c r="C256" s="258" t="s">
        <v>1588</v>
      </c>
      <c r="D256" s="859" t="s">
        <v>1591</v>
      </c>
      <c r="E256" s="99">
        <v>0</v>
      </c>
      <c r="F256" s="99">
        <v>0</v>
      </c>
      <c r="G256" s="99">
        <v>0</v>
      </c>
      <c r="H256" s="99">
        <v>0</v>
      </c>
      <c r="I256" s="99">
        <v>0</v>
      </c>
      <c r="J256" s="99">
        <v>0</v>
      </c>
      <c r="K256" s="99">
        <v>0</v>
      </c>
      <c r="L256" s="99">
        <v>0</v>
      </c>
      <c r="M256" s="99">
        <v>0</v>
      </c>
      <c r="N256" s="99">
        <v>0</v>
      </c>
      <c r="O256" s="99">
        <v>0</v>
      </c>
      <c r="P256" s="99">
        <v>0</v>
      </c>
      <c r="Q256" s="99">
        <v>0</v>
      </c>
      <c r="R256" s="99">
        <v>0</v>
      </c>
      <c r="S256" s="99">
        <v>0</v>
      </c>
      <c r="T256" s="99">
        <v>0</v>
      </c>
      <c r="U256" s="99">
        <v>0</v>
      </c>
      <c r="V256" s="99">
        <v>0</v>
      </c>
      <c r="W256" s="99">
        <v>0</v>
      </c>
      <c r="X256" s="99">
        <v>0</v>
      </c>
      <c r="Y256" s="99">
        <v>0</v>
      </c>
      <c r="Z256" s="99">
        <v>0</v>
      </c>
      <c r="AA256" s="99">
        <v>0</v>
      </c>
      <c r="AB256" s="99">
        <v>0</v>
      </c>
      <c r="AC256" s="99">
        <v>0</v>
      </c>
      <c r="AD256" s="99">
        <v>0</v>
      </c>
      <c r="AE256" s="99">
        <v>0</v>
      </c>
      <c r="AF256" s="99">
        <v>0</v>
      </c>
      <c r="AG256" s="99">
        <v>0</v>
      </c>
      <c r="AH256" s="99">
        <v>215.0513242492928</v>
      </c>
      <c r="AI256" s="99">
        <v>0</v>
      </c>
      <c r="AJ256" s="99">
        <v>0</v>
      </c>
      <c r="AK256" s="99">
        <v>59571.300960497581</v>
      </c>
      <c r="AL256" s="99">
        <v>0</v>
      </c>
      <c r="AM256" s="99">
        <v>0</v>
      </c>
      <c r="AN256" s="99">
        <v>0</v>
      </c>
      <c r="AO256" s="99">
        <v>0</v>
      </c>
      <c r="AP256" s="99">
        <v>0</v>
      </c>
      <c r="AQ256" s="99">
        <v>45080.364580558198</v>
      </c>
      <c r="AR256" s="99">
        <f t="shared" si="3"/>
        <v>104866.71686530508</v>
      </c>
    </row>
    <row r="257" spans="1:44" ht="15" x14ac:dyDescent="0.25">
      <c r="A257" s="258">
        <v>250</v>
      </c>
      <c r="B257" s="258" t="s">
        <v>333</v>
      </c>
      <c r="C257" s="258" t="s">
        <v>1588</v>
      </c>
      <c r="D257" s="859" t="s">
        <v>1592</v>
      </c>
      <c r="E257" s="99">
        <v>18.748107257630199</v>
      </c>
      <c r="F257" s="99">
        <v>0</v>
      </c>
      <c r="G257" s="99">
        <v>0</v>
      </c>
      <c r="H257" s="99">
        <v>0</v>
      </c>
      <c r="I257" s="99">
        <v>0</v>
      </c>
      <c r="J257" s="99">
        <v>0</v>
      </c>
      <c r="K257" s="99">
        <v>0</v>
      </c>
      <c r="L257" s="99">
        <v>0</v>
      </c>
      <c r="M257" s="99">
        <v>0</v>
      </c>
      <c r="N257" s="99">
        <v>0</v>
      </c>
      <c r="O257" s="99">
        <v>0</v>
      </c>
      <c r="P257" s="99">
        <v>0</v>
      </c>
      <c r="Q257" s="99">
        <v>0</v>
      </c>
      <c r="R257" s="99">
        <v>0</v>
      </c>
      <c r="S257" s="99">
        <v>0</v>
      </c>
      <c r="T257" s="99">
        <v>0</v>
      </c>
      <c r="U257" s="99">
        <v>0</v>
      </c>
      <c r="V257" s="99">
        <v>0</v>
      </c>
      <c r="W257" s="99">
        <v>0</v>
      </c>
      <c r="X257" s="99">
        <v>0</v>
      </c>
      <c r="Y257" s="99">
        <v>0</v>
      </c>
      <c r="Z257" s="99">
        <v>0</v>
      </c>
      <c r="AA257" s="99">
        <v>0</v>
      </c>
      <c r="AB257" s="99">
        <v>0</v>
      </c>
      <c r="AC257" s="99">
        <v>0</v>
      </c>
      <c r="AD257" s="99">
        <v>0</v>
      </c>
      <c r="AE257" s="99">
        <v>0</v>
      </c>
      <c r="AF257" s="99">
        <v>0</v>
      </c>
      <c r="AG257" s="99">
        <v>0</v>
      </c>
      <c r="AH257" s="99">
        <v>1581.682286702001</v>
      </c>
      <c r="AI257" s="99">
        <v>0</v>
      </c>
      <c r="AJ257" s="99">
        <v>0</v>
      </c>
      <c r="AK257" s="99">
        <v>1951.4664628436544</v>
      </c>
      <c r="AL257" s="99">
        <v>0</v>
      </c>
      <c r="AM257" s="99">
        <v>0</v>
      </c>
      <c r="AN257" s="99">
        <v>0</v>
      </c>
      <c r="AO257" s="99">
        <v>0</v>
      </c>
      <c r="AP257" s="99">
        <v>0</v>
      </c>
      <c r="AQ257" s="99">
        <v>61087.193634099756</v>
      </c>
      <c r="AR257" s="99">
        <f t="shared" si="3"/>
        <v>64639.090490903043</v>
      </c>
    </row>
    <row r="258" spans="1:44" ht="15" x14ac:dyDescent="0.25">
      <c r="A258" s="258">
        <v>251</v>
      </c>
      <c r="B258" s="258" t="s">
        <v>333</v>
      </c>
      <c r="C258" s="258" t="s">
        <v>1588</v>
      </c>
      <c r="D258" s="859" t="s">
        <v>1593</v>
      </c>
      <c r="E258" s="99">
        <v>1244.747930172324</v>
      </c>
      <c r="F258" s="99">
        <v>0</v>
      </c>
      <c r="G258" s="99">
        <v>0</v>
      </c>
      <c r="H258" s="99">
        <v>0</v>
      </c>
      <c r="I258" s="99">
        <v>0</v>
      </c>
      <c r="J258" s="99">
        <v>0</v>
      </c>
      <c r="K258" s="99">
        <v>0</v>
      </c>
      <c r="L258" s="99">
        <v>0</v>
      </c>
      <c r="M258" s="99">
        <v>0</v>
      </c>
      <c r="N258" s="99">
        <v>0</v>
      </c>
      <c r="O258" s="99">
        <v>0</v>
      </c>
      <c r="P258" s="99">
        <v>0</v>
      </c>
      <c r="Q258" s="99">
        <v>0</v>
      </c>
      <c r="R258" s="99">
        <v>0</v>
      </c>
      <c r="S258" s="99">
        <v>0</v>
      </c>
      <c r="T258" s="99">
        <v>0</v>
      </c>
      <c r="U258" s="99">
        <v>0</v>
      </c>
      <c r="V258" s="99">
        <v>0</v>
      </c>
      <c r="W258" s="99">
        <v>0</v>
      </c>
      <c r="X258" s="99">
        <v>0</v>
      </c>
      <c r="Y258" s="99">
        <v>0</v>
      </c>
      <c r="Z258" s="99">
        <v>0</v>
      </c>
      <c r="AA258" s="99">
        <v>0</v>
      </c>
      <c r="AB258" s="99">
        <v>0</v>
      </c>
      <c r="AC258" s="99">
        <v>11916.002355349827</v>
      </c>
      <c r="AD258" s="99">
        <v>0</v>
      </c>
      <c r="AE258" s="99">
        <v>0</v>
      </c>
      <c r="AF258" s="99">
        <v>0</v>
      </c>
      <c r="AG258" s="99">
        <v>0</v>
      </c>
      <c r="AH258" s="99">
        <v>3090.1842689099835</v>
      </c>
      <c r="AI258" s="99">
        <v>0</v>
      </c>
      <c r="AJ258" s="99">
        <v>0</v>
      </c>
      <c r="AK258" s="99">
        <v>12586.212510580703</v>
      </c>
      <c r="AL258" s="99">
        <v>0</v>
      </c>
      <c r="AM258" s="99">
        <v>0</v>
      </c>
      <c r="AN258" s="99">
        <v>0</v>
      </c>
      <c r="AO258" s="99">
        <v>0</v>
      </c>
      <c r="AP258" s="99">
        <v>0</v>
      </c>
      <c r="AQ258" s="99">
        <v>8109.9934021805102</v>
      </c>
      <c r="AR258" s="99">
        <f t="shared" si="3"/>
        <v>36947.140467193349</v>
      </c>
    </row>
    <row r="259" spans="1:44" ht="15" x14ac:dyDescent="0.25">
      <c r="A259" s="258">
        <v>252</v>
      </c>
      <c r="B259" s="258" t="s">
        <v>333</v>
      </c>
      <c r="C259" s="258" t="s">
        <v>1588</v>
      </c>
      <c r="D259" s="859" t="s">
        <v>1594</v>
      </c>
      <c r="E259" s="99">
        <v>19.801371710306054</v>
      </c>
      <c r="F259" s="99">
        <v>0</v>
      </c>
      <c r="G259" s="99">
        <v>0</v>
      </c>
      <c r="H259" s="99">
        <v>0</v>
      </c>
      <c r="I259" s="99">
        <v>0</v>
      </c>
      <c r="J259" s="99">
        <v>0</v>
      </c>
      <c r="K259" s="99">
        <v>0</v>
      </c>
      <c r="L259" s="99">
        <v>0</v>
      </c>
      <c r="M259" s="99">
        <v>0</v>
      </c>
      <c r="N259" s="99">
        <v>0</v>
      </c>
      <c r="O259" s="99">
        <v>0</v>
      </c>
      <c r="P259" s="99">
        <v>0</v>
      </c>
      <c r="Q259" s="99">
        <v>0</v>
      </c>
      <c r="R259" s="99">
        <v>0</v>
      </c>
      <c r="S259" s="99">
        <v>0</v>
      </c>
      <c r="T259" s="99">
        <v>0</v>
      </c>
      <c r="U259" s="99">
        <v>0</v>
      </c>
      <c r="V259" s="99">
        <v>0</v>
      </c>
      <c r="W259" s="99">
        <v>0</v>
      </c>
      <c r="X259" s="99">
        <v>0</v>
      </c>
      <c r="Y259" s="99">
        <v>0</v>
      </c>
      <c r="Z259" s="99">
        <v>0</v>
      </c>
      <c r="AA259" s="99">
        <v>0</v>
      </c>
      <c r="AB259" s="99">
        <v>0</v>
      </c>
      <c r="AC259" s="99">
        <v>1654.6535298524896</v>
      </c>
      <c r="AD259" s="99">
        <v>0</v>
      </c>
      <c r="AE259" s="99">
        <v>0</v>
      </c>
      <c r="AF259" s="99">
        <v>0</v>
      </c>
      <c r="AG259" s="99">
        <v>0</v>
      </c>
      <c r="AH259" s="99">
        <v>719.68115401172508</v>
      </c>
      <c r="AI259" s="99">
        <v>0</v>
      </c>
      <c r="AJ259" s="99">
        <v>0</v>
      </c>
      <c r="AK259" s="99">
        <v>1601.8616410589111</v>
      </c>
      <c r="AL259" s="99">
        <v>0</v>
      </c>
      <c r="AM259" s="99">
        <v>0</v>
      </c>
      <c r="AN259" s="99">
        <v>0</v>
      </c>
      <c r="AO259" s="99">
        <v>0</v>
      </c>
      <c r="AP259" s="99">
        <v>0</v>
      </c>
      <c r="AQ259" s="99">
        <v>122627.06342985449</v>
      </c>
      <c r="AR259" s="99">
        <f t="shared" si="3"/>
        <v>126623.06112648793</v>
      </c>
    </row>
    <row r="260" spans="1:44" ht="15" x14ac:dyDescent="0.25">
      <c r="A260" s="258">
        <v>253</v>
      </c>
      <c r="B260" s="258" t="s">
        <v>333</v>
      </c>
      <c r="C260" s="258" t="s">
        <v>1588</v>
      </c>
      <c r="D260" s="859" t="s">
        <v>1595</v>
      </c>
      <c r="E260" s="99">
        <v>0</v>
      </c>
      <c r="F260" s="99">
        <v>0</v>
      </c>
      <c r="G260" s="99">
        <v>0</v>
      </c>
      <c r="H260" s="99">
        <v>0</v>
      </c>
      <c r="I260" s="99">
        <v>0</v>
      </c>
      <c r="J260" s="99">
        <v>0</v>
      </c>
      <c r="K260" s="99">
        <v>0</v>
      </c>
      <c r="L260" s="99">
        <v>0</v>
      </c>
      <c r="M260" s="99">
        <v>0</v>
      </c>
      <c r="N260" s="99">
        <v>0</v>
      </c>
      <c r="O260" s="99">
        <v>0</v>
      </c>
      <c r="P260" s="99">
        <v>0</v>
      </c>
      <c r="Q260" s="99">
        <v>0</v>
      </c>
      <c r="R260" s="99">
        <v>0</v>
      </c>
      <c r="S260" s="99">
        <v>0</v>
      </c>
      <c r="T260" s="99">
        <v>0</v>
      </c>
      <c r="U260" s="99">
        <v>0</v>
      </c>
      <c r="V260" s="99">
        <v>0</v>
      </c>
      <c r="W260" s="99">
        <v>0</v>
      </c>
      <c r="X260" s="99">
        <v>0</v>
      </c>
      <c r="Y260" s="99">
        <v>0</v>
      </c>
      <c r="Z260" s="99">
        <v>0</v>
      </c>
      <c r="AA260" s="99">
        <v>0</v>
      </c>
      <c r="AB260" s="99">
        <v>0</v>
      </c>
      <c r="AC260" s="99">
        <v>26460.8955081614</v>
      </c>
      <c r="AD260" s="99">
        <v>0</v>
      </c>
      <c r="AE260" s="99">
        <v>0</v>
      </c>
      <c r="AF260" s="99">
        <v>0</v>
      </c>
      <c r="AG260" s="99">
        <v>0</v>
      </c>
      <c r="AH260" s="99">
        <v>296.53736882392047</v>
      </c>
      <c r="AI260" s="99">
        <v>11625.172189564671</v>
      </c>
      <c r="AJ260" s="99">
        <v>0</v>
      </c>
      <c r="AK260" s="99">
        <v>0</v>
      </c>
      <c r="AL260" s="99">
        <v>0</v>
      </c>
      <c r="AM260" s="99">
        <v>0</v>
      </c>
      <c r="AN260" s="99">
        <v>0</v>
      </c>
      <c r="AO260" s="99">
        <v>0</v>
      </c>
      <c r="AP260" s="99">
        <v>0</v>
      </c>
      <c r="AQ260" s="99">
        <v>19933.43116058809</v>
      </c>
      <c r="AR260" s="99">
        <f t="shared" si="3"/>
        <v>58316.036227138087</v>
      </c>
    </row>
    <row r="261" spans="1:44" ht="15" x14ac:dyDescent="0.25">
      <c r="A261" s="258">
        <v>254</v>
      </c>
      <c r="B261" s="258" t="s">
        <v>333</v>
      </c>
      <c r="C261" s="258" t="s">
        <v>1588</v>
      </c>
      <c r="D261" s="859" t="s">
        <v>1596</v>
      </c>
      <c r="E261" s="99">
        <v>2365.2106549288974</v>
      </c>
      <c r="F261" s="99">
        <v>0</v>
      </c>
      <c r="G261" s="99">
        <v>0</v>
      </c>
      <c r="H261" s="99">
        <v>0</v>
      </c>
      <c r="I261" s="99">
        <v>0</v>
      </c>
      <c r="J261" s="99">
        <v>0</v>
      </c>
      <c r="K261" s="99">
        <v>0</v>
      </c>
      <c r="L261" s="99">
        <v>0</v>
      </c>
      <c r="M261" s="99">
        <v>0</v>
      </c>
      <c r="N261" s="99">
        <v>0</v>
      </c>
      <c r="O261" s="99">
        <v>0</v>
      </c>
      <c r="P261" s="99">
        <v>0</v>
      </c>
      <c r="Q261" s="99">
        <v>0</v>
      </c>
      <c r="R261" s="99">
        <v>0</v>
      </c>
      <c r="S261" s="99">
        <v>0</v>
      </c>
      <c r="T261" s="99">
        <v>0</v>
      </c>
      <c r="U261" s="99">
        <v>0</v>
      </c>
      <c r="V261" s="99">
        <v>0</v>
      </c>
      <c r="W261" s="99">
        <v>0</v>
      </c>
      <c r="X261" s="99">
        <v>0</v>
      </c>
      <c r="Y261" s="99">
        <v>0</v>
      </c>
      <c r="Z261" s="99">
        <v>0</v>
      </c>
      <c r="AA261" s="99">
        <v>0</v>
      </c>
      <c r="AB261" s="99">
        <v>0</v>
      </c>
      <c r="AC261" s="99">
        <v>54252.272799595637</v>
      </c>
      <c r="AD261" s="99">
        <v>0</v>
      </c>
      <c r="AE261" s="99">
        <v>0</v>
      </c>
      <c r="AF261" s="99">
        <v>0</v>
      </c>
      <c r="AG261" s="99">
        <v>0</v>
      </c>
      <c r="AH261" s="99">
        <v>522.13922777020355</v>
      </c>
      <c r="AI261" s="99">
        <v>32533.061950088697</v>
      </c>
      <c r="AJ261" s="99">
        <v>0</v>
      </c>
      <c r="AK261" s="99">
        <v>0</v>
      </c>
      <c r="AL261" s="99">
        <v>0</v>
      </c>
      <c r="AM261" s="99">
        <v>0</v>
      </c>
      <c r="AN261" s="99">
        <v>0</v>
      </c>
      <c r="AO261" s="99">
        <v>0</v>
      </c>
      <c r="AP261" s="99">
        <v>0</v>
      </c>
      <c r="AQ261" s="99">
        <v>0</v>
      </c>
      <c r="AR261" s="99">
        <f t="shared" si="3"/>
        <v>89672.684632383432</v>
      </c>
    </row>
    <row r="262" spans="1:44" ht="15" x14ac:dyDescent="0.25">
      <c r="A262" s="258">
        <v>255</v>
      </c>
      <c r="B262" s="258" t="s">
        <v>333</v>
      </c>
      <c r="C262" s="258" t="s">
        <v>1588</v>
      </c>
      <c r="D262" s="859" t="s">
        <v>1597</v>
      </c>
      <c r="E262" s="99">
        <v>2892.8961457195001</v>
      </c>
      <c r="F262" s="99">
        <v>0</v>
      </c>
      <c r="G262" s="99">
        <v>0</v>
      </c>
      <c r="H262" s="99">
        <v>0</v>
      </c>
      <c r="I262" s="99">
        <v>0</v>
      </c>
      <c r="J262" s="99">
        <v>0</v>
      </c>
      <c r="K262" s="99">
        <v>0</v>
      </c>
      <c r="L262" s="99">
        <v>0</v>
      </c>
      <c r="M262" s="99">
        <v>0</v>
      </c>
      <c r="N262" s="99">
        <v>0</v>
      </c>
      <c r="O262" s="99">
        <v>0</v>
      </c>
      <c r="P262" s="99">
        <v>0</v>
      </c>
      <c r="Q262" s="99">
        <v>0</v>
      </c>
      <c r="R262" s="99">
        <v>0</v>
      </c>
      <c r="S262" s="99">
        <v>0</v>
      </c>
      <c r="T262" s="99">
        <v>0</v>
      </c>
      <c r="U262" s="99">
        <v>0</v>
      </c>
      <c r="V262" s="99">
        <v>0</v>
      </c>
      <c r="W262" s="99">
        <v>0</v>
      </c>
      <c r="X262" s="99">
        <v>0</v>
      </c>
      <c r="Y262" s="99">
        <v>0</v>
      </c>
      <c r="Z262" s="99">
        <v>0</v>
      </c>
      <c r="AA262" s="99">
        <v>0</v>
      </c>
      <c r="AB262" s="99">
        <v>0</v>
      </c>
      <c r="AC262" s="99">
        <v>10003.259898439559</v>
      </c>
      <c r="AD262" s="99">
        <v>0</v>
      </c>
      <c r="AE262" s="99">
        <v>0</v>
      </c>
      <c r="AF262" s="99">
        <v>0</v>
      </c>
      <c r="AG262" s="99">
        <v>0</v>
      </c>
      <c r="AH262" s="99">
        <v>4780.7390945064608</v>
      </c>
      <c r="AI262" s="99">
        <v>1173.5884783724093</v>
      </c>
      <c r="AJ262" s="99">
        <v>0</v>
      </c>
      <c r="AK262" s="99">
        <v>0</v>
      </c>
      <c r="AL262" s="99">
        <v>0</v>
      </c>
      <c r="AM262" s="99">
        <v>0</v>
      </c>
      <c r="AN262" s="99">
        <v>0</v>
      </c>
      <c r="AO262" s="99">
        <v>0</v>
      </c>
      <c r="AP262" s="99">
        <v>0</v>
      </c>
      <c r="AQ262" s="99">
        <v>4989.2094021764487</v>
      </c>
      <c r="AR262" s="99">
        <f t="shared" si="3"/>
        <v>23839.693019214381</v>
      </c>
    </row>
    <row r="263" spans="1:44" ht="15" x14ac:dyDescent="0.25">
      <c r="A263" s="258">
        <v>256</v>
      </c>
      <c r="B263" s="258" t="s">
        <v>333</v>
      </c>
      <c r="C263" s="258" t="s">
        <v>1588</v>
      </c>
      <c r="D263" s="859" t="s">
        <v>1598</v>
      </c>
      <c r="E263" s="99">
        <v>0</v>
      </c>
      <c r="F263" s="99">
        <v>0</v>
      </c>
      <c r="G263" s="99">
        <v>0</v>
      </c>
      <c r="H263" s="99">
        <v>0</v>
      </c>
      <c r="I263" s="99">
        <v>0</v>
      </c>
      <c r="J263" s="99">
        <v>0</v>
      </c>
      <c r="K263" s="99">
        <v>0</v>
      </c>
      <c r="L263" s="99">
        <v>0</v>
      </c>
      <c r="M263" s="99">
        <v>0</v>
      </c>
      <c r="N263" s="99">
        <v>0</v>
      </c>
      <c r="O263" s="99">
        <v>0</v>
      </c>
      <c r="P263" s="99">
        <v>0</v>
      </c>
      <c r="Q263" s="99">
        <v>0</v>
      </c>
      <c r="R263" s="99">
        <v>0</v>
      </c>
      <c r="S263" s="99">
        <v>0</v>
      </c>
      <c r="T263" s="99">
        <v>0</v>
      </c>
      <c r="U263" s="99">
        <v>0</v>
      </c>
      <c r="V263" s="99">
        <v>0</v>
      </c>
      <c r="W263" s="99">
        <v>0</v>
      </c>
      <c r="X263" s="99">
        <v>0</v>
      </c>
      <c r="Y263" s="99">
        <v>0</v>
      </c>
      <c r="Z263" s="99">
        <v>0</v>
      </c>
      <c r="AA263" s="99">
        <v>0</v>
      </c>
      <c r="AB263" s="99">
        <v>0</v>
      </c>
      <c r="AC263" s="99">
        <v>3063.2723277391415</v>
      </c>
      <c r="AD263" s="99">
        <v>0</v>
      </c>
      <c r="AE263" s="99">
        <v>0</v>
      </c>
      <c r="AF263" s="99">
        <v>0</v>
      </c>
      <c r="AG263" s="99">
        <v>0</v>
      </c>
      <c r="AH263" s="99">
        <v>130.87152613500803</v>
      </c>
      <c r="AI263" s="99">
        <v>17813.184166437375</v>
      </c>
      <c r="AJ263" s="99">
        <v>0</v>
      </c>
      <c r="AK263" s="99">
        <v>0</v>
      </c>
      <c r="AL263" s="99">
        <v>0</v>
      </c>
      <c r="AM263" s="99">
        <v>0</v>
      </c>
      <c r="AN263" s="99">
        <v>0</v>
      </c>
      <c r="AO263" s="99">
        <v>0</v>
      </c>
      <c r="AP263" s="99">
        <v>0</v>
      </c>
      <c r="AQ263" s="99">
        <v>0</v>
      </c>
      <c r="AR263" s="99">
        <f t="shared" si="3"/>
        <v>21007.328020311525</v>
      </c>
    </row>
    <row r="264" spans="1:44" ht="15" x14ac:dyDescent="0.25">
      <c r="A264" s="258">
        <v>257</v>
      </c>
      <c r="B264" s="258" t="s">
        <v>333</v>
      </c>
      <c r="C264" s="258" t="s">
        <v>1588</v>
      </c>
      <c r="D264" s="859" t="s">
        <v>1599</v>
      </c>
      <c r="E264" s="99">
        <v>947.72735451773326</v>
      </c>
      <c r="F264" s="99">
        <v>0</v>
      </c>
      <c r="G264" s="99">
        <v>0</v>
      </c>
      <c r="H264" s="99">
        <v>0</v>
      </c>
      <c r="I264" s="99">
        <v>0</v>
      </c>
      <c r="J264" s="99">
        <v>0</v>
      </c>
      <c r="K264" s="99">
        <v>0</v>
      </c>
      <c r="L264" s="99">
        <v>0</v>
      </c>
      <c r="M264" s="99">
        <v>0</v>
      </c>
      <c r="N264" s="99">
        <v>0</v>
      </c>
      <c r="O264" s="99">
        <v>0</v>
      </c>
      <c r="P264" s="99">
        <v>0</v>
      </c>
      <c r="Q264" s="99">
        <v>0</v>
      </c>
      <c r="R264" s="99">
        <v>0</v>
      </c>
      <c r="S264" s="99">
        <v>0</v>
      </c>
      <c r="T264" s="99">
        <v>0</v>
      </c>
      <c r="U264" s="99">
        <v>0</v>
      </c>
      <c r="V264" s="99">
        <v>0</v>
      </c>
      <c r="W264" s="99">
        <v>0</v>
      </c>
      <c r="X264" s="99">
        <v>0</v>
      </c>
      <c r="Y264" s="99">
        <v>0</v>
      </c>
      <c r="Z264" s="99">
        <v>0</v>
      </c>
      <c r="AA264" s="99">
        <v>0</v>
      </c>
      <c r="AB264" s="99">
        <v>0</v>
      </c>
      <c r="AC264" s="99">
        <v>93.204758478746982</v>
      </c>
      <c r="AD264" s="99">
        <v>0</v>
      </c>
      <c r="AE264" s="99">
        <v>0</v>
      </c>
      <c r="AF264" s="99">
        <v>0</v>
      </c>
      <c r="AG264" s="99">
        <v>0</v>
      </c>
      <c r="AH264" s="99">
        <v>59.038098410818378</v>
      </c>
      <c r="AI264" s="99">
        <v>19396.916457296116</v>
      </c>
      <c r="AJ264" s="99">
        <v>0</v>
      </c>
      <c r="AK264" s="99">
        <v>12.94832673276829</v>
      </c>
      <c r="AL264" s="99">
        <v>0</v>
      </c>
      <c r="AM264" s="99">
        <v>0</v>
      </c>
      <c r="AN264" s="99">
        <v>0</v>
      </c>
      <c r="AO264" s="99">
        <v>0</v>
      </c>
      <c r="AP264" s="99">
        <v>0</v>
      </c>
      <c r="AQ264" s="99">
        <v>0</v>
      </c>
      <c r="AR264" s="99">
        <f t="shared" si="3"/>
        <v>20509.83499543618</v>
      </c>
    </row>
    <row r="265" spans="1:44" ht="15" x14ac:dyDescent="0.25">
      <c r="A265" s="258">
        <v>258</v>
      </c>
      <c r="B265" s="258" t="s">
        <v>293</v>
      </c>
      <c r="C265" s="258" t="s">
        <v>1600</v>
      </c>
      <c r="D265" s="859" t="s">
        <v>1601</v>
      </c>
      <c r="E265" s="99">
        <v>18.958760148165368</v>
      </c>
      <c r="F265" s="99">
        <v>0</v>
      </c>
      <c r="G265" s="99">
        <v>0</v>
      </c>
      <c r="H265" s="99">
        <v>2.0525162746523038</v>
      </c>
      <c r="I265" s="99">
        <v>0</v>
      </c>
      <c r="J265" s="99">
        <v>0</v>
      </c>
      <c r="K265" s="99">
        <v>0</v>
      </c>
      <c r="L265" s="99">
        <v>0</v>
      </c>
      <c r="M265" s="99">
        <v>0</v>
      </c>
      <c r="N265" s="99">
        <v>0</v>
      </c>
      <c r="O265" s="99">
        <v>0</v>
      </c>
      <c r="P265" s="99">
        <v>0</v>
      </c>
      <c r="Q265" s="99">
        <v>0</v>
      </c>
      <c r="R265" s="99">
        <v>0</v>
      </c>
      <c r="S265" s="99">
        <v>0</v>
      </c>
      <c r="T265" s="99">
        <v>0</v>
      </c>
      <c r="U265" s="99">
        <v>0</v>
      </c>
      <c r="V265" s="99">
        <v>0</v>
      </c>
      <c r="W265" s="99">
        <v>0</v>
      </c>
      <c r="X265" s="99">
        <v>0</v>
      </c>
      <c r="Y265" s="99">
        <v>0</v>
      </c>
      <c r="Z265" s="99">
        <v>0</v>
      </c>
      <c r="AA265" s="99">
        <v>0</v>
      </c>
      <c r="AB265" s="99">
        <v>0</v>
      </c>
      <c r="AC265" s="99">
        <v>0</v>
      </c>
      <c r="AD265" s="99">
        <v>0</v>
      </c>
      <c r="AE265" s="99">
        <v>0</v>
      </c>
      <c r="AF265" s="99">
        <v>0</v>
      </c>
      <c r="AG265" s="99">
        <v>0</v>
      </c>
      <c r="AH265" s="99">
        <v>0</v>
      </c>
      <c r="AI265" s="99">
        <v>0</v>
      </c>
      <c r="AJ265" s="99">
        <v>0</v>
      </c>
      <c r="AK265" s="99">
        <v>0</v>
      </c>
      <c r="AL265" s="99">
        <v>0</v>
      </c>
      <c r="AM265" s="99">
        <v>0</v>
      </c>
      <c r="AN265" s="99">
        <v>0</v>
      </c>
      <c r="AO265" s="99">
        <v>0</v>
      </c>
      <c r="AP265" s="99">
        <v>0</v>
      </c>
      <c r="AQ265" s="99">
        <v>0</v>
      </c>
      <c r="AR265" s="99">
        <f t="shared" ref="AR265:AR328" si="4">SUM(E265:AQ265)</f>
        <v>21.011276422817673</v>
      </c>
    </row>
    <row r="266" spans="1:44" ht="15" x14ac:dyDescent="0.25">
      <c r="A266" s="258">
        <v>259</v>
      </c>
      <c r="B266" s="258" t="s">
        <v>293</v>
      </c>
      <c r="C266" s="258" t="s">
        <v>1600</v>
      </c>
      <c r="D266" s="859" t="s">
        <v>1602</v>
      </c>
      <c r="E266" s="99">
        <v>2.7384875769572203</v>
      </c>
      <c r="F266" s="99">
        <v>0</v>
      </c>
      <c r="G266" s="99">
        <v>0</v>
      </c>
      <c r="H266" s="99">
        <v>353.66434270932007</v>
      </c>
      <c r="I266" s="99">
        <v>0</v>
      </c>
      <c r="J266" s="99">
        <v>0</v>
      </c>
      <c r="K266" s="99">
        <v>0</v>
      </c>
      <c r="L266" s="99">
        <v>0</v>
      </c>
      <c r="M266" s="99">
        <v>0</v>
      </c>
      <c r="N266" s="99">
        <v>0</v>
      </c>
      <c r="O266" s="99">
        <v>0</v>
      </c>
      <c r="P266" s="99">
        <v>0</v>
      </c>
      <c r="Q266" s="99">
        <v>0</v>
      </c>
      <c r="R266" s="99">
        <v>0</v>
      </c>
      <c r="S266" s="99">
        <v>0</v>
      </c>
      <c r="T266" s="99">
        <v>0</v>
      </c>
      <c r="U266" s="99">
        <v>0</v>
      </c>
      <c r="V266" s="99">
        <v>0</v>
      </c>
      <c r="W266" s="99">
        <v>0</v>
      </c>
      <c r="X266" s="99">
        <v>0</v>
      </c>
      <c r="Y266" s="99">
        <v>0</v>
      </c>
      <c r="Z266" s="99">
        <v>0</v>
      </c>
      <c r="AA266" s="99">
        <v>0</v>
      </c>
      <c r="AB266" s="99">
        <v>0</v>
      </c>
      <c r="AC266" s="99">
        <v>0</v>
      </c>
      <c r="AD266" s="99">
        <v>0</v>
      </c>
      <c r="AE266" s="99">
        <v>0</v>
      </c>
      <c r="AF266" s="99">
        <v>0</v>
      </c>
      <c r="AG266" s="99">
        <v>0</v>
      </c>
      <c r="AH266" s="99">
        <v>0</v>
      </c>
      <c r="AI266" s="99">
        <v>0</v>
      </c>
      <c r="AJ266" s="99">
        <v>0</v>
      </c>
      <c r="AK266" s="99">
        <v>0</v>
      </c>
      <c r="AL266" s="99">
        <v>0</v>
      </c>
      <c r="AM266" s="99">
        <v>0</v>
      </c>
      <c r="AN266" s="99">
        <v>0</v>
      </c>
      <c r="AO266" s="99">
        <v>0</v>
      </c>
      <c r="AP266" s="99">
        <v>0</v>
      </c>
      <c r="AQ266" s="99">
        <v>0</v>
      </c>
      <c r="AR266" s="99">
        <f t="shared" si="4"/>
        <v>356.40283028627726</v>
      </c>
    </row>
    <row r="267" spans="1:44" ht="15" x14ac:dyDescent="0.25">
      <c r="A267" s="258">
        <v>260</v>
      </c>
      <c r="B267" s="258" t="s">
        <v>293</v>
      </c>
      <c r="C267" s="258" t="s">
        <v>1600</v>
      </c>
      <c r="D267" s="859" t="s">
        <v>1603</v>
      </c>
      <c r="E267" s="99">
        <v>3062.6823754908478</v>
      </c>
      <c r="F267" s="99">
        <v>0</v>
      </c>
      <c r="G267" s="99">
        <v>0</v>
      </c>
      <c r="H267" s="99">
        <v>1254.4032155471195</v>
      </c>
      <c r="I267" s="99">
        <v>0</v>
      </c>
      <c r="J267" s="99">
        <v>0</v>
      </c>
      <c r="K267" s="99">
        <v>0</v>
      </c>
      <c r="L267" s="99">
        <v>0</v>
      </c>
      <c r="M267" s="99">
        <v>0</v>
      </c>
      <c r="N267" s="99">
        <v>0</v>
      </c>
      <c r="O267" s="99">
        <v>0</v>
      </c>
      <c r="P267" s="99">
        <v>0</v>
      </c>
      <c r="Q267" s="99">
        <v>0</v>
      </c>
      <c r="R267" s="99">
        <v>0</v>
      </c>
      <c r="S267" s="99">
        <v>0</v>
      </c>
      <c r="T267" s="99">
        <v>0</v>
      </c>
      <c r="U267" s="99">
        <v>0</v>
      </c>
      <c r="V267" s="99">
        <v>0</v>
      </c>
      <c r="W267" s="99">
        <v>0</v>
      </c>
      <c r="X267" s="99">
        <v>0</v>
      </c>
      <c r="Y267" s="99">
        <v>0</v>
      </c>
      <c r="Z267" s="99">
        <v>0</v>
      </c>
      <c r="AA267" s="99">
        <v>0</v>
      </c>
      <c r="AB267" s="99">
        <v>0</v>
      </c>
      <c r="AC267" s="99">
        <v>0</v>
      </c>
      <c r="AD267" s="99">
        <v>0</v>
      </c>
      <c r="AE267" s="99">
        <v>0</v>
      </c>
      <c r="AF267" s="99">
        <v>0</v>
      </c>
      <c r="AG267" s="99">
        <v>0</v>
      </c>
      <c r="AH267" s="99">
        <v>0</v>
      </c>
      <c r="AI267" s="99">
        <v>0</v>
      </c>
      <c r="AJ267" s="99">
        <v>0</v>
      </c>
      <c r="AK267" s="99">
        <v>0</v>
      </c>
      <c r="AL267" s="99">
        <v>0</v>
      </c>
      <c r="AM267" s="99">
        <v>0</v>
      </c>
      <c r="AN267" s="99">
        <v>0</v>
      </c>
      <c r="AO267" s="99">
        <v>0</v>
      </c>
      <c r="AP267" s="99">
        <v>0</v>
      </c>
      <c r="AQ267" s="99">
        <v>0</v>
      </c>
      <c r="AR267" s="99">
        <f t="shared" si="4"/>
        <v>4317.0855910379669</v>
      </c>
    </row>
    <row r="268" spans="1:44" ht="15" x14ac:dyDescent="0.25">
      <c r="A268" s="258">
        <v>261</v>
      </c>
      <c r="B268" s="258" t="s">
        <v>293</v>
      </c>
      <c r="C268" s="258" t="s">
        <v>1600</v>
      </c>
      <c r="D268" s="859" t="s">
        <v>1604</v>
      </c>
      <c r="E268" s="99">
        <v>3122.2971435123009</v>
      </c>
      <c r="F268" s="99">
        <v>0</v>
      </c>
      <c r="G268" s="99">
        <v>0</v>
      </c>
      <c r="H268" s="99">
        <v>3136.8764111378441</v>
      </c>
      <c r="I268" s="99">
        <v>0</v>
      </c>
      <c r="J268" s="99">
        <v>0</v>
      </c>
      <c r="K268" s="99">
        <v>0</v>
      </c>
      <c r="L268" s="99">
        <v>0</v>
      </c>
      <c r="M268" s="99">
        <v>0</v>
      </c>
      <c r="N268" s="99">
        <v>0</v>
      </c>
      <c r="O268" s="99">
        <v>0</v>
      </c>
      <c r="P268" s="99">
        <v>0</v>
      </c>
      <c r="Q268" s="99">
        <v>0</v>
      </c>
      <c r="R268" s="99">
        <v>0</v>
      </c>
      <c r="S268" s="99">
        <v>0</v>
      </c>
      <c r="T268" s="99">
        <v>0</v>
      </c>
      <c r="U268" s="99">
        <v>0</v>
      </c>
      <c r="V268" s="99">
        <v>0</v>
      </c>
      <c r="W268" s="99">
        <v>0</v>
      </c>
      <c r="X268" s="99">
        <v>0</v>
      </c>
      <c r="Y268" s="99">
        <v>0</v>
      </c>
      <c r="Z268" s="99">
        <v>0</v>
      </c>
      <c r="AA268" s="99">
        <v>0</v>
      </c>
      <c r="AB268" s="99">
        <v>0</v>
      </c>
      <c r="AC268" s="99">
        <v>0</v>
      </c>
      <c r="AD268" s="99">
        <v>0</v>
      </c>
      <c r="AE268" s="99">
        <v>0</v>
      </c>
      <c r="AF268" s="99">
        <v>0</v>
      </c>
      <c r="AG268" s="99">
        <v>0</v>
      </c>
      <c r="AH268" s="99">
        <v>0</v>
      </c>
      <c r="AI268" s="99">
        <v>0</v>
      </c>
      <c r="AJ268" s="99">
        <v>0</v>
      </c>
      <c r="AK268" s="99">
        <v>0</v>
      </c>
      <c r="AL268" s="99">
        <v>0</v>
      </c>
      <c r="AM268" s="99">
        <v>0</v>
      </c>
      <c r="AN268" s="99">
        <v>0</v>
      </c>
      <c r="AO268" s="99">
        <v>0</v>
      </c>
      <c r="AP268" s="99">
        <v>0</v>
      </c>
      <c r="AQ268" s="99">
        <v>0</v>
      </c>
      <c r="AR268" s="99">
        <f t="shared" si="4"/>
        <v>6259.173554650145</v>
      </c>
    </row>
    <row r="269" spans="1:44" ht="15" x14ac:dyDescent="0.25">
      <c r="A269" s="258">
        <v>262</v>
      </c>
      <c r="B269" s="258" t="s">
        <v>293</v>
      </c>
      <c r="C269" s="258" t="s">
        <v>1600</v>
      </c>
      <c r="D269" s="859" t="s">
        <v>1605</v>
      </c>
      <c r="E269" s="99">
        <v>2323.0800768218633</v>
      </c>
      <c r="F269" s="99">
        <v>0</v>
      </c>
      <c r="G269" s="99">
        <v>0</v>
      </c>
      <c r="H269" s="99">
        <v>2520.3320994057485</v>
      </c>
      <c r="I269" s="99">
        <v>0</v>
      </c>
      <c r="J269" s="99">
        <v>0</v>
      </c>
      <c r="K269" s="99">
        <v>0</v>
      </c>
      <c r="L269" s="99">
        <v>0</v>
      </c>
      <c r="M269" s="99">
        <v>0</v>
      </c>
      <c r="N269" s="99">
        <v>0</v>
      </c>
      <c r="O269" s="99">
        <v>0</v>
      </c>
      <c r="P269" s="99">
        <v>0</v>
      </c>
      <c r="Q269" s="99">
        <v>0</v>
      </c>
      <c r="R269" s="99">
        <v>0</v>
      </c>
      <c r="S269" s="99">
        <v>0</v>
      </c>
      <c r="T269" s="99">
        <v>0</v>
      </c>
      <c r="U269" s="99">
        <v>0</v>
      </c>
      <c r="V269" s="99">
        <v>0</v>
      </c>
      <c r="W269" s="99">
        <v>0</v>
      </c>
      <c r="X269" s="99">
        <v>0</v>
      </c>
      <c r="Y269" s="99">
        <v>0</v>
      </c>
      <c r="Z269" s="99">
        <v>0</v>
      </c>
      <c r="AA269" s="99">
        <v>0</v>
      </c>
      <c r="AB269" s="99">
        <v>0</v>
      </c>
      <c r="AC269" s="99">
        <v>0</v>
      </c>
      <c r="AD269" s="99">
        <v>0</v>
      </c>
      <c r="AE269" s="99">
        <v>0</v>
      </c>
      <c r="AF269" s="99">
        <v>0</v>
      </c>
      <c r="AG269" s="99">
        <v>0</v>
      </c>
      <c r="AH269" s="99">
        <v>0</v>
      </c>
      <c r="AI269" s="99">
        <v>0</v>
      </c>
      <c r="AJ269" s="99">
        <v>0</v>
      </c>
      <c r="AK269" s="99">
        <v>0</v>
      </c>
      <c r="AL269" s="99">
        <v>0</v>
      </c>
      <c r="AM269" s="99">
        <v>0</v>
      </c>
      <c r="AN269" s="99">
        <v>0</v>
      </c>
      <c r="AO269" s="99">
        <v>0</v>
      </c>
      <c r="AP269" s="99">
        <v>0</v>
      </c>
      <c r="AQ269" s="99">
        <v>0</v>
      </c>
      <c r="AR269" s="99">
        <f t="shared" si="4"/>
        <v>4843.4121762276118</v>
      </c>
    </row>
    <row r="270" spans="1:44" ht="15" x14ac:dyDescent="0.25">
      <c r="A270" s="258">
        <v>263</v>
      </c>
      <c r="B270" s="258" t="s">
        <v>293</v>
      </c>
      <c r="C270" s="258" t="s">
        <v>1600</v>
      </c>
      <c r="D270" s="859" t="s">
        <v>1606</v>
      </c>
      <c r="E270" s="99">
        <v>19.16941303870054</v>
      </c>
      <c r="F270" s="99">
        <v>0</v>
      </c>
      <c r="G270" s="99">
        <v>0</v>
      </c>
      <c r="H270" s="99">
        <v>9.3152661695758425</v>
      </c>
      <c r="I270" s="99">
        <v>0</v>
      </c>
      <c r="J270" s="99">
        <v>0</v>
      </c>
      <c r="K270" s="99">
        <v>0</v>
      </c>
      <c r="L270" s="99">
        <v>0</v>
      </c>
      <c r="M270" s="99">
        <v>0</v>
      </c>
      <c r="N270" s="99">
        <v>0</v>
      </c>
      <c r="O270" s="99">
        <v>0</v>
      </c>
      <c r="P270" s="99">
        <v>0</v>
      </c>
      <c r="Q270" s="99">
        <v>0</v>
      </c>
      <c r="R270" s="99">
        <v>0</v>
      </c>
      <c r="S270" s="99">
        <v>0</v>
      </c>
      <c r="T270" s="99">
        <v>0</v>
      </c>
      <c r="U270" s="99">
        <v>0</v>
      </c>
      <c r="V270" s="99">
        <v>0</v>
      </c>
      <c r="W270" s="99">
        <v>0</v>
      </c>
      <c r="X270" s="99">
        <v>0</v>
      </c>
      <c r="Y270" s="99">
        <v>0</v>
      </c>
      <c r="Z270" s="99">
        <v>0</v>
      </c>
      <c r="AA270" s="99">
        <v>0</v>
      </c>
      <c r="AB270" s="99">
        <v>0</v>
      </c>
      <c r="AC270" s="99">
        <v>0</v>
      </c>
      <c r="AD270" s="99">
        <v>0</v>
      </c>
      <c r="AE270" s="99">
        <v>0</v>
      </c>
      <c r="AF270" s="99">
        <v>0</v>
      </c>
      <c r="AG270" s="99">
        <v>0</v>
      </c>
      <c r="AH270" s="99">
        <v>0</v>
      </c>
      <c r="AI270" s="99">
        <v>0</v>
      </c>
      <c r="AJ270" s="99">
        <v>0</v>
      </c>
      <c r="AK270" s="99">
        <v>0</v>
      </c>
      <c r="AL270" s="99">
        <v>0</v>
      </c>
      <c r="AM270" s="99">
        <v>0</v>
      </c>
      <c r="AN270" s="99">
        <v>0</v>
      </c>
      <c r="AO270" s="99">
        <v>0</v>
      </c>
      <c r="AP270" s="99">
        <v>0</v>
      </c>
      <c r="AQ270" s="99">
        <v>0</v>
      </c>
      <c r="AR270" s="99">
        <f t="shared" si="4"/>
        <v>28.484679208276383</v>
      </c>
    </row>
    <row r="271" spans="1:44" ht="15" x14ac:dyDescent="0.25">
      <c r="A271" s="258">
        <v>264</v>
      </c>
      <c r="B271" s="258" t="s">
        <v>342</v>
      </c>
      <c r="C271" s="258" t="s">
        <v>1607</v>
      </c>
      <c r="D271" s="859" t="s">
        <v>1608</v>
      </c>
      <c r="E271" s="99">
        <v>526.84287922846215</v>
      </c>
      <c r="F271" s="99">
        <v>0</v>
      </c>
      <c r="G271" s="99">
        <v>0</v>
      </c>
      <c r="H271" s="99">
        <v>659.01561003067047</v>
      </c>
      <c r="I271" s="99">
        <v>0</v>
      </c>
      <c r="J271" s="99">
        <v>0</v>
      </c>
      <c r="K271" s="99">
        <v>8235.9910006726113</v>
      </c>
      <c r="L271" s="99">
        <v>0</v>
      </c>
      <c r="M271" s="99">
        <v>0</v>
      </c>
      <c r="N271" s="99">
        <v>0</v>
      </c>
      <c r="O271" s="99">
        <v>0</v>
      </c>
      <c r="P271" s="99">
        <v>0</v>
      </c>
      <c r="Q271" s="99">
        <v>0</v>
      </c>
      <c r="R271" s="99">
        <v>0</v>
      </c>
      <c r="S271" s="99">
        <v>0</v>
      </c>
      <c r="T271" s="99">
        <v>0</v>
      </c>
      <c r="U271" s="99">
        <v>0</v>
      </c>
      <c r="V271" s="99">
        <v>618.83885758902215</v>
      </c>
      <c r="W271" s="99">
        <v>0</v>
      </c>
      <c r="X271" s="99">
        <v>0</v>
      </c>
      <c r="Y271" s="99">
        <v>0</v>
      </c>
      <c r="Z271" s="99">
        <v>0</v>
      </c>
      <c r="AA271" s="99">
        <v>0</v>
      </c>
      <c r="AB271" s="99">
        <v>0</v>
      </c>
      <c r="AC271" s="99">
        <v>0</v>
      </c>
      <c r="AD271" s="99">
        <v>0</v>
      </c>
      <c r="AE271" s="99">
        <v>0</v>
      </c>
      <c r="AF271" s="99">
        <v>3882.9257311804959</v>
      </c>
      <c r="AG271" s="99">
        <v>0</v>
      </c>
      <c r="AH271" s="99">
        <v>0</v>
      </c>
      <c r="AI271" s="99">
        <v>0</v>
      </c>
      <c r="AJ271" s="99">
        <v>0</v>
      </c>
      <c r="AK271" s="99">
        <v>0</v>
      </c>
      <c r="AL271" s="99">
        <v>0</v>
      </c>
      <c r="AM271" s="99">
        <v>0</v>
      </c>
      <c r="AN271" s="99">
        <v>0</v>
      </c>
      <c r="AO271" s="99">
        <v>0</v>
      </c>
      <c r="AP271" s="99">
        <v>0</v>
      </c>
      <c r="AQ271" s="99">
        <v>0</v>
      </c>
      <c r="AR271" s="99">
        <f t="shared" si="4"/>
        <v>13923.614078701263</v>
      </c>
    </row>
    <row r="272" spans="1:44" ht="15" x14ac:dyDescent="0.25">
      <c r="A272" s="258">
        <v>265</v>
      </c>
      <c r="B272" s="258" t="s">
        <v>342</v>
      </c>
      <c r="C272" s="258" t="s">
        <v>1607</v>
      </c>
      <c r="D272" s="859" t="s">
        <v>1609</v>
      </c>
      <c r="E272" s="99">
        <v>1254.8592689180123</v>
      </c>
      <c r="F272" s="99">
        <v>0</v>
      </c>
      <c r="G272" s="99">
        <v>0</v>
      </c>
      <c r="H272" s="99">
        <v>0</v>
      </c>
      <c r="I272" s="99">
        <v>0</v>
      </c>
      <c r="J272" s="99">
        <v>0</v>
      </c>
      <c r="K272" s="99">
        <v>154.9791173167028</v>
      </c>
      <c r="L272" s="99">
        <v>0</v>
      </c>
      <c r="M272" s="99">
        <v>0</v>
      </c>
      <c r="N272" s="99">
        <v>0</v>
      </c>
      <c r="O272" s="99">
        <v>0</v>
      </c>
      <c r="P272" s="99">
        <v>281.6805523720638</v>
      </c>
      <c r="Q272" s="99">
        <v>0</v>
      </c>
      <c r="R272" s="99">
        <v>0</v>
      </c>
      <c r="S272" s="99">
        <v>0</v>
      </c>
      <c r="T272" s="99">
        <v>0</v>
      </c>
      <c r="U272" s="99">
        <v>0</v>
      </c>
      <c r="V272" s="99">
        <v>0</v>
      </c>
      <c r="W272" s="99">
        <v>0</v>
      </c>
      <c r="X272" s="99">
        <v>0</v>
      </c>
      <c r="Y272" s="99">
        <v>0</v>
      </c>
      <c r="Z272" s="99">
        <v>0</v>
      </c>
      <c r="AA272" s="99">
        <v>0</v>
      </c>
      <c r="AB272" s="99">
        <v>0</v>
      </c>
      <c r="AC272" s="99">
        <v>0</v>
      </c>
      <c r="AD272" s="99">
        <v>0</v>
      </c>
      <c r="AE272" s="99">
        <v>0</v>
      </c>
      <c r="AF272" s="99">
        <v>5735.4838275896163</v>
      </c>
      <c r="AG272" s="99">
        <v>0</v>
      </c>
      <c r="AH272" s="99">
        <v>0</v>
      </c>
      <c r="AI272" s="99">
        <v>0</v>
      </c>
      <c r="AJ272" s="99">
        <v>0</v>
      </c>
      <c r="AK272" s="99">
        <v>0</v>
      </c>
      <c r="AL272" s="99">
        <v>0</v>
      </c>
      <c r="AM272" s="99">
        <v>0</v>
      </c>
      <c r="AN272" s="99">
        <v>0</v>
      </c>
      <c r="AO272" s="99">
        <v>0</v>
      </c>
      <c r="AP272" s="99">
        <v>0</v>
      </c>
      <c r="AQ272" s="99">
        <v>0</v>
      </c>
      <c r="AR272" s="99">
        <f t="shared" si="4"/>
        <v>7427.002766196395</v>
      </c>
    </row>
    <row r="273" spans="1:44" ht="15" x14ac:dyDescent="0.25">
      <c r="A273" s="258">
        <v>266</v>
      </c>
      <c r="B273" s="258" t="s">
        <v>342</v>
      </c>
      <c r="C273" s="258" t="s">
        <v>1607</v>
      </c>
      <c r="D273" s="859" t="s">
        <v>1610</v>
      </c>
      <c r="E273" s="99">
        <v>759.4036703792907</v>
      </c>
      <c r="F273" s="99">
        <v>0</v>
      </c>
      <c r="G273" s="99">
        <v>0</v>
      </c>
      <c r="H273" s="99">
        <v>839.79492806735425</v>
      </c>
      <c r="I273" s="99">
        <v>0</v>
      </c>
      <c r="J273" s="99">
        <v>0</v>
      </c>
      <c r="K273" s="99">
        <v>0</v>
      </c>
      <c r="L273" s="99">
        <v>0</v>
      </c>
      <c r="M273" s="99">
        <v>0</v>
      </c>
      <c r="N273" s="99">
        <v>0</v>
      </c>
      <c r="O273" s="99">
        <v>0</v>
      </c>
      <c r="P273" s="99">
        <v>111.53411770691818</v>
      </c>
      <c r="Q273" s="99">
        <v>0</v>
      </c>
      <c r="R273" s="99">
        <v>0</v>
      </c>
      <c r="S273" s="99">
        <v>0</v>
      </c>
      <c r="T273" s="99">
        <v>0</v>
      </c>
      <c r="U273" s="99">
        <v>0</v>
      </c>
      <c r="V273" s="99">
        <v>0</v>
      </c>
      <c r="W273" s="99">
        <v>0</v>
      </c>
      <c r="X273" s="99">
        <v>0</v>
      </c>
      <c r="Y273" s="99">
        <v>0</v>
      </c>
      <c r="Z273" s="99">
        <v>0</v>
      </c>
      <c r="AA273" s="99">
        <v>0</v>
      </c>
      <c r="AB273" s="99">
        <v>0</v>
      </c>
      <c r="AC273" s="99">
        <v>0</v>
      </c>
      <c r="AD273" s="99">
        <v>0</v>
      </c>
      <c r="AE273" s="99">
        <v>0</v>
      </c>
      <c r="AF273" s="99">
        <v>2630.3092068312017</v>
      </c>
      <c r="AG273" s="99">
        <v>0</v>
      </c>
      <c r="AH273" s="99">
        <v>0</v>
      </c>
      <c r="AI273" s="99">
        <v>0</v>
      </c>
      <c r="AJ273" s="99">
        <v>0</v>
      </c>
      <c r="AK273" s="99">
        <v>0</v>
      </c>
      <c r="AL273" s="99">
        <v>0</v>
      </c>
      <c r="AM273" s="99">
        <v>0</v>
      </c>
      <c r="AN273" s="99">
        <v>0</v>
      </c>
      <c r="AO273" s="99">
        <v>0</v>
      </c>
      <c r="AP273" s="99">
        <v>0</v>
      </c>
      <c r="AQ273" s="99">
        <v>0</v>
      </c>
      <c r="AR273" s="99">
        <f t="shared" si="4"/>
        <v>4341.0419229847648</v>
      </c>
    </row>
    <row r="274" spans="1:44" ht="15" x14ac:dyDescent="0.25">
      <c r="A274" s="258">
        <v>267</v>
      </c>
      <c r="B274" s="258" t="s">
        <v>342</v>
      </c>
      <c r="C274" s="258" t="s">
        <v>1607</v>
      </c>
      <c r="D274" s="859" t="s">
        <v>1611</v>
      </c>
      <c r="E274" s="99">
        <v>361.90166593942342</v>
      </c>
      <c r="F274" s="99">
        <v>0</v>
      </c>
      <c r="G274" s="99">
        <v>0</v>
      </c>
      <c r="H274" s="99">
        <v>5660.8398854910538</v>
      </c>
      <c r="I274" s="99">
        <v>0</v>
      </c>
      <c r="J274" s="99">
        <v>0</v>
      </c>
      <c r="K274" s="99">
        <v>745.57919461961296</v>
      </c>
      <c r="L274" s="99">
        <v>0</v>
      </c>
      <c r="M274" s="99">
        <v>0</v>
      </c>
      <c r="N274" s="99">
        <v>0</v>
      </c>
      <c r="O274" s="99">
        <v>0</v>
      </c>
      <c r="P274" s="99">
        <v>0</v>
      </c>
      <c r="Q274" s="99">
        <v>0</v>
      </c>
      <c r="R274" s="99">
        <v>0</v>
      </c>
      <c r="S274" s="99">
        <v>0</v>
      </c>
      <c r="T274" s="99">
        <v>0</v>
      </c>
      <c r="U274" s="99">
        <v>0</v>
      </c>
      <c r="V274" s="99">
        <v>0</v>
      </c>
      <c r="W274" s="99">
        <v>0</v>
      </c>
      <c r="X274" s="99">
        <v>0</v>
      </c>
      <c r="Y274" s="99">
        <v>0</v>
      </c>
      <c r="Z274" s="99">
        <v>0</v>
      </c>
      <c r="AA274" s="99">
        <v>0</v>
      </c>
      <c r="AB274" s="99">
        <v>0</v>
      </c>
      <c r="AC274" s="99">
        <v>0</v>
      </c>
      <c r="AD274" s="99">
        <v>0</v>
      </c>
      <c r="AE274" s="99">
        <v>0</v>
      </c>
      <c r="AF274" s="99">
        <v>336.00967905117506</v>
      </c>
      <c r="AG274" s="99">
        <v>0</v>
      </c>
      <c r="AH274" s="99">
        <v>0</v>
      </c>
      <c r="AI274" s="99">
        <v>0</v>
      </c>
      <c r="AJ274" s="99">
        <v>0</v>
      </c>
      <c r="AK274" s="99">
        <v>0</v>
      </c>
      <c r="AL274" s="99">
        <v>0</v>
      </c>
      <c r="AM274" s="99">
        <v>0</v>
      </c>
      <c r="AN274" s="99">
        <v>0</v>
      </c>
      <c r="AO274" s="99">
        <v>0</v>
      </c>
      <c r="AP274" s="99">
        <v>0</v>
      </c>
      <c r="AQ274" s="99">
        <v>0</v>
      </c>
      <c r="AR274" s="99">
        <f t="shared" si="4"/>
        <v>7104.330425101266</v>
      </c>
    </row>
    <row r="275" spans="1:44" ht="15" x14ac:dyDescent="0.25">
      <c r="A275" s="258">
        <v>268</v>
      </c>
      <c r="B275" s="258" t="s">
        <v>342</v>
      </c>
      <c r="C275" s="258" t="s">
        <v>1607</v>
      </c>
      <c r="D275" s="859" t="s">
        <v>1612</v>
      </c>
      <c r="E275" s="99">
        <v>1269.8156241460094</v>
      </c>
      <c r="F275" s="99">
        <v>0</v>
      </c>
      <c r="G275" s="99">
        <v>0</v>
      </c>
      <c r="H275" s="99">
        <v>6231.9130674462376</v>
      </c>
      <c r="I275" s="99">
        <v>0</v>
      </c>
      <c r="J275" s="99">
        <v>0</v>
      </c>
      <c r="K275" s="99">
        <v>0</v>
      </c>
      <c r="L275" s="99">
        <v>0</v>
      </c>
      <c r="M275" s="99">
        <v>0</v>
      </c>
      <c r="N275" s="99">
        <v>0</v>
      </c>
      <c r="O275" s="99">
        <v>0</v>
      </c>
      <c r="P275" s="99">
        <v>0</v>
      </c>
      <c r="Q275" s="99">
        <v>0</v>
      </c>
      <c r="R275" s="99">
        <v>0</v>
      </c>
      <c r="S275" s="99">
        <v>0</v>
      </c>
      <c r="T275" s="99">
        <v>0</v>
      </c>
      <c r="U275" s="99">
        <v>0</v>
      </c>
      <c r="V275" s="99">
        <v>0</v>
      </c>
      <c r="W275" s="99">
        <v>0</v>
      </c>
      <c r="X275" s="99">
        <v>0</v>
      </c>
      <c r="Y275" s="99">
        <v>0</v>
      </c>
      <c r="Z275" s="99">
        <v>0</v>
      </c>
      <c r="AA275" s="99">
        <v>0</v>
      </c>
      <c r="AB275" s="99">
        <v>0</v>
      </c>
      <c r="AC275" s="99">
        <v>0</v>
      </c>
      <c r="AD275" s="99">
        <v>0</v>
      </c>
      <c r="AE275" s="99">
        <v>0</v>
      </c>
      <c r="AF275" s="99">
        <v>26.764177905495806</v>
      </c>
      <c r="AG275" s="99">
        <v>0</v>
      </c>
      <c r="AH275" s="99">
        <v>0</v>
      </c>
      <c r="AI275" s="99">
        <v>0</v>
      </c>
      <c r="AJ275" s="99">
        <v>0</v>
      </c>
      <c r="AK275" s="99">
        <v>0</v>
      </c>
      <c r="AL275" s="99">
        <v>0</v>
      </c>
      <c r="AM275" s="99">
        <v>0</v>
      </c>
      <c r="AN275" s="99">
        <v>0</v>
      </c>
      <c r="AO275" s="99">
        <v>0</v>
      </c>
      <c r="AP275" s="99">
        <v>0</v>
      </c>
      <c r="AQ275" s="99">
        <v>0</v>
      </c>
      <c r="AR275" s="99">
        <f t="shared" si="4"/>
        <v>7528.4928694977425</v>
      </c>
    </row>
    <row r="276" spans="1:44" ht="15" x14ac:dyDescent="0.25">
      <c r="A276" s="258">
        <v>269</v>
      </c>
      <c r="B276" s="258" t="s">
        <v>342</v>
      </c>
      <c r="C276" s="258" t="s">
        <v>1607</v>
      </c>
      <c r="D276" s="859" t="s">
        <v>1613</v>
      </c>
      <c r="E276" s="99">
        <v>3999.666432591287</v>
      </c>
      <c r="F276" s="99">
        <v>0</v>
      </c>
      <c r="G276" s="99">
        <v>0</v>
      </c>
      <c r="H276" s="99">
        <v>7258.0133189051085</v>
      </c>
      <c r="I276" s="99">
        <v>0</v>
      </c>
      <c r="J276" s="99">
        <v>0</v>
      </c>
      <c r="K276" s="99">
        <v>0</v>
      </c>
      <c r="L276" s="99">
        <v>0</v>
      </c>
      <c r="M276" s="99">
        <v>0</v>
      </c>
      <c r="N276" s="99">
        <v>0</v>
      </c>
      <c r="O276" s="99">
        <v>0</v>
      </c>
      <c r="P276" s="99">
        <v>0</v>
      </c>
      <c r="Q276" s="99">
        <v>0</v>
      </c>
      <c r="R276" s="99">
        <v>0</v>
      </c>
      <c r="S276" s="99">
        <v>0</v>
      </c>
      <c r="T276" s="99">
        <v>0</v>
      </c>
      <c r="U276" s="99">
        <v>0</v>
      </c>
      <c r="V276" s="99">
        <v>0</v>
      </c>
      <c r="W276" s="99">
        <v>0</v>
      </c>
      <c r="X276" s="99">
        <v>0</v>
      </c>
      <c r="Y276" s="99">
        <v>0</v>
      </c>
      <c r="Z276" s="99">
        <v>0</v>
      </c>
      <c r="AA276" s="99">
        <v>0</v>
      </c>
      <c r="AB276" s="99">
        <v>0</v>
      </c>
      <c r="AC276" s="99">
        <v>0</v>
      </c>
      <c r="AD276" s="99">
        <v>0</v>
      </c>
      <c r="AE276" s="99">
        <v>0</v>
      </c>
      <c r="AF276" s="99">
        <v>108.38167092423551</v>
      </c>
      <c r="AG276" s="99">
        <v>0</v>
      </c>
      <c r="AH276" s="99">
        <v>0</v>
      </c>
      <c r="AI276" s="99">
        <v>0</v>
      </c>
      <c r="AJ276" s="99">
        <v>0</v>
      </c>
      <c r="AK276" s="99">
        <v>0</v>
      </c>
      <c r="AL276" s="99">
        <v>0</v>
      </c>
      <c r="AM276" s="99">
        <v>0</v>
      </c>
      <c r="AN276" s="99">
        <v>0</v>
      </c>
      <c r="AO276" s="99">
        <v>0</v>
      </c>
      <c r="AP276" s="99">
        <v>0</v>
      </c>
      <c r="AQ276" s="99">
        <v>0</v>
      </c>
      <c r="AR276" s="99">
        <f t="shared" si="4"/>
        <v>11366.061422420629</v>
      </c>
    </row>
    <row r="277" spans="1:44" ht="15" x14ac:dyDescent="0.25">
      <c r="A277" s="258">
        <v>270</v>
      </c>
      <c r="B277" s="258" t="s">
        <v>300</v>
      </c>
      <c r="C277" s="258" t="s">
        <v>1614</v>
      </c>
      <c r="D277" s="859" t="s">
        <v>1615</v>
      </c>
      <c r="E277" s="99">
        <v>0</v>
      </c>
      <c r="F277" s="99">
        <v>0</v>
      </c>
      <c r="G277" s="99">
        <v>0</v>
      </c>
      <c r="H277" s="99">
        <v>576.44130144273549</v>
      </c>
      <c r="I277" s="99">
        <v>0</v>
      </c>
      <c r="J277" s="99">
        <v>0</v>
      </c>
      <c r="K277" s="99">
        <v>2550.526100859387</v>
      </c>
      <c r="L277" s="99">
        <v>0</v>
      </c>
      <c r="M277" s="99">
        <v>0</v>
      </c>
      <c r="N277" s="99">
        <v>0</v>
      </c>
      <c r="O277" s="99">
        <v>0</v>
      </c>
      <c r="P277" s="99">
        <v>0</v>
      </c>
      <c r="Q277" s="99">
        <v>0</v>
      </c>
      <c r="R277" s="99">
        <v>0</v>
      </c>
      <c r="S277" s="99">
        <v>0</v>
      </c>
      <c r="T277" s="99">
        <v>0</v>
      </c>
      <c r="U277" s="99">
        <v>0</v>
      </c>
      <c r="V277" s="99">
        <v>0</v>
      </c>
      <c r="W277" s="99">
        <v>0</v>
      </c>
      <c r="X277" s="99">
        <v>0</v>
      </c>
      <c r="Y277" s="99">
        <v>0</v>
      </c>
      <c r="Z277" s="99">
        <v>0</v>
      </c>
      <c r="AA277" s="99">
        <v>0</v>
      </c>
      <c r="AB277" s="99">
        <v>0</v>
      </c>
      <c r="AC277" s="99">
        <v>0</v>
      </c>
      <c r="AD277" s="99">
        <v>0</v>
      </c>
      <c r="AE277" s="99">
        <v>0</v>
      </c>
      <c r="AF277" s="99">
        <v>1082.7567418005531</v>
      </c>
      <c r="AG277" s="99">
        <v>0</v>
      </c>
      <c r="AH277" s="99">
        <v>0</v>
      </c>
      <c r="AI277" s="99">
        <v>0</v>
      </c>
      <c r="AJ277" s="99">
        <v>0</v>
      </c>
      <c r="AK277" s="99">
        <v>0</v>
      </c>
      <c r="AL277" s="99">
        <v>0</v>
      </c>
      <c r="AM277" s="99">
        <v>0</v>
      </c>
      <c r="AN277" s="99">
        <v>0</v>
      </c>
      <c r="AO277" s="99">
        <v>0</v>
      </c>
      <c r="AP277" s="99">
        <v>0</v>
      </c>
      <c r="AQ277" s="99">
        <v>0</v>
      </c>
      <c r="AR277" s="99">
        <f t="shared" si="4"/>
        <v>4209.7241441026754</v>
      </c>
    </row>
    <row r="278" spans="1:44" ht="15" x14ac:dyDescent="0.25">
      <c r="A278" s="258">
        <v>271</v>
      </c>
      <c r="B278" s="258" t="s">
        <v>300</v>
      </c>
      <c r="C278" s="258" t="s">
        <v>1614</v>
      </c>
      <c r="D278" s="859" t="s">
        <v>1616</v>
      </c>
      <c r="E278" s="99">
        <v>0</v>
      </c>
      <c r="F278" s="99">
        <v>0</v>
      </c>
      <c r="G278" s="99">
        <v>0</v>
      </c>
      <c r="H278" s="99">
        <v>4605.6886344524892</v>
      </c>
      <c r="I278" s="99">
        <v>0</v>
      </c>
      <c r="J278" s="99">
        <v>0</v>
      </c>
      <c r="K278" s="99">
        <v>525.48527706148184</v>
      </c>
      <c r="L278" s="99">
        <v>0</v>
      </c>
      <c r="M278" s="99">
        <v>0</v>
      </c>
      <c r="N278" s="99">
        <v>0</v>
      </c>
      <c r="O278" s="99">
        <v>0</v>
      </c>
      <c r="P278" s="99">
        <v>0</v>
      </c>
      <c r="Q278" s="99">
        <v>0</v>
      </c>
      <c r="R278" s="99">
        <v>0</v>
      </c>
      <c r="S278" s="99">
        <v>0</v>
      </c>
      <c r="T278" s="99">
        <v>0</v>
      </c>
      <c r="U278" s="99">
        <v>0</v>
      </c>
      <c r="V278" s="99">
        <v>0</v>
      </c>
      <c r="W278" s="99">
        <v>0</v>
      </c>
      <c r="X278" s="99">
        <v>0</v>
      </c>
      <c r="Y278" s="99">
        <v>0</v>
      </c>
      <c r="Z278" s="99">
        <v>0</v>
      </c>
      <c r="AA278" s="99">
        <v>0</v>
      </c>
      <c r="AB278" s="99">
        <v>0</v>
      </c>
      <c r="AC278" s="99">
        <v>0</v>
      </c>
      <c r="AD278" s="99">
        <v>0</v>
      </c>
      <c r="AE278" s="99">
        <v>0</v>
      </c>
      <c r="AF278" s="99">
        <v>2155.7087847644393</v>
      </c>
      <c r="AG278" s="99">
        <v>0</v>
      </c>
      <c r="AH278" s="99">
        <v>0</v>
      </c>
      <c r="AI278" s="99">
        <v>0</v>
      </c>
      <c r="AJ278" s="99">
        <v>0</v>
      </c>
      <c r="AK278" s="99">
        <v>0</v>
      </c>
      <c r="AL278" s="99">
        <v>0</v>
      </c>
      <c r="AM278" s="99">
        <v>0</v>
      </c>
      <c r="AN278" s="99">
        <v>0</v>
      </c>
      <c r="AO278" s="99">
        <v>0</v>
      </c>
      <c r="AP278" s="99">
        <v>0</v>
      </c>
      <c r="AQ278" s="99">
        <v>0</v>
      </c>
      <c r="AR278" s="99">
        <f t="shared" si="4"/>
        <v>7286.8826962784096</v>
      </c>
    </row>
    <row r="279" spans="1:44" ht="15" x14ac:dyDescent="0.25">
      <c r="A279" s="258">
        <v>272</v>
      </c>
      <c r="B279" s="258" t="s">
        <v>300</v>
      </c>
      <c r="C279" s="258" t="s">
        <v>1614</v>
      </c>
      <c r="D279" s="859" t="s">
        <v>1617</v>
      </c>
      <c r="E279" s="99">
        <v>0</v>
      </c>
      <c r="F279" s="99">
        <v>0</v>
      </c>
      <c r="G279" s="99">
        <v>0</v>
      </c>
      <c r="H279" s="99">
        <v>5822.8307853213055</v>
      </c>
      <c r="I279" s="99">
        <v>0</v>
      </c>
      <c r="J279" s="99">
        <v>0</v>
      </c>
      <c r="K279" s="99">
        <v>831.76054788032695</v>
      </c>
      <c r="L279" s="99">
        <v>0</v>
      </c>
      <c r="M279" s="99">
        <v>0</v>
      </c>
      <c r="N279" s="99">
        <v>0</v>
      </c>
      <c r="O279" s="99">
        <v>0</v>
      </c>
      <c r="P279" s="99">
        <v>0</v>
      </c>
      <c r="Q279" s="99">
        <v>0</v>
      </c>
      <c r="R279" s="99">
        <v>0</v>
      </c>
      <c r="S279" s="99">
        <v>0</v>
      </c>
      <c r="T279" s="99">
        <v>0</v>
      </c>
      <c r="U279" s="99">
        <v>0</v>
      </c>
      <c r="V279" s="99">
        <v>0</v>
      </c>
      <c r="W279" s="99">
        <v>0</v>
      </c>
      <c r="X279" s="99">
        <v>0</v>
      </c>
      <c r="Y279" s="99">
        <v>0</v>
      </c>
      <c r="Z279" s="99">
        <v>0</v>
      </c>
      <c r="AA279" s="99">
        <v>0</v>
      </c>
      <c r="AB279" s="99">
        <v>0</v>
      </c>
      <c r="AC279" s="99">
        <v>0</v>
      </c>
      <c r="AD279" s="99">
        <v>0</v>
      </c>
      <c r="AE279" s="99">
        <v>0</v>
      </c>
      <c r="AF279" s="99">
        <v>0</v>
      </c>
      <c r="AG279" s="99">
        <v>0</v>
      </c>
      <c r="AH279" s="99">
        <v>0</v>
      </c>
      <c r="AI279" s="99">
        <v>0</v>
      </c>
      <c r="AJ279" s="99">
        <v>0</v>
      </c>
      <c r="AK279" s="99">
        <v>0</v>
      </c>
      <c r="AL279" s="99">
        <v>0</v>
      </c>
      <c r="AM279" s="99">
        <v>0</v>
      </c>
      <c r="AN279" s="99">
        <v>0</v>
      </c>
      <c r="AO279" s="99">
        <v>0</v>
      </c>
      <c r="AP279" s="99">
        <v>0</v>
      </c>
      <c r="AQ279" s="99">
        <v>0</v>
      </c>
      <c r="AR279" s="99">
        <f t="shared" si="4"/>
        <v>6654.5913332016326</v>
      </c>
    </row>
    <row r="280" spans="1:44" ht="15" x14ac:dyDescent="0.25">
      <c r="A280" s="258">
        <v>273</v>
      </c>
      <c r="B280" s="258" t="s">
        <v>300</v>
      </c>
      <c r="C280" s="258" t="s">
        <v>1614</v>
      </c>
      <c r="D280" s="859" t="s">
        <v>1618</v>
      </c>
      <c r="E280" s="99">
        <v>0</v>
      </c>
      <c r="F280" s="99">
        <v>0</v>
      </c>
      <c r="G280" s="99">
        <v>0</v>
      </c>
      <c r="H280" s="99">
        <v>9559.3577203921832</v>
      </c>
      <c r="I280" s="99">
        <v>0</v>
      </c>
      <c r="J280" s="99">
        <v>0</v>
      </c>
      <c r="K280" s="99">
        <v>6064.810172712947</v>
      </c>
      <c r="L280" s="99">
        <v>0</v>
      </c>
      <c r="M280" s="99">
        <v>0</v>
      </c>
      <c r="N280" s="99">
        <v>0</v>
      </c>
      <c r="O280" s="99">
        <v>0</v>
      </c>
      <c r="P280" s="99">
        <v>0</v>
      </c>
      <c r="Q280" s="99">
        <v>0</v>
      </c>
      <c r="R280" s="99">
        <v>0</v>
      </c>
      <c r="S280" s="99">
        <v>0</v>
      </c>
      <c r="T280" s="99">
        <v>0</v>
      </c>
      <c r="U280" s="99">
        <v>0</v>
      </c>
      <c r="V280" s="99">
        <v>0</v>
      </c>
      <c r="W280" s="99">
        <v>0</v>
      </c>
      <c r="X280" s="99">
        <v>0</v>
      </c>
      <c r="Y280" s="99">
        <v>0</v>
      </c>
      <c r="Z280" s="99">
        <v>0</v>
      </c>
      <c r="AA280" s="99">
        <v>0</v>
      </c>
      <c r="AB280" s="99">
        <v>0</v>
      </c>
      <c r="AC280" s="99">
        <v>0</v>
      </c>
      <c r="AD280" s="99">
        <v>0</v>
      </c>
      <c r="AE280" s="99">
        <v>0</v>
      </c>
      <c r="AF280" s="99">
        <v>0</v>
      </c>
      <c r="AG280" s="99">
        <v>0</v>
      </c>
      <c r="AH280" s="99">
        <v>0</v>
      </c>
      <c r="AI280" s="99">
        <v>0</v>
      </c>
      <c r="AJ280" s="99">
        <v>0</v>
      </c>
      <c r="AK280" s="99">
        <v>0</v>
      </c>
      <c r="AL280" s="99">
        <v>0</v>
      </c>
      <c r="AM280" s="99">
        <v>0</v>
      </c>
      <c r="AN280" s="99">
        <v>0</v>
      </c>
      <c r="AO280" s="99">
        <v>0</v>
      </c>
      <c r="AP280" s="99">
        <v>0</v>
      </c>
      <c r="AQ280" s="99">
        <v>0</v>
      </c>
      <c r="AR280" s="99">
        <f t="shared" si="4"/>
        <v>15624.16789310513</v>
      </c>
    </row>
    <row r="281" spans="1:44" ht="15" x14ac:dyDescent="0.25">
      <c r="A281" s="258">
        <v>274</v>
      </c>
      <c r="B281" s="258" t="s">
        <v>300</v>
      </c>
      <c r="C281" s="258" t="s">
        <v>1614</v>
      </c>
      <c r="D281" s="859" t="s">
        <v>1619</v>
      </c>
      <c r="E281" s="99">
        <v>0</v>
      </c>
      <c r="F281" s="99">
        <v>0</v>
      </c>
      <c r="G281" s="99">
        <v>0</v>
      </c>
      <c r="H281" s="99">
        <v>19451.223077278042</v>
      </c>
      <c r="I281" s="99">
        <v>0</v>
      </c>
      <c r="J281" s="99">
        <v>0</v>
      </c>
      <c r="K281" s="99">
        <v>0</v>
      </c>
      <c r="L281" s="99">
        <v>0</v>
      </c>
      <c r="M281" s="99">
        <v>0</v>
      </c>
      <c r="N281" s="99">
        <v>0</v>
      </c>
      <c r="O281" s="99">
        <v>0</v>
      </c>
      <c r="P281" s="99">
        <v>0</v>
      </c>
      <c r="Q281" s="99">
        <v>0</v>
      </c>
      <c r="R281" s="99">
        <v>0</v>
      </c>
      <c r="S281" s="99">
        <v>0</v>
      </c>
      <c r="T281" s="99">
        <v>0</v>
      </c>
      <c r="U281" s="99">
        <v>0</v>
      </c>
      <c r="V281" s="99">
        <v>0</v>
      </c>
      <c r="W281" s="99">
        <v>0</v>
      </c>
      <c r="X281" s="99">
        <v>0</v>
      </c>
      <c r="Y281" s="99">
        <v>0</v>
      </c>
      <c r="Z281" s="99">
        <v>0</v>
      </c>
      <c r="AA281" s="99">
        <v>0</v>
      </c>
      <c r="AB281" s="99">
        <v>0</v>
      </c>
      <c r="AC281" s="99">
        <v>0</v>
      </c>
      <c r="AD281" s="99">
        <v>0</v>
      </c>
      <c r="AE281" s="99">
        <v>0</v>
      </c>
      <c r="AF281" s="99">
        <v>0</v>
      </c>
      <c r="AG281" s="99">
        <v>0</v>
      </c>
      <c r="AH281" s="99">
        <v>0</v>
      </c>
      <c r="AI281" s="99">
        <v>0</v>
      </c>
      <c r="AJ281" s="99">
        <v>0</v>
      </c>
      <c r="AK281" s="99">
        <v>0</v>
      </c>
      <c r="AL281" s="99">
        <v>0</v>
      </c>
      <c r="AM281" s="99">
        <v>0</v>
      </c>
      <c r="AN281" s="99">
        <v>0</v>
      </c>
      <c r="AO281" s="99">
        <v>0</v>
      </c>
      <c r="AP281" s="99">
        <v>0</v>
      </c>
      <c r="AQ281" s="99">
        <v>0</v>
      </c>
      <c r="AR281" s="99">
        <f t="shared" si="4"/>
        <v>19451.223077278042</v>
      </c>
    </row>
    <row r="282" spans="1:44" ht="15" x14ac:dyDescent="0.25">
      <c r="A282" s="258">
        <v>275</v>
      </c>
      <c r="B282" s="258" t="s">
        <v>300</v>
      </c>
      <c r="C282" s="258" t="s">
        <v>1614</v>
      </c>
      <c r="D282" s="859" t="s">
        <v>1620</v>
      </c>
      <c r="E282" s="99">
        <v>0</v>
      </c>
      <c r="F282" s="99">
        <v>0</v>
      </c>
      <c r="G282" s="99">
        <v>0</v>
      </c>
      <c r="H282" s="99">
        <v>9881.7606613798762</v>
      </c>
      <c r="I282" s="99">
        <v>0</v>
      </c>
      <c r="J282" s="99">
        <v>0</v>
      </c>
      <c r="K282" s="99">
        <v>0</v>
      </c>
      <c r="L282" s="99">
        <v>0</v>
      </c>
      <c r="M282" s="99">
        <v>0</v>
      </c>
      <c r="N282" s="99">
        <v>0</v>
      </c>
      <c r="O282" s="99">
        <v>0</v>
      </c>
      <c r="P282" s="99">
        <v>0</v>
      </c>
      <c r="Q282" s="99">
        <v>0</v>
      </c>
      <c r="R282" s="99">
        <v>0</v>
      </c>
      <c r="S282" s="99">
        <v>0</v>
      </c>
      <c r="T282" s="99">
        <v>0</v>
      </c>
      <c r="U282" s="99">
        <v>0</v>
      </c>
      <c r="V282" s="99">
        <v>0</v>
      </c>
      <c r="W282" s="99">
        <v>0</v>
      </c>
      <c r="X282" s="99">
        <v>0</v>
      </c>
      <c r="Y282" s="99">
        <v>0</v>
      </c>
      <c r="Z282" s="99">
        <v>0</v>
      </c>
      <c r="AA282" s="99">
        <v>0</v>
      </c>
      <c r="AB282" s="99">
        <v>0</v>
      </c>
      <c r="AC282" s="99">
        <v>0</v>
      </c>
      <c r="AD282" s="99">
        <v>0</v>
      </c>
      <c r="AE282" s="99">
        <v>0</v>
      </c>
      <c r="AF282" s="99">
        <v>0</v>
      </c>
      <c r="AG282" s="99">
        <v>0</v>
      </c>
      <c r="AH282" s="99">
        <v>0</v>
      </c>
      <c r="AI282" s="99">
        <v>0</v>
      </c>
      <c r="AJ282" s="99">
        <v>0</v>
      </c>
      <c r="AK282" s="99">
        <v>0</v>
      </c>
      <c r="AL282" s="99">
        <v>0</v>
      </c>
      <c r="AM282" s="99">
        <v>0</v>
      </c>
      <c r="AN282" s="99">
        <v>0</v>
      </c>
      <c r="AO282" s="99">
        <v>0</v>
      </c>
      <c r="AP282" s="99">
        <v>0</v>
      </c>
      <c r="AQ282" s="99">
        <v>0</v>
      </c>
      <c r="AR282" s="99">
        <f t="shared" si="4"/>
        <v>9881.7606613798762</v>
      </c>
    </row>
    <row r="283" spans="1:44" ht="15" x14ac:dyDescent="0.25">
      <c r="A283" s="258">
        <v>276</v>
      </c>
      <c r="B283" s="258" t="s">
        <v>300</v>
      </c>
      <c r="C283" s="258" t="s">
        <v>1614</v>
      </c>
      <c r="D283" s="859" t="s">
        <v>1621</v>
      </c>
      <c r="E283" s="99">
        <v>0</v>
      </c>
      <c r="F283" s="99">
        <v>0</v>
      </c>
      <c r="G283" s="99">
        <v>0</v>
      </c>
      <c r="H283" s="99">
        <v>8062.2839268342495</v>
      </c>
      <c r="I283" s="99">
        <v>0</v>
      </c>
      <c r="J283" s="99">
        <v>0</v>
      </c>
      <c r="K283" s="99">
        <v>0</v>
      </c>
      <c r="L283" s="99">
        <v>0</v>
      </c>
      <c r="M283" s="99">
        <v>0</v>
      </c>
      <c r="N283" s="99">
        <v>0</v>
      </c>
      <c r="O283" s="99">
        <v>0</v>
      </c>
      <c r="P283" s="99">
        <v>0</v>
      </c>
      <c r="Q283" s="99">
        <v>0</v>
      </c>
      <c r="R283" s="99">
        <v>0</v>
      </c>
      <c r="S283" s="99">
        <v>0</v>
      </c>
      <c r="T283" s="99">
        <v>0</v>
      </c>
      <c r="U283" s="99">
        <v>0</v>
      </c>
      <c r="V283" s="99">
        <v>0</v>
      </c>
      <c r="W283" s="99">
        <v>0</v>
      </c>
      <c r="X283" s="99">
        <v>0</v>
      </c>
      <c r="Y283" s="99">
        <v>0</v>
      </c>
      <c r="Z283" s="99">
        <v>0</v>
      </c>
      <c r="AA283" s="99">
        <v>0</v>
      </c>
      <c r="AB283" s="99">
        <v>0</v>
      </c>
      <c r="AC283" s="99">
        <v>0</v>
      </c>
      <c r="AD283" s="99">
        <v>0</v>
      </c>
      <c r="AE283" s="99">
        <v>0</v>
      </c>
      <c r="AF283" s="99">
        <v>0</v>
      </c>
      <c r="AG283" s="99">
        <v>0</v>
      </c>
      <c r="AH283" s="99">
        <v>0</v>
      </c>
      <c r="AI283" s="99">
        <v>0</v>
      </c>
      <c r="AJ283" s="99">
        <v>0</v>
      </c>
      <c r="AK283" s="99">
        <v>0</v>
      </c>
      <c r="AL283" s="99">
        <v>0</v>
      </c>
      <c r="AM283" s="99">
        <v>0</v>
      </c>
      <c r="AN283" s="99">
        <v>0</v>
      </c>
      <c r="AO283" s="99">
        <v>0</v>
      </c>
      <c r="AP283" s="99">
        <v>0</v>
      </c>
      <c r="AQ283" s="99">
        <v>0</v>
      </c>
      <c r="AR283" s="99">
        <f t="shared" si="4"/>
        <v>8062.2839268342495</v>
      </c>
    </row>
    <row r="284" spans="1:44" ht="15" x14ac:dyDescent="0.25">
      <c r="A284" s="258">
        <v>277</v>
      </c>
      <c r="B284" s="258" t="s">
        <v>300</v>
      </c>
      <c r="C284" s="258" t="s">
        <v>1614</v>
      </c>
      <c r="D284" s="859" t="s">
        <v>1622</v>
      </c>
      <c r="E284" s="99">
        <v>1415.7980772868827</v>
      </c>
      <c r="F284" s="99">
        <v>0</v>
      </c>
      <c r="G284" s="99">
        <v>0</v>
      </c>
      <c r="H284" s="99">
        <v>17543.803914656928</v>
      </c>
      <c r="I284" s="99">
        <v>0</v>
      </c>
      <c r="J284" s="99">
        <v>0</v>
      </c>
      <c r="K284" s="99">
        <v>0</v>
      </c>
      <c r="L284" s="99">
        <v>0</v>
      </c>
      <c r="M284" s="99">
        <v>0</v>
      </c>
      <c r="N284" s="99">
        <v>0</v>
      </c>
      <c r="O284" s="99">
        <v>0</v>
      </c>
      <c r="P284" s="99">
        <v>0</v>
      </c>
      <c r="Q284" s="99">
        <v>0</v>
      </c>
      <c r="R284" s="99">
        <v>0</v>
      </c>
      <c r="S284" s="99">
        <v>0</v>
      </c>
      <c r="T284" s="99">
        <v>0</v>
      </c>
      <c r="U284" s="99">
        <v>0</v>
      </c>
      <c r="V284" s="99">
        <v>0</v>
      </c>
      <c r="W284" s="99">
        <v>0</v>
      </c>
      <c r="X284" s="99">
        <v>0</v>
      </c>
      <c r="Y284" s="99">
        <v>0</v>
      </c>
      <c r="Z284" s="99">
        <v>0</v>
      </c>
      <c r="AA284" s="99">
        <v>0</v>
      </c>
      <c r="AB284" s="99">
        <v>0</v>
      </c>
      <c r="AC284" s="99">
        <v>0</v>
      </c>
      <c r="AD284" s="99">
        <v>0</v>
      </c>
      <c r="AE284" s="99">
        <v>0</v>
      </c>
      <c r="AF284" s="99">
        <v>0</v>
      </c>
      <c r="AG284" s="99">
        <v>0</v>
      </c>
      <c r="AH284" s="99">
        <v>0</v>
      </c>
      <c r="AI284" s="99">
        <v>0</v>
      </c>
      <c r="AJ284" s="99">
        <v>0</v>
      </c>
      <c r="AK284" s="99">
        <v>0</v>
      </c>
      <c r="AL284" s="99">
        <v>0</v>
      </c>
      <c r="AM284" s="99">
        <v>0</v>
      </c>
      <c r="AN284" s="99">
        <v>0</v>
      </c>
      <c r="AO284" s="99">
        <v>0</v>
      </c>
      <c r="AP284" s="99">
        <v>0</v>
      </c>
      <c r="AQ284" s="99">
        <v>0</v>
      </c>
      <c r="AR284" s="99">
        <f t="shared" si="4"/>
        <v>18959.601991943811</v>
      </c>
    </row>
    <row r="285" spans="1:44" ht="15" x14ac:dyDescent="0.25">
      <c r="A285" s="258">
        <v>278</v>
      </c>
      <c r="B285" s="258" t="s">
        <v>332</v>
      </c>
      <c r="C285" s="258" t="s">
        <v>1623</v>
      </c>
      <c r="D285" s="859" t="s">
        <v>1624</v>
      </c>
      <c r="E285" s="99">
        <v>6046.7912228120767</v>
      </c>
      <c r="F285" s="99">
        <v>1116.8223403527104</v>
      </c>
      <c r="G285" s="99">
        <v>0</v>
      </c>
      <c r="H285" s="99">
        <v>30403.449918822735</v>
      </c>
      <c r="I285" s="99">
        <v>0</v>
      </c>
      <c r="J285" s="99">
        <v>0</v>
      </c>
      <c r="K285" s="99">
        <v>0</v>
      </c>
      <c r="L285" s="99">
        <v>0</v>
      </c>
      <c r="M285" s="99">
        <v>0</v>
      </c>
      <c r="N285" s="99">
        <v>0</v>
      </c>
      <c r="O285" s="99">
        <v>0</v>
      </c>
      <c r="P285" s="99">
        <v>0</v>
      </c>
      <c r="Q285" s="99">
        <v>0</v>
      </c>
      <c r="R285" s="99">
        <v>0</v>
      </c>
      <c r="S285" s="99">
        <v>0</v>
      </c>
      <c r="T285" s="99">
        <v>0</v>
      </c>
      <c r="U285" s="99">
        <v>0</v>
      </c>
      <c r="V285" s="99">
        <v>0</v>
      </c>
      <c r="W285" s="99">
        <v>0</v>
      </c>
      <c r="X285" s="99">
        <v>0</v>
      </c>
      <c r="Y285" s="99">
        <v>0</v>
      </c>
      <c r="Z285" s="99">
        <v>0</v>
      </c>
      <c r="AA285" s="99">
        <v>0</v>
      </c>
      <c r="AB285" s="99">
        <v>0</v>
      </c>
      <c r="AC285" s="99">
        <v>0</v>
      </c>
      <c r="AD285" s="99">
        <v>0</v>
      </c>
      <c r="AE285" s="99">
        <v>0</v>
      </c>
      <c r="AF285" s="99">
        <v>0</v>
      </c>
      <c r="AG285" s="99">
        <v>0</v>
      </c>
      <c r="AH285" s="99">
        <v>0</v>
      </c>
      <c r="AI285" s="99">
        <v>0</v>
      </c>
      <c r="AJ285" s="99">
        <v>0</v>
      </c>
      <c r="AK285" s="99">
        <v>0</v>
      </c>
      <c r="AL285" s="99">
        <v>0</v>
      </c>
      <c r="AM285" s="99">
        <v>0</v>
      </c>
      <c r="AN285" s="99">
        <v>0</v>
      </c>
      <c r="AO285" s="99">
        <v>0</v>
      </c>
      <c r="AP285" s="99">
        <v>0</v>
      </c>
      <c r="AQ285" s="99">
        <v>0</v>
      </c>
      <c r="AR285" s="99">
        <f t="shared" si="4"/>
        <v>37567.063481987519</v>
      </c>
    </row>
    <row r="286" spans="1:44" ht="15" x14ac:dyDescent="0.25">
      <c r="A286" s="258">
        <v>279</v>
      </c>
      <c r="B286" s="258" t="s">
        <v>332</v>
      </c>
      <c r="C286" s="258" t="s">
        <v>1623</v>
      </c>
      <c r="D286" s="859" t="s">
        <v>1625</v>
      </c>
      <c r="E286" s="99">
        <v>432.47038426870557</v>
      </c>
      <c r="F286" s="99">
        <v>7758.1302190258739</v>
      </c>
      <c r="G286" s="99">
        <v>0</v>
      </c>
      <c r="H286" s="99">
        <v>4965.5105259857655</v>
      </c>
      <c r="I286" s="99">
        <v>0</v>
      </c>
      <c r="J286" s="99">
        <v>0</v>
      </c>
      <c r="K286" s="99">
        <v>0</v>
      </c>
      <c r="L286" s="99">
        <v>0</v>
      </c>
      <c r="M286" s="99">
        <v>0</v>
      </c>
      <c r="N286" s="99">
        <v>0</v>
      </c>
      <c r="O286" s="99">
        <v>0</v>
      </c>
      <c r="P286" s="99">
        <v>0</v>
      </c>
      <c r="Q286" s="99">
        <v>0</v>
      </c>
      <c r="R286" s="99">
        <v>0</v>
      </c>
      <c r="S286" s="99">
        <v>0</v>
      </c>
      <c r="T286" s="99">
        <v>0</v>
      </c>
      <c r="U286" s="99">
        <v>0</v>
      </c>
      <c r="V286" s="99">
        <v>0</v>
      </c>
      <c r="W286" s="99">
        <v>0</v>
      </c>
      <c r="X286" s="99">
        <v>0</v>
      </c>
      <c r="Y286" s="99">
        <v>0</v>
      </c>
      <c r="Z286" s="99">
        <v>0</v>
      </c>
      <c r="AA286" s="99">
        <v>0</v>
      </c>
      <c r="AB286" s="99">
        <v>0</v>
      </c>
      <c r="AC286" s="99">
        <v>0</v>
      </c>
      <c r="AD286" s="99">
        <v>0</v>
      </c>
      <c r="AE286" s="99">
        <v>0</v>
      </c>
      <c r="AF286" s="99">
        <v>0</v>
      </c>
      <c r="AG286" s="99">
        <v>0</v>
      </c>
      <c r="AH286" s="99">
        <v>0</v>
      </c>
      <c r="AI286" s="99">
        <v>0</v>
      </c>
      <c r="AJ286" s="99">
        <v>0</v>
      </c>
      <c r="AK286" s="99">
        <v>0</v>
      </c>
      <c r="AL286" s="99">
        <v>0</v>
      </c>
      <c r="AM286" s="99">
        <v>0</v>
      </c>
      <c r="AN286" s="99">
        <v>0</v>
      </c>
      <c r="AO286" s="99">
        <v>0</v>
      </c>
      <c r="AP286" s="99">
        <v>0</v>
      </c>
      <c r="AQ286" s="99">
        <v>0</v>
      </c>
      <c r="AR286" s="99">
        <f t="shared" si="4"/>
        <v>13156.111129280345</v>
      </c>
    </row>
    <row r="287" spans="1:44" ht="15" x14ac:dyDescent="0.25">
      <c r="A287" s="258">
        <v>280</v>
      </c>
      <c r="B287" s="258" t="s">
        <v>332</v>
      </c>
      <c r="C287" s="258" t="s">
        <v>1623</v>
      </c>
      <c r="D287" s="859" t="s">
        <v>1626</v>
      </c>
      <c r="E287" s="99">
        <v>4083.2956301337508</v>
      </c>
      <c r="F287" s="99">
        <v>11465.232725505422</v>
      </c>
      <c r="G287" s="99">
        <v>0</v>
      </c>
      <c r="H287" s="99">
        <v>14697.753271050586</v>
      </c>
      <c r="I287" s="99">
        <v>0</v>
      </c>
      <c r="J287" s="99">
        <v>0</v>
      </c>
      <c r="K287" s="99">
        <v>0</v>
      </c>
      <c r="L287" s="99">
        <v>0</v>
      </c>
      <c r="M287" s="99">
        <v>0</v>
      </c>
      <c r="N287" s="99">
        <v>0</v>
      </c>
      <c r="O287" s="99">
        <v>0</v>
      </c>
      <c r="P287" s="99">
        <v>0</v>
      </c>
      <c r="Q287" s="99">
        <v>0</v>
      </c>
      <c r="R287" s="99">
        <v>0</v>
      </c>
      <c r="S287" s="99">
        <v>0</v>
      </c>
      <c r="T287" s="99">
        <v>0</v>
      </c>
      <c r="U287" s="99">
        <v>0</v>
      </c>
      <c r="V287" s="99">
        <v>0</v>
      </c>
      <c r="W287" s="99">
        <v>0</v>
      </c>
      <c r="X287" s="99">
        <v>0</v>
      </c>
      <c r="Y287" s="99">
        <v>0</v>
      </c>
      <c r="Z287" s="99">
        <v>0</v>
      </c>
      <c r="AA287" s="99">
        <v>0</v>
      </c>
      <c r="AB287" s="99">
        <v>0</v>
      </c>
      <c r="AC287" s="99">
        <v>0</v>
      </c>
      <c r="AD287" s="99">
        <v>0</v>
      </c>
      <c r="AE287" s="99">
        <v>0</v>
      </c>
      <c r="AF287" s="99">
        <v>0</v>
      </c>
      <c r="AG287" s="99">
        <v>0</v>
      </c>
      <c r="AH287" s="99">
        <v>0</v>
      </c>
      <c r="AI287" s="99">
        <v>2016.4383855671401</v>
      </c>
      <c r="AJ287" s="99">
        <v>0</v>
      </c>
      <c r="AK287" s="99">
        <v>0</v>
      </c>
      <c r="AL287" s="99">
        <v>0</v>
      </c>
      <c r="AM287" s="99">
        <v>0</v>
      </c>
      <c r="AN287" s="99">
        <v>0</v>
      </c>
      <c r="AO287" s="99">
        <v>0</v>
      </c>
      <c r="AP287" s="99">
        <v>0</v>
      </c>
      <c r="AQ287" s="99">
        <v>0</v>
      </c>
      <c r="AR287" s="99">
        <f t="shared" si="4"/>
        <v>32262.720012256897</v>
      </c>
    </row>
    <row r="288" spans="1:44" ht="15" x14ac:dyDescent="0.25">
      <c r="A288" s="258">
        <v>281</v>
      </c>
      <c r="B288" s="258" t="s">
        <v>332</v>
      </c>
      <c r="C288" s="258" t="s">
        <v>1623</v>
      </c>
      <c r="D288" s="859" t="s">
        <v>1627</v>
      </c>
      <c r="E288" s="99">
        <v>711.79611711834207</v>
      </c>
      <c r="F288" s="99">
        <v>41.121492029723228</v>
      </c>
      <c r="G288" s="99">
        <v>0</v>
      </c>
      <c r="H288" s="99">
        <v>5349.488955213028</v>
      </c>
      <c r="I288" s="99">
        <v>0</v>
      </c>
      <c r="J288" s="99">
        <v>0</v>
      </c>
      <c r="K288" s="99">
        <v>0</v>
      </c>
      <c r="L288" s="99">
        <v>0</v>
      </c>
      <c r="M288" s="99">
        <v>0</v>
      </c>
      <c r="N288" s="99">
        <v>0</v>
      </c>
      <c r="O288" s="99">
        <v>0</v>
      </c>
      <c r="P288" s="99">
        <v>0</v>
      </c>
      <c r="Q288" s="99">
        <v>0</v>
      </c>
      <c r="R288" s="99">
        <v>0</v>
      </c>
      <c r="S288" s="99">
        <v>0</v>
      </c>
      <c r="T288" s="99">
        <v>0</v>
      </c>
      <c r="U288" s="99">
        <v>0</v>
      </c>
      <c r="V288" s="99">
        <v>0</v>
      </c>
      <c r="W288" s="99">
        <v>0</v>
      </c>
      <c r="X288" s="99">
        <v>0</v>
      </c>
      <c r="Y288" s="99">
        <v>0</v>
      </c>
      <c r="Z288" s="99">
        <v>0</v>
      </c>
      <c r="AA288" s="99">
        <v>0</v>
      </c>
      <c r="AB288" s="99">
        <v>0</v>
      </c>
      <c r="AC288" s="99">
        <v>0</v>
      </c>
      <c r="AD288" s="99">
        <v>0</v>
      </c>
      <c r="AE288" s="99">
        <v>0</v>
      </c>
      <c r="AF288" s="99">
        <v>0</v>
      </c>
      <c r="AG288" s="99">
        <v>0</v>
      </c>
      <c r="AH288" s="99">
        <v>0</v>
      </c>
      <c r="AI288" s="99">
        <v>0</v>
      </c>
      <c r="AJ288" s="99">
        <v>0</v>
      </c>
      <c r="AK288" s="99">
        <v>0</v>
      </c>
      <c r="AL288" s="99">
        <v>0</v>
      </c>
      <c r="AM288" s="99">
        <v>0</v>
      </c>
      <c r="AN288" s="99">
        <v>0</v>
      </c>
      <c r="AO288" s="99">
        <v>0</v>
      </c>
      <c r="AP288" s="99">
        <v>0</v>
      </c>
      <c r="AQ288" s="99">
        <v>0</v>
      </c>
      <c r="AR288" s="99">
        <f t="shared" si="4"/>
        <v>6102.4065643610929</v>
      </c>
    </row>
    <row r="289" spans="1:44" ht="15" x14ac:dyDescent="0.25">
      <c r="A289" s="258">
        <v>282</v>
      </c>
      <c r="B289" s="258" t="s">
        <v>332</v>
      </c>
      <c r="C289" s="258" t="s">
        <v>1623</v>
      </c>
      <c r="D289" s="859" t="s">
        <v>1628</v>
      </c>
      <c r="E289" s="99">
        <v>3724.3431046618189</v>
      </c>
      <c r="F289" s="99">
        <v>0</v>
      </c>
      <c r="G289" s="99">
        <v>0</v>
      </c>
      <c r="H289" s="99">
        <v>6054.7651243570162</v>
      </c>
      <c r="I289" s="99">
        <v>0</v>
      </c>
      <c r="J289" s="99">
        <v>0</v>
      </c>
      <c r="K289" s="99">
        <v>0</v>
      </c>
      <c r="L289" s="99">
        <v>0</v>
      </c>
      <c r="M289" s="99">
        <v>0</v>
      </c>
      <c r="N289" s="99">
        <v>0</v>
      </c>
      <c r="O289" s="99">
        <v>0</v>
      </c>
      <c r="P289" s="99">
        <v>0</v>
      </c>
      <c r="Q289" s="99">
        <v>0</v>
      </c>
      <c r="R289" s="99">
        <v>0</v>
      </c>
      <c r="S289" s="99">
        <v>0</v>
      </c>
      <c r="T289" s="99">
        <v>0</v>
      </c>
      <c r="U289" s="99">
        <v>0</v>
      </c>
      <c r="V289" s="99">
        <v>0</v>
      </c>
      <c r="W289" s="99">
        <v>0</v>
      </c>
      <c r="X289" s="99">
        <v>0</v>
      </c>
      <c r="Y289" s="99">
        <v>0</v>
      </c>
      <c r="Z289" s="99">
        <v>0</v>
      </c>
      <c r="AA289" s="99">
        <v>0</v>
      </c>
      <c r="AB289" s="99">
        <v>0</v>
      </c>
      <c r="AC289" s="99">
        <v>0</v>
      </c>
      <c r="AD289" s="99">
        <v>0</v>
      </c>
      <c r="AE289" s="99">
        <v>0</v>
      </c>
      <c r="AF289" s="99">
        <v>0</v>
      </c>
      <c r="AG289" s="99">
        <v>0</v>
      </c>
      <c r="AH289" s="99">
        <v>0</v>
      </c>
      <c r="AI289" s="99">
        <v>6851.7628375915265</v>
      </c>
      <c r="AJ289" s="99">
        <v>0</v>
      </c>
      <c r="AK289" s="99">
        <v>0</v>
      </c>
      <c r="AL289" s="99">
        <v>0</v>
      </c>
      <c r="AM289" s="99">
        <v>0</v>
      </c>
      <c r="AN289" s="99">
        <v>0</v>
      </c>
      <c r="AO289" s="99">
        <v>0</v>
      </c>
      <c r="AP289" s="99">
        <v>0</v>
      </c>
      <c r="AQ289" s="99">
        <v>0</v>
      </c>
      <c r="AR289" s="99">
        <f t="shared" si="4"/>
        <v>16630.871066610362</v>
      </c>
    </row>
    <row r="290" spans="1:44" ht="15" x14ac:dyDescent="0.25">
      <c r="A290" s="258">
        <v>283</v>
      </c>
      <c r="B290" s="258" t="s">
        <v>332</v>
      </c>
      <c r="C290" s="258" t="s">
        <v>1623</v>
      </c>
      <c r="D290" s="859" t="s">
        <v>1629</v>
      </c>
      <c r="E290" s="99">
        <v>5096.1147278268509</v>
      </c>
      <c r="F290" s="99">
        <v>0</v>
      </c>
      <c r="G290" s="99">
        <v>0</v>
      </c>
      <c r="H290" s="99">
        <v>0</v>
      </c>
      <c r="I290" s="99">
        <v>0</v>
      </c>
      <c r="J290" s="99">
        <v>0</v>
      </c>
      <c r="K290" s="99">
        <v>0</v>
      </c>
      <c r="L290" s="99">
        <v>0</v>
      </c>
      <c r="M290" s="99">
        <v>0</v>
      </c>
      <c r="N290" s="99">
        <v>0</v>
      </c>
      <c r="O290" s="99">
        <v>0</v>
      </c>
      <c r="P290" s="99">
        <v>0</v>
      </c>
      <c r="Q290" s="99">
        <v>0</v>
      </c>
      <c r="R290" s="99">
        <v>0</v>
      </c>
      <c r="S290" s="99">
        <v>0</v>
      </c>
      <c r="T290" s="99">
        <v>0</v>
      </c>
      <c r="U290" s="99">
        <v>0</v>
      </c>
      <c r="V290" s="99">
        <v>0</v>
      </c>
      <c r="W290" s="99">
        <v>0</v>
      </c>
      <c r="X290" s="99">
        <v>0</v>
      </c>
      <c r="Y290" s="99">
        <v>0</v>
      </c>
      <c r="Z290" s="99">
        <v>0</v>
      </c>
      <c r="AA290" s="99">
        <v>0</v>
      </c>
      <c r="AB290" s="99">
        <v>0</v>
      </c>
      <c r="AC290" s="99">
        <v>0</v>
      </c>
      <c r="AD290" s="99">
        <v>0</v>
      </c>
      <c r="AE290" s="99">
        <v>0</v>
      </c>
      <c r="AF290" s="99">
        <v>0</v>
      </c>
      <c r="AG290" s="99">
        <v>0</v>
      </c>
      <c r="AH290" s="99">
        <v>0</v>
      </c>
      <c r="AI290" s="99">
        <v>10952.15155397942</v>
      </c>
      <c r="AJ290" s="99">
        <v>0</v>
      </c>
      <c r="AK290" s="99">
        <v>0</v>
      </c>
      <c r="AL290" s="99">
        <v>0</v>
      </c>
      <c r="AM290" s="99">
        <v>0</v>
      </c>
      <c r="AN290" s="99">
        <v>0</v>
      </c>
      <c r="AO290" s="99">
        <v>0</v>
      </c>
      <c r="AP290" s="99">
        <v>0</v>
      </c>
      <c r="AQ290" s="99">
        <v>0</v>
      </c>
      <c r="AR290" s="99">
        <f t="shared" si="4"/>
        <v>16048.266281806271</v>
      </c>
    </row>
    <row r="291" spans="1:44" ht="15" x14ac:dyDescent="0.25">
      <c r="A291" s="258">
        <v>284</v>
      </c>
      <c r="B291" s="258" t="s">
        <v>324</v>
      </c>
      <c r="C291" s="258" t="s">
        <v>1630</v>
      </c>
      <c r="D291" s="859" t="s">
        <v>1631</v>
      </c>
      <c r="E291" s="99">
        <v>502.82844970745265</v>
      </c>
      <c r="F291" s="99">
        <v>0</v>
      </c>
      <c r="G291" s="99">
        <v>0</v>
      </c>
      <c r="H291" s="99">
        <v>0</v>
      </c>
      <c r="I291" s="99">
        <v>0</v>
      </c>
      <c r="J291" s="99">
        <v>0</v>
      </c>
      <c r="K291" s="99">
        <v>0</v>
      </c>
      <c r="L291" s="99">
        <v>0</v>
      </c>
      <c r="M291" s="99">
        <v>0</v>
      </c>
      <c r="N291" s="99">
        <v>0</v>
      </c>
      <c r="O291" s="99">
        <v>0</v>
      </c>
      <c r="P291" s="99">
        <v>0</v>
      </c>
      <c r="Q291" s="99">
        <v>0</v>
      </c>
      <c r="R291" s="99">
        <v>0</v>
      </c>
      <c r="S291" s="99">
        <v>0</v>
      </c>
      <c r="T291" s="99">
        <v>0</v>
      </c>
      <c r="U291" s="99">
        <v>0</v>
      </c>
      <c r="V291" s="99">
        <v>0</v>
      </c>
      <c r="W291" s="99">
        <v>0</v>
      </c>
      <c r="X291" s="99">
        <v>0</v>
      </c>
      <c r="Y291" s="99">
        <v>0</v>
      </c>
      <c r="Z291" s="99">
        <v>0</v>
      </c>
      <c r="AA291" s="99">
        <v>0</v>
      </c>
      <c r="AB291" s="99">
        <v>0</v>
      </c>
      <c r="AC291" s="99">
        <v>0</v>
      </c>
      <c r="AD291" s="99">
        <v>0</v>
      </c>
      <c r="AE291" s="99">
        <v>0</v>
      </c>
      <c r="AF291" s="99">
        <v>0</v>
      </c>
      <c r="AG291" s="99">
        <v>0</v>
      </c>
      <c r="AH291" s="99">
        <v>0</v>
      </c>
      <c r="AI291" s="99">
        <v>0</v>
      </c>
      <c r="AJ291" s="99">
        <v>0</v>
      </c>
      <c r="AK291" s="99">
        <v>0</v>
      </c>
      <c r="AL291" s="99">
        <v>0</v>
      </c>
      <c r="AM291" s="99">
        <v>0</v>
      </c>
      <c r="AN291" s="99">
        <v>0</v>
      </c>
      <c r="AO291" s="99">
        <v>0</v>
      </c>
      <c r="AP291" s="99">
        <v>0</v>
      </c>
      <c r="AQ291" s="99">
        <v>0</v>
      </c>
      <c r="AR291" s="99">
        <f t="shared" si="4"/>
        <v>502.82844970745265</v>
      </c>
    </row>
    <row r="292" spans="1:44" ht="15" x14ac:dyDescent="0.25">
      <c r="A292" s="258">
        <v>285</v>
      </c>
      <c r="B292" s="258" t="s">
        <v>324</v>
      </c>
      <c r="C292" s="258" t="s">
        <v>1630</v>
      </c>
      <c r="D292" s="859" t="s">
        <v>1632</v>
      </c>
      <c r="E292" s="99">
        <v>69289.633977952661</v>
      </c>
      <c r="F292" s="99">
        <v>0</v>
      </c>
      <c r="G292" s="99">
        <v>3492.2480997870252</v>
      </c>
      <c r="H292" s="99">
        <v>0</v>
      </c>
      <c r="I292" s="99">
        <v>0</v>
      </c>
      <c r="J292" s="99">
        <v>0</v>
      </c>
      <c r="K292" s="99">
        <v>0</v>
      </c>
      <c r="L292" s="99">
        <v>0</v>
      </c>
      <c r="M292" s="99">
        <v>0</v>
      </c>
      <c r="N292" s="99">
        <v>0</v>
      </c>
      <c r="O292" s="99">
        <v>0</v>
      </c>
      <c r="P292" s="99">
        <v>0</v>
      </c>
      <c r="Q292" s="99">
        <v>0</v>
      </c>
      <c r="R292" s="99">
        <v>0</v>
      </c>
      <c r="S292" s="99">
        <v>0</v>
      </c>
      <c r="T292" s="99">
        <v>0</v>
      </c>
      <c r="U292" s="99">
        <v>0</v>
      </c>
      <c r="V292" s="99">
        <v>0</v>
      </c>
      <c r="W292" s="99">
        <v>0</v>
      </c>
      <c r="X292" s="99">
        <v>0</v>
      </c>
      <c r="Y292" s="99">
        <v>0</v>
      </c>
      <c r="Z292" s="99">
        <v>0</v>
      </c>
      <c r="AA292" s="99">
        <v>0</v>
      </c>
      <c r="AB292" s="99">
        <v>0</v>
      </c>
      <c r="AC292" s="99">
        <v>23621.702057042065</v>
      </c>
      <c r="AD292" s="99">
        <v>0</v>
      </c>
      <c r="AE292" s="99">
        <v>0</v>
      </c>
      <c r="AF292" s="99">
        <v>0</v>
      </c>
      <c r="AG292" s="99">
        <v>0</v>
      </c>
      <c r="AH292" s="99">
        <v>0</v>
      </c>
      <c r="AI292" s="99">
        <v>671.27162145950933</v>
      </c>
      <c r="AJ292" s="99">
        <v>0</v>
      </c>
      <c r="AK292" s="99">
        <v>0</v>
      </c>
      <c r="AL292" s="99">
        <v>0</v>
      </c>
      <c r="AM292" s="99">
        <v>0</v>
      </c>
      <c r="AN292" s="99">
        <v>151.19960199713753</v>
      </c>
      <c r="AO292" s="99">
        <v>0</v>
      </c>
      <c r="AP292" s="99">
        <v>0</v>
      </c>
      <c r="AQ292" s="99">
        <v>0</v>
      </c>
      <c r="AR292" s="99">
        <f t="shared" si="4"/>
        <v>97226.055358238416</v>
      </c>
    </row>
    <row r="293" spans="1:44" ht="15" x14ac:dyDescent="0.25">
      <c r="A293" s="258">
        <v>286</v>
      </c>
      <c r="B293" s="258" t="s">
        <v>324</v>
      </c>
      <c r="C293" s="258" t="s">
        <v>1630</v>
      </c>
      <c r="D293" s="859" t="s">
        <v>1633</v>
      </c>
      <c r="E293" s="99">
        <v>207.28244428660804</v>
      </c>
      <c r="F293" s="99">
        <v>0</v>
      </c>
      <c r="G293" s="99">
        <v>14769.268569913298</v>
      </c>
      <c r="H293" s="99">
        <v>0</v>
      </c>
      <c r="I293" s="99">
        <v>0</v>
      </c>
      <c r="J293" s="99">
        <v>0</v>
      </c>
      <c r="K293" s="99">
        <v>0</v>
      </c>
      <c r="L293" s="99">
        <v>0</v>
      </c>
      <c r="M293" s="99">
        <v>0</v>
      </c>
      <c r="N293" s="99">
        <v>0</v>
      </c>
      <c r="O293" s="99">
        <v>0</v>
      </c>
      <c r="P293" s="99">
        <v>0</v>
      </c>
      <c r="Q293" s="99">
        <v>0</v>
      </c>
      <c r="R293" s="99">
        <v>0</v>
      </c>
      <c r="S293" s="99">
        <v>0</v>
      </c>
      <c r="T293" s="99">
        <v>0</v>
      </c>
      <c r="U293" s="99">
        <v>0</v>
      </c>
      <c r="V293" s="99">
        <v>0</v>
      </c>
      <c r="W293" s="99">
        <v>0</v>
      </c>
      <c r="X293" s="99">
        <v>0</v>
      </c>
      <c r="Y293" s="99">
        <v>0</v>
      </c>
      <c r="Z293" s="99">
        <v>0</v>
      </c>
      <c r="AA293" s="99">
        <v>0</v>
      </c>
      <c r="AB293" s="99">
        <v>1547.259295405036</v>
      </c>
      <c r="AC293" s="99">
        <v>0</v>
      </c>
      <c r="AD293" s="99">
        <v>0</v>
      </c>
      <c r="AE293" s="99">
        <v>0</v>
      </c>
      <c r="AF293" s="99">
        <v>0</v>
      </c>
      <c r="AG293" s="99">
        <v>0</v>
      </c>
      <c r="AH293" s="99">
        <v>0</v>
      </c>
      <c r="AI293" s="99">
        <v>0</v>
      </c>
      <c r="AJ293" s="99">
        <v>202.20737548141989</v>
      </c>
      <c r="AK293" s="99">
        <v>0</v>
      </c>
      <c r="AL293" s="99">
        <v>0</v>
      </c>
      <c r="AM293" s="99">
        <v>0</v>
      </c>
      <c r="AN293" s="99">
        <v>0</v>
      </c>
      <c r="AO293" s="99">
        <v>0</v>
      </c>
      <c r="AP293" s="99">
        <v>0</v>
      </c>
      <c r="AQ293" s="99">
        <v>0</v>
      </c>
      <c r="AR293" s="99">
        <f t="shared" si="4"/>
        <v>16726.017685086361</v>
      </c>
    </row>
    <row r="294" spans="1:44" ht="15" x14ac:dyDescent="0.25">
      <c r="A294" s="258">
        <v>287</v>
      </c>
      <c r="B294" s="258" t="s">
        <v>324</v>
      </c>
      <c r="C294" s="258" t="s">
        <v>1630</v>
      </c>
      <c r="D294" s="859" t="s">
        <v>1634</v>
      </c>
      <c r="E294" s="99">
        <v>480.70989620125971</v>
      </c>
      <c r="F294" s="99">
        <v>0</v>
      </c>
      <c r="G294" s="99">
        <v>14944.789263808118</v>
      </c>
      <c r="H294" s="99">
        <v>0</v>
      </c>
      <c r="I294" s="99">
        <v>0</v>
      </c>
      <c r="J294" s="99">
        <v>0</v>
      </c>
      <c r="K294" s="99">
        <v>0</v>
      </c>
      <c r="L294" s="99">
        <v>0</v>
      </c>
      <c r="M294" s="99">
        <v>0</v>
      </c>
      <c r="N294" s="99">
        <v>0</v>
      </c>
      <c r="O294" s="99">
        <v>0</v>
      </c>
      <c r="P294" s="99">
        <v>0</v>
      </c>
      <c r="Q294" s="99">
        <v>0</v>
      </c>
      <c r="R294" s="99">
        <v>0</v>
      </c>
      <c r="S294" s="99">
        <v>0</v>
      </c>
      <c r="T294" s="99">
        <v>0</v>
      </c>
      <c r="U294" s="99">
        <v>0</v>
      </c>
      <c r="V294" s="99">
        <v>0</v>
      </c>
      <c r="W294" s="99">
        <v>0</v>
      </c>
      <c r="X294" s="99">
        <v>0</v>
      </c>
      <c r="Y294" s="99">
        <v>0</v>
      </c>
      <c r="Z294" s="99">
        <v>0</v>
      </c>
      <c r="AA294" s="99">
        <v>0</v>
      </c>
      <c r="AB294" s="99">
        <v>5775.7082900307241</v>
      </c>
      <c r="AC294" s="99">
        <v>0</v>
      </c>
      <c r="AD294" s="99">
        <v>0</v>
      </c>
      <c r="AE294" s="99">
        <v>0</v>
      </c>
      <c r="AF294" s="99">
        <v>0</v>
      </c>
      <c r="AG294" s="99">
        <v>0</v>
      </c>
      <c r="AH294" s="99">
        <v>0</v>
      </c>
      <c r="AI294" s="99">
        <v>0</v>
      </c>
      <c r="AJ294" s="99">
        <v>1214.0741053186757</v>
      </c>
      <c r="AK294" s="99">
        <v>0</v>
      </c>
      <c r="AL294" s="99">
        <v>0</v>
      </c>
      <c r="AM294" s="99">
        <v>0</v>
      </c>
      <c r="AN294" s="99">
        <v>0</v>
      </c>
      <c r="AO294" s="99">
        <v>0</v>
      </c>
      <c r="AP294" s="99">
        <v>0</v>
      </c>
      <c r="AQ294" s="99">
        <v>0</v>
      </c>
      <c r="AR294" s="99">
        <f t="shared" si="4"/>
        <v>22415.281555358779</v>
      </c>
    </row>
    <row r="295" spans="1:44" ht="15" x14ac:dyDescent="0.25">
      <c r="A295" s="258">
        <v>288</v>
      </c>
      <c r="B295" s="258" t="s">
        <v>324</v>
      </c>
      <c r="C295" s="258" t="s">
        <v>1630</v>
      </c>
      <c r="D295" s="859" t="s">
        <v>1635</v>
      </c>
      <c r="E295" s="99">
        <v>851.03767776208986</v>
      </c>
      <c r="F295" s="99">
        <v>0</v>
      </c>
      <c r="G295" s="99">
        <v>9911.8867935541057</v>
      </c>
      <c r="H295" s="99">
        <v>0</v>
      </c>
      <c r="I295" s="99">
        <v>0</v>
      </c>
      <c r="J295" s="99">
        <v>0</v>
      </c>
      <c r="K295" s="99">
        <v>0</v>
      </c>
      <c r="L295" s="99">
        <v>0</v>
      </c>
      <c r="M295" s="99">
        <v>0</v>
      </c>
      <c r="N295" s="99">
        <v>0</v>
      </c>
      <c r="O295" s="99">
        <v>0</v>
      </c>
      <c r="P295" s="99">
        <v>0</v>
      </c>
      <c r="Q295" s="99">
        <v>0</v>
      </c>
      <c r="R295" s="99">
        <v>0</v>
      </c>
      <c r="S295" s="99">
        <v>0</v>
      </c>
      <c r="T295" s="99">
        <v>0</v>
      </c>
      <c r="U295" s="99">
        <v>0</v>
      </c>
      <c r="V295" s="99">
        <v>0</v>
      </c>
      <c r="W295" s="99">
        <v>0</v>
      </c>
      <c r="X295" s="99">
        <v>0</v>
      </c>
      <c r="Y295" s="99">
        <v>0</v>
      </c>
      <c r="Z295" s="99">
        <v>0</v>
      </c>
      <c r="AA295" s="99">
        <v>0</v>
      </c>
      <c r="AB295" s="99">
        <v>6375.2409997995601</v>
      </c>
      <c r="AC295" s="99">
        <v>0</v>
      </c>
      <c r="AD295" s="99">
        <v>0</v>
      </c>
      <c r="AE295" s="99">
        <v>0</v>
      </c>
      <c r="AF295" s="99">
        <v>0</v>
      </c>
      <c r="AG295" s="99">
        <v>0</v>
      </c>
      <c r="AH295" s="99">
        <v>0</v>
      </c>
      <c r="AI295" s="99">
        <v>0</v>
      </c>
      <c r="AJ295" s="99">
        <v>0</v>
      </c>
      <c r="AK295" s="99">
        <v>0</v>
      </c>
      <c r="AL295" s="99">
        <v>0</v>
      </c>
      <c r="AM295" s="99">
        <v>0</v>
      </c>
      <c r="AN295" s="99">
        <v>0</v>
      </c>
      <c r="AO295" s="99">
        <v>0</v>
      </c>
      <c r="AP295" s="99">
        <v>0</v>
      </c>
      <c r="AQ295" s="99">
        <v>0</v>
      </c>
      <c r="AR295" s="99">
        <f t="shared" si="4"/>
        <v>17138.165471115753</v>
      </c>
    </row>
    <row r="296" spans="1:44" ht="15" x14ac:dyDescent="0.25">
      <c r="A296" s="258">
        <v>289</v>
      </c>
      <c r="B296" s="258" t="s">
        <v>351</v>
      </c>
      <c r="C296" s="258" t="s">
        <v>1636</v>
      </c>
      <c r="D296" s="859" t="s">
        <v>1637</v>
      </c>
      <c r="E296" s="99">
        <v>2760.1848246823424</v>
      </c>
      <c r="F296" s="99">
        <v>0</v>
      </c>
      <c r="G296" s="99">
        <v>0</v>
      </c>
      <c r="H296" s="99">
        <v>0</v>
      </c>
      <c r="I296" s="99">
        <v>0</v>
      </c>
      <c r="J296" s="99">
        <v>0</v>
      </c>
      <c r="K296" s="99">
        <v>0</v>
      </c>
      <c r="L296" s="99">
        <v>0</v>
      </c>
      <c r="M296" s="99">
        <v>0</v>
      </c>
      <c r="N296" s="99">
        <v>0</v>
      </c>
      <c r="O296" s="99">
        <v>0</v>
      </c>
      <c r="P296" s="99">
        <v>0</v>
      </c>
      <c r="Q296" s="99">
        <v>0</v>
      </c>
      <c r="R296" s="99">
        <v>0</v>
      </c>
      <c r="S296" s="99">
        <v>0</v>
      </c>
      <c r="T296" s="99">
        <v>0</v>
      </c>
      <c r="U296" s="99">
        <v>0</v>
      </c>
      <c r="V296" s="99">
        <v>0</v>
      </c>
      <c r="W296" s="99">
        <v>0</v>
      </c>
      <c r="X296" s="99">
        <v>0</v>
      </c>
      <c r="Y296" s="99">
        <v>0</v>
      </c>
      <c r="Z296" s="99">
        <v>0</v>
      </c>
      <c r="AA296" s="99">
        <v>0</v>
      </c>
      <c r="AB296" s="99">
        <v>0</v>
      </c>
      <c r="AC296" s="99">
        <v>109312.39192383501</v>
      </c>
      <c r="AD296" s="99">
        <v>0</v>
      </c>
      <c r="AE296" s="99">
        <v>0</v>
      </c>
      <c r="AF296" s="99">
        <v>0</v>
      </c>
      <c r="AG296" s="99">
        <v>0</v>
      </c>
      <c r="AH296" s="99">
        <v>0</v>
      </c>
      <c r="AI296" s="99">
        <v>0</v>
      </c>
      <c r="AJ296" s="99">
        <v>0</v>
      </c>
      <c r="AK296" s="99">
        <v>0</v>
      </c>
      <c r="AL296" s="99">
        <v>0</v>
      </c>
      <c r="AM296" s="99">
        <v>0</v>
      </c>
      <c r="AN296" s="99">
        <v>0</v>
      </c>
      <c r="AO296" s="99">
        <v>0</v>
      </c>
      <c r="AP296" s="99">
        <v>0</v>
      </c>
      <c r="AQ296" s="99">
        <v>0</v>
      </c>
      <c r="AR296" s="99">
        <f t="shared" si="4"/>
        <v>112072.57674851734</v>
      </c>
    </row>
    <row r="297" spans="1:44" ht="15" x14ac:dyDescent="0.25">
      <c r="A297" s="258">
        <v>290</v>
      </c>
      <c r="B297" s="258" t="s">
        <v>351</v>
      </c>
      <c r="C297" s="258" t="s">
        <v>1636</v>
      </c>
      <c r="D297" s="859" t="s">
        <v>1638</v>
      </c>
      <c r="E297" s="99">
        <v>654.07722511170516</v>
      </c>
      <c r="F297" s="99">
        <v>0</v>
      </c>
      <c r="G297" s="99">
        <v>0</v>
      </c>
      <c r="H297" s="99">
        <v>0</v>
      </c>
      <c r="I297" s="99">
        <v>0</v>
      </c>
      <c r="J297" s="99">
        <v>0</v>
      </c>
      <c r="K297" s="99">
        <v>0</v>
      </c>
      <c r="L297" s="99">
        <v>0</v>
      </c>
      <c r="M297" s="99">
        <v>0</v>
      </c>
      <c r="N297" s="99">
        <v>0</v>
      </c>
      <c r="O297" s="99">
        <v>0</v>
      </c>
      <c r="P297" s="99">
        <v>0</v>
      </c>
      <c r="Q297" s="99">
        <v>0</v>
      </c>
      <c r="R297" s="99">
        <v>0</v>
      </c>
      <c r="S297" s="99">
        <v>0</v>
      </c>
      <c r="T297" s="99">
        <v>0</v>
      </c>
      <c r="U297" s="99">
        <v>0</v>
      </c>
      <c r="V297" s="99">
        <v>0</v>
      </c>
      <c r="W297" s="99">
        <v>0</v>
      </c>
      <c r="X297" s="99">
        <v>0</v>
      </c>
      <c r="Y297" s="99">
        <v>0</v>
      </c>
      <c r="Z297" s="99">
        <v>0</v>
      </c>
      <c r="AA297" s="99">
        <v>0</v>
      </c>
      <c r="AB297" s="99">
        <v>7.0219905425267672</v>
      </c>
      <c r="AC297" s="99">
        <v>45073.648997535005</v>
      </c>
      <c r="AD297" s="99">
        <v>0</v>
      </c>
      <c r="AE297" s="99">
        <v>0</v>
      </c>
      <c r="AF297" s="99">
        <v>0</v>
      </c>
      <c r="AG297" s="99">
        <v>0</v>
      </c>
      <c r="AH297" s="99">
        <v>0</v>
      </c>
      <c r="AI297" s="99">
        <v>0</v>
      </c>
      <c r="AJ297" s="99">
        <v>0</v>
      </c>
      <c r="AK297" s="99">
        <v>0</v>
      </c>
      <c r="AL297" s="99">
        <v>0</v>
      </c>
      <c r="AM297" s="99">
        <v>0</v>
      </c>
      <c r="AN297" s="99">
        <v>0</v>
      </c>
      <c r="AO297" s="99">
        <v>0</v>
      </c>
      <c r="AP297" s="99">
        <v>0</v>
      </c>
      <c r="AQ297" s="99">
        <v>0</v>
      </c>
      <c r="AR297" s="99">
        <f t="shared" si="4"/>
        <v>45734.748213189239</v>
      </c>
    </row>
    <row r="298" spans="1:44" ht="15" x14ac:dyDescent="0.25">
      <c r="A298" s="258">
        <v>291</v>
      </c>
      <c r="B298" s="258" t="s">
        <v>351</v>
      </c>
      <c r="C298" s="258" t="s">
        <v>1636</v>
      </c>
      <c r="D298" s="859" t="s">
        <v>1639</v>
      </c>
      <c r="E298" s="99">
        <v>20943.952988568817</v>
      </c>
      <c r="F298" s="99">
        <v>0</v>
      </c>
      <c r="G298" s="99">
        <v>0</v>
      </c>
      <c r="H298" s="99">
        <v>0</v>
      </c>
      <c r="I298" s="99">
        <v>0</v>
      </c>
      <c r="J298" s="99">
        <v>0</v>
      </c>
      <c r="K298" s="99">
        <v>0</v>
      </c>
      <c r="L298" s="99">
        <v>0</v>
      </c>
      <c r="M298" s="99">
        <v>0</v>
      </c>
      <c r="N298" s="99">
        <v>0</v>
      </c>
      <c r="O298" s="99">
        <v>0</v>
      </c>
      <c r="P298" s="99">
        <v>0</v>
      </c>
      <c r="Q298" s="99">
        <v>0</v>
      </c>
      <c r="R298" s="99">
        <v>0</v>
      </c>
      <c r="S298" s="99">
        <v>745.18155849300126</v>
      </c>
      <c r="T298" s="99">
        <v>0</v>
      </c>
      <c r="U298" s="99">
        <v>0</v>
      </c>
      <c r="V298" s="99">
        <v>0</v>
      </c>
      <c r="W298" s="99">
        <v>0</v>
      </c>
      <c r="X298" s="99">
        <v>0</v>
      </c>
      <c r="Y298" s="99">
        <v>0</v>
      </c>
      <c r="Z298" s="99">
        <v>0</v>
      </c>
      <c r="AA298" s="99">
        <v>0</v>
      </c>
      <c r="AB298" s="99">
        <v>0</v>
      </c>
      <c r="AC298" s="99">
        <v>123765.15658558675</v>
      </c>
      <c r="AD298" s="99">
        <v>0</v>
      </c>
      <c r="AE298" s="99">
        <v>0</v>
      </c>
      <c r="AF298" s="99">
        <v>0</v>
      </c>
      <c r="AG298" s="99">
        <v>0</v>
      </c>
      <c r="AH298" s="99">
        <v>0</v>
      </c>
      <c r="AI298" s="99">
        <v>0</v>
      </c>
      <c r="AJ298" s="99">
        <v>0</v>
      </c>
      <c r="AK298" s="99">
        <v>0</v>
      </c>
      <c r="AL298" s="99">
        <v>0</v>
      </c>
      <c r="AM298" s="99">
        <v>0</v>
      </c>
      <c r="AN298" s="99">
        <v>4483.428198267502</v>
      </c>
      <c r="AO298" s="99">
        <v>0</v>
      </c>
      <c r="AP298" s="99">
        <v>0</v>
      </c>
      <c r="AQ298" s="99">
        <v>0</v>
      </c>
      <c r="AR298" s="99">
        <f t="shared" si="4"/>
        <v>149937.71933091606</v>
      </c>
    </row>
    <row r="299" spans="1:44" ht="15" x14ac:dyDescent="0.25">
      <c r="A299" s="258">
        <v>292</v>
      </c>
      <c r="B299" s="258" t="s">
        <v>351</v>
      </c>
      <c r="C299" s="258" t="s">
        <v>1636</v>
      </c>
      <c r="D299" s="859" t="s">
        <v>1640</v>
      </c>
      <c r="E299" s="99">
        <v>7977.0036587858476</v>
      </c>
      <c r="F299" s="99">
        <v>0</v>
      </c>
      <c r="G299" s="99">
        <v>0</v>
      </c>
      <c r="H299" s="99">
        <v>0</v>
      </c>
      <c r="I299" s="99">
        <v>0</v>
      </c>
      <c r="J299" s="99">
        <v>0</v>
      </c>
      <c r="K299" s="99">
        <v>0</v>
      </c>
      <c r="L299" s="99">
        <v>0</v>
      </c>
      <c r="M299" s="99">
        <v>0</v>
      </c>
      <c r="N299" s="99">
        <v>0</v>
      </c>
      <c r="O299" s="99">
        <v>0</v>
      </c>
      <c r="P299" s="99">
        <v>0</v>
      </c>
      <c r="Q299" s="99">
        <v>0</v>
      </c>
      <c r="R299" s="99">
        <v>0</v>
      </c>
      <c r="S299" s="99">
        <v>0</v>
      </c>
      <c r="T299" s="99">
        <v>0</v>
      </c>
      <c r="U299" s="99">
        <v>0</v>
      </c>
      <c r="V299" s="99">
        <v>0</v>
      </c>
      <c r="W299" s="99">
        <v>0</v>
      </c>
      <c r="X299" s="99">
        <v>0</v>
      </c>
      <c r="Y299" s="99">
        <v>0</v>
      </c>
      <c r="Z299" s="99">
        <v>0</v>
      </c>
      <c r="AA299" s="99">
        <v>0</v>
      </c>
      <c r="AB299" s="99">
        <v>0</v>
      </c>
      <c r="AC299" s="99">
        <v>24053.71579899783</v>
      </c>
      <c r="AD299" s="99">
        <v>0</v>
      </c>
      <c r="AE299" s="99">
        <v>0</v>
      </c>
      <c r="AF299" s="99">
        <v>0</v>
      </c>
      <c r="AG299" s="99">
        <v>0</v>
      </c>
      <c r="AH299" s="99">
        <v>0</v>
      </c>
      <c r="AI299" s="99">
        <v>77.131522945191151</v>
      </c>
      <c r="AJ299" s="99">
        <v>0</v>
      </c>
      <c r="AK299" s="99">
        <v>0</v>
      </c>
      <c r="AL299" s="99">
        <v>0</v>
      </c>
      <c r="AM299" s="99">
        <v>0</v>
      </c>
      <c r="AN299" s="99">
        <v>235.43938025268557</v>
      </c>
      <c r="AO299" s="99">
        <v>0</v>
      </c>
      <c r="AP299" s="99">
        <v>0</v>
      </c>
      <c r="AQ299" s="99">
        <v>0</v>
      </c>
      <c r="AR299" s="99">
        <f t="shared" si="4"/>
        <v>32343.290360981555</v>
      </c>
    </row>
    <row r="300" spans="1:44" ht="15" x14ac:dyDescent="0.25">
      <c r="A300" s="258">
        <v>293</v>
      </c>
      <c r="B300" s="258" t="s">
        <v>351</v>
      </c>
      <c r="C300" s="258" t="s">
        <v>1636</v>
      </c>
      <c r="D300" s="859" t="s">
        <v>1641</v>
      </c>
      <c r="E300" s="99">
        <v>6917.6302722844739</v>
      </c>
      <c r="F300" s="99">
        <v>0</v>
      </c>
      <c r="G300" s="99">
        <v>0</v>
      </c>
      <c r="H300" s="99">
        <v>0</v>
      </c>
      <c r="I300" s="99">
        <v>0</v>
      </c>
      <c r="J300" s="99">
        <v>0</v>
      </c>
      <c r="K300" s="99">
        <v>0</v>
      </c>
      <c r="L300" s="99">
        <v>0</v>
      </c>
      <c r="M300" s="99">
        <v>0</v>
      </c>
      <c r="N300" s="99">
        <v>0</v>
      </c>
      <c r="O300" s="99">
        <v>0</v>
      </c>
      <c r="P300" s="99">
        <v>0</v>
      </c>
      <c r="Q300" s="99">
        <v>0</v>
      </c>
      <c r="R300" s="99">
        <v>0</v>
      </c>
      <c r="S300" s="99">
        <v>0</v>
      </c>
      <c r="T300" s="99">
        <v>0</v>
      </c>
      <c r="U300" s="99">
        <v>0</v>
      </c>
      <c r="V300" s="99">
        <v>0</v>
      </c>
      <c r="W300" s="99">
        <v>0</v>
      </c>
      <c r="X300" s="99">
        <v>0</v>
      </c>
      <c r="Y300" s="99">
        <v>0</v>
      </c>
      <c r="Z300" s="99">
        <v>0</v>
      </c>
      <c r="AA300" s="99">
        <v>0</v>
      </c>
      <c r="AB300" s="99">
        <v>1208.7509237342629</v>
      </c>
      <c r="AC300" s="99">
        <v>18097.867156160759</v>
      </c>
      <c r="AD300" s="99">
        <v>0</v>
      </c>
      <c r="AE300" s="99">
        <v>0</v>
      </c>
      <c r="AF300" s="99">
        <v>0</v>
      </c>
      <c r="AG300" s="99">
        <v>0</v>
      </c>
      <c r="AH300" s="99">
        <v>0</v>
      </c>
      <c r="AI300" s="99">
        <v>0</v>
      </c>
      <c r="AJ300" s="99">
        <v>0</v>
      </c>
      <c r="AK300" s="99">
        <v>0</v>
      </c>
      <c r="AL300" s="99">
        <v>0</v>
      </c>
      <c r="AM300" s="99">
        <v>0</v>
      </c>
      <c r="AN300" s="99">
        <v>6735.5822699201026</v>
      </c>
      <c r="AO300" s="99">
        <v>0</v>
      </c>
      <c r="AP300" s="99">
        <v>0</v>
      </c>
      <c r="AQ300" s="99">
        <v>0</v>
      </c>
      <c r="AR300" s="99">
        <f t="shared" si="4"/>
        <v>32959.830622099602</v>
      </c>
    </row>
    <row r="301" spans="1:44" ht="15" x14ac:dyDescent="0.25">
      <c r="A301" s="258">
        <v>294</v>
      </c>
      <c r="B301" s="258" t="s">
        <v>351</v>
      </c>
      <c r="C301" s="258" t="s">
        <v>1636</v>
      </c>
      <c r="D301" s="859" t="s">
        <v>1642</v>
      </c>
      <c r="E301" s="99">
        <v>14720.634643488269</v>
      </c>
      <c r="F301" s="99">
        <v>0</v>
      </c>
      <c r="G301" s="99">
        <v>0</v>
      </c>
      <c r="H301" s="99">
        <v>0</v>
      </c>
      <c r="I301" s="99">
        <v>0</v>
      </c>
      <c r="J301" s="99">
        <v>0</v>
      </c>
      <c r="K301" s="99">
        <v>0</v>
      </c>
      <c r="L301" s="99">
        <v>0</v>
      </c>
      <c r="M301" s="99">
        <v>0</v>
      </c>
      <c r="N301" s="99">
        <v>0</v>
      </c>
      <c r="O301" s="99">
        <v>0</v>
      </c>
      <c r="P301" s="99">
        <v>0</v>
      </c>
      <c r="Q301" s="99">
        <v>0</v>
      </c>
      <c r="R301" s="99">
        <v>0</v>
      </c>
      <c r="S301" s="99">
        <v>0</v>
      </c>
      <c r="T301" s="99">
        <v>0</v>
      </c>
      <c r="U301" s="99">
        <v>0</v>
      </c>
      <c r="V301" s="99">
        <v>0</v>
      </c>
      <c r="W301" s="99">
        <v>0</v>
      </c>
      <c r="X301" s="99">
        <v>0</v>
      </c>
      <c r="Y301" s="99">
        <v>0</v>
      </c>
      <c r="Z301" s="99">
        <v>0</v>
      </c>
      <c r="AA301" s="99">
        <v>0</v>
      </c>
      <c r="AB301" s="99">
        <v>0</v>
      </c>
      <c r="AC301" s="99">
        <v>45357.56834264694</v>
      </c>
      <c r="AD301" s="99">
        <v>0</v>
      </c>
      <c r="AE301" s="99">
        <v>0</v>
      </c>
      <c r="AF301" s="99">
        <v>0</v>
      </c>
      <c r="AG301" s="99">
        <v>0</v>
      </c>
      <c r="AH301" s="99">
        <v>0</v>
      </c>
      <c r="AI301" s="99">
        <v>87.800509112213049</v>
      </c>
      <c r="AJ301" s="99">
        <v>0</v>
      </c>
      <c r="AK301" s="99">
        <v>0</v>
      </c>
      <c r="AL301" s="99">
        <v>0</v>
      </c>
      <c r="AM301" s="99">
        <v>0</v>
      </c>
      <c r="AN301" s="99">
        <v>16.079957672711451</v>
      </c>
      <c r="AO301" s="99">
        <v>0</v>
      </c>
      <c r="AP301" s="99">
        <v>0</v>
      </c>
      <c r="AQ301" s="99">
        <v>0</v>
      </c>
      <c r="AR301" s="99">
        <f t="shared" si="4"/>
        <v>60182.083452920131</v>
      </c>
    </row>
    <row r="302" spans="1:44" ht="15" x14ac:dyDescent="0.25">
      <c r="A302" s="258">
        <v>295</v>
      </c>
      <c r="B302" s="258" t="s">
        <v>351</v>
      </c>
      <c r="C302" s="258" t="s">
        <v>1636</v>
      </c>
      <c r="D302" s="859" t="s">
        <v>1643</v>
      </c>
      <c r="E302" s="99">
        <v>1652.1506204673444</v>
      </c>
      <c r="F302" s="99">
        <v>0</v>
      </c>
      <c r="G302" s="99">
        <v>3410.2566148067867</v>
      </c>
      <c r="H302" s="99">
        <v>0</v>
      </c>
      <c r="I302" s="99">
        <v>0</v>
      </c>
      <c r="J302" s="99">
        <v>0</v>
      </c>
      <c r="K302" s="99">
        <v>0</v>
      </c>
      <c r="L302" s="99">
        <v>0</v>
      </c>
      <c r="M302" s="99">
        <v>0</v>
      </c>
      <c r="N302" s="99">
        <v>0</v>
      </c>
      <c r="O302" s="99">
        <v>0</v>
      </c>
      <c r="P302" s="99">
        <v>0</v>
      </c>
      <c r="Q302" s="99">
        <v>0</v>
      </c>
      <c r="R302" s="99">
        <v>0</v>
      </c>
      <c r="S302" s="99">
        <v>0</v>
      </c>
      <c r="T302" s="99">
        <v>0</v>
      </c>
      <c r="U302" s="99">
        <v>0</v>
      </c>
      <c r="V302" s="99">
        <v>0</v>
      </c>
      <c r="W302" s="99">
        <v>0</v>
      </c>
      <c r="X302" s="99">
        <v>0</v>
      </c>
      <c r="Y302" s="99">
        <v>0</v>
      </c>
      <c r="Z302" s="99">
        <v>0</v>
      </c>
      <c r="AA302" s="99">
        <v>0</v>
      </c>
      <c r="AB302" s="99">
        <v>19009.981224249448</v>
      </c>
      <c r="AC302" s="99">
        <v>3007.3064219551361</v>
      </c>
      <c r="AD302" s="99">
        <v>0</v>
      </c>
      <c r="AE302" s="99">
        <v>0</v>
      </c>
      <c r="AF302" s="99">
        <v>0</v>
      </c>
      <c r="AG302" s="99">
        <v>0</v>
      </c>
      <c r="AH302" s="99">
        <v>0</v>
      </c>
      <c r="AI302" s="99">
        <v>0</v>
      </c>
      <c r="AJ302" s="99">
        <v>1006.6109977795992</v>
      </c>
      <c r="AK302" s="99">
        <v>0</v>
      </c>
      <c r="AL302" s="99">
        <v>0</v>
      </c>
      <c r="AM302" s="99">
        <v>0</v>
      </c>
      <c r="AN302" s="99">
        <v>5376.2258481553617</v>
      </c>
      <c r="AO302" s="99">
        <v>0</v>
      </c>
      <c r="AP302" s="99">
        <v>0</v>
      </c>
      <c r="AQ302" s="99">
        <v>0</v>
      </c>
      <c r="AR302" s="99">
        <f t="shared" si="4"/>
        <v>33462.531727413676</v>
      </c>
    </row>
    <row r="303" spans="1:44" ht="15" x14ac:dyDescent="0.25">
      <c r="A303" s="258">
        <v>296</v>
      </c>
      <c r="B303" s="258" t="s">
        <v>351</v>
      </c>
      <c r="C303" s="258" t="s">
        <v>1636</v>
      </c>
      <c r="D303" s="859" t="s">
        <v>1644</v>
      </c>
      <c r="E303" s="99">
        <v>121.75737072932873</v>
      </c>
      <c r="F303" s="99">
        <v>0</v>
      </c>
      <c r="G303" s="99">
        <v>17250.12469928541</v>
      </c>
      <c r="H303" s="99">
        <v>0</v>
      </c>
      <c r="I303" s="99">
        <v>0</v>
      </c>
      <c r="J303" s="99">
        <v>0</v>
      </c>
      <c r="K303" s="99">
        <v>0</v>
      </c>
      <c r="L303" s="99">
        <v>0</v>
      </c>
      <c r="M303" s="99">
        <v>0</v>
      </c>
      <c r="N303" s="99">
        <v>0</v>
      </c>
      <c r="O303" s="99">
        <v>0</v>
      </c>
      <c r="P303" s="99">
        <v>0</v>
      </c>
      <c r="Q303" s="99">
        <v>0</v>
      </c>
      <c r="R303" s="99">
        <v>0</v>
      </c>
      <c r="S303" s="99">
        <v>0</v>
      </c>
      <c r="T303" s="99">
        <v>0</v>
      </c>
      <c r="U303" s="99">
        <v>0</v>
      </c>
      <c r="V303" s="99">
        <v>0</v>
      </c>
      <c r="W303" s="99">
        <v>0</v>
      </c>
      <c r="X303" s="99">
        <v>0</v>
      </c>
      <c r="Y303" s="99">
        <v>0</v>
      </c>
      <c r="Z303" s="99">
        <v>0</v>
      </c>
      <c r="AA303" s="99">
        <v>0</v>
      </c>
      <c r="AB303" s="99">
        <v>13806.444094632197</v>
      </c>
      <c r="AC303" s="99">
        <v>0</v>
      </c>
      <c r="AD303" s="99">
        <v>0</v>
      </c>
      <c r="AE303" s="99">
        <v>0</v>
      </c>
      <c r="AF303" s="99">
        <v>0</v>
      </c>
      <c r="AG303" s="99">
        <v>0</v>
      </c>
      <c r="AH303" s="99">
        <v>0</v>
      </c>
      <c r="AI303" s="99">
        <v>0</v>
      </c>
      <c r="AJ303" s="99">
        <v>2334.6515035064081</v>
      </c>
      <c r="AK303" s="99">
        <v>0</v>
      </c>
      <c r="AL303" s="99">
        <v>0</v>
      </c>
      <c r="AM303" s="99">
        <v>0</v>
      </c>
      <c r="AN303" s="99">
        <v>0</v>
      </c>
      <c r="AO303" s="99">
        <v>0</v>
      </c>
      <c r="AP303" s="99">
        <v>0</v>
      </c>
      <c r="AQ303" s="99">
        <v>0</v>
      </c>
      <c r="AR303" s="99">
        <f t="shared" si="4"/>
        <v>33512.977668153348</v>
      </c>
    </row>
    <row r="304" spans="1:44" ht="15" x14ac:dyDescent="0.25">
      <c r="A304" s="258">
        <v>297</v>
      </c>
      <c r="B304" s="258" t="s">
        <v>351</v>
      </c>
      <c r="C304" s="258" t="s">
        <v>1636</v>
      </c>
      <c r="D304" s="859" t="s">
        <v>1645</v>
      </c>
      <c r="E304" s="99">
        <v>10917.29670487576</v>
      </c>
      <c r="F304" s="99">
        <v>0</v>
      </c>
      <c r="G304" s="99">
        <v>16905.465882182853</v>
      </c>
      <c r="H304" s="99">
        <v>0</v>
      </c>
      <c r="I304" s="99">
        <v>0</v>
      </c>
      <c r="J304" s="99">
        <v>0</v>
      </c>
      <c r="K304" s="99">
        <v>0</v>
      </c>
      <c r="L304" s="99">
        <v>0</v>
      </c>
      <c r="M304" s="99">
        <v>0</v>
      </c>
      <c r="N304" s="99">
        <v>0</v>
      </c>
      <c r="O304" s="99">
        <v>0</v>
      </c>
      <c r="P304" s="99">
        <v>0</v>
      </c>
      <c r="Q304" s="99">
        <v>0</v>
      </c>
      <c r="R304" s="99">
        <v>0</v>
      </c>
      <c r="S304" s="99">
        <v>0</v>
      </c>
      <c r="T304" s="99">
        <v>0</v>
      </c>
      <c r="U304" s="99">
        <v>0</v>
      </c>
      <c r="V304" s="99">
        <v>0</v>
      </c>
      <c r="W304" s="99">
        <v>0</v>
      </c>
      <c r="X304" s="99">
        <v>0</v>
      </c>
      <c r="Y304" s="99">
        <v>0</v>
      </c>
      <c r="Z304" s="99">
        <v>0</v>
      </c>
      <c r="AA304" s="99">
        <v>0</v>
      </c>
      <c r="AB304" s="99">
        <v>2016.279836124841</v>
      </c>
      <c r="AC304" s="99">
        <v>16355.390204924141</v>
      </c>
      <c r="AD304" s="99">
        <v>0</v>
      </c>
      <c r="AE304" s="99">
        <v>0</v>
      </c>
      <c r="AF304" s="99">
        <v>0</v>
      </c>
      <c r="AG304" s="99">
        <v>0</v>
      </c>
      <c r="AH304" s="99">
        <v>0</v>
      </c>
      <c r="AI304" s="99">
        <v>0</v>
      </c>
      <c r="AJ304" s="99">
        <v>917.26355279943698</v>
      </c>
      <c r="AK304" s="99">
        <v>0</v>
      </c>
      <c r="AL304" s="99">
        <v>0</v>
      </c>
      <c r="AM304" s="99">
        <v>0</v>
      </c>
      <c r="AN304" s="99">
        <v>291.35923305480156</v>
      </c>
      <c r="AO304" s="99">
        <v>0</v>
      </c>
      <c r="AP304" s="99">
        <v>0</v>
      </c>
      <c r="AQ304" s="99">
        <v>0</v>
      </c>
      <c r="AR304" s="99">
        <f t="shared" si="4"/>
        <v>47403.055413961825</v>
      </c>
    </row>
    <row r="305" spans="1:44" ht="15" x14ac:dyDescent="0.25">
      <c r="A305" s="258">
        <v>298</v>
      </c>
      <c r="B305" s="258" t="s">
        <v>319</v>
      </c>
      <c r="C305" s="258" t="s">
        <v>1646</v>
      </c>
      <c r="D305" s="859" t="s">
        <v>1647</v>
      </c>
      <c r="E305" s="99">
        <v>1151.6393525557787</v>
      </c>
      <c r="F305" s="99">
        <v>0</v>
      </c>
      <c r="G305" s="99">
        <v>24079.966301441647</v>
      </c>
      <c r="H305" s="99">
        <v>0</v>
      </c>
      <c r="I305" s="99">
        <v>0</v>
      </c>
      <c r="J305" s="99">
        <v>0</v>
      </c>
      <c r="K305" s="99">
        <v>0</v>
      </c>
      <c r="L305" s="99">
        <v>0</v>
      </c>
      <c r="M305" s="99">
        <v>0</v>
      </c>
      <c r="N305" s="99">
        <v>0</v>
      </c>
      <c r="O305" s="99">
        <v>0</v>
      </c>
      <c r="P305" s="99">
        <v>0</v>
      </c>
      <c r="Q305" s="99">
        <v>0</v>
      </c>
      <c r="R305" s="99">
        <v>0</v>
      </c>
      <c r="S305" s="99">
        <v>0</v>
      </c>
      <c r="T305" s="99">
        <v>0</v>
      </c>
      <c r="U305" s="99">
        <v>0</v>
      </c>
      <c r="V305" s="99">
        <v>0</v>
      </c>
      <c r="W305" s="99">
        <v>0</v>
      </c>
      <c r="X305" s="99">
        <v>0</v>
      </c>
      <c r="Y305" s="99">
        <v>0</v>
      </c>
      <c r="Z305" s="99">
        <v>0</v>
      </c>
      <c r="AA305" s="99">
        <v>0</v>
      </c>
      <c r="AB305" s="99">
        <v>78526.435961867013</v>
      </c>
      <c r="AC305" s="99">
        <v>0</v>
      </c>
      <c r="AD305" s="99">
        <v>0</v>
      </c>
      <c r="AE305" s="99">
        <v>0</v>
      </c>
      <c r="AF305" s="99">
        <v>0</v>
      </c>
      <c r="AG305" s="99">
        <v>0</v>
      </c>
      <c r="AH305" s="99">
        <v>0</v>
      </c>
      <c r="AI305" s="99">
        <v>0</v>
      </c>
      <c r="AJ305" s="99">
        <v>95.986264421412741</v>
      </c>
      <c r="AK305" s="99">
        <v>0</v>
      </c>
      <c r="AL305" s="99">
        <v>0</v>
      </c>
      <c r="AM305" s="99">
        <v>0</v>
      </c>
      <c r="AN305" s="99">
        <v>9458.8551014463246</v>
      </c>
      <c r="AO305" s="99">
        <v>0</v>
      </c>
      <c r="AP305" s="99">
        <v>0</v>
      </c>
      <c r="AQ305" s="99">
        <v>0</v>
      </c>
      <c r="AR305" s="99">
        <f t="shared" si="4"/>
        <v>113312.88298173218</v>
      </c>
    </row>
    <row r="306" spans="1:44" ht="15" x14ac:dyDescent="0.25">
      <c r="A306" s="258">
        <v>299</v>
      </c>
      <c r="B306" s="258" t="s">
        <v>319</v>
      </c>
      <c r="C306" s="258" t="s">
        <v>1646</v>
      </c>
      <c r="D306" s="859" t="s">
        <v>1648</v>
      </c>
      <c r="E306" s="99">
        <v>38.128173186865908</v>
      </c>
      <c r="F306" s="99">
        <v>0</v>
      </c>
      <c r="G306" s="99">
        <v>11049.457276782918</v>
      </c>
      <c r="H306" s="99">
        <v>0</v>
      </c>
      <c r="I306" s="99">
        <v>0</v>
      </c>
      <c r="J306" s="99">
        <v>0</v>
      </c>
      <c r="K306" s="99">
        <v>0</v>
      </c>
      <c r="L306" s="99">
        <v>0</v>
      </c>
      <c r="M306" s="99">
        <v>0</v>
      </c>
      <c r="N306" s="99">
        <v>0</v>
      </c>
      <c r="O306" s="99">
        <v>0</v>
      </c>
      <c r="P306" s="99">
        <v>0</v>
      </c>
      <c r="Q306" s="99">
        <v>0</v>
      </c>
      <c r="R306" s="99">
        <v>0</v>
      </c>
      <c r="S306" s="99">
        <v>0</v>
      </c>
      <c r="T306" s="99">
        <v>0</v>
      </c>
      <c r="U306" s="99">
        <v>0</v>
      </c>
      <c r="V306" s="99">
        <v>0</v>
      </c>
      <c r="W306" s="99">
        <v>0</v>
      </c>
      <c r="X306" s="99">
        <v>0</v>
      </c>
      <c r="Y306" s="99">
        <v>0</v>
      </c>
      <c r="Z306" s="99">
        <v>0</v>
      </c>
      <c r="AA306" s="99">
        <v>0</v>
      </c>
      <c r="AB306" s="99">
        <v>9851.1263183503106</v>
      </c>
      <c r="AC306" s="99">
        <v>0</v>
      </c>
      <c r="AD306" s="99">
        <v>0</v>
      </c>
      <c r="AE306" s="99">
        <v>0</v>
      </c>
      <c r="AF306" s="99">
        <v>0</v>
      </c>
      <c r="AG306" s="99">
        <v>0</v>
      </c>
      <c r="AH306" s="99">
        <v>0</v>
      </c>
      <c r="AI306" s="99">
        <v>0</v>
      </c>
      <c r="AJ306" s="99">
        <v>537.46775726456758</v>
      </c>
      <c r="AK306" s="99">
        <v>0</v>
      </c>
      <c r="AL306" s="99">
        <v>0</v>
      </c>
      <c r="AM306" s="99">
        <v>0</v>
      </c>
      <c r="AN306" s="99">
        <v>0</v>
      </c>
      <c r="AO306" s="99">
        <v>0</v>
      </c>
      <c r="AP306" s="99">
        <v>0</v>
      </c>
      <c r="AQ306" s="99">
        <v>0</v>
      </c>
      <c r="AR306" s="99">
        <f t="shared" si="4"/>
        <v>21476.179525584659</v>
      </c>
    </row>
    <row r="307" spans="1:44" ht="15" x14ac:dyDescent="0.25">
      <c r="A307" s="258">
        <v>300</v>
      </c>
      <c r="B307" s="258" t="s">
        <v>319</v>
      </c>
      <c r="C307" s="258" t="s">
        <v>1646</v>
      </c>
      <c r="D307" s="859" t="s">
        <v>1649</v>
      </c>
      <c r="E307" s="99">
        <v>4963.4034067896937</v>
      </c>
      <c r="F307" s="99">
        <v>0</v>
      </c>
      <c r="G307" s="99">
        <v>14962.955041917512</v>
      </c>
      <c r="H307" s="99">
        <v>0</v>
      </c>
      <c r="I307" s="99">
        <v>0</v>
      </c>
      <c r="J307" s="99">
        <v>0</v>
      </c>
      <c r="K307" s="99">
        <v>0</v>
      </c>
      <c r="L307" s="99">
        <v>0</v>
      </c>
      <c r="M307" s="99">
        <v>0</v>
      </c>
      <c r="N307" s="99">
        <v>0</v>
      </c>
      <c r="O307" s="99">
        <v>0</v>
      </c>
      <c r="P307" s="99">
        <v>0</v>
      </c>
      <c r="Q307" s="99">
        <v>0</v>
      </c>
      <c r="R307" s="99">
        <v>0</v>
      </c>
      <c r="S307" s="99">
        <v>0</v>
      </c>
      <c r="T307" s="99">
        <v>0</v>
      </c>
      <c r="U307" s="99">
        <v>0</v>
      </c>
      <c r="V307" s="99">
        <v>0</v>
      </c>
      <c r="W307" s="99">
        <v>0</v>
      </c>
      <c r="X307" s="99">
        <v>0</v>
      </c>
      <c r="Y307" s="99">
        <v>0</v>
      </c>
      <c r="Z307" s="99">
        <v>0</v>
      </c>
      <c r="AA307" s="99">
        <v>0</v>
      </c>
      <c r="AB307" s="99">
        <v>3266.4362902995208</v>
      </c>
      <c r="AC307" s="99">
        <v>0</v>
      </c>
      <c r="AD307" s="99">
        <v>0</v>
      </c>
      <c r="AE307" s="99">
        <v>0</v>
      </c>
      <c r="AF307" s="99">
        <v>0</v>
      </c>
      <c r="AG307" s="99">
        <v>0</v>
      </c>
      <c r="AH307" s="99">
        <v>0</v>
      </c>
      <c r="AI307" s="99">
        <v>0</v>
      </c>
      <c r="AJ307" s="99">
        <v>38.726446740627615</v>
      </c>
      <c r="AK307" s="99">
        <v>0</v>
      </c>
      <c r="AL307" s="99">
        <v>0</v>
      </c>
      <c r="AM307" s="99">
        <v>0</v>
      </c>
      <c r="AN307" s="99">
        <v>0</v>
      </c>
      <c r="AO307" s="99">
        <v>0</v>
      </c>
      <c r="AP307" s="99">
        <v>0</v>
      </c>
      <c r="AQ307" s="99">
        <v>0</v>
      </c>
      <c r="AR307" s="99">
        <f t="shared" si="4"/>
        <v>23231.521185747355</v>
      </c>
    </row>
    <row r="308" spans="1:44" ht="15" x14ac:dyDescent="0.25">
      <c r="A308" s="258">
        <v>301</v>
      </c>
      <c r="B308" s="258" t="s">
        <v>288</v>
      </c>
      <c r="C308" s="258" t="s">
        <v>1650</v>
      </c>
      <c r="D308" s="859" t="s">
        <v>1651</v>
      </c>
      <c r="E308" s="99">
        <v>3051.3071194019485</v>
      </c>
      <c r="F308" s="99">
        <v>0</v>
      </c>
      <c r="G308" s="99">
        <v>9475.908118928648</v>
      </c>
      <c r="H308" s="99">
        <v>0</v>
      </c>
      <c r="I308" s="99">
        <v>0</v>
      </c>
      <c r="J308" s="99">
        <v>0</v>
      </c>
      <c r="K308" s="99">
        <v>0</v>
      </c>
      <c r="L308" s="99">
        <v>0</v>
      </c>
      <c r="M308" s="99">
        <v>0</v>
      </c>
      <c r="N308" s="99">
        <v>0</v>
      </c>
      <c r="O308" s="99">
        <v>0</v>
      </c>
      <c r="P308" s="99">
        <v>0</v>
      </c>
      <c r="Q308" s="99">
        <v>0</v>
      </c>
      <c r="R308" s="99">
        <v>0</v>
      </c>
      <c r="S308" s="99">
        <v>23760.820670712881</v>
      </c>
      <c r="T308" s="99">
        <v>0</v>
      </c>
      <c r="U308" s="99">
        <v>0</v>
      </c>
      <c r="V308" s="99">
        <v>0</v>
      </c>
      <c r="W308" s="99">
        <v>0</v>
      </c>
      <c r="X308" s="99">
        <v>0</v>
      </c>
      <c r="Y308" s="99">
        <v>0</v>
      </c>
      <c r="Z308" s="99">
        <v>0</v>
      </c>
      <c r="AA308" s="99">
        <v>0</v>
      </c>
      <c r="AB308" s="99">
        <v>41404.561889996796</v>
      </c>
      <c r="AC308" s="99">
        <v>0</v>
      </c>
      <c r="AD308" s="99">
        <v>0</v>
      </c>
      <c r="AE308" s="99">
        <v>0</v>
      </c>
      <c r="AF308" s="99">
        <v>0</v>
      </c>
      <c r="AG308" s="99">
        <v>0</v>
      </c>
      <c r="AH308" s="99">
        <v>0</v>
      </c>
      <c r="AI308" s="99">
        <v>0</v>
      </c>
      <c r="AJ308" s="99">
        <v>494.0388134197209</v>
      </c>
      <c r="AK308" s="99">
        <v>0</v>
      </c>
      <c r="AL308" s="99">
        <v>0</v>
      </c>
      <c r="AM308" s="99">
        <v>0</v>
      </c>
      <c r="AN308" s="99">
        <v>46448.277734152405</v>
      </c>
      <c r="AO308" s="99">
        <v>0</v>
      </c>
      <c r="AP308" s="99">
        <v>0</v>
      </c>
      <c r="AQ308" s="99">
        <v>0</v>
      </c>
      <c r="AR308" s="99">
        <f t="shared" si="4"/>
        <v>124634.91434661241</v>
      </c>
    </row>
    <row r="309" spans="1:44" ht="15" x14ac:dyDescent="0.25">
      <c r="A309" s="258">
        <v>302</v>
      </c>
      <c r="B309" s="258" t="s">
        <v>288</v>
      </c>
      <c r="C309" s="258" t="s">
        <v>1650</v>
      </c>
      <c r="D309" s="859" t="s">
        <v>1652</v>
      </c>
      <c r="E309" s="99">
        <v>10628.491591952041</v>
      </c>
      <c r="F309" s="99">
        <v>0</v>
      </c>
      <c r="G309" s="99">
        <v>4729.484879129539</v>
      </c>
      <c r="H309" s="99">
        <v>0</v>
      </c>
      <c r="I309" s="99">
        <v>0</v>
      </c>
      <c r="J309" s="99">
        <v>0</v>
      </c>
      <c r="K309" s="99">
        <v>0</v>
      </c>
      <c r="L309" s="99">
        <v>0</v>
      </c>
      <c r="M309" s="99">
        <v>0</v>
      </c>
      <c r="N309" s="99">
        <v>0</v>
      </c>
      <c r="O309" s="99">
        <v>0</v>
      </c>
      <c r="P309" s="99">
        <v>0</v>
      </c>
      <c r="Q309" s="99">
        <v>0</v>
      </c>
      <c r="R309" s="99">
        <v>0</v>
      </c>
      <c r="S309" s="99">
        <v>50247.869525805327</v>
      </c>
      <c r="T309" s="99">
        <v>0</v>
      </c>
      <c r="U309" s="99">
        <v>0</v>
      </c>
      <c r="V309" s="99">
        <v>0</v>
      </c>
      <c r="W309" s="99">
        <v>0</v>
      </c>
      <c r="X309" s="99">
        <v>0</v>
      </c>
      <c r="Y309" s="99">
        <v>0</v>
      </c>
      <c r="Z309" s="99">
        <v>0</v>
      </c>
      <c r="AA309" s="99">
        <v>0</v>
      </c>
      <c r="AB309" s="99">
        <v>5519.5267040309536</v>
      </c>
      <c r="AC309" s="99">
        <v>8353.7724521978998</v>
      </c>
      <c r="AD309" s="99">
        <v>0</v>
      </c>
      <c r="AE309" s="99">
        <v>0</v>
      </c>
      <c r="AF309" s="99">
        <v>0</v>
      </c>
      <c r="AG309" s="99">
        <v>0</v>
      </c>
      <c r="AH309" s="99">
        <v>0</v>
      </c>
      <c r="AI309" s="99">
        <v>0</v>
      </c>
      <c r="AJ309" s="99">
        <v>0</v>
      </c>
      <c r="AK309" s="99">
        <v>0</v>
      </c>
      <c r="AL309" s="99">
        <v>0</v>
      </c>
      <c r="AM309" s="99">
        <v>0</v>
      </c>
      <c r="AN309" s="99">
        <v>19859.947722639889</v>
      </c>
      <c r="AO309" s="99">
        <v>0</v>
      </c>
      <c r="AP309" s="99">
        <v>0</v>
      </c>
      <c r="AQ309" s="99">
        <v>0</v>
      </c>
      <c r="AR309" s="99">
        <f t="shared" si="4"/>
        <v>99339.092875755639</v>
      </c>
    </row>
    <row r="310" spans="1:44" ht="15" x14ac:dyDescent="0.25">
      <c r="A310" s="258">
        <v>303</v>
      </c>
      <c r="B310" s="258" t="s">
        <v>288</v>
      </c>
      <c r="C310" s="258" t="s">
        <v>1650</v>
      </c>
      <c r="D310" s="859" t="s">
        <v>1653</v>
      </c>
      <c r="E310" s="99">
        <v>3389.1943558203625</v>
      </c>
      <c r="F310" s="99">
        <v>0</v>
      </c>
      <c r="G310" s="99">
        <v>721.72145461646664</v>
      </c>
      <c r="H310" s="99">
        <v>0</v>
      </c>
      <c r="I310" s="99">
        <v>0</v>
      </c>
      <c r="J310" s="99">
        <v>0</v>
      </c>
      <c r="K310" s="99">
        <v>0</v>
      </c>
      <c r="L310" s="99">
        <v>0</v>
      </c>
      <c r="M310" s="99">
        <v>0</v>
      </c>
      <c r="N310" s="99">
        <v>0</v>
      </c>
      <c r="O310" s="99">
        <v>0</v>
      </c>
      <c r="P310" s="99">
        <v>0</v>
      </c>
      <c r="Q310" s="99">
        <v>0</v>
      </c>
      <c r="R310" s="99">
        <v>0</v>
      </c>
      <c r="S310" s="99">
        <v>27331.775776156657</v>
      </c>
      <c r="T310" s="99">
        <v>0</v>
      </c>
      <c r="U310" s="99">
        <v>0</v>
      </c>
      <c r="V310" s="99">
        <v>0</v>
      </c>
      <c r="W310" s="99">
        <v>0</v>
      </c>
      <c r="X310" s="99">
        <v>0</v>
      </c>
      <c r="Y310" s="99">
        <v>0</v>
      </c>
      <c r="Z310" s="99">
        <v>0</v>
      </c>
      <c r="AA310" s="99">
        <v>0</v>
      </c>
      <c r="AB310" s="99">
        <v>26179.675705774192</v>
      </c>
      <c r="AC310" s="99">
        <v>6849.3658540270862</v>
      </c>
      <c r="AD310" s="99">
        <v>0</v>
      </c>
      <c r="AE310" s="99">
        <v>0</v>
      </c>
      <c r="AF310" s="99">
        <v>0</v>
      </c>
      <c r="AG310" s="99">
        <v>0</v>
      </c>
      <c r="AH310" s="99">
        <v>0</v>
      </c>
      <c r="AI310" s="99">
        <v>0</v>
      </c>
      <c r="AJ310" s="99">
        <v>0</v>
      </c>
      <c r="AK310" s="99">
        <v>0</v>
      </c>
      <c r="AL310" s="99">
        <v>0</v>
      </c>
      <c r="AM310" s="99">
        <v>0</v>
      </c>
      <c r="AN310" s="99">
        <v>40360.693758505746</v>
      </c>
      <c r="AO310" s="99">
        <v>0</v>
      </c>
      <c r="AP310" s="99">
        <v>0</v>
      </c>
      <c r="AQ310" s="99">
        <v>0</v>
      </c>
      <c r="AR310" s="99">
        <f t="shared" si="4"/>
        <v>104832.42690490051</v>
      </c>
    </row>
    <row r="311" spans="1:44" ht="15" x14ac:dyDescent="0.25">
      <c r="A311" s="258">
        <v>304</v>
      </c>
      <c r="B311" s="258" t="s">
        <v>288</v>
      </c>
      <c r="C311" s="258" t="s">
        <v>1650</v>
      </c>
      <c r="D311" s="859" t="s">
        <v>1654</v>
      </c>
      <c r="E311" s="99">
        <v>1431.8076969675558</v>
      </c>
      <c r="F311" s="99">
        <v>0</v>
      </c>
      <c r="G311" s="99">
        <v>12919.550488098645</v>
      </c>
      <c r="H311" s="99">
        <v>0</v>
      </c>
      <c r="I311" s="99">
        <v>0</v>
      </c>
      <c r="J311" s="99">
        <v>0</v>
      </c>
      <c r="K311" s="99">
        <v>0</v>
      </c>
      <c r="L311" s="99">
        <v>0</v>
      </c>
      <c r="M311" s="99">
        <v>0</v>
      </c>
      <c r="N311" s="99">
        <v>0</v>
      </c>
      <c r="O311" s="99">
        <v>0</v>
      </c>
      <c r="P311" s="99">
        <v>0</v>
      </c>
      <c r="Q311" s="99">
        <v>0</v>
      </c>
      <c r="R311" s="99">
        <v>0</v>
      </c>
      <c r="S311" s="99">
        <v>1.6434375896190954</v>
      </c>
      <c r="T311" s="99">
        <v>0</v>
      </c>
      <c r="U311" s="99">
        <v>0</v>
      </c>
      <c r="V311" s="99">
        <v>0</v>
      </c>
      <c r="W311" s="99">
        <v>0</v>
      </c>
      <c r="X311" s="99">
        <v>0</v>
      </c>
      <c r="Y311" s="99">
        <v>0</v>
      </c>
      <c r="Z311" s="99">
        <v>0</v>
      </c>
      <c r="AA311" s="99">
        <v>0</v>
      </c>
      <c r="AB311" s="99">
        <v>50836.305876634819</v>
      </c>
      <c r="AC311" s="99">
        <v>8528.7735345148103</v>
      </c>
      <c r="AD311" s="99">
        <v>0</v>
      </c>
      <c r="AE311" s="99">
        <v>0</v>
      </c>
      <c r="AF311" s="99">
        <v>0</v>
      </c>
      <c r="AG311" s="99">
        <v>0</v>
      </c>
      <c r="AH311" s="99">
        <v>0</v>
      </c>
      <c r="AI311" s="99">
        <v>0</v>
      </c>
      <c r="AJ311" s="99">
        <v>6210.6155872897943</v>
      </c>
      <c r="AK311" s="99">
        <v>0</v>
      </c>
      <c r="AL311" s="99">
        <v>0</v>
      </c>
      <c r="AM311" s="99">
        <v>0</v>
      </c>
      <c r="AN311" s="99">
        <v>32905.353383205613</v>
      </c>
      <c r="AO311" s="99">
        <v>0</v>
      </c>
      <c r="AP311" s="99">
        <v>0</v>
      </c>
      <c r="AQ311" s="99">
        <v>0</v>
      </c>
      <c r="AR311" s="99">
        <f t="shared" si="4"/>
        <v>112834.05000430085</v>
      </c>
    </row>
    <row r="312" spans="1:44" ht="15" x14ac:dyDescent="0.25">
      <c r="A312" s="258">
        <v>305</v>
      </c>
      <c r="B312" s="258" t="s">
        <v>288</v>
      </c>
      <c r="C312" s="258" t="s">
        <v>1650</v>
      </c>
      <c r="D312" s="859" t="s">
        <v>1655</v>
      </c>
      <c r="E312" s="99">
        <v>3071.3191440027899</v>
      </c>
      <c r="F312" s="99">
        <v>0</v>
      </c>
      <c r="G312" s="99">
        <v>40904.91359957205</v>
      </c>
      <c r="H312" s="99">
        <v>0</v>
      </c>
      <c r="I312" s="99">
        <v>0</v>
      </c>
      <c r="J312" s="99">
        <v>0</v>
      </c>
      <c r="K312" s="99">
        <v>0</v>
      </c>
      <c r="L312" s="99">
        <v>0</v>
      </c>
      <c r="M312" s="99">
        <v>0</v>
      </c>
      <c r="N312" s="99">
        <v>0</v>
      </c>
      <c r="O312" s="99">
        <v>0</v>
      </c>
      <c r="P312" s="99">
        <v>0</v>
      </c>
      <c r="Q312" s="99">
        <v>0</v>
      </c>
      <c r="R312" s="99">
        <v>0</v>
      </c>
      <c r="S312" s="99">
        <v>0</v>
      </c>
      <c r="T312" s="99">
        <v>0</v>
      </c>
      <c r="U312" s="99">
        <v>0</v>
      </c>
      <c r="V312" s="99">
        <v>0</v>
      </c>
      <c r="W312" s="99">
        <v>0</v>
      </c>
      <c r="X312" s="99">
        <v>0</v>
      </c>
      <c r="Y312" s="99">
        <v>0</v>
      </c>
      <c r="Z312" s="99">
        <v>0</v>
      </c>
      <c r="AA312" s="99">
        <v>0</v>
      </c>
      <c r="AB312" s="99">
        <v>87643.643199720813</v>
      </c>
      <c r="AC312" s="99">
        <v>0</v>
      </c>
      <c r="AD312" s="99">
        <v>0</v>
      </c>
      <c r="AE312" s="99">
        <v>0</v>
      </c>
      <c r="AF312" s="99">
        <v>0</v>
      </c>
      <c r="AG312" s="99">
        <v>0</v>
      </c>
      <c r="AH312" s="99">
        <v>0</v>
      </c>
      <c r="AI312" s="99">
        <v>0</v>
      </c>
      <c r="AJ312" s="99">
        <v>1285.9946492655556</v>
      </c>
      <c r="AK312" s="99">
        <v>0</v>
      </c>
      <c r="AL312" s="99">
        <v>0</v>
      </c>
      <c r="AM312" s="99">
        <v>0</v>
      </c>
      <c r="AN312" s="99">
        <v>3776.6300587729461</v>
      </c>
      <c r="AO312" s="99">
        <v>0</v>
      </c>
      <c r="AP312" s="99">
        <v>0</v>
      </c>
      <c r="AQ312" s="99">
        <v>0</v>
      </c>
      <c r="AR312" s="99">
        <f t="shared" si="4"/>
        <v>136682.50065133415</v>
      </c>
    </row>
    <row r="313" spans="1:44" ht="15" x14ac:dyDescent="0.25">
      <c r="A313" s="258">
        <v>306</v>
      </c>
      <c r="B313" s="258" t="s">
        <v>325</v>
      </c>
      <c r="C313" s="258" t="s">
        <v>1656</v>
      </c>
      <c r="D313" s="859" t="s">
        <v>1657</v>
      </c>
      <c r="E313" s="99">
        <v>0</v>
      </c>
      <c r="F313" s="99">
        <v>0</v>
      </c>
      <c r="G313" s="99">
        <v>547.42817816146953</v>
      </c>
      <c r="H313" s="99">
        <v>0</v>
      </c>
      <c r="I313" s="99">
        <v>0</v>
      </c>
      <c r="J313" s="99">
        <v>0</v>
      </c>
      <c r="K313" s="99">
        <v>0</v>
      </c>
      <c r="L313" s="99">
        <v>0</v>
      </c>
      <c r="M313" s="99">
        <v>0</v>
      </c>
      <c r="N313" s="99">
        <v>0</v>
      </c>
      <c r="O313" s="99">
        <v>0</v>
      </c>
      <c r="P313" s="99">
        <v>0</v>
      </c>
      <c r="Q313" s="99">
        <v>0</v>
      </c>
      <c r="R313" s="99">
        <v>0</v>
      </c>
      <c r="S313" s="99">
        <v>0</v>
      </c>
      <c r="T313" s="99">
        <v>0</v>
      </c>
      <c r="U313" s="99">
        <v>0</v>
      </c>
      <c r="V313" s="99">
        <v>0</v>
      </c>
      <c r="W313" s="99">
        <v>0</v>
      </c>
      <c r="X313" s="99">
        <v>0</v>
      </c>
      <c r="Y313" s="99">
        <v>0</v>
      </c>
      <c r="Z313" s="99">
        <v>0</v>
      </c>
      <c r="AA313" s="99">
        <v>0</v>
      </c>
      <c r="AB313" s="99">
        <v>0</v>
      </c>
      <c r="AC313" s="99">
        <v>0</v>
      </c>
      <c r="AD313" s="99">
        <v>0</v>
      </c>
      <c r="AE313" s="99">
        <v>0</v>
      </c>
      <c r="AF313" s="99">
        <v>0</v>
      </c>
      <c r="AG313" s="99">
        <v>0</v>
      </c>
      <c r="AH313" s="99">
        <v>0</v>
      </c>
      <c r="AI313" s="99">
        <v>0</v>
      </c>
      <c r="AJ313" s="99">
        <v>0</v>
      </c>
      <c r="AK313" s="99">
        <v>0</v>
      </c>
      <c r="AL313" s="99">
        <v>0</v>
      </c>
      <c r="AM313" s="99">
        <v>0</v>
      </c>
      <c r="AN313" s="99">
        <v>0</v>
      </c>
      <c r="AO313" s="99">
        <v>0</v>
      </c>
      <c r="AP313" s="99">
        <v>0</v>
      </c>
      <c r="AQ313" s="99">
        <v>0</v>
      </c>
      <c r="AR313" s="99">
        <f t="shared" si="4"/>
        <v>547.42817816146953</v>
      </c>
    </row>
    <row r="314" spans="1:44" ht="15" x14ac:dyDescent="0.25">
      <c r="A314" s="258">
        <v>307</v>
      </c>
      <c r="B314" s="258" t="s">
        <v>325</v>
      </c>
      <c r="C314" s="258" t="s">
        <v>1656</v>
      </c>
      <c r="D314" s="859" t="s">
        <v>1658</v>
      </c>
      <c r="E314" s="99">
        <v>10.743297417293709</v>
      </c>
      <c r="F314" s="99">
        <v>0</v>
      </c>
      <c r="G314" s="99">
        <v>5757.5697267260575</v>
      </c>
      <c r="H314" s="99">
        <v>0</v>
      </c>
      <c r="I314" s="99">
        <v>0</v>
      </c>
      <c r="J314" s="99">
        <v>0</v>
      </c>
      <c r="K314" s="99">
        <v>0</v>
      </c>
      <c r="L314" s="99">
        <v>0</v>
      </c>
      <c r="M314" s="99">
        <v>0</v>
      </c>
      <c r="N314" s="99">
        <v>0</v>
      </c>
      <c r="O314" s="99">
        <v>0</v>
      </c>
      <c r="P314" s="99">
        <v>0</v>
      </c>
      <c r="Q314" s="99">
        <v>0</v>
      </c>
      <c r="R314" s="99">
        <v>0</v>
      </c>
      <c r="S314" s="99">
        <v>0</v>
      </c>
      <c r="T314" s="99">
        <v>0</v>
      </c>
      <c r="U314" s="99">
        <v>0</v>
      </c>
      <c r="V314" s="99">
        <v>0</v>
      </c>
      <c r="W314" s="99">
        <v>0</v>
      </c>
      <c r="X314" s="99">
        <v>0</v>
      </c>
      <c r="Y314" s="99">
        <v>0</v>
      </c>
      <c r="Z314" s="99">
        <v>0</v>
      </c>
      <c r="AA314" s="99">
        <v>0</v>
      </c>
      <c r="AB314" s="99">
        <v>0</v>
      </c>
      <c r="AC314" s="99">
        <v>0</v>
      </c>
      <c r="AD314" s="99">
        <v>0</v>
      </c>
      <c r="AE314" s="99">
        <v>0</v>
      </c>
      <c r="AF314" s="99">
        <v>0</v>
      </c>
      <c r="AG314" s="99">
        <v>0</v>
      </c>
      <c r="AH314" s="99">
        <v>0</v>
      </c>
      <c r="AI314" s="99">
        <v>0</v>
      </c>
      <c r="AJ314" s="99">
        <v>388.37093731315122</v>
      </c>
      <c r="AK314" s="99">
        <v>0</v>
      </c>
      <c r="AL314" s="99">
        <v>0</v>
      </c>
      <c r="AM314" s="99">
        <v>0</v>
      </c>
      <c r="AN314" s="99">
        <v>0</v>
      </c>
      <c r="AO314" s="99">
        <v>0</v>
      </c>
      <c r="AP314" s="99">
        <v>0</v>
      </c>
      <c r="AQ314" s="99">
        <v>0</v>
      </c>
      <c r="AR314" s="99">
        <f t="shared" si="4"/>
        <v>6156.6839614565024</v>
      </c>
    </row>
    <row r="315" spans="1:44" ht="15" x14ac:dyDescent="0.25">
      <c r="A315" s="258">
        <v>308</v>
      </c>
      <c r="B315" s="258" t="s">
        <v>304</v>
      </c>
      <c r="C315" s="258" t="s">
        <v>1659</v>
      </c>
      <c r="D315" s="859" t="s">
        <v>1660</v>
      </c>
      <c r="E315" s="99">
        <v>2333.4020684580869</v>
      </c>
      <c r="F315" s="99">
        <v>0</v>
      </c>
      <c r="G315" s="99">
        <v>15431.092053466356</v>
      </c>
      <c r="H315" s="99">
        <v>0</v>
      </c>
      <c r="I315" s="99">
        <v>0</v>
      </c>
      <c r="J315" s="99">
        <v>0</v>
      </c>
      <c r="K315" s="99">
        <v>0</v>
      </c>
      <c r="L315" s="99">
        <v>0</v>
      </c>
      <c r="M315" s="99">
        <v>0</v>
      </c>
      <c r="N315" s="99">
        <v>0</v>
      </c>
      <c r="O315" s="99">
        <v>0</v>
      </c>
      <c r="P315" s="99">
        <v>0</v>
      </c>
      <c r="Q315" s="99">
        <v>0</v>
      </c>
      <c r="R315" s="99">
        <v>0</v>
      </c>
      <c r="S315" s="99">
        <v>11239.70445220351</v>
      </c>
      <c r="T315" s="99">
        <v>0</v>
      </c>
      <c r="U315" s="99">
        <v>0</v>
      </c>
      <c r="V315" s="99">
        <v>0</v>
      </c>
      <c r="W315" s="99">
        <v>0</v>
      </c>
      <c r="X315" s="99">
        <v>0</v>
      </c>
      <c r="Y315" s="99">
        <v>0</v>
      </c>
      <c r="Z315" s="99">
        <v>0</v>
      </c>
      <c r="AA315" s="99">
        <v>0</v>
      </c>
      <c r="AB315" s="99">
        <v>13523.627372091809</v>
      </c>
      <c r="AC315" s="99">
        <v>0</v>
      </c>
      <c r="AD315" s="99">
        <v>0</v>
      </c>
      <c r="AE315" s="99">
        <v>0</v>
      </c>
      <c r="AF315" s="99">
        <v>0</v>
      </c>
      <c r="AG315" s="99">
        <v>0</v>
      </c>
      <c r="AH315" s="99">
        <v>0</v>
      </c>
      <c r="AI315" s="99">
        <v>0</v>
      </c>
      <c r="AJ315" s="99">
        <v>1553.2071317758862</v>
      </c>
      <c r="AK315" s="99">
        <v>0</v>
      </c>
      <c r="AL315" s="99">
        <v>0</v>
      </c>
      <c r="AM315" s="99">
        <v>0</v>
      </c>
      <c r="AN315" s="99">
        <v>60094.401813446435</v>
      </c>
      <c r="AO315" s="99">
        <v>0</v>
      </c>
      <c r="AP315" s="99">
        <v>0</v>
      </c>
      <c r="AQ315" s="99">
        <v>0</v>
      </c>
      <c r="AR315" s="99">
        <f t="shared" si="4"/>
        <v>104175.43489144208</v>
      </c>
    </row>
    <row r="316" spans="1:44" ht="15" x14ac:dyDescent="0.25">
      <c r="A316" s="258">
        <v>309</v>
      </c>
      <c r="B316" s="258" t="s">
        <v>304</v>
      </c>
      <c r="C316" s="258" t="s">
        <v>1659</v>
      </c>
      <c r="D316" s="859" t="s">
        <v>1661</v>
      </c>
      <c r="E316" s="99">
        <v>973.42700716302397</v>
      </c>
      <c r="F316" s="99">
        <v>0</v>
      </c>
      <c r="G316" s="99">
        <v>12356.165883219464</v>
      </c>
      <c r="H316" s="99">
        <v>0</v>
      </c>
      <c r="I316" s="99">
        <v>0</v>
      </c>
      <c r="J316" s="99">
        <v>0</v>
      </c>
      <c r="K316" s="99">
        <v>0</v>
      </c>
      <c r="L316" s="99">
        <v>0</v>
      </c>
      <c r="M316" s="99">
        <v>0</v>
      </c>
      <c r="N316" s="99">
        <v>0</v>
      </c>
      <c r="O316" s="99">
        <v>0</v>
      </c>
      <c r="P316" s="99">
        <v>0</v>
      </c>
      <c r="Q316" s="99">
        <v>0</v>
      </c>
      <c r="R316" s="99">
        <v>0</v>
      </c>
      <c r="S316" s="99">
        <v>0</v>
      </c>
      <c r="T316" s="99">
        <v>0</v>
      </c>
      <c r="U316" s="99">
        <v>0</v>
      </c>
      <c r="V316" s="99">
        <v>0</v>
      </c>
      <c r="W316" s="99">
        <v>0</v>
      </c>
      <c r="X316" s="99">
        <v>0</v>
      </c>
      <c r="Y316" s="99">
        <v>0</v>
      </c>
      <c r="Z316" s="99">
        <v>0</v>
      </c>
      <c r="AA316" s="99">
        <v>0</v>
      </c>
      <c r="AB316" s="99">
        <v>17969.031660721084</v>
      </c>
      <c r="AC316" s="99">
        <v>0</v>
      </c>
      <c r="AD316" s="99">
        <v>0</v>
      </c>
      <c r="AE316" s="99">
        <v>0</v>
      </c>
      <c r="AF316" s="99">
        <v>0</v>
      </c>
      <c r="AG316" s="99">
        <v>0</v>
      </c>
      <c r="AH316" s="99">
        <v>0</v>
      </c>
      <c r="AI316" s="99">
        <v>0</v>
      </c>
      <c r="AJ316" s="99">
        <v>1143.260031278671</v>
      </c>
      <c r="AK316" s="99">
        <v>0</v>
      </c>
      <c r="AL316" s="99">
        <v>0</v>
      </c>
      <c r="AM316" s="99">
        <v>0</v>
      </c>
      <c r="AN316" s="99">
        <v>78624.513036616263</v>
      </c>
      <c r="AO316" s="99">
        <v>0</v>
      </c>
      <c r="AP316" s="99">
        <v>0</v>
      </c>
      <c r="AQ316" s="99">
        <v>0</v>
      </c>
      <c r="AR316" s="99">
        <f t="shared" si="4"/>
        <v>111066.39761899851</v>
      </c>
    </row>
    <row r="317" spans="1:44" ht="15" x14ac:dyDescent="0.25">
      <c r="A317" s="258">
        <v>310</v>
      </c>
      <c r="B317" s="258" t="s">
        <v>304</v>
      </c>
      <c r="C317" s="258" t="s">
        <v>1659</v>
      </c>
      <c r="D317" s="859" t="s">
        <v>1662</v>
      </c>
      <c r="E317" s="99">
        <v>0</v>
      </c>
      <c r="F317" s="99">
        <v>0</v>
      </c>
      <c r="G317" s="99">
        <v>15812.818877251599</v>
      </c>
      <c r="H317" s="99">
        <v>0</v>
      </c>
      <c r="I317" s="99">
        <v>0</v>
      </c>
      <c r="J317" s="99">
        <v>0</v>
      </c>
      <c r="K317" s="99">
        <v>0</v>
      </c>
      <c r="L317" s="99">
        <v>0</v>
      </c>
      <c r="M317" s="99">
        <v>0</v>
      </c>
      <c r="N317" s="99">
        <v>0</v>
      </c>
      <c r="O317" s="99">
        <v>0</v>
      </c>
      <c r="P317" s="99">
        <v>0</v>
      </c>
      <c r="Q317" s="99">
        <v>0</v>
      </c>
      <c r="R317" s="99">
        <v>0</v>
      </c>
      <c r="S317" s="99">
        <v>0</v>
      </c>
      <c r="T317" s="99">
        <v>0</v>
      </c>
      <c r="U317" s="99">
        <v>0</v>
      </c>
      <c r="V317" s="99">
        <v>0</v>
      </c>
      <c r="W317" s="99">
        <v>0</v>
      </c>
      <c r="X317" s="99">
        <v>0</v>
      </c>
      <c r="Y317" s="99">
        <v>0</v>
      </c>
      <c r="Z317" s="99">
        <v>0</v>
      </c>
      <c r="AA317" s="99">
        <v>0</v>
      </c>
      <c r="AB317" s="99">
        <v>31311.540104336684</v>
      </c>
      <c r="AC317" s="99">
        <v>0</v>
      </c>
      <c r="AD317" s="99">
        <v>0</v>
      </c>
      <c r="AE317" s="99">
        <v>0</v>
      </c>
      <c r="AF317" s="99">
        <v>0</v>
      </c>
      <c r="AG317" s="99">
        <v>0</v>
      </c>
      <c r="AH317" s="99">
        <v>0</v>
      </c>
      <c r="AI317" s="99">
        <v>0</v>
      </c>
      <c r="AJ317" s="99">
        <v>2250.2831731071833</v>
      </c>
      <c r="AK317" s="99">
        <v>0</v>
      </c>
      <c r="AL317" s="99">
        <v>0</v>
      </c>
      <c r="AM317" s="99">
        <v>0</v>
      </c>
      <c r="AN317" s="99">
        <v>1332.9564912573044</v>
      </c>
      <c r="AO317" s="99">
        <v>0</v>
      </c>
      <c r="AP317" s="99">
        <v>0</v>
      </c>
      <c r="AQ317" s="99">
        <v>0</v>
      </c>
      <c r="AR317" s="99">
        <f t="shared" si="4"/>
        <v>50707.59864595277</v>
      </c>
    </row>
    <row r="318" spans="1:44" ht="15" x14ac:dyDescent="0.25">
      <c r="A318" s="258">
        <v>311</v>
      </c>
      <c r="B318" s="258" t="s">
        <v>304</v>
      </c>
      <c r="C318" s="258" t="s">
        <v>1659</v>
      </c>
      <c r="D318" s="859" t="s">
        <v>1663</v>
      </c>
      <c r="E318" s="99">
        <v>0</v>
      </c>
      <c r="F318" s="99">
        <v>0</v>
      </c>
      <c r="G318" s="99">
        <v>26210.517493488012</v>
      </c>
      <c r="H318" s="99">
        <v>0</v>
      </c>
      <c r="I318" s="99">
        <v>0</v>
      </c>
      <c r="J318" s="99">
        <v>0</v>
      </c>
      <c r="K318" s="99">
        <v>0</v>
      </c>
      <c r="L318" s="99">
        <v>0</v>
      </c>
      <c r="M318" s="99">
        <v>0</v>
      </c>
      <c r="N318" s="99">
        <v>0</v>
      </c>
      <c r="O318" s="99">
        <v>0</v>
      </c>
      <c r="P318" s="99">
        <v>0</v>
      </c>
      <c r="Q318" s="99">
        <v>0</v>
      </c>
      <c r="R318" s="99">
        <v>0</v>
      </c>
      <c r="S318" s="99">
        <v>0</v>
      </c>
      <c r="T318" s="99">
        <v>0</v>
      </c>
      <c r="U318" s="99">
        <v>0</v>
      </c>
      <c r="V318" s="99">
        <v>0</v>
      </c>
      <c r="W318" s="99">
        <v>0</v>
      </c>
      <c r="X318" s="99">
        <v>0</v>
      </c>
      <c r="Y318" s="99">
        <v>0</v>
      </c>
      <c r="Z318" s="99">
        <v>0</v>
      </c>
      <c r="AA318" s="99">
        <v>0</v>
      </c>
      <c r="AB318" s="99">
        <v>42039.688827688093</v>
      </c>
      <c r="AC318" s="99">
        <v>0</v>
      </c>
      <c r="AD318" s="99">
        <v>0</v>
      </c>
      <c r="AE318" s="99">
        <v>0</v>
      </c>
      <c r="AF318" s="99">
        <v>0</v>
      </c>
      <c r="AG318" s="99">
        <v>0</v>
      </c>
      <c r="AH318" s="99">
        <v>0</v>
      </c>
      <c r="AI318" s="99">
        <v>0</v>
      </c>
      <c r="AJ318" s="99">
        <v>378.96594310471306</v>
      </c>
      <c r="AK318" s="99">
        <v>0</v>
      </c>
      <c r="AL318" s="99">
        <v>0</v>
      </c>
      <c r="AM318" s="99">
        <v>0</v>
      </c>
      <c r="AN318" s="99">
        <v>45817.079395656408</v>
      </c>
      <c r="AO318" s="99">
        <v>0</v>
      </c>
      <c r="AP318" s="99">
        <v>0</v>
      </c>
      <c r="AQ318" s="99">
        <v>0</v>
      </c>
      <c r="AR318" s="99">
        <f t="shared" si="4"/>
        <v>114446.25165993723</v>
      </c>
    </row>
    <row r="319" spans="1:44" ht="15" x14ac:dyDescent="0.25">
      <c r="A319" s="258">
        <v>312</v>
      </c>
      <c r="B319" s="258" t="s">
        <v>304</v>
      </c>
      <c r="C319" s="258" t="s">
        <v>1659</v>
      </c>
      <c r="D319" s="859" t="s">
        <v>1664</v>
      </c>
      <c r="E319" s="99">
        <v>190.00890726272402</v>
      </c>
      <c r="F319" s="99">
        <v>0</v>
      </c>
      <c r="G319" s="99">
        <v>9963.1928425387468</v>
      </c>
      <c r="H319" s="99">
        <v>0</v>
      </c>
      <c r="I319" s="99">
        <v>0</v>
      </c>
      <c r="J319" s="99">
        <v>0</v>
      </c>
      <c r="K319" s="99">
        <v>0</v>
      </c>
      <c r="L319" s="99">
        <v>0</v>
      </c>
      <c r="M319" s="99">
        <v>0</v>
      </c>
      <c r="N319" s="99">
        <v>0</v>
      </c>
      <c r="O319" s="99">
        <v>0</v>
      </c>
      <c r="P319" s="99">
        <v>0</v>
      </c>
      <c r="Q319" s="99">
        <v>0</v>
      </c>
      <c r="R319" s="99">
        <v>0</v>
      </c>
      <c r="S319" s="99">
        <v>0</v>
      </c>
      <c r="T319" s="99">
        <v>0</v>
      </c>
      <c r="U319" s="99">
        <v>0</v>
      </c>
      <c r="V319" s="99">
        <v>0</v>
      </c>
      <c r="W319" s="99">
        <v>0</v>
      </c>
      <c r="X319" s="99">
        <v>0</v>
      </c>
      <c r="Y319" s="99">
        <v>0</v>
      </c>
      <c r="Z319" s="99">
        <v>0</v>
      </c>
      <c r="AA319" s="99">
        <v>0</v>
      </c>
      <c r="AB319" s="99">
        <v>33878.440854037595</v>
      </c>
      <c r="AC319" s="99">
        <v>0</v>
      </c>
      <c r="AD319" s="99">
        <v>0</v>
      </c>
      <c r="AE319" s="99">
        <v>0</v>
      </c>
      <c r="AF319" s="99">
        <v>0</v>
      </c>
      <c r="AG319" s="99">
        <v>0</v>
      </c>
      <c r="AH319" s="99">
        <v>0</v>
      </c>
      <c r="AI319" s="99">
        <v>0</v>
      </c>
      <c r="AJ319" s="99">
        <v>927.22178196131256</v>
      </c>
      <c r="AK319" s="99">
        <v>0</v>
      </c>
      <c r="AL319" s="99">
        <v>0</v>
      </c>
      <c r="AM319" s="99">
        <v>0</v>
      </c>
      <c r="AN319" s="99">
        <v>6296.6234253919047</v>
      </c>
      <c r="AO319" s="99">
        <v>0</v>
      </c>
      <c r="AP319" s="99">
        <v>0</v>
      </c>
      <c r="AQ319" s="99">
        <v>0</v>
      </c>
      <c r="AR319" s="99">
        <f t="shared" si="4"/>
        <v>51255.487811192281</v>
      </c>
    </row>
    <row r="320" spans="1:44" ht="15" x14ac:dyDescent="0.25">
      <c r="A320" s="258">
        <v>313</v>
      </c>
      <c r="B320" s="258" t="s">
        <v>304</v>
      </c>
      <c r="C320" s="258" t="s">
        <v>1659</v>
      </c>
      <c r="D320" s="859" t="s">
        <v>1665</v>
      </c>
      <c r="E320" s="99">
        <v>103.85187503383919</v>
      </c>
      <c r="F320" s="99">
        <v>0</v>
      </c>
      <c r="G320" s="99">
        <v>8094.3270486628417</v>
      </c>
      <c r="H320" s="99">
        <v>0</v>
      </c>
      <c r="I320" s="99">
        <v>0</v>
      </c>
      <c r="J320" s="99">
        <v>0</v>
      </c>
      <c r="K320" s="99">
        <v>0</v>
      </c>
      <c r="L320" s="99">
        <v>0</v>
      </c>
      <c r="M320" s="99">
        <v>0</v>
      </c>
      <c r="N320" s="99">
        <v>0</v>
      </c>
      <c r="O320" s="99">
        <v>0</v>
      </c>
      <c r="P320" s="99">
        <v>0</v>
      </c>
      <c r="Q320" s="99">
        <v>0</v>
      </c>
      <c r="R320" s="99">
        <v>0</v>
      </c>
      <c r="S320" s="99">
        <v>0</v>
      </c>
      <c r="T320" s="99">
        <v>0</v>
      </c>
      <c r="U320" s="99">
        <v>0</v>
      </c>
      <c r="V320" s="99">
        <v>0</v>
      </c>
      <c r="W320" s="99">
        <v>0</v>
      </c>
      <c r="X320" s="99">
        <v>0</v>
      </c>
      <c r="Y320" s="99">
        <v>0</v>
      </c>
      <c r="Z320" s="99">
        <v>0</v>
      </c>
      <c r="AA320" s="99">
        <v>0</v>
      </c>
      <c r="AB320" s="99">
        <v>1915.7927300852339</v>
      </c>
      <c r="AC320" s="99">
        <v>0</v>
      </c>
      <c r="AD320" s="99">
        <v>0</v>
      </c>
      <c r="AE320" s="99">
        <v>0</v>
      </c>
      <c r="AF320" s="99">
        <v>0</v>
      </c>
      <c r="AG320" s="99">
        <v>0</v>
      </c>
      <c r="AH320" s="99">
        <v>0</v>
      </c>
      <c r="AI320" s="99">
        <v>0</v>
      </c>
      <c r="AJ320" s="99">
        <v>919.75311008990593</v>
      </c>
      <c r="AK320" s="99">
        <v>0</v>
      </c>
      <c r="AL320" s="99">
        <v>0</v>
      </c>
      <c r="AM320" s="99">
        <v>0</v>
      </c>
      <c r="AN320" s="99">
        <v>0</v>
      </c>
      <c r="AO320" s="99">
        <v>0</v>
      </c>
      <c r="AP320" s="99">
        <v>0</v>
      </c>
      <c r="AQ320" s="99">
        <v>0</v>
      </c>
      <c r="AR320" s="99">
        <f t="shared" si="4"/>
        <v>11033.724763871822</v>
      </c>
    </row>
    <row r="321" spans="1:44" ht="15" x14ac:dyDescent="0.25">
      <c r="A321" s="258">
        <v>314</v>
      </c>
      <c r="B321" s="258" t="s">
        <v>304</v>
      </c>
      <c r="C321" s="258" t="s">
        <v>1659</v>
      </c>
      <c r="D321" s="859" t="s">
        <v>1666</v>
      </c>
      <c r="E321" s="99">
        <v>3979.0224493188402</v>
      </c>
      <c r="F321" s="99">
        <v>0</v>
      </c>
      <c r="G321" s="99">
        <v>15291.411948814395</v>
      </c>
      <c r="H321" s="99">
        <v>0</v>
      </c>
      <c r="I321" s="99">
        <v>0</v>
      </c>
      <c r="J321" s="99">
        <v>0</v>
      </c>
      <c r="K321" s="99">
        <v>0</v>
      </c>
      <c r="L321" s="99">
        <v>0</v>
      </c>
      <c r="M321" s="99">
        <v>0</v>
      </c>
      <c r="N321" s="99">
        <v>0</v>
      </c>
      <c r="O321" s="99">
        <v>0</v>
      </c>
      <c r="P321" s="99">
        <v>0</v>
      </c>
      <c r="Q321" s="99">
        <v>0</v>
      </c>
      <c r="R321" s="99">
        <v>0</v>
      </c>
      <c r="S321" s="99">
        <v>0</v>
      </c>
      <c r="T321" s="99">
        <v>0</v>
      </c>
      <c r="U321" s="99">
        <v>0</v>
      </c>
      <c r="V321" s="99">
        <v>0</v>
      </c>
      <c r="W321" s="99">
        <v>0</v>
      </c>
      <c r="X321" s="99">
        <v>0</v>
      </c>
      <c r="Y321" s="99">
        <v>0</v>
      </c>
      <c r="Z321" s="99">
        <v>0</v>
      </c>
      <c r="AA321" s="99">
        <v>0</v>
      </c>
      <c r="AB321" s="99">
        <v>6576.9416246935189</v>
      </c>
      <c r="AC321" s="99">
        <v>0</v>
      </c>
      <c r="AD321" s="99">
        <v>0</v>
      </c>
      <c r="AE321" s="99">
        <v>0</v>
      </c>
      <c r="AF321" s="99">
        <v>0</v>
      </c>
      <c r="AG321" s="99">
        <v>0</v>
      </c>
      <c r="AH321" s="99">
        <v>0</v>
      </c>
      <c r="AI321" s="99">
        <v>0</v>
      </c>
      <c r="AJ321" s="99">
        <v>472.73926771237564</v>
      </c>
      <c r="AK321" s="99">
        <v>0</v>
      </c>
      <c r="AL321" s="99">
        <v>0</v>
      </c>
      <c r="AM321" s="99">
        <v>0</v>
      </c>
      <c r="AN321" s="99">
        <v>0</v>
      </c>
      <c r="AO321" s="99">
        <v>0</v>
      </c>
      <c r="AP321" s="99">
        <v>0</v>
      </c>
      <c r="AQ321" s="99">
        <v>0</v>
      </c>
      <c r="AR321" s="99">
        <f t="shared" si="4"/>
        <v>26320.115290539128</v>
      </c>
    </row>
    <row r="322" spans="1:44" ht="15" x14ac:dyDescent="0.25">
      <c r="A322" s="258">
        <v>315</v>
      </c>
      <c r="B322" s="258" t="s">
        <v>304</v>
      </c>
      <c r="C322" s="258" t="s">
        <v>1659</v>
      </c>
      <c r="D322" s="859" t="s">
        <v>1667</v>
      </c>
      <c r="E322" s="99">
        <v>2293.5886721469392</v>
      </c>
      <c r="F322" s="99">
        <v>0</v>
      </c>
      <c r="G322" s="99">
        <v>37084.454076376111</v>
      </c>
      <c r="H322" s="99">
        <v>0</v>
      </c>
      <c r="I322" s="99">
        <v>0</v>
      </c>
      <c r="J322" s="99">
        <v>0</v>
      </c>
      <c r="K322" s="99">
        <v>0</v>
      </c>
      <c r="L322" s="99">
        <v>0</v>
      </c>
      <c r="M322" s="99">
        <v>0</v>
      </c>
      <c r="N322" s="99">
        <v>0</v>
      </c>
      <c r="O322" s="99">
        <v>0</v>
      </c>
      <c r="P322" s="99">
        <v>0</v>
      </c>
      <c r="Q322" s="99">
        <v>0</v>
      </c>
      <c r="R322" s="99">
        <v>0</v>
      </c>
      <c r="S322" s="99">
        <v>0</v>
      </c>
      <c r="T322" s="99">
        <v>0</v>
      </c>
      <c r="U322" s="99">
        <v>0</v>
      </c>
      <c r="V322" s="99">
        <v>0</v>
      </c>
      <c r="W322" s="99">
        <v>0</v>
      </c>
      <c r="X322" s="99">
        <v>0</v>
      </c>
      <c r="Y322" s="99">
        <v>0</v>
      </c>
      <c r="Z322" s="99">
        <v>0</v>
      </c>
      <c r="AA322" s="99">
        <v>0</v>
      </c>
      <c r="AB322" s="99">
        <v>43217.93041320311</v>
      </c>
      <c r="AC322" s="99">
        <v>0</v>
      </c>
      <c r="AD322" s="99">
        <v>0</v>
      </c>
      <c r="AE322" s="99">
        <v>0</v>
      </c>
      <c r="AF322" s="99">
        <v>0</v>
      </c>
      <c r="AG322" s="99">
        <v>0</v>
      </c>
      <c r="AH322" s="99">
        <v>0</v>
      </c>
      <c r="AI322" s="99">
        <v>0</v>
      </c>
      <c r="AJ322" s="99">
        <v>1727.752759585429</v>
      </c>
      <c r="AK322" s="99">
        <v>0</v>
      </c>
      <c r="AL322" s="99">
        <v>0</v>
      </c>
      <c r="AM322" s="99">
        <v>0</v>
      </c>
      <c r="AN322" s="99">
        <v>0</v>
      </c>
      <c r="AO322" s="99">
        <v>0</v>
      </c>
      <c r="AP322" s="99">
        <v>0</v>
      </c>
      <c r="AQ322" s="99">
        <v>0</v>
      </c>
      <c r="AR322" s="99">
        <f t="shared" si="4"/>
        <v>84323.72592131159</v>
      </c>
    </row>
    <row r="323" spans="1:44" ht="15" x14ac:dyDescent="0.25">
      <c r="A323" s="258">
        <v>316</v>
      </c>
      <c r="B323" s="258" t="s">
        <v>304</v>
      </c>
      <c r="C323" s="258" t="s">
        <v>1659</v>
      </c>
      <c r="D323" s="859" t="s">
        <v>1668</v>
      </c>
      <c r="E323" s="99">
        <v>2475.3821166787916</v>
      </c>
      <c r="F323" s="99">
        <v>0</v>
      </c>
      <c r="G323" s="99">
        <v>10357.439324210191</v>
      </c>
      <c r="H323" s="99">
        <v>0</v>
      </c>
      <c r="I323" s="99">
        <v>0</v>
      </c>
      <c r="J323" s="99">
        <v>0</v>
      </c>
      <c r="K323" s="99">
        <v>0</v>
      </c>
      <c r="L323" s="99">
        <v>0</v>
      </c>
      <c r="M323" s="99">
        <v>0</v>
      </c>
      <c r="N323" s="99">
        <v>0</v>
      </c>
      <c r="O323" s="99">
        <v>0</v>
      </c>
      <c r="P323" s="99">
        <v>0</v>
      </c>
      <c r="Q323" s="99">
        <v>0</v>
      </c>
      <c r="R323" s="99">
        <v>0</v>
      </c>
      <c r="S323" s="99">
        <v>0</v>
      </c>
      <c r="T323" s="99">
        <v>0</v>
      </c>
      <c r="U323" s="99">
        <v>0</v>
      </c>
      <c r="V323" s="99">
        <v>0</v>
      </c>
      <c r="W323" s="99">
        <v>0</v>
      </c>
      <c r="X323" s="99">
        <v>0</v>
      </c>
      <c r="Y323" s="99">
        <v>0</v>
      </c>
      <c r="Z323" s="99">
        <v>0</v>
      </c>
      <c r="AA323" s="99">
        <v>0</v>
      </c>
      <c r="AB323" s="99">
        <v>1450.888528648979</v>
      </c>
      <c r="AC323" s="99">
        <v>0</v>
      </c>
      <c r="AD323" s="99">
        <v>0</v>
      </c>
      <c r="AE323" s="99">
        <v>0</v>
      </c>
      <c r="AF323" s="99">
        <v>0</v>
      </c>
      <c r="AG323" s="99">
        <v>0</v>
      </c>
      <c r="AH323" s="99">
        <v>0</v>
      </c>
      <c r="AI323" s="99">
        <v>0</v>
      </c>
      <c r="AJ323" s="99">
        <v>0.27661747671876868</v>
      </c>
      <c r="AK323" s="99">
        <v>0</v>
      </c>
      <c r="AL323" s="99">
        <v>0</v>
      </c>
      <c r="AM323" s="99">
        <v>0</v>
      </c>
      <c r="AN323" s="99">
        <v>0</v>
      </c>
      <c r="AO323" s="99">
        <v>0</v>
      </c>
      <c r="AP323" s="99">
        <v>0</v>
      </c>
      <c r="AQ323" s="99">
        <v>0</v>
      </c>
      <c r="AR323" s="99">
        <f t="shared" si="4"/>
        <v>14283.986587014679</v>
      </c>
    </row>
    <row r="324" spans="1:44" ht="15" x14ac:dyDescent="0.25">
      <c r="A324" s="258">
        <v>317</v>
      </c>
      <c r="B324" s="258" t="s">
        <v>323</v>
      </c>
      <c r="C324" s="258" t="s">
        <v>1669</v>
      </c>
      <c r="D324" s="859" t="s">
        <v>1670</v>
      </c>
      <c r="E324" s="99">
        <v>69.304800986071186</v>
      </c>
      <c r="F324" s="99">
        <v>0</v>
      </c>
      <c r="G324" s="99">
        <v>6038.8938039336999</v>
      </c>
      <c r="H324" s="99">
        <v>0</v>
      </c>
      <c r="I324" s="99">
        <v>0</v>
      </c>
      <c r="J324" s="99">
        <v>0</v>
      </c>
      <c r="K324" s="99">
        <v>0</v>
      </c>
      <c r="L324" s="99">
        <v>0</v>
      </c>
      <c r="M324" s="99">
        <v>0</v>
      </c>
      <c r="N324" s="99">
        <v>0</v>
      </c>
      <c r="O324" s="99">
        <v>0</v>
      </c>
      <c r="P324" s="99">
        <v>0</v>
      </c>
      <c r="Q324" s="99">
        <v>0</v>
      </c>
      <c r="R324" s="99">
        <v>0</v>
      </c>
      <c r="S324" s="99">
        <v>0</v>
      </c>
      <c r="T324" s="99">
        <v>0</v>
      </c>
      <c r="U324" s="99">
        <v>0</v>
      </c>
      <c r="V324" s="99">
        <v>0</v>
      </c>
      <c r="W324" s="99">
        <v>0</v>
      </c>
      <c r="X324" s="99">
        <v>0</v>
      </c>
      <c r="Y324" s="99">
        <v>0</v>
      </c>
      <c r="Z324" s="99">
        <v>0</v>
      </c>
      <c r="AA324" s="99">
        <v>0</v>
      </c>
      <c r="AB324" s="99">
        <v>4274.4551395594835</v>
      </c>
      <c r="AC324" s="99">
        <v>0</v>
      </c>
      <c r="AD324" s="99">
        <v>0</v>
      </c>
      <c r="AE324" s="99">
        <v>0</v>
      </c>
      <c r="AF324" s="99">
        <v>0</v>
      </c>
      <c r="AG324" s="99">
        <v>0</v>
      </c>
      <c r="AH324" s="99">
        <v>0</v>
      </c>
      <c r="AI324" s="99">
        <v>0</v>
      </c>
      <c r="AJ324" s="99">
        <v>447.01384237753018</v>
      </c>
      <c r="AK324" s="99">
        <v>0</v>
      </c>
      <c r="AL324" s="99">
        <v>0</v>
      </c>
      <c r="AM324" s="99">
        <v>0</v>
      </c>
      <c r="AN324" s="99">
        <v>0</v>
      </c>
      <c r="AO324" s="99">
        <v>0</v>
      </c>
      <c r="AP324" s="99">
        <v>0</v>
      </c>
      <c r="AQ324" s="99">
        <v>0</v>
      </c>
      <c r="AR324" s="99">
        <f t="shared" si="4"/>
        <v>10829.667586856785</v>
      </c>
    </row>
    <row r="325" spans="1:44" ht="15" x14ac:dyDescent="0.25">
      <c r="A325" s="258">
        <v>318</v>
      </c>
      <c r="B325" s="258" t="s">
        <v>323</v>
      </c>
      <c r="C325" s="258" t="s">
        <v>1669</v>
      </c>
      <c r="D325" s="859" t="s">
        <v>1671</v>
      </c>
      <c r="E325" s="99">
        <v>14.324396556391612</v>
      </c>
      <c r="F325" s="99">
        <v>0</v>
      </c>
      <c r="G325" s="99">
        <v>6574.7842581608247</v>
      </c>
      <c r="H325" s="99">
        <v>0</v>
      </c>
      <c r="I325" s="99">
        <v>0</v>
      </c>
      <c r="J325" s="99">
        <v>0</v>
      </c>
      <c r="K325" s="99">
        <v>0</v>
      </c>
      <c r="L325" s="99">
        <v>0</v>
      </c>
      <c r="M325" s="99">
        <v>0</v>
      </c>
      <c r="N325" s="99">
        <v>0</v>
      </c>
      <c r="O325" s="99">
        <v>0</v>
      </c>
      <c r="P325" s="99">
        <v>0</v>
      </c>
      <c r="Q325" s="99">
        <v>0</v>
      </c>
      <c r="R325" s="99">
        <v>0</v>
      </c>
      <c r="S325" s="99">
        <v>0</v>
      </c>
      <c r="T325" s="99">
        <v>0</v>
      </c>
      <c r="U325" s="99">
        <v>0</v>
      </c>
      <c r="V325" s="99">
        <v>0</v>
      </c>
      <c r="W325" s="99">
        <v>0</v>
      </c>
      <c r="X325" s="99">
        <v>0</v>
      </c>
      <c r="Y325" s="99">
        <v>0</v>
      </c>
      <c r="Z325" s="99">
        <v>0</v>
      </c>
      <c r="AA325" s="99">
        <v>0</v>
      </c>
      <c r="AB325" s="99">
        <v>3926.7455389019515</v>
      </c>
      <c r="AC325" s="99">
        <v>0</v>
      </c>
      <c r="AD325" s="99">
        <v>0</v>
      </c>
      <c r="AE325" s="99">
        <v>0</v>
      </c>
      <c r="AF325" s="99">
        <v>0</v>
      </c>
      <c r="AG325" s="99">
        <v>0</v>
      </c>
      <c r="AH325" s="99">
        <v>0</v>
      </c>
      <c r="AI325" s="99">
        <v>0</v>
      </c>
      <c r="AJ325" s="99">
        <v>1219.3298373763323</v>
      </c>
      <c r="AK325" s="99">
        <v>0</v>
      </c>
      <c r="AL325" s="99">
        <v>0</v>
      </c>
      <c r="AM325" s="99">
        <v>0</v>
      </c>
      <c r="AN325" s="99">
        <v>0</v>
      </c>
      <c r="AO325" s="99">
        <v>0</v>
      </c>
      <c r="AP325" s="99">
        <v>0</v>
      </c>
      <c r="AQ325" s="99">
        <v>0</v>
      </c>
      <c r="AR325" s="99">
        <f t="shared" si="4"/>
        <v>11735.184030995501</v>
      </c>
    </row>
    <row r="326" spans="1:44" ht="15" x14ac:dyDescent="0.25">
      <c r="A326" s="258">
        <v>319</v>
      </c>
      <c r="B326" s="258" t="s">
        <v>323</v>
      </c>
      <c r="C326" s="258" t="s">
        <v>1669</v>
      </c>
      <c r="D326" s="859" t="s">
        <v>1672</v>
      </c>
      <c r="E326" s="99">
        <v>29.280751784388734</v>
      </c>
      <c r="F326" s="99">
        <v>0</v>
      </c>
      <c r="G326" s="99">
        <v>1601.043308506325</v>
      </c>
      <c r="H326" s="99">
        <v>0</v>
      </c>
      <c r="I326" s="99">
        <v>0</v>
      </c>
      <c r="J326" s="99">
        <v>0</v>
      </c>
      <c r="K326" s="99">
        <v>0</v>
      </c>
      <c r="L326" s="99">
        <v>0</v>
      </c>
      <c r="M326" s="99">
        <v>0</v>
      </c>
      <c r="N326" s="99">
        <v>0</v>
      </c>
      <c r="O326" s="99">
        <v>0</v>
      </c>
      <c r="P326" s="99">
        <v>0</v>
      </c>
      <c r="Q326" s="99">
        <v>0</v>
      </c>
      <c r="R326" s="99">
        <v>0</v>
      </c>
      <c r="S326" s="99">
        <v>0</v>
      </c>
      <c r="T326" s="99">
        <v>0</v>
      </c>
      <c r="U326" s="99">
        <v>0</v>
      </c>
      <c r="V326" s="99">
        <v>0</v>
      </c>
      <c r="W326" s="99">
        <v>0</v>
      </c>
      <c r="X326" s="99">
        <v>0</v>
      </c>
      <c r="Y326" s="99">
        <v>0</v>
      </c>
      <c r="Z326" s="99">
        <v>0</v>
      </c>
      <c r="AA326" s="99">
        <v>0</v>
      </c>
      <c r="AB326" s="99">
        <v>0</v>
      </c>
      <c r="AC326" s="99">
        <v>0</v>
      </c>
      <c r="AD326" s="99">
        <v>0</v>
      </c>
      <c r="AE326" s="99">
        <v>0</v>
      </c>
      <c r="AF326" s="99">
        <v>0</v>
      </c>
      <c r="AG326" s="99">
        <v>0</v>
      </c>
      <c r="AH326" s="99">
        <v>0</v>
      </c>
      <c r="AI326" s="99">
        <v>0</v>
      </c>
      <c r="AJ326" s="99">
        <v>0</v>
      </c>
      <c r="AK326" s="99">
        <v>0</v>
      </c>
      <c r="AL326" s="99">
        <v>0</v>
      </c>
      <c r="AM326" s="99">
        <v>0</v>
      </c>
      <c r="AN326" s="99">
        <v>0</v>
      </c>
      <c r="AO326" s="99">
        <v>0</v>
      </c>
      <c r="AP326" s="99">
        <v>0</v>
      </c>
      <c r="AQ326" s="99">
        <v>0</v>
      </c>
      <c r="AR326" s="99">
        <f t="shared" si="4"/>
        <v>1630.3240602907138</v>
      </c>
    </row>
    <row r="327" spans="1:44" ht="15" x14ac:dyDescent="0.25">
      <c r="A327" s="258">
        <v>320</v>
      </c>
      <c r="B327" s="258" t="s">
        <v>295</v>
      </c>
      <c r="C327" s="258" t="s">
        <v>1673</v>
      </c>
      <c r="D327" s="859" t="s">
        <v>1674</v>
      </c>
      <c r="E327" s="99">
        <v>727.59508390847986</v>
      </c>
      <c r="F327" s="99">
        <v>0</v>
      </c>
      <c r="G327" s="99">
        <v>32.40382041135156</v>
      </c>
      <c r="H327" s="99">
        <v>0</v>
      </c>
      <c r="I327" s="99">
        <v>0</v>
      </c>
      <c r="J327" s="99">
        <v>0</v>
      </c>
      <c r="K327" s="99">
        <v>0</v>
      </c>
      <c r="L327" s="99">
        <v>0</v>
      </c>
      <c r="M327" s="99">
        <v>0</v>
      </c>
      <c r="N327" s="99">
        <v>0</v>
      </c>
      <c r="O327" s="99">
        <v>0</v>
      </c>
      <c r="P327" s="99">
        <v>0</v>
      </c>
      <c r="Q327" s="99">
        <v>0</v>
      </c>
      <c r="R327" s="99">
        <v>0</v>
      </c>
      <c r="S327" s="99">
        <v>0</v>
      </c>
      <c r="T327" s="99">
        <v>0</v>
      </c>
      <c r="U327" s="99">
        <v>0</v>
      </c>
      <c r="V327" s="99">
        <v>0</v>
      </c>
      <c r="W327" s="99">
        <v>0</v>
      </c>
      <c r="X327" s="99">
        <v>0</v>
      </c>
      <c r="Y327" s="99">
        <v>0</v>
      </c>
      <c r="Z327" s="99">
        <v>0</v>
      </c>
      <c r="AA327" s="99">
        <v>0</v>
      </c>
      <c r="AB327" s="99">
        <v>3734.7304182045809</v>
      </c>
      <c r="AC327" s="99">
        <v>0</v>
      </c>
      <c r="AD327" s="99">
        <v>0</v>
      </c>
      <c r="AE327" s="99">
        <v>0</v>
      </c>
      <c r="AF327" s="99">
        <v>0</v>
      </c>
      <c r="AG327" s="99">
        <v>0</v>
      </c>
      <c r="AH327" s="99">
        <v>0</v>
      </c>
      <c r="AI327" s="99">
        <v>0</v>
      </c>
      <c r="AJ327" s="99">
        <v>0</v>
      </c>
      <c r="AK327" s="99">
        <v>0</v>
      </c>
      <c r="AL327" s="99">
        <v>0</v>
      </c>
      <c r="AM327" s="99">
        <v>0</v>
      </c>
      <c r="AN327" s="99">
        <v>60694.160234701747</v>
      </c>
      <c r="AO327" s="99">
        <v>0</v>
      </c>
      <c r="AP327" s="99">
        <v>0</v>
      </c>
      <c r="AQ327" s="99">
        <v>0</v>
      </c>
      <c r="AR327" s="99">
        <f t="shared" si="4"/>
        <v>65188.889557226161</v>
      </c>
    </row>
    <row r="328" spans="1:44" ht="15" x14ac:dyDescent="0.25">
      <c r="A328" s="258">
        <v>321</v>
      </c>
      <c r="B328" s="258" t="s">
        <v>295</v>
      </c>
      <c r="C328" s="258" t="s">
        <v>1673</v>
      </c>
      <c r="D328" s="859" t="s">
        <v>1675</v>
      </c>
      <c r="E328" s="99">
        <v>0.42130578107034161</v>
      </c>
      <c r="F328" s="99">
        <v>0</v>
      </c>
      <c r="G328" s="99">
        <v>4280.0046126660191</v>
      </c>
      <c r="H328" s="99">
        <v>0</v>
      </c>
      <c r="I328" s="99">
        <v>0</v>
      </c>
      <c r="J328" s="99">
        <v>0</v>
      </c>
      <c r="K328" s="99">
        <v>0</v>
      </c>
      <c r="L328" s="99">
        <v>0</v>
      </c>
      <c r="M328" s="99">
        <v>0</v>
      </c>
      <c r="N328" s="99">
        <v>0</v>
      </c>
      <c r="O328" s="99">
        <v>0</v>
      </c>
      <c r="P328" s="99">
        <v>0</v>
      </c>
      <c r="Q328" s="99">
        <v>0</v>
      </c>
      <c r="R328" s="99">
        <v>0</v>
      </c>
      <c r="S328" s="99">
        <v>0</v>
      </c>
      <c r="T328" s="99">
        <v>0</v>
      </c>
      <c r="U328" s="99">
        <v>0</v>
      </c>
      <c r="V328" s="99">
        <v>0</v>
      </c>
      <c r="W328" s="99">
        <v>0</v>
      </c>
      <c r="X328" s="99">
        <v>0</v>
      </c>
      <c r="Y328" s="99">
        <v>0</v>
      </c>
      <c r="Z328" s="99">
        <v>0</v>
      </c>
      <c r="AA328" s="99">
        <v>0</v>
      </c>
      <c r="AB328" s="99">
        <v>16506.036251826368</v>
      </c>
      <c r="AC328" s="99">
        <v>0</v>
      </c>
      <c r="AD328" s="99">
        <v>0</v>
      </c>
      <c r="AE328" s="99">
        <v>0</v>
      </c>
      <c r="AF328" s="99">
        <v>0</v>
      </c>
      <c r="AG328" s="99">
        <v>0</v>
      </c>
      <c r="AH328" s="99">
        <v>0</v>
      </c>
      <c r="AI328" s="99">
        <v>0</v>
      </c>
      <c r="AJ328" s="99">
        <v>0</v>
      </c>
      <c r="AK328" s="99">
        <v>0</v>
      </c>
      <c r="AL328" s="99">
        <v>0</v>
      </c>
      <c r="AM328" s="99">
        <v>0</v>
      </c>
      <c r="AN328" s="99">
        <v>4016.3894276541214</v>
      </c>
      <c r="AO328" s="99">
        <v>0</v>
      </c>
      <c r="AP328" s="99">
        <v>0</v>
      </c>
      <c r="AQ328" s="99">
        <v>0</v>
      </c>
      <c r="AR328" s="99">
        <f t="shared" si="4"/>
        <v>24802.85159792758</v>
      </c>
    </row>
    <row r="329" spans="1:44" ht="15" x14ac:dyDescent="0.25">
      <c r="A329" s="258">
        <v>322</v>
      </c>
      <c r="B329" s="258" t="s">
        <v>295</v>
      </c>
      <c r="C329" s="258" t="s">
        <v>1673</v>
      </c>
      <c r="D329" s="859" t="s">
        <v>1676</v>
      </c>
      <c r="E329" s="99">
        <v>0</v>
      </c>
      <c r="F329" s="99">
        <v>0</v>
      </c>
      <c r="G329" s="99">
        <v>0</v>
      </c>
      <c r="H329" s="99">
        <v>0</v>
      </c>
      <c r="I329" s="99">
        <v>0</v>
      </c>
      <c r="J329" s="99">
        <v>0</v>
      </c>
      <c r="K329" s="99">
        <v>0</v>
      </c>
      <c r="L329" s="99">
        <v>0</v>
      </c>
      <c r="M329" s="99">
        <v>0</v>
      </c>
      <c r="N329" s="99">
        <v>0</v>
      </c>
      <c r="O329" s="99">
        <v>0</v>
      </c>
      <c r="P329" s="99">
        <v>0</v>
      </c>
      <c r="Q329" s="99">
        <v>0</v>
      </c>
      <c r="R329" s="99">
        <v>0</v>
      </c>
      <c r="S329" s="99">
        <v>0</v>
      </c>
      <c r="T329" s="99">
        <v>0</v>
      </c>
      <c r="U329" s="99">
        <v>0</v>
      </c>
      <c r="V329" s="99">
        <v>0</v>
      </c>
      <c r="W329" s="99">
        <v>0</v>
      </c>
      <c r="X329" s="99">
        <v>0</v>
      </c>
      <c r="Y329" s="99">
        <v>0</v>
      </c>
      <c r="Z329" s="99">
        <v>0</v>
      </c>
      <c r="AA329" s="99">
        <v>0</v>
      </c>
      <c r="AB329" s="99">
        <v>179.66610284671935</v>
      </c>
      <c r="AC329" s="99">
        <v>0</v>
      </c>
      <c r="AD329" s="99">
        <v>0</v>
      </c>
      <c r="AE329" s="99">
        <v>0</v>
      </c>
      <c r="AF329" s="99">
        <v>0</v>
      </c>
      <c r="AG329" s="99">
        <v>0</v>
      </c>
      <c r="AH329" s="99">
        <v>0</v>
      </c>
      <c r="AI329" s="99">
        <v>0</v>
      </c>
      <c r="AJ329" s="99">
        <v>0</v>
      </c>
      <c r="AK329" s="99">
        <v>0</v>
      </c>
      <c r="AL329" s="99">
        <v>0</v>
      </c>
      <c r="AM329" s="99">
        <v>0</v>
      </c>
      <c r="AN329" s="99">
        <v>0</v>
      </c>
      <c r="AO329" s="99">
        <v>0</v>
      </c>
      <c r="AP329" s="99">
        <v>0</v>
      </c>
      <c r="AQ329" s="99">
        <v>0</v>
      </c>
      <c r="AR329" s="99">
        <f t="shared" ref="AR329:AR392" si="5">SUM(E329:AQ329)</f>
        <v>179.66610284671935</v>
      </c>
    </row>
    <row r="330" spans="1:44" ht="15" x14ac:dyDescent="0.25">
      <c r="A330" s="258">
        <v>323</v>
      </c>
      <c r="B330" s="258" t="s">
        <v>295</v>
      </c>
      <c r="C330" s="258" t="s">
        <v>1673</v>
      </c>
      <c r="D330" s="859" t="s">
        <v>1677</v>
      </c>
      <c r="E330" s="99">
        <v>0</v>
      </c>
      <c r="F330" s="99">
        <v>0</v>
      </c>
      <c r="G330" s="99">
        <v>8698.4619125441768</v>
      </c>
      <c r="H330" s="99">
        <v>0</v>
      </c>
      <c r="I330" s="99">
        <v>0</v>
      </c>
      <c r="J330" s="99">
        <v>0</v>
      </c>
      <c r="K330" s="99">
        <v>0</v>
      </c>
      <c r="L330" s="99">
        <v>0</v>
      </c>
      <c r="M330" s="99">
        <v>0</v>
      </c>
      <c r="N330" s="99">
        <v>0</v>
      </c>
      <c r="O330" s="99">
        <v>0</v>
      </c>
      <c r="P330" s="99">
        <v>0</v>
      </c>
      <c r="Q330" s="99">
        <v>0</v>
      </c>
      <c r="R330" s="99">
        <v>0</v>
      </c>
      <c r="S330" s="99">
        <v>0</v>
      </c>
      <c r="T330" s="99">
        <v>0</v>
      </c>
      <c r="U330" s="99">
        <v>0</v>
      </c>
      <c r="V330" s="99">
        <v>0</v>
      </c>
      <c r="W330" s="99">
        <v>0</v>
      </c>
      <c r="X330" s="99">
        <v>0</v>
      </c>
      <c r="Y330" s="99">
        <v>0</v>
      </c>
      <c r="Z330" s="99">
        <v>0</v>
      </c>
      <c r="AA330" s="99">
        <v>0</v>
      </c>
      <c r="AB330" s="99">
        <v>4911.2770404851863</v>
      </c>
      <c r="AC330" s="99">
        <v>0</v>
      </c>
      <c r="AD330" s="99">
        <v>0</v>
      </c>
      <c r="AE330" s="99">
        <v>0</v>
      </c>
      <c r="AF330" s="99">
        <v>0</v>
      </c>
      <c r="AG330" s="99">
        <v>0</v>
      </c>
      <c r="AH330" s="99">
        <v>0</v>
      </c>
      <c r="AI330" s="99">
        <v>0</v>
      </c>
      <c r="AJ330" s="99">
        <v>0</v>
      </c>
      <c r="AK330" s="99">
        <v>0</v>
      </c>
      <c r="AL330" s="99">
        <v>0</v>
      </c>
      <c r="AM330" s="99">
        <v>0</v>
      </c>
      <c r="AN330" s="99">
        <v>0</v>
      </c>
      <c r="AO330" s="99">
        <v>0</v>
      </c>
      <c r="AP330" s="99">
        <v>0</v>
      </c>
      <c r="AQ330" s="99">
        <v>0</v>
      </c>
      <c r="AR330" s="99">
        <f t="shared" si="5"/>
        <v>13609.738953029362</v>
      </c>
    </row>
    <row r="331" spans="1:44" ht="15" x14ac:dyDescent="0.25">
      <c r="A331" s="258">
        <v>324</v>
      </c>
      <c r="B331" s="258" t="s">
        <v>295</v>
      </c>
      <c r="C331" s="258" t="s">
        <v>1673</v>
      </c>
      <c r="D331" s="859" t="s">
        <v>1678</v>
      </c>
      <c r="E331" s="99">
        <v>0</v>
      </c>
      <c r="F331" s="99">
        <v>0</v>
      </c>
      <c r="G331" s="99">
        <v>703.31019301910771</v>
      </c>
      <c r="H331" s="99">
        <v>0</v>
      </c>
      <c r="I331" s="99">
        <v>0</v>
      </c>
      <c r="J331" s="99">
        <v>0</v>
      </c>
      <c r="K331" s="99">
        <v>0</v>
      </c>
      <c r="L331" s="99">
        <v>0</v>
      </c>
      <c r="M331" s="99">
        <v>0</v>
      </c>
      <c r="N331" s="99">
        <v>0</v>
      </c>
      <c r="O331" s="99">
        <v>0</v>
      </c>
      <c r="P331" s="99">
        <v>0</v>
      </c>
      <c r="Q331" s="99">
        <v>0</v>
      </c>
      <c r="R331" s="99">
        <v>0</v>
      </c>
      <c r="S331" s="99">
        <v>0</v>
      </c>
      <c r="T331" s="99">
        <v>0</v>
      </c>
      <c r="U331" s="99">
        <v>0</v>
      </c>
      <c r="V331" s="99">
        <v>0</v>
      </c>
      <c r="W331" s="99">
        <v>0</v>
      </c>
      <c r="X331" s="99">
        <v>0</v>
      </c>
      <c r="Y331" s="99">
        <v>0</v>
      </c>
      <c r="Z331" s="99">
        <v>0</v>
      </c>
      <c r="AA331" s="99">
        <v>0</v>
      </c>
      <c r="AB331" s="99">
        <v>44.79545690922248</v>
      </c>
      <c r="AC331" s="99">
        <v>0</v>
      </c>
      <c r="AD331" s="99">
        <v>0</v>
      </c>
      <c r="AE331" s="99">
        <v>0</v>
      </c>
      <c r="AF331" s="99">
        <v>0</v>
      </c>
      <c r="AG331" s="99">
        <v>0</v>
      </c>
      <c r="AH331" s="99">
        <v>0</v>
      </c>
      <c r="AI331" s="99">
        <v>0</v>
      </c>
      <c r="AJ331" s="99">
        <v>0</v>
      </c>
      <c r="AK331" s="99">
        <v>0</v>
      </c>
      <c r="AL331" s="99">
        <v>0</v>
      </c>
      <c r="AM331" s="99">
        <v>0</v>
      </c>
      <c r="AN331" s="99">
        <v>0</v>
      </c>
      <c r="AO331" s="99">
        <v>0</v>
      </c>
      <c r="AP331" s="99">
        <v>0</v>
      </c>
      <c r="AQ331" s="99">
        <v>0</v>
      </c>
      <c r="AR331" s="99">
        <f t="shared" si="5"/>
        <v>748.10564992833019</v>
      </c>
    </row>
    <row r="332" spans="1:44" ht="15" x14ac:dyDescent="0.25">
      <c r="A332" s="258">
        <v>325</v>
      </c>
      <c r="B332" s="258" t="s">
        <v>292</v>
      </c>
      <c r="C332" s="258" t="s">
        <v>1679</v>
      </c>
      <c r="D332" s="859" t="s">
        <v>1680</v>
      </c>
      <c r="E332" s="99">
        <v>0</v>
      </c>
      <c r="F332" s="99">
        <v>0</v>
      </c>
      <c r="G332" s="99">
        <v>0</v>
      </c>
      <c r="H332" s="99">
        <v>0</v>
      </c>
      <c r="I332" s="99">
        <v>0</v>
      </c>
      <c r="J332" s="99">
        <v>0</v>
      </c>
      <c r="K332" s="99">
        <v>0</v>
      </c>
      <c r="L332" s="99">
        <v>0</v>
      </c>
      <c r="M332" s="99">
        <v>0</v>
      </c>
      <c r="N332" s="99">
        <v>0</v>
      </c>
      <c r="O332" s="99">
        <v>0</v>
      </c>
      <c r="P332" s="99">
        <v>0</v>
      </c>
      <c r="Q332" s="99">
        <v>0</v>
      </c>
      <c r="R332" s="99">
        <v>0</v>
      </c>
      <c r="S332" s="99">
        <v>0</v>
      </c>
      <c r="T332" s="99">
        <v>0</v>
      </c>
      <c r="U332" s="99">
        <v>0</v>
      </c>
      <c r="V332" s="99">
        <v>0</v>
      </c>
      <c r="W332" s="99">
        <v>0</v>
      </c>
      <c r="X332" s="99">
        <v>0</v>
      </c>
      <c r="Y332" s="99">
        <v>0</v>
      </c>
      <c r="Z332" s="99">
        <v>0</v>
      </c>
      <c r="AA332" s="99">
        <v>0</v>
      </c>
      <c r="AB332" s="99">
        <v>0</v>
      </c>
      <c r="AC332" s="99">
        <v>0</v>
      </c>
      <c r="AD332" s="99">
        <v>0</v>
      </c>
      <c r="AE332" s="99">
        <v>0</v>
      </c>
      <c r="AF332" s="99">
        <v>0</v>
      </c>
      <c r="AG332" s="99">
        <v>0</v>
      </c>
      <c r="AH332" s="99">
        <v>0</v>
      </c>
      <c r="AI332" s="99">
        <v>0</v>
      </c>
      <c r="AJ332" s="99">
        <v>0</v>
      </c>
      <c r="AK332" s="99">
        <v>0</v>
      </c>
      <c r="AL332" s="99">
        <v>0</v>
      </c>
      <c r="AM332" s="99">
        <v>0</v>
      </c>
      <c r="AN332" s="99">
        <v>7590.2200202563035</v>
      </c>
      <c r="AO332" s="99">
        <v>0</v>
      </c>
      <c r="AP332" s="99">
        <v>0</v>
      </c>
      <c r="AQ332" s="99">
        <v>0</v>
      </c>
      <c r="AR332" s="99">
        <f t="shared" si="5"/>
        <v>7590.2200202563035</v>
      </c>
    </row>
    <row r="333" spans="1:44" ht="15" x14ac:dyDescent="0.25">
      <c r="A333" s="258">
        <v>326</v>
      </c>
      <c r="B333" s="258" t="s">
        <v>350</v>
      </c>
      <c r="C333" s="258" t="s">
        <v>1681</v>
      </c>
      <c r="D333" s="859" t="s">
        <v>1682</v>
      </c>
      <c r="E333" s="99">
        <v>10873.902209425514</v>
      </c>
      <c r="F333" s="99">
        <v>0</v>
      </c>
      <c r="G333" s="99">
        <v>0</v>
      </c>
      <c r="H333" s="99">
        <v>0</v>
      </c>
      <c r="I333" s="99">
        <v>0</v>
      </c>
      <c r="J333" s="99">
        <v>0</v>
      </c>
      <c r="K333" s="99">
        <v>0</v>
      </c>
      <c r="L333" s="99">
        <v>0</v>
      </c>
      <c r="M333" s="99">
        <v>0</v>
      </c>
      <c r="N333" s="99">
        <v>0</v>
      </c>
      <c r="O333" s="99">
        <v>0</v>
      </c>
      <c r="P333" s="99">
        <v>0</v>
      </c>
      <c r="Q333" s="99">
        <v>0</v>
      </c>
      <c r="R333" s="99">
        <v>0</v>
      </c>
      <c r="S333" s="99">
        <v>2348.4723155656875</v>
      </c>
      <c r="T333" s="99">
        <v>0</v>
      </c>
      <c r="U333" s="99">
        <v>0</v>
      </c>
      <c r="V333" s="99">
        <v>0</v>
      </c>
      <c r="W333" s="99">
        <v>0</v>
      </c>
      <c r="X333" s="99">
        <v>0</v>
      </c>
      <c r="Y333" s="99">
        <v>0</v>
      </c>
      <c r="Z333" s="99">
        <v>0</v>
      </c>
      <c r="AA333" s="99">
        <v>0</v>
      </c>
      <c r="AB333" s="99">
        <v>0</v>
      </c>
      <c r="AC333" s="99">
        <v>53955.65349894041</v>
      </c>
      <c r="AD333" s="99">
        <v>0</v>
      </c>
      <c r="AE333" s="99">
        <v>0</v>
      </c>
      <c r="AF333" s="99">
        <v>0</v>
      </c>
      <c r="AG333" s="99">
        <v>0</v>
      </c>
      <c r="AH333" s="99">
        <v>0</v>
      </c>
      <c r="AI333" s="99">
        <v>0</v>
      </c>
      <c r="AJ333" s="99">
        <v>0</v>
      </c>
      <c r="AK333" s="99">
        <v>0</v>
      </c>
      <c r="AL333" s="99">
        <v>0</v>
      </c>
      <c r="AM333" s="99">
        <v>0</v>
      </c>
      <c r="AN333" s="99">
        <v>1490.6360761971764</v>
      </c>
      <c r="AO333" s="99">
        <v>0</v>
      </c>
      <c r="AP333" s="99">
        <v>0</v>
      </c>
      <c r="AQ333" s="99">
        <v>0</v>
      </c>
      <c r="AR333" s="99">
        <f t="shared" si="5"/>
        <v>68668.664100128779</v>
      </c>
    </row>
    <row r="334" spans="1:44" ht="15" x14ac:dyDescent="0.25">
      <c r="A334" s="258">
        <v>327</v>
      </c>
      <c r="B334" s="258" t="s">
        <v>350</v>
      </c>
      <c r="C334" s="258" t="s">
        <v>1681</v>
      </c>
      <c r="D334" s="859" t="s">
        <v>1683</v>
      </c>
      <c r="E334" s="99">
        <v>25493.212812566369</v>
      </c>
      <c r="F334" s="99">
        <v>0</v>
      </c>
      <c r="G334" s="99">
        <v>0</v>
      </c>
      <c r="H334" s="99">
        <v>0</v>
      </c>
      <c r="I334" s="99">
        <v>0</v>
      </c>
      <c r="J334" s="99">
        <v>0</v>
      </c>
      <c r="K334" s="99">
        <v>0</v>
      </c>
      <c r="L334" s="99">
        <v>0</v>
      </c>
      <c r="M334" s="99">
        <v>0</v>
      </c>
      <c r="N334" s="99">
        <v>0</v>
      </c>
      <c r="O334" s="99">
        <v>0</v>
      </c>
      <c r="P334" s="99">
        <v>0</v>
      </c>
      <c r="Q334" s="99">
        <v>0</v>
      </c>
      <c r="R334" s="99">
        <v>0</v>
      </c>
      <c r="S334" s="99">
        <v>61828.000335858502</v>
      </c>
      <c r="T334" s="99">
        <v>0</v>
      </c>
      <c r="U334" s="99">
        <v>0</v>
      </c>
      <c r="V334" s="99">
        <v>0</v>
      </c>
      <c r="W334" s="99">
        <v>0</v>
      </c>
      <c r="X334" s="99">
        <v>0</v>
      </c>
      <c r="Y334" s="99">
        <v>0</v>
      </c>
      <c r="Z334" s="99">
        <v>0</v>
      </c>
      <c r="AA334" s="99">
        <v>0</v>
      </c>
      <c r="AB334" s="99">
        <v>0</v>
      </c>
      <c r="AC334" s="99">
        <v>7927.355300820539</v>
      </c>
      <c r="AD334" s="99">
        <v>0</v>
      </c>
      <c r="AE334" s="99">
        <v>0</v>
      </c>
      <c r="AF334" s="99">
        <v>0</v>
      </c>
      <c r="AG334" s="99">
        <v>0</v>
      </c>
      <c r="AH334" s="99">
        <v>0</v>
      </c>
      <c r="AI334" s="99">
        <v>0</v>
      </c>
      <c r="AJ334" s="99">
        <v>0</v>
      </c>
      <c r="AK334" s="99">
        <v>0</v>
      </c>
      <c r="AL334" s="99">
        <v>0</v>
      </c>
      <c r="AM334" s="99">
        <v>0</v>
      </c>
      <c r="AN334" s="99">
        <v>35065.107698082189</v>
      </c>
      <c r="AO334" s="99">
        <v>0</v>
      </c>
      <c r="AP334" s="99">
        <v>0</v>
      </c>
      <c r="AQ334" s="99">
        <v>0</v>
      </c>
      <c r="AR334" s="99">
        <f t="shared" si="5"/>
        <v>130313.67614732758</v>
      </c>
    </row>
    <row r="335" spans="1:44" ht="15" x14ac:dyDescent="0.25">
      <c r="A335" s="258">
        <v>328</v>
      </c>
      <c r="B335" s="258" t="s">
        <v>350</v>
      </c>
      <c r="C335" s="258" t="s">
        <v>1681</v>
      </c>
      <c r="D335" s="859" t="s">
        <v>1684</v>
      </c>
      <c r="E335" s="99">
        <v>1541.5578529363795</v>
      </c>
      <c r="F335" s="99">
        <v>0</v>
      </c>
      <c r="G335" s="99">
        <v>0</v>
      </c>
      <c r="H335" s="99">
        <v>0</v>
      </c>
      <c r="I335" s="99">
        <v>0</v>
      </c>
      <c r="J335" s="99">
        <v>0</v>
      </c>
      <c r="K335" s="99">
        <v>0</v>
      </c>
      <c r="L335" s="99">
        <v>0</v>
      </c>
      <c r="M335" s="99">
        <v>0</v>
      </c>
      <c r="N335" s="99">
        <v>0</v>
      </c>
      <c r="O335" s="99">
        <v>0</v>
      </c>
      <c r="P335" s="99">
        <v>0</v>
      </c>
      <c r="Q335" s="99">
        <v>0</v>
      </c>
      <c r="R335" s="99">
        <v>0</v>
      </c>
      <c r="S335" s="99">
        <v>16328.491560059781</v>
      </c>
      <c r="T335" s="99">
        <v>0</v>
      </c>
      <c r="U335" s="99">
        <v>0</v>
      </c>
      <c r="V335" s="99">
        <v>0</v>
      </c>
      <c r="W335" s="99">
        <v>0</v>
      </c>
      <c r="X335" s="99">
        <v>0</v>
      </c>
      <c r="Y335" s="99">
        <v>0</v>
      </c>
      <c r="Z335" s="99">
        <v>0</v>
      </c>
      <c r="AA335" s="99">
        <v>0</v>
      </c>
      <c r="AB335" s="99">
        <v>0</v>
      </c>
      <c r="AC335" s="99">
        <v>0</v>
      </c>
      <c r="AD335" s="99">
        <v>0</v>
      </c>
      <c r="AE335" s="99">
        <v>0</v>
      </c>
      <c r="AF335" s="99">
        <v>0</v>
      </c>
      <c r="AG335" s="99">
        <v>0</v>
      </c>
      <c r="AH335" s="99">
        <v>0</v>
      </c>
      <c r="AI335" s="99">
        <v>0</v>
      </c>
      <c r="AJ335" s="99">
        <v>0</v>
      </c>
      <c r="AK335" s="99">
        <v>0</v>
      </c>
      <c r="AL335" s="99">
        <v>0</v>
      </c>
      <c r="AM335" s="99">
        <v>0</v>
      </c>
      <c r="AN335" s="99">
        <v>19207.149441001453</v>
      </c>
      <c r="AO335" s="99">
        <v>0</v>
      </c>
      <c r="AP335" s="99">
        <v>0</v>
      </c>
      <c r="AQ335" s="99">
        <v>0</v>
      </c>
      <c r="AR335" s="99">
        <f t="shared" si="5"/>
        <v>37077.198853997616</v>
      </c>
    </row>
    <row r="336" spans="1:44" ht="15" x14ac:dyDescent="0.25">
      <c r="A336" s="258">
        <v>329</v>
      </c>
      <c r="B336" s="258" t="s">
        <v>350</v>
      </c>
      <c r="C336" s="258" t="s">
        <v>1681</v>
      </c>
      <c r="D336" s="859" t="s">
        <v>1685</v>
      </c>
      <c r="E336" s="99">
        <v>0</v>
      </c>
      <c r="F336" s="99">
        <v>0</v>
      </c>
      <c r="G336" s="99">
        <v>0</v>
      </c>
      <c r="H336" s="99">
        <v>0</v>
      </c>
      <c r="I336" s="99">
        <v>0</v>
      </c>
      <c r="J336" s="99">
        <v>0</v>
      </c>
      <c r="K336" s="99">
        <v>0</v>
      </c>
      <c r="L336" s="99">
        <v>0</v>
      </c>
      <c r="M336" s="99">
        <v>0</v>
      </c>
      <c r="N336" s="99">
        <v>0</v>
      </c>
      <c r="O336" s="99">
        <v>0</v>
      </c>
      <c r="P336" s="99">
        <v>0</v>
      </c>
      <c r="Q336" s="99">
        <v>0</v>
      </c>
      <c r="R336" s="99">
        <v>0</v>
      </c>
      <c r="S336" s="99">
        <v>1234.6911834009748</v>
      </c>
      <c r="T336" s="99">
        <v>0</v>
      </c>
      <c r="U336" s="99">
        <v>0</v>
      </c>
      <c r="V336" s="99">
        <v>0</v>
      </c>
      <c r="W336" s="99">
        <v>0</v>
      </c>
      <c r="X336" s="99">
        <v>0</v>
      </c>
      <c r="Y336" s="99">
        <v>0</v>
      </c>
      <c r="Z336" s="99">
        <v>0</v>
      </c>
      <c r="AA336" s="99">
        <v>0</v>
      </c>
      <c r="AB336" s="99">
        <v>0</v>
      </c>
      <c r="AC336" s="99">
        <v>12175.167549826527</v>
      </c>
      <c r="AD336" s="99">
        <v>0</v>
      </c>
      <c r="AE336" s="99">
        <v>0</v>
      </c>
      <c r="AF336" s="99">
        <v>0</v>
      </c>
      <c r="AG336" s="99">
        <v>0</v>
      </c>
      <c r="AH336" s="99">
        <v>0</v>
      </c>
      <c r="AI336" s="99">
        <v>0</v>
      </c>
      <c r="AJ336" s="99">
        <v>0</v>
      </c>
      <c r="AK336" s="99">
        <v>0</v>
      </c>
      <c r="AL336" s="99">
        <v>0</v>
      </c>
      <c r="AM336" s="99">
        <v>0</v>
      </c>
      <c r="AN336" s="99">
        <v>0</v>
      </c>
      <c r="AO336" s="99">
        <v>0</v>
      </c>
      <c r="AP336" s="99">
        <v>0</v>
      </c>
      <c r="AQ336" s="99">
        <v>0</v>
      </c>
      <c r="AR336" s="99">
        <f t="shared" si="5"/>
        <v>13409.858733227502</v>
      </c>
    </row>
    <row r="337" spans="1:44" ht="15" x14ac:dyDescent="0.25">
      <c r="A337" s="258">
        <v>330</v>
      </c>
      <c r="B337" s="258" t="s">
        <v>350</v>
      </c>
      <c r="C337" s="258" t="s">
        <v>1681</v>
      </c>
      <c r="D337" s="859" t="s">
        <v>1686</v>
      </c>
      <c r="E337" s="99">
        <v>15681.211824328646</v>
      </c>
      <c r="F337" s="99">
        <v>0</v>
      </c>
      <c r="G337" s="99">
        <v>0</v>
      </c>
      <c r="H337" s="99">
        <v>0</v>
      </c>
      <c r="I337" s="99">
        <v>0</v>
      </c>
      <c r="J337" s="99">
        <v>0</v>
      </c>
      <c r="K337" s="99">
        <v>0</v>
      </c>
      <c r="L337" s="99">
        <v>0</v>
      </c>
      <c r="M337" s="99">
        <v>0</v>
      </c>
      <c r="N337" s="99">
        <v>0</v>
      </c>
      <c r="O337" s="99">
        <v>0</v>
      </c>
      <c r="P337" s="99">
        <v>0</v>
      </c>
      <c r="Q337" s="99">
        <v>0</v>
      </c>
      <c r="R337" s="99">
        <v>0</v>
      </c>
      <c r="S337" s="99">
        <v>43614.01630690859</v>
      </c>
      <c r="T337" s="99">
        <v>0</v>
      </c>
      <c r="U337" s="99">
        <v>0</v>
      </c>
      <c r="V337" s="99">
        <v>0</v>
      </c>
      <c r="W337" s="99">
        <v>0</v>
      </c>
      <c r="X337" s="99">
        <v>0</v>
      </c>
      <c r="Y337" s="99">
        <v>0</v>
      </c>
      <c r="Z337" s="99">
        <v>0</v>
      </c>
      <c r="AA337" s="99">
        <v>0</v>
      </c>
      <c r="AB337" s="99">
        <v>0</v>
      </c>
      <c r="AC337" s="99">
        <v>17708.043097026788</v>
      </c>
      <c r="AD337" s="99">
        <v>0</v>
      </c>
      <c r="AE337" s="99">
        <v>0</v>
      </c>
      <c r="AF337" s="99">
        <v>0</v>
      </c>
      <c r="AG337" s="99">
        <v>0</v>
      </c>
      <c r="AH337" s="99">
        <v>0</v>
      </c>
      <c r="AI337" s="99">
        <v>0</v>
      </c>
      <c r="AJ337" s="99">
        <v>0</v>
      </c>
      <c r="AK337" s="99">
        <v>0</v>
      </c>
      <c r="AL337" s="99">
        <v>0</v>
      </c>
      <c r="AM337" s="99">
        <v>0</v>
      </c>
      <c r="AN337" s="99">
        <v>3649.91039233725</v>
      </c>
      <c r="AO337" s="99">
        <v>0</v>
      </c>
      <c r="AP337" s="99">
        <v>0</v>
      </c>
      <c r="AQ337" s="99">
        <v>0</v>
      </c>
      <c r="AR337" s="99">
        <f t="shared" si="5"/>
        <v>80653.181620601274</v>
      </c>
    </row>
    <row r="338" spans="1:44" ht="15" x14ac:dyDescent="0.25">
      <c r="A338" s="258">
        <v>331</v>
      </c>
      <c r="B338" s="258" t="s">
        <v>350</v>
      </c>
      <c r="C338" s="258" t="s">
        <v>1681</v>
      </c>
      <c r="D338" s="859" t="s">
        <v>1687</v>
      </c>
      <c r="E338" s="99">
        <v>918.86790851441492</v>
      </c>
      <c r="F338" s="99">
        <v>0</v>
      </c>
      <c r="G338" s="99">
        <v>0</v>
      </c>
      <c r="H338" s="99">
        <v>0</v>
      </c>
      <c r="I338" s="99">
        <v>0</v>
      </c>
      <c r="J338" s="99">
        <v>0</v>
      </c>
      <c r="K338" s="99">
        <v>0</v>
      </c>
      <c r="L338" s="99">
        <v>0</v>
      </c>
      <c r="M338" s="99">
        <v>0</v>
      </c>
      <c r="N338" s="99">
        <v>0</v>
      </c>
      <c r="O338" s="99">
        <v>0</v>
      </c>
      <c r="P338" s="99">
        <v>0</v>
      </c>
      <c r="Q338" s="99">
        <v>0</v>
      </c>
      <c r="R338" s="99">
        <v>0</v>
      </c>
      <c r="S338" s="99">
        <v>3143.8961089413297</v>
      </c>
      <c r="T338" s="99">
        <v>0</v>
      </c>
      <c r="U338" s="99">
        <v>0</v>
      </c>
      <c r="V338" s="99">
        <v>0</v>
      </c>
      <c r="W338" s="99">
        <v>0</v>
      </c>
      <c r="X338" s="99">
        <v>0</v>
      </c>
      <c r="Y338" s="99">
        <v>0</v>
      </c>
      <c r="Z338" s="99">
        <v>0</v>
      </c>
      <c r="AA338" s="99">
        <v>0</v>
      </c>
      <c r="AB338" s="99">
        <v>0</v>
      </c>
      <c r="AC338" s="99">
        <v>0</v>
      </c>
      <c r="AD338" s="99">
        <v>0</v>
      </c>
      <c r="AE338" s="99">
        <v>0</v>
      </c>
      <c r="AF338" s="99">
        <v>0</v>
      </c>
      <c r="AG338" s="99">
        <v>0</v>
      </c>
      <c r="AH338" s="99">
        <v>0</v>
      </c>
      <c r="AI338" s="99">
        <v>0</v>
      </c>
      <c r="AJ338" s="99">
        <v>0</v>
      </c>
      <c r="AK338" s="99">
        <v>0</v>
      </c>
      <c r="AL338" s="99">
        <v>0</v>
      </c>
      <c r="AM338" s="99">
        <v>0</v>
      </c>
      <c r="AN338" s="99">
        <v>28530.884898123353</v>
      </c>
      <c r="AO338" s="99">
        <v>0</v>
      </c>
      <c r="AP338" s="99">
        <v>0</v>
      </c>
      <c r="AQ338" s="99">
        <v>0</v>
      </c>
      <c r="AR338" s="99">
        <f t="shared" si="5"/>
        <v>32593.648915579099</v>
      </c>
    </row>
    <row r="339" spans="1:44" ht="15" x14ac:dyDescent="0.25">
      <c r="A339" s="258">
        <v>332</v>
      </c>
      <c r="B339" s="258" t="s">
        <v>301</v>
      </c>
      <c r="C339" s="258" t="s">
        <v>1688</v>
      </c>
      <c r="D339" s="859" t="s">
        <v>1689</v>
      </c>
      <c r="E339" s="99">
        <v>9216.6959195853269</v>
      </c>
      <c r="F339" s="99">
        <v>0</v>
      </c>
      <c r="G339" s="99">
        <v>0</v>
      </c>
      <c r="H339" s="99">
        <v>0</v>
      </c>
      <c r="I339" s="99">
        <v>0</v>
      </c>
      <c r="J339" s="99">
        <v>0</v>
      </c>
      <c r="K339" s="99">
        <v>0</v>
      </c>
      <c r="L339" s="99">
        <v>0</v>
      </c>
      <c r="M339" s="99">
        <v>0</v>
      </c>
      <c r="N339" s="99">
        <v>0</v>
      </c>
      <c r="O339" s="99">
        <v>0</v>
      </c>
      <c r="P339" s="99">
        <v>0</v>
      </c>
      <c r="Q339" s="99">
        <v>0</v>
      </c>
      <c r="R339" s="99">
        <v>0</v>
      </c>
      <c r="S339" s="99">
        <v>0</v>
      </c>
      <c r="T339" s="99">
        <v>0</v>
      </c>
      <c r="U339" s="99">
        <v>0</v>
      </c>
      <c r="V339" s="99">
        <v>0</v>
      </c>
      <c r="W339" s="99">
        <v>0</v>
      </c>
      <c r="X339" s="99">
        <v>0</v>
      </c>
      <c r="Y339" s="99">
        <v>0</v>
      </c>
      <c r="Z339" s="99">
        <v>0</v>
      </c>
      <c r="AA339" s="99">
        <v>0</v>
      </c>
      <c r="AB339" s="99">
        <v>0</v>
      </c>
      <c r="AC339" s="99">
        <v>87947.837897758611</v>
      </c>
      <c r="AD339" s="99">
        <v>0</v>
      </c>
      <c r="AE339" s="99">
        <v>0</v>
      </c>
      <c r="AF339" s="99">
        <v>0</v>
      </c>
      <c r="AG339" s="99">
        <v>0</v>
      </c>
      <c r="AH339" s="99">
        <v>0</v>
      </c>
      <c r="AI339" s="99">
        <v>0</v>
      </c>
      <c r="AJ339" s="99">
        <v>0</v>
      </c>
      <c r="AK339" s="99">
        <v>0</v>
      </c>
      <c r="AL339" s="99">
        <v>0</v>
      </c>
      <c r="AM339" s="99">
        <v>0</v>
      </c>
      <c r="AN339" s="99">
        <v>0</v>
      </c>
      <c r="AO339" s="99">
        <v>0</v>
      </c>
      <c r="AP339" s="99">
        <v>0</v>
      </c>
      <c r="AQ339" s="99">
        <v>0</v>
      </c>
      <c r="AR339" s="99">
        <f t="shared" si="5"/>
        <v>97164.533817343938</v>
      </c>
    </row>
    <row r="340" spans="1:44" ht="15" x14ac:dyDescent="0.25">
      <c r="A340" s="258">
        <v>333</v>
      </c>
      <c r="B340" s="258" t="s">
        <v>289</v>
      </c>
      <c r="C340" s="258" t="s">
        <v>1690</v>
      </c>
      <c r="D340" s="859" t="s">
        <v>1691</v>
      </c>
      <c r="E340" s="99">
        <v>11442.45436097994</v>
      </c>
      <c r="F340" s="99">
        <v>0</v>
      </c>
      <c r="G340" s="99">
        <v>0</v>
      </c>
      <c r="H340" s="99">
        <v>0</v>
      </c>
      <c r="I340" s="99">
        <v>0</v>
      </c>
      <c r="J340" s="99">
        <v>0</v>
      </c>
      <c r="K340" s="99">
        <v>0</v>
      </c>
      <c r="L340" s="99">
        <v>0</v>
      </c>
      <c r="M340" s="99">
        <v>0</v>
      </c>
      <c r="N340" s="99">
        <v>0</v>
      </c>
      <c r="O340" s="99">
        <v>0</v>
      </c>
      <c r="P340" s="99">
        <v>0</v>
      </c>
      <c r="Q340" s="99">
        <v>0</v>
      </c>
      <c r="R340" s="99">
        <v>0</v>
      </c>
      <c r="S340" s="99">
        <v>0</v>
      </c>
      <c r="T340" s="99">
        <v>0</v>
      </c>
      <c r="U340" s="99">
        <v>0</v>
      </c>
      <c r="V340" s="99">
        <v>0</v>
      </c>
      <c r="W340" s="99">
        <v>0</v>
      </c>
      <c r="X340" s="99">
        <v>0</v>
      </c>
      <c r="Y340" s="99">
        <v>0</v>
      </c>
      <c r="Z340" s="99">
        <v>0</v>
      </c>
      <c r="AA340" s="99">
        <v>0</v>
      </c>
      <c r="AB340" s="99">
        <v>0</v>
      </c>
      <c r="AC340" s="99">
        <v>22874.126707858024</v>
      </c>
      <c r="AD340" s="99">
        <v>0</v>
      </c>
      <c r="AE340" s="99">
        <v>0</v>
      </c>
      <c r="AF340" s="99">
        <v>0</v>
      </c>
      <c r="AG340" s="99">
        <v>0</v>
      </c>
      <c r="AH340" s="99">
        <v>0</v>
      </c>
      <c r="AI340" s="99">
        <v>0</v>
      </c>
      <c r="AJ340" s="99">
        <v>0</v>
      </c>
      <c r="AK340" s="99">
        <v>0</v>
      </c>
      <c r="AL340" s="99">
        <v>0</v>
      </c>
      <c r="AM340" s="99">
        <v>0</v>
      </c>
      <c r="AN340" s="99">
        <v>0</v>
      </c>
      <c r="AO340" s="99">
        <v>0</v>
      </c>
      <c r="AP340" s="99">
        <v>0</v>
      </c>
      <c r="AQ340" s="99">
        <v>0</v>
      </c>
      <c r="AR340" s="99">
        <f t="shared" si="5"/>
        <v>34316.581068837964</v>
      </c>
    </row>
    <row r="341" spans="1:44" ht="15" x14ac:dyDescent="0.25">
      <c r="A341" s="258">
        <v>334</v>
      </c>
      <c r="B341" s="258" t="s">
        <v>344</v>
      </c>
      <c r="C341" s="258" t="s">
        <v>1692</v>
      </c>
      <c r="D341" s="859" t="s">
        <v>1693</v>
      </c>
      <c r="E341" s="99">
        <v>0</v>
      </c>
      <c r="F341" s="99">
        <v>0</v>
      </c>
      <c r="G341" s="99">
        <v>0</v>
      </c>
      <c r="H341" s="99">
        <v>0</v>
      </c>
      <c r="I341" s="99">
        <v>74106.451609131065</v>
      </c>
      <c r="J341" s="99">
        <v>0</v>
      </c>
      <c r="K341" s="99">
        <v>0</v>
      </c>
      <c r="L341" s="99">
        <v>0</v>
      </c>
      <c r="M341" s="99">
        <v>0</v>
      </c>
      <c r="N341" s="99">
        <v>0</v>
      </c>
      <c r="O341" s="99">
        <v>0</v>
      </c>
      <c r="P341" s="99">
        <v>0</v>
      </c>
      <c r="Q341" s="99">
        <v>15987.329533949111</v>
      </c>
      <c r="R341" s="99">
        <v>0</v>
      </c>
      <c r="S341" s="99">
        <v>0</v>
      </c>
      <c r="T341" s="99">
        <v>0</v>
      </c>
      <c r="U341" s="99">
        <v>0</v>
      </c>
      <c r="V341" s="99">
        <v>0</v>
      </c>
      <c r="W341" s="99">
        <v>0</v>
      </c>
      <c r="X341" s="99">
        <v>0</v>
      </c>
      <c r="Y341" s="99">
        <v>0</v>
      </c>
      <c r="Z341" s="99">
        <v>0</v>
      </c>
      <c r="AA341" s="99">
        <v>0</v>
      </c>
      <c r="AB341" s="99">
        <v>0</v>
      </c>
      <c r="AC341" s="99">
        <v>0</v>
      </c>
      <c r="AD341" s="99">
        <v>0</v>
      </c>
      <c r="AE341" s="99">
        <v>0</v>
      </c>
      <c r="AF341" s="99">
        <v>0</v>
      </c>
      <c r="AG341" s="99">
        <v>0</v>
      </c>
      <c r="AH341" s="99">
        <v>0</v>
      </c>
      <c r="AI341" s="99">
        <v>0</v>
      </c>
      <c r="AJ341" s="99">
        <v>0</v>
      </c>
      <c r="AK341" s="99">
        <v>0</v>
      </c>
      <c r="AL341" s="99">
        <v>0</v>
      </c>
      <c r="AM341" s="99">
        <v>0</v>
      </c>
      <c r="AN341" s="99">
        <v>0</v>
      </c>
      <c r="AO341" s="99">
        <v>0</v>
      </c>
      <c r="AP341" s="99">
        <v>0</v>
      </c>
      <c r="AQ341" s="99">
        <v>0</v>
      </c>
      <c r="AR341" s="99">
        <f t="shared" si="5"/>
        <v>90093.781143080181</v>
      </c>
    </row>
    <row r="342" spans="1:44" ht="15" x14ac:dyDescent="0.25">
      <c r="A342" s="258">
        <v>335</v>
      </c>
      <c r="B342" s="258" t="s">
        <v>344</v>
      </c>
      <c r="C342" s="258" t="s">
        <v>1692</v>
      </c>
      <c r="D342" s="859" t="s">
        <v>1694</v>
      </c>
      <c r="E342" s="99">
        <v>0</v>
      </c>
      <c r="F342" s="99">
        <v>0</v>
      </c>
      <c r="G342" s="99">
        <v>0</v>
      </c>
      <c r="H342" s="99">
        <v>0</v>
      </c>
      <c r="I342" s="99">
        <v>54864.446970663164</v>
      </c>
      <c r="J342" s="99">
        <v>0</v>
      </c>
      <c r="K342" s="99">
        <v>0</v>
      </c>
      <c r="L342" s="99">
        <v>0</v>
      </c>
      <c r="M342" s="99">
        <v>0</v>
      </c>
      <c r="N342" s="99">
        <v>0</v>
      </c>
      <c r="O342" s="99">
        <v>0</v>
      </c>
      <c r="P342" s="99">
        <v>0</v>
      </c>
      <c r="Q342" s="99">
        <v>0</v>
      </c>
      <c r="R342" s="99">
        <v>0</v>
      </c>
      <c r="S342" s="99">
        <v>0</v>
      </c>
      <c r="T342" s="99">
        <v>0</v>
      </c>
      <c r="U342" s="99">
        <v>0</v>
      </c>
      <c r="V342" s="99">
        <v>0</v>
      </c>
      <c r="W342" s="99">
        <v>0</v>
      </c>
      <c r="X342" s="99">
        <v>0</v>
      </c>
      <c r="Y342" s="99">
        <v>0</v>
      </c>
      <c r="Z342" s="99">
        <v>0</v>
      </c>
      <c r="AA342" s="99">
        <v>0</v>
      </c>
      <c r="AB342" s="99">
        <v>0</v>
      </c>
      <c r="AC342" s="99">
        <v>0</v>
      </c>
      <c r="AD342" s="99">
        <v>0</v>
      </c>
      <c r="AE342" s="99">
        <v>0</v>
      </c>
      <c r="AF342" s="99">
        <v>0</v>
      </c>
      <c r="AG342" s="99">
        <v>0</v>
      </c>
      <c r="AH342" s="99">
        <v>0</v>
      </c>
      <c r="AI342" s="99">
        <v>0</v>
      </c>
      <c r="AJ342" s="99">
        <v>0</v>
      </c>
      <c r="AK342" s="99">
        <v>0</v>
      </c>
      <c r="AL342" s="99">
        <v>0</v>
      </c>
      <c r="AM342" s="99">
        <v>0</v>
      </c>
      <c r="AN342" s="99">
        <v>0</v>
      </c>
      <c r="AO342" s="99">
        <v>0</v>
      </c>
      <c r="AP342" s="99">
        <v>0</v>
      </c>
      <c r="AQ342" s="99">
        <v>0</v>
      </c>
      <c r="AR342" s="99">
        <f t="shared" si="5"/>
        <v>54864.446970663164</v>
      </c>
    </row>
    <row r="343" spans="1:44" ht="15" x14ac:dyDescent="0.25">
      <c r="A343" s="258">
        <v>336</v>
      </c>
      <c r="B343" s="258" t="s">
        <v>344</v>
      </c>
      <c r="C343" s="258" t="s">
        <v>1692</v>
      </c>
      <c r="D343" s="859" t="s">
        <v>1695</v>
      </c>
      <c r="E343" s="99">
        <v>0</v>
      </c>
      <c r="F343" s="99">
        <v>0</v>
      </c>
      <c r="G343" s="99">
        <v>0</v>
      </c>
      <c r="H343" s="99">
        <v>0</v>
      </c>
      <c r="I343" s="99">
        <v>50212.435014964736</v>
      </c>
      <c r="J343" s="99">
        <v>0</v>
      </c>
      <c r="K343" s="99">
        <v>0</v>
      </c>
      <c r="L343" s="99">
        <v>503.80795009831479</v>
      </c>
      <c r="M343" s="99">
        <v>0</v>
      </c>
      <c r="N343" s="99">
        <v>0</v>
      </c>
      <c r="O343" s="99">
        <v>0</v>
      </c>
      <c r="P343" s="99">
        <v>0</v>
      </c>
      <c r="Q343" s="99">
        <v>0</v>
      </c>
      <c r="R343" s="99">
        <v>0</v>
      </c>
      <c r="S343" s="99">
        <v>0</v>
      </c>
      <c r="T343" s="99">
        <v>0</v>
      </c>
      <c r="U343" s="99">
        <v>0</v>
      </c>
      <c r="V343" s="99">
        <v>0</v>
      </c>
      <c r="W343" s="99">
        <v>0</v>
      </c>
      <c r="X343" s="99">
        <v>0</v>
      </c>
      <c r="Y343" s="99">
        <v>0</v>
      </c>
      <c r="Z343" s="99">
        <v>0</v>
      </c>
      <c r="AA343" s="99">
        <v>0</v>
      </c>
      <c r="AB343" s="99">
        <v>0</v>
      </c>
      <c r="AC343" s="99">
        <v>0</v>
      </c>
      <c r="AD343" s="99">
        <v>0</v>
      </c>
      <c r="AE343" s="99">
        <v>0</v>
      </c>
      <c r="AF343" s="99">
        <v>0</v>
      </c>
      <c r="AG343" s="99">
        <v>0</v>
      </c>
      <c r="AH343" s="99">
        <v>0</v>
      </c>
      <c r="AI343" s="99">
        <v>0</v>
      </c>
      <c r="AJ343" s="99">
        <v>0</v>
      </c>
      <c r="AK343" s="99">
        <v>0</v>
      </c>
      <c r="AL343" s="99">
        <v>0</v>
      </c>
      <c r="AM343" s="99">
        <v>0</v>
      </c>
      <c r="AN343" s="99">
        <v>0</v>
      </c>
      <c r="AO343" s="99">
        <v>0</v>
      </c>
      <c r="AP343" s="99">
        <v>0</v>
      </c>
      <c r="AQ343" s="99">
        <v>0</v>
      </c>
      <c r="AR343" s="99">
        <f t="shared" si="5"/>
        <v>50716.242965063051</v>
      </c>
    </row>
    <row r="344" spans="1:44" ht="15" x14ac:dyDescent="0.25">
      <c r="A344" s="258">
        <v>337</v>
      </c>
      <c r="B344" s="258" t="s">
        <v>344</v>
      </c>
      <c r="C344" s="258" t="s">
        <v>1692</v>
      </c>
      <c r="D344" s="859" t="s">
        <v>1696</v>
      </c>
      <c r="E344" s="99">
        <v>0</v>
      </c>
      <c r="F344" s="99">
        <v>0</v>
      </c>
      <c r="G344" s="99">
        <v>0</v>
      </c>
      <c r="H344" s="99">
        <v>0</v>
      </c>
      <c r="I344" s="99">
        <v>46800.03103548535</v>
      </c>
      <c r="J344" s="99">
        <v>0</v>
      </c>
      <c r="K344" s="99">
        <v>0</v>
      </c>
      <c r="L344" s="99">
        <v>24630.888766110704</v>
      </c>
      <c r="M344" s="99">
        <v>0</v>
      </c>
      <c r="N344" s="99">
        <v>0</v>
      </c>
      <c r="O344" s="99">
        <v>0</v>
      </c>
      <c r="P344" s="99">
        <v>0</v>
      </c>
      <c r="Q344" s="99">
        <v>0</v>
      </c>
      <c r="R344" s="99">
        <v>0</v>
      </c>
      <c r="S344" s="99">
        <v>0</v>
      </c>
      <c r="T344" s="99">
        <v>0</v>
      </c>
      <c r="U344" s="99">
        <v>0</v>
      </c>
      <c r="V344" s="99">
        <v>0</v>
      </c>
      <c r="W344" s="99">
        <v>0</v>
      </c>
      <c r="X344" s="99">
        <v>0</v>
      </c>
      <c r="Y344" s="99">
        <v>713.87506494391096</v>
      </c>
      <c r="Z344" s="99">
        <v>0</v>
      </c>
      <c r="AA344" s="99">
        <v>0</v>
      </c>
      <c r="AB344" s="99">
        <v>0</v>
      </c>
      <c r="AC344" s="99">
        <v>0</v>
      </c>
      <c r="AD344" s="99">
        <v>0</v>
      </c>
      <c r="AE344" s="99">
        <v>0</v>
      </c>
      <c r="AF344" s="99">
        <v>0</v>
      </c>
      <c r="AG344" s="99">
        <v>0</v>
      </c>
      <c r="AH344" s="99">
        <v>0</v>
      </c>
      <c r="AI344" s="99">
        <v>0</v>
      </c>
      <c r="AJ344" s="99">
        <v>0</v>
      </c>
      <c r="AK344" s="99">
        <v>0</v>
      </c>
      <c r="AL344" s="99">
        <v>0</v>
      </c>
      <c r="AM344" s="99">
        <v>0</v>
      </c>
      <c r="AN344" s="99">
        <v>0</v>
      </c>
      <c r="AO344" s="99">
        <v>0</v>
      </c>
      <c r="AP344" s="99">
        <v>0</v>
      </c>
      <c r="AQ344" s="99">
        <v>0</v>
      </c>
      <c r="AR344" s="99">
        <f t="shared" si="5"/>
        <v>72144.794866539974</v>
      </c>
    </row>
    <row r="345" spans="1:44" ht="15" x14ac:dyDescent="0.25">
      <c r="A345" s="258">
        <v>338</v>
      </c>
      <c r="B345" s="258" t="s">
        <v>344</v>
      </c>
      <c r="C345" s="258" t="s">
        <v>1692</v>
      </c>
      <c r="D345" s="859" t="s">
        <v>1697</v>
      </c>
      <c r="E345" s="99">
        <v>0</v>
      </c>
      <c r="F345" s="99">
        <v>0</v>
      </c>
      <c r="G345" s="99">
        <v>0</v>
      </c>
      <c r="H345" s="99">
        <v>0</v>
      </c>
      <c r="I345" s="99">
        <v>48676.066956000985</v>
      </c>
      <c r="J345" s="99">
        <v>0</v>
      </c>
      <c r="K345" s="99">
        <v>0</v>
      </c>
      <c r="L345" s="99">
        <v>0</v>
      </c>
      <c r="M345" s="99">
        <v>0</v>
      </c>
      <c r="N345" s="99">
        <v>0</v>
      </c>
      <c r="O345" s="99">
        <v>0</v>
      </c>
      <c r="P345" s="99">
        <v>0</v>
      </c>
      <c r="Q345" s="99">
        <v>25.769463481010618</v>
      </c>
      <c r="R345" s="99">
        <v>0</v>
      </c>
      <c r="S345" s="99">
        <v>0</v>
      </c>
      <c r="T345" s="99">
        <v>0</v>
      </c>
      <c r="U345" s="99">
        <v>0</v>
      </c>
      <c r="V345" s="99">
        <v>0</v>
      </c>
      <c r="W345" s="99">
        <v>0</v>
      </c>
      <c r="X345" s="99">
        <v>0</v>
      </c>
      <c r="Y345" s="99">
        <v>28338.015805742289</v>
      </c>
      <c r="Z345" s="99">
        <v>0</v>
      </c>
      <c r="AA345" s="99">
        <v>0</v>
      </c>
      <c r="AB345" s="99">
        <v>0</v>
      </c>
      <c r="AC345" s="99">
        <v>0</v>
      </c>
      <c r="AD345" s="99">
        <v>0</v>
      </c>
      <c r="AE345" s="99">
        <v>0</v>
      </c>
      <c r="AF345" s="99">
        <v>0</v>
      </c>
      <c r="AG345" s="99">
        <v>0</v>
      </c>
      <c r="AH345" s="99">
        <v>0</v>
      </c>
      <c r="AI345" s="99">
        <v>0</v>
      </c>
      <c r="AJ345" s="99">
        <v>0</v>
      </c>
      <c r="AK345" s="99">
        <v>0</v>
      </c>
      <c r="AL345" s="99">
        <v>0</v>
      </c>
      <c r="AM345" s="99">
        <v>0</v>
      </c>
      <c r="AN345" s="99">
        <v>0</v>
      </c>
      <c r="AO345" s="99">
        <v>0</v>
      </c>
      <c r="AP345" s="99">
        <v>0</v>
      </c>
      <c r="AQ345" s="99">
        <v>0</v>
      </c>
      <c r="AR345" s="99">
        <f t="shared" si="5"/>
        <v>77039.852225224284</v>
      </c>
    </row>
    <row r="346" spans="1:44" ht="15" x14ac:dyDescent="0.25">
      <c r="A346" s="258">
        <v>339</v>
      </c>
      <c r="B346" s="258" t="s">
        <v>344</v>
      </c>
      <c r="C346" s="258" t="s">
        <v>1692</v>
      </c>
      <c r="D346" s="859" t="s">
        <v>1698</v>
      </c>
      <c r="E346" s="99">
        <v>0</v>
      </c>
      <c r="F346" s="99">
        <v>0</v>
      </c>
      <c r="G346" s="99">
        <v>0</v>
      </c>
      <c r="H346" s="99">
        <v>0</v>
      </c>
      <c r="I346" s="99">
        <v>74964.607185273999</v>
      </c>
      <c r="J346" s="99">
        <v>0</v>
      </c>
      <c r="K346" s="99">
        <v>0</v>
      </c>
      <c r="L346" s="99">
        <v>5809.0238867157232</v>
      </c>
      <c r="M346" s="99">
        <v>0</v>
      </c>
      <c r="N346" s="99">
        <v>0</v>
      </c>
      <c r="O346" s="99">
        <v>0</v>
      </c>
      <c r="P346" s="99">
        <v>0</v>
      </c>
      <c r="Q346" s="99">
        <v>18691.982957708278</v>
      </c>
      <c r="R346" s="99">
        <v>0</v>
      </c>
      <c r="S346" s="99">
        <v>0</v>
      </c>
      <c r="T346" s="99">
        <v>0</v>
      </c>
      <c r="U346" s="99">
        <v>0</v>
      </c>
      <c r="V346" s="99">
        <v>0</v>
      </c>
      <c r="W346" s="99">
        <v>0</v>
      </c>
      <c r="X346" s="99">
        <v>0</v>
      </c>
      <c r="Y346" s="99">
        <v>14139.502291470279</v>
      </c>
      <c r="Z346" s="99">
        <v>0</v>
      </c>
      <c r="AA346" s="99">
        <v>0</v>
      </c>
      <c r="AB346" s="99">
        <v>0</v>
      </c>
      <c r="AC346" s="99">
        <v>0</v>
      </c>
      <c r="AD346" s="99">
        <v>0</v>
      </c>
      <c r="AE346" s="99">
        <v>0</v>
      </c>
      <c r="AF346" s="99">
        <v>0</v>
      </c>
      <c r="AG346" s="99">
        <v>0</v>
      </c>
      <c r="AH346" s="99">
        <v>0</v>
      </c>
      <c r="AI346" s="99">
        <v>0</v>
      </c>
      <c r="AJ346" s="99">
        <v>0</v>
      </c>
      <c r="AK346" s="99">
        <v>0</v>
      </c>
      <c r="AL346" s="99">
        <v>0</v>
      </c>
      <c r="AM346" s="99">
        <v>0</v>
      </c>
      <c r="AN346" s="99">
        <v>0</v>
      </c>
      <c r="AO346" s="99">
        <v>0</v>
      </c>
      <c r="AP346" s="99">
        <v>0</v>
      </c>
      <c r="AQ346" s="99">
        <v>0</v>
      </c>
      <c r="AR346" s="99">
        <f t="shared" si="5"/>
        <v>113605.11632116826</v>
      </c>
    </row>
    <row r="347" spans="1:44" ht="15" x14ac:dyDescent="0.25">
      <c r="A347" s="258">
        <v>340</v>
      </c>
      <c r="B347" s="258" t="s">
        <v>344</v>
      </c>
      <c r="C347" s="258" t="s">
        <v>1692</v>
      </c>
      <c r="D347" s="859" t="s">
        <v>1699</v>
      </c>
      <c r="E347" s="99">
        <v>0</v>
      </c>
      <c r="F347" s="99">
        <v>0</v>
      </c>
      <c r="G347" s="99">
        <v>0</v>
      </c>
      <c r="H347" s="99">
        <v>0</v>
      </c>
      <c r="I347" s="99">
        <v>0</v>
      </c>
      <c r="J347" s="99">
        <v>0</v>
      </c>
      <c r="K347" s="99">
        <v>0</v>
      </c>
      <c r="L347" s="99">
        <v>37122.415846526681</v>
      </c>
      <c r="M347" s="99">
        <v>0</v>
      </c>
      <c r="N347" s="99">
        <v>0</v>
      </c>
      <c r="O347" s="99">
        <v>0</v>
      </c>
      <c r="P347" s="99">
        <v>0</v>
      </c>
      <c r="Q347" s="99">
        <v>0</v>
      </c>
      <c r="R347" s="99">
        <v>0</v>
      </c>
      <c r="S347" s="99">
        <v>0</v>
      </c>
      <c r="T347" s="99">
        <v>0</v>
      </c>
      <c r="U347" s="99">
        <v>0</v>
      </c>
      <c r="V347" s="99">
        <v>0</v>
      </c>
      <c r="W347" s="99">
        <v>0</v>
      </c>
      <c r="X347" s="99">
        <v>0</v>
      </c>
      <c r="Y347" s="99">
        <v>19908.82518686452</v>
      </c>
      <c r="Z347" s="99">
        <v>0</v>
      </c>
      <c r="AA347" s="99">
        <v>0</v>
      </c>
      <c r="AB347" s="99">
        <v>0</v>
      </c>
      <c r="AC347" s="99">
        <v>0</v>
      </c>
      <c r="AD347" s="99">
        <v>0</v>
      </c>
      <c r="AE347" s="99">
        <v>0</v>
      </c>
      <c r="AF347" s="99">
        <v>0</v>
      </c>
      <c r="AG347" s="99">
        <v>0</v>
      </c>
      <c r="AH347" s="99">
        <v>0</v>
      </c>
      <c r="AI347" s="99">
        <v>0</v>
      </c>
      <c r="AJ347" s="99">
        <v>0</v>
      </c>
      <c r="AK347" s="99">
        <v>0</v>
      </c>
      <c r="AL347" s="99">
        <v>0</v>
      </c>
      <c r="AM347" s="99">
        <v>0</v>
      </c>
      <c r="AN347" s="99">
        <v>0</v>
      </c>
      <c r="AO347" s="99">
        <v>0</v>
      </c>
      <c r="AP347" s="99">
        <v>0</v>
      </c>
      <c r="AQ347" s="99">
        <v>0</v>
      </c>
      <c r="AR347" s="99">
        <f t="shared" si="5"/>
        <v>57031.241033391198</v>
      </c>
    </row>
    <row r="348" spans="1:44" ht="15" x14ac:dyDescent="0.25">
      <c r="A348" s="258">
        <v>341</v>
      </c>
      <c r="B348" s="258" t="s">
        <v>344</v>
      </c>
      <c r="C348" s="258" t="s">
        <v>1692</v>
      </c>
      <c r="D348" s="859" t="s">
        <v>1700</v>
      </c>
      <c r="E348" s="99">
        <v>0</v>
      </c>
      <c r="F348" s="99">
        <v>0</v>
      </c>
      <c r="G348" s="99">
        <v>0</v>
      </c>
      <c r="H348" s="99">
        <v>0</v>
      </c>
      <c r="I348" s="99">
        <v>11457.050885677991</v>
      </c>
      <c r="J348" s="99">
        <v>0</v>
      </c>
      <c r="K348" s="99">
        <v>0</v>
      </c>
      <c r="L348" s="99">
        <v>89362.253098214627</v>
      </c>
      <c r="M348" s="99">
        <v>0</v>
      </c>
      <c r="N348" s="99">
        <v>0</v>
      </c>
      <c r="O348" s="99">
        <v>0</v>
      </c>
      <c r="P348" s="99">
        <v>0</v>
      </c>
      <c r="Q348" s="99">
        <v>0</v>
      </c>
      <c r="R348" s="99">
        <v>0</v>
      </c>
      <c r="S348" s="99">
        <v>0</v>
      </c>
      <c r="T348" s="99">
        <v>0</v>
      </c>
      <c r="U348" s="99">
        <v>0</v>
      </c>
      <c r="V348" s="99">
        <v>0</v>
      </c>
      <c r="W348" s="99">
        <v>0</v>
      </c>
      <c r="X348" s="99">
        <v>0</v>
      </c>
      <c r="Y348" s="99">
        <v>0</v>
      </c>
      <c r="Z348" s="99">
        <v>0</v>
      </c>
      <c r="AA348" s="99">
        <v>0</v>
      </c>
      <c r="AB348" s="99">
        <v>0</v>
      </c>
      <c r="AC348" s="99">
        <v>0</v>
      </c>
      <c r="AD348" s="99">
        <v>0</v>
      </c>
      <c r="AE348" s="99">
        <v>0</v>
      </c>
      <c r="AF348" s="99">
        <v>0</v>
      </c>
      <c r="AG348" s="99">
        <v>0</v>
      </c>
      <c r="AH348" s="99">
        <v>0</v>
      </c>
      <c r="AI348" s="99">
        <v>0</v>
      </c>
      <c r="AJ348" s="99">
        <v>0</v>
      </c>
      <c r="AK348" s="99">
        <v>0</v>
      </c>
      <c r="AL348" s="99">
        <v>0</v>
      </c>
      <c r="AM348" s="99">
        <v>0</v>
      </c>
      <c r="AN348" s="99">
        <v>0</v>
      </c>
      <c r="AO348" s="99">
        <v>0</v>
      </c>
      <c r="AP348" s="99">
        <v>1280.8490671437762</v>
      </c>
      <c r="AQ348" s="99">
        <v>0</v>
      </c>
      <c r="AR348" s="99">
        <f t="shared" si="5"/>
        <v>102100.1530510364</v>
      </c>
    </row>
    <row r="349" spans="1:44" ht="15" x14ac:dyDescent="0.25">
      <c r="A349" s="258">
        <v>342</v>
      </c>
      <c r="B349" s="258" t="s">
        <v>334</v>
      </c>
      <c r="C349" s="258" t="s">
        <v>1701</v>
      </c>
      <c r="D349" s="859" t="s">
        <v>1702</v>
      </c>
      <c r="E349" s="99">
        <v>0</v>
      </c>
      <c r="F349" s="99">
        <v>0</v>
      </c>
      <c r="G349" s="99">
        <v>0</v>
      </c>
      <c r="H349" s="99">
        <v>0</v>
      </c>
      <c r="I349" s="99">
        <v>0</v>
      </c>
      <c r="J349" s="99">
        <v>0</v>
      </c>
      <c r="K349" s="99">
        <v>0</v>
      </c>
      <c r="L349" s="99">
        <v>48000.438855711735</v>
      </c>
      <c r="M349" s="99">
        <v>0</v>
      </c>
      <c r="N349" s="99">
        <v>0</v>
      </c>
      <c r="O349" s="99">
        <v>0</v>
      </c>
      <c r="P349" s="99">
        <v>0</v>
      </c>
      <c r="Q349" s="99">
        <v>0</v>
      </c>
      <c r="R349" s="99">
        <v>0</v>
      </c>
      <c r="S349" s="99">
        <v>0</v>
      </c>
      <c r="T349" s="99">
        <v>0</v>
      </c>
      <c r="U349" s="99">
        <v>0</v>
      </c>
      <c r="V349" s="99">
        <v>0</v>
      </c>
      <c r="W349" s="99">
        <v>0</v>
      </c>
      <c r="X349" s="99">
        <v>0</v>
      </c>
      <c r="Y349" s="99">
        <v>0</v>
      </c>
      <c r="Z349" s="99">
        <v>0</v>
      </c>
      <c r="AA349" s="99">
        <v>0</v>
      </c>
      <c r="AB349" s="99">
        <v>0</v>
      </c>
      <c r="AC349" s="99">
        <v>0</v>
      </c>
      <c r="AD349" s="99">
        <v>0</v>
      </c>
      <c r="AE349" s="99">
        <v>0</v>
      </c>
      <c r="AF349" s="99">
        <v>0</v>
      </c>
      <c r="AG349" s="99">
        <v>0</v>
      </c>
      <c r="AH349" s="99">
        <v>0</v>
      </c>
      <c r="AI349" s="99">
        <v>0</v>
      </c>
      <c r="AJ349" s="99">
        <v>0</v>
      </c>
      <c r="AK349" s="99">
        <v>0</v>
      </c>
      <c r="AL349" s="99">
        <v>0</v>
      </c>
      <c r="AM349" s="99">
        <v>0</v>
      </c>
      <c r="AN349" s="99">
        <v>0</v>
      </c>
      <c r="AO349" s="99">
        <v>0</v>
      </c>
      <c r="AP349" s="99">
        <v>0</v>
      </c>
      <c r="AQ349" s="99">
        <v>0</v>
      </c>
      <c r="AR349" s="99">
        <f t="shared" si="5"/>
        <v>48000.438855711735</v>
      </c>
    </row>
    <row r="350" spans="1:44" ht="15" x14ac:dyDescent="0.25">
      <c r="A350" s="258">
        <v>343</v>
      </c>
      <c r="B350" s="258" t="s">
        <v>343</v>
      </c>
      <c r="C350" s="258" t="s">
        <v>1703</v>
      </c>
      <c r="D350" s="859" t="s">
        <v>1704</v>
      </c>
      <c r="E350" s="99">
        <v>0</v>
      </c>
      <c r="F350" s="99">
        <v>0</v>
      </c>
      <c r="G350" s="99">
        <v>0</v>
      </c>
      <c r="H350" s="99">
        <v>0</v>
      </c>
      <c r="I350" s="99">
        <v>0</v>
      </c>
      <c r="J350" s="99">
        <v>0</v>
      </c>
      <c r="K350" s="99">
        <v>0</v>
      </c>
      <c r="L350" s="99">
        <v>110149.33274324582</v>
      </c>
      <c r="M350" s="99">
        <v>0</v>
      </c>
      <c r="N350" s="99">
        <v>0</v>
      </c>
      <c r="O350" s="99">
        <v>0</v>
      </c>
      <c r="P350" s="99">
        <v>0</v>
      </c>
      <c r="Q350" s="99">
        <v>0</v>
      </c>
      <c r="R350" s="99">
        <v>0</v>
      </c>
      <c r="S350" s="99">
        <v>0</v>
      </c>
      <c r="T350" s="99">
        <v>0</v>
      </c>
      <c r="U350" s="99">
        <v>0</v>
      </c>
      <c r="V350" s="99">
        <v>0</v>
      </c>
      <c r="W350" s="99">
        <v>0</v>
      </c>
      <c r="X350" s="99">
        <v>0</v>
      </c>
      <c r="Y350" s="99">
        <v>0</v>
      </c>
      <c r="Z350" s="99">
        <v>0</v>
      </c>
      <c r="AA350" s="99">
        <v>0</v>
      </c>
      <c r="AB350" s="99">
        <v>0</v>
      </c>
      <c r="AC350" s="99">
        <v>0</v>
      </c>
      <c r="AD350" s="99">
        <v>0</v>
      </c>
      <c r="AE350" s="99">
        <v>0</v>
      </c>
      <c r="AF350" s="99">
        <v>0</v>
      </c>
      <c r="AG350" s="99">
        <v>0</v>
      </c>
      <c r="AH350" s="99">
        <v>0</v>
      </c>
      <c r="AI350" s="99">
        <v>0</v>
      </c>
      <c r="AJ350" s="99">
        <v>0</v>
      </c>
      <c r="AK350" s="99">
        <v>0</v>
      </c>
      <c r="AL350" s="99">
        <v>0</v>
      </c>
      <c r="AM350" s="99">
        <v>0</v>
      </c>
      <c r="AN350" s="99">
        <v>0</v>
      </c>
      <c r="AO350" s="99">
        <v>0</v>
      </c>
      <c r="AP350" s="99">
        <v>1134.8827024394736</v>
      </c>
      <c r="AQ350" s="99">
        <v>0</v>
      </c>
      <c r="AR350" s="99">
        <f t="shared" si="5"/>
        <v>111284.21544568529</v>
      </c>
    </row>
    <row r="351" spans="1:44" ht="15" x14ac:dyDescent="0.25">
      <c r="A351" s="258">
        <v>344</v>
      </c>
      <c r="B351" s="258" t="s">
        <v>353</v>
      </c>
      <c r="C351" s="258" t="s">
        <v>1705</v>
      </c>
      <c r="D351" s="859" t="s">
        <v>1706</v>
      </c>
      <c r="E351" s="99">
        <v>13.271132103715759</v>
      </c>
      <c r="F351" s="99">
        <v>0</v>
      </c>
      <c r="G351" s="99">
        <v>0</v>
      </c>
      <c r="H351" s="99">
        <v>0</v>
      </c>
      <c r="I351" s="99">
        <v>0</v>
      </c>
      <c r="J351" s="99">
        <v>0</v>
      </c>
      <c r="K351" s="99">
        <v>0</v>
      </c>
      <c r="L351" s="99">
        <v>0</v>
      </c>
      <c r="M351" s="99">
        <v>0</v>
      </c>
      <c r="N351" s="99">
        <v>90.250240978818866</v>
      </c>
      <c r="O351" s="99">
        <v>0</v>
      </c>
      <c r="P351" s="99">
        <v>0</v>
      </c>
      <c r="Q351" s="99">
        <v>0</v>
      </c>
      <c r="R351" s="99">
        <v>0</v>
      </c>
      <c r="S351" s="99">
        <v>0</v>
      </c>
      <c r="T351" s="99">
        <v>0</v>
      </c>
      <c r="U351" s="99">
        <v>0</v>
      </c>
      <c r="V351" s="99">
        <v>0</v>
      </c>
      <c r="W351" s="99">
        <v>0</v>
      </c>
      <c r="X351" s="99">
        <v>0</v>
      </c>
      <c r="Y351" s="99">
        <v>0</v>
      </c>
      <c r="Z351" s="99">
        <v>40797.801573100638</v>
      </c>
      <c r="AA351" s="99">
        <v>0</v>
      </c>
      <c r="AB351" s="99">
        <v>0</v>
      </c>
      <c r="AC351" s="99">
        <v>0</v>
      </c>
      <c r="AD351" s="99">
        <v>0</v>
      </c>
      <c r="AE351" s="99">
        <v>0</v>
      </c>
      <c r="AF351" s="99">
        <v>0</v>
      </c>
      <c r="AG351" s="99">
        <v>0</v>
      </c>
      <c r="AH351" s="99">
        <v>0</v>
      </c>
      <c r="AI351" s="99">
        <v>0</v>
      </c>
      <c r="AJ351" s="99">
        <v>0</v>
      </c>
      <c r="AK351" s="99">
        <v>737.61569743786811</v>
      </c>
      <c r="AL351" s="99">
        <v>0</v>
      </c>
      <c r="AM351" s="99">
        <v>0</v>
      </c>
      <c r="AN351" s="99">
        <v>0</v>
      </c>
      <c r="AO351" s="99">
        <v>1488.2836754607176</v>
      </c>
      <c r="AP351" s="99">
        <v>0</v>
      </c>
      <c r="AQ351" s="99">
        <v>0</v>
      </c>
      <c r="AR351" s="99">
        <f t="shared" si="5"/>
        <v>43127.22231908176</v>
      </c>
    </row>
    <row r="352" spans="1:44" ht="15" x14ac:dyDescent="0.25">
      <c r="A352" s="258">
        <v>345</v>
      </c>
      <c r="B352" s="258" t="s">
        <v>353</v>
      </c>
      <c r="C352" s="258" t="s">
        <v>1705</v>
      </c>
      <c r="D352" s="859" t="s">
        <v>1707</v>
      </c>
      <c r="E352" s="99">
        <v>0</v>
      </c>
      <c r="F352" s="99">
        <v>0</v>
      </c>
      <c r="G352" s="99">
        <v>0</v>
      </c>
      <c r="H352" s="99">
        <v>0</v>
      </c>
      <c r="I352" s="99">
        <v>0</v>
      </c>
      <c r="J352" s="99">
        <v>0</v>
      </c>
      <c r="K352" s="99">
        <v>0</v>
      </c>
      <c r="L352" s="99">
        <v>0</v>
      </c>
      <c r="M352" s="99">
        <v>0</v>
      </c>
      <c r="N352" s="99">
        <v>36303.644650079244</v>
      </c>
      <c r="O352" s="99">
        <v>0</v>
      </c>
      <c r="P352" s="99">
        <v>0</v>
      </c>
      <c r="Q352" s="99">
        <v>0</v>
      </c>
      <c r="R352" s="99">
        <v>16887.426532063986</v>
      </c>
      <c r="S352" s="99">
        <v>0</v>
      </c>
      <c r="T352" s="99">
        <v>0</v>
      </c>
      <c r="U352" s="99">
        <v>0</v>
      </c>
      <c r="V352" s="99">
        <v>0</v>
      </c>
      <c r="W352" s="99">
        <v>0</v>
      </c>
      <c r="X352" s="99">
        <v>0</v>
      </c>
      <c r="Y352" s="99">
        <v>0</v>
      </c>
      <c r="Z352" s="99">
        <v>109301.06398742813</v>
      </c>
      <c r="AA352" s="99">
        <v>0</v>
      </c>
      <c r="AB352" s="99">
        <v>0</v>
      </c>
      <c r="AC352" s="99">
        <v>0</v>
      </c>
      <c r="AD352" s="99">
        <v>0</v>
      </c>
      <c r="AE352" s="99">
        <v>0</v>
      </c>
      <c r="AF352" s="99">
        <v>0</v>
      </c>
      <c r="AG352" s="99">
        <v>0</v>
      </c>
      <c r="AH352" s="99">
        <v>0</v>
      </c>
      <c r="AI352" s="99">
        <v>0</v>
      </c>
      <c r="AJ352" s="99">
        <v>0</v>
      </c>
      <c r="AK352" s="99">
        <v>0</v>
      </c>
      <c r="AL352" s="99">
        <v>0</v>
      </c>
      <c r="AM352" s="99">
        <v>0</v>
      </c>
      <c r="AN352" s="99">
        <v>0</v>
      </c>
      <c r="AO352" s="99">
        <v>13754.53299707999</v>
      </c>
      <c r="AP352" s="99">
        <v>0</v>
      </c>
      <c r="AQ352" s="99">
        <v>0</v>
      </c>
      <c r="AR352" s="99">
        <f t="shared" si="5"/>
        <v>176246.66816665136</v>
      </c>
    </row>
    <row r="353" spans="1:44" ht="15" x14ac:dyDescent="0.25">
      <c r="A353" s="258">
        <v>346</v>
      </c>
      <c r="B353" s="258" t="s">
        <v>353</v>
      </c>
      <c r="C353" s="258" t="s">
        <v>1705</v>
      </c>
      <c r="D353" s="859" t="s">
        <v>1708</v>
      </c>
      <c r="E353" s="99">
        <v>0</v>
      </c>
      <c r="F353" s="99">
        <v>0</v>
      </c>
      <c r="G353" s="99">
        <v>0</v>
      </c>
      <c r="H353" s="99">
        <v>0</v>
      </c>
      <c r="I353" s="99">
        <v>0</v>
      </c>
      <c r="J353" s="99">
        <v>0</v>
      </c>
      <c r="K353" s="99">
        <v>0</v>
      </c>
      <c r="L353" s="99">
        <v>0</v>
      </c>
      <c r="M353" s="99">
        <v>0</v>
      </c>
      <c r="N353" s="99">
        <v>0</v>
      </c>
      <c r="O353" s="99">
        <v>0</v>
      </c>
      <c r="P353" s="99">
        <v>0</v>
      </c>
      <c r="Q353" s="99">
        <v>0</v>
      </c>
      <c r="R353" s="99">
        <v>823.74670653355281</v>
      </c>
      <c r="S353" s="99">
        <v>0</v>
      </c>
      <c r="T353" s="99">
        <v>0</v>
      </c>
      <c r="U353" s="99">
        <v>0</v>
      </c>
      <c r="V353" s="99">
        <v>0</v>
      </c>
      <c r="W353" s="99">
        <v>0</v>
      </c>
      <c r="X353" s="99">
        <v>0</v>
      </c>
      <c r="Y353" s="99">
        <v>0</v>
      </c>
      <c r="Z353" s="99">
        <v>68860.155172588769</v>
      </c>
      <c r="AA353" s="99">
        <v>0</v>
      </c>
      <c r="AB353" s="99">
        <v>0</v>
      </c>
      <c r="AC353" s="99">
        <v>0</v>
      </c>
      <c r="AD353" s="99">
        <v>0</v>
      </c>
      <c r="AE353" s="99">
        <v>0</v>
      </c>
      <c r="AF353" s="99">
        <v>0</v>
      </c>
      <c r="AG353" s="99">
        <v>0</v>
      </c>
      <c r="AH353" s="99">
        <v>0</v>
      </c>
      <c r="AI353" s="99">
        <v>0</v>
      </c>
      <c r="AJ353" s="99">
        <v>0</v>
      </c>
      <c r="AK353" s="99">
        <v>0</v>
      </c>
      <c r="AL353" s="99">
        <v>0</v>
      </c>
      <c r="AM353" s="99">
        <v>1636.3992839873497</v>
      </c>
      <c r="AN353" s="99">
        <v>0</v>
      </c>
      <c r="AO353" s="99">
        <v>1781.8816274950223</v>
      </c>
      <c r="AP353" s="99">
        <v>0</v>
      </c>
      <c r="AQ353" s="99">
        <v>0</v>
      </c>
      <c r="AR353" s="99">
        <f t="shared" si="5"/>
        <v>73102.182790604696</v>
      </c>
    </row>
    <row r="354" spans="1:44" ht="15" x14ac:dyDescent="0.25">
      <c r="A354" s="258">
        <v>347</v>
      </c>
      <c r="B354" s="258" t="s">
        <v>318</v>
      </c>
      <c r="C354" s="258" t="s">
        <v>1709</v>
      </c>
      <c r="D354" s="859" t="s">
        <v>1710</v>
      </c>
      <c r="E354" s="99">
        <v>0</v>
      </c>
      <c r="F354" s="99">
        <v>0</v>
      </c>
      <c r="G354" s="99">
        <v>0</v>
      </c>
      <c r="H354" s="99">
        <v>0</v>
      </c>
      <c r="I354" s="99">
        <v>0</v>
      </c>
      <c r="J354" s="99">
        <v>0</v>
      </c>
      <c r="K354" s="99">
        <v>0</v>
      </c>
      <c r="L354" s="99">
        <v>0</v>
      </c>
      <c r="M354" s="99">
        <v>1492.9442996563762</v>
      </c>
      <c r="N354" s="99">
        <v>90180.127216338005</v>
      </c>
      <c r="O354" s="99">
        <v>0</v>
      </c>
      <c r="P354" s="99">
        <v>0</v>
      </c>
      <c r="Q354" s="99">
        <v>0</v>
      </c>
      <c r="R354" s="99">
        <v>0</v>
      </c>
      <c r="S354" s="99">
        <v>0</v>
      </c>
      <c r="T354" s="99">
        <v>0</v>
      </c>
      <c r="U354" s="99">
        <v>0</v>
      </c>
      <c r="V354" s="99">
        <v>0</v>
      </c>
      <c r="W354" s="99">
        <v>0</v>
      </c>
      <c r="X354" s="99">
        <v>0</v>
      </c>
      <c r="Y354" s="99">
        <v>0</v>
      </c>
      <c r="Z354" s="99">
        <v>8390.964974008888</v>
      </c>
      <c r="AA354" s="99">
        <v>0</v>
      </c>
      <c r="AB354" s="99">
        <v>0</v>
      </c>
      <c r="AC354" s="99">
        <v>0</v>
      </c>
      <c r="AD354" s="99">
        <v>0</v>
      </c>
      <c r="AE354" s="99">
        <v>774.07159252850374</v>
      </c>
      <c r="AF354" s="99">
        <v>0</v>
      </c>
      <c r="AG354" s="99">
        <v>0</v>
      </c>
      <c r="AH354" s="99">
        <v>0</v>
      </c>
      <c r="AI354" s="99">
        <v>0</v>
      </c>
      <c r="AJ354" s="99">
        <v>0</v>
      </c>
      <c r="AK354" s="99">
        <v>0</v>
      </c>
      <c r="AL354" s="99">
        <v>0</v>
      </c>
      <c r="AM354" s="99">
        <v>0</v>
      </c>
      <c r="AN354" s="99">
        <v>0</v>
      </c>
      <c r="AO354" s="99">
        <v>1211.7553718005001</v>
      </c>
      <c r="AP354" s="99">
        <v>0</v>
      </c>
      <c r="AQ354" s="99">
        <v>0</v>
      </c>
      <c r="AR354" s="99">
        <f t="shared" si="5"/>
        <v>102049.86345433228</v>
      </c>
    </row>
    <row r="355" spans="1:44" ht="15" x14ac:dyDescent="0.25">
      <c r="A355" s="258">
        <v>348</v>
      </c>
      <c r="B355" s="258" t="s">
        <v>318</v>
      </c>
      <c r="C355" s="258" t="s">
        <v>1709</v>
      </c>
      <c r="D355" s="859" t="s">
        <v>1711</v>
      </c>
      <c r="E355" s="99">
        <v>0</v>
      </c>
      <c r="F355" s="99">
        <v>0</v>
      </c>
      <c r="G355" s="99">
        <v>0</v>
      </c>
      <c r="H355" s="99">
        <v>0</v>
      </c>
      <c r="I355" s="99">
        <v>0</v>
      </c>
      <c r="J355" s="99">
        <v>0</v>
      </c>
      <c r="K355" s="99">
        <v>0</v>
      </c>
      <c r="L355" s="99">
        <v>0</v>
      </c>
      <c r="M355" s="99">
        <v>912.88883362728552</v>
      </c>
      <c r="N355" s="99">
        <v>38876.019126150248</v>
      </c>
      <c r="O355" s="99">
        <v>0</v>
      </c>
      <c r="P355" s="99">
        <v>0</v>
      </c>
      <c r="Q355" s="99">
        <v>0</v>
      </c>
      <c r="R355" s="99">
        <v>0</v>
      </c>
      <c r="S355" s="99">
        <v>0</v>
      </c>
      <c r="T355" s="99">
        <v>0</v>
      </c>
      <c r="U355" s="99">
        <v>0</v>
      </c>
      <c r="V355" s="99">
        <v>0</v>
      </c>
      <c r="W355" s="99">
        <v>0</v>
      </c>
      <c r="X355" s="99">
        <v>0</v>
      </c>
      <c r="Y355" s="99">
        <v>0</v>
      </c>
      <c r="Z355" s="99">
        <v>1438.8623051737143</v>
      </c>
      <c r="AA355" s="99">
        <v>0</v>
      </c>
      <c r="AB355" s="99">
        <v>0</v>
      </c>
      <c r="AC355" s="99">
        <v>0</v>
      </c>
      <c r="AD355" s="99">
        <v>0</v>
      </c>
      <c r="AE355" s="99">
        <v>0</v>
      </c>
      <c r="AF355" s="99">
        <v>0</v>
      </c>
      <c r="AG355" s="99">
        <v>0</v>
      </c>
      <c r="AH355" s="99">
        <v>0</v>
      </c>
      <c r="AI355" s="99">
        <v>0</v>
      </c>
      <c r="AJ355" s="99">
        <v>0</v>
      </c>
      <c r="AK355" s="99">
        <v>0</v>
      </c>
      <c r="AL355" s="99">
        <v>0</v>
      </c>
      <c r="AM355" s="99">
        <v>4984.4699147786459</v>
      </c>
      <c r="AN355" s="99">
        <v>0</v>
      </c>
      <c r="AO355" s="99">
        <v>41448.330519199546</v>
      </c>
      <c r="AP355" s="99">
        <v>0</v>
      </c>
      <c r="AQ355" s="99">
        <v>0</v>
      </c>
      <c r="AR355" s="99">
        <f t="shared" si="5"/>
        <v>87660.570698929441</v>
      </c>
    </row>
    <row r="356" spans="1:44" ht="15" x14ac:dyDescent="0.25">
      <c r="A356" s="258">
        <v>349</v>
      </c>
      <c r="B356" s="258" t="s">
        <v>318</v>
      </c>
      <c r="C356" s="258" t="s">
        <v>1709</v>
      </c>
      <c r="D356" s="859" t="s">
        <v>1712</v>
      </c>
      <c r="E356" s="99">
        <v>36.442950062584544</v>
      </c>
      <c r="F356" s="99">
        <v>0</v>
      </c>
      <c r="G356" s="99">
        <v>0</v>
      </c>
      <c r="H356" s="99">
        <v>0</v>
      </c>
      <c r="I356" s="99">
        <v>0</v>
      </c>
      <c r="J356" s="99">
        <v>0</v>
      </c>
      <c r="K356" s="99">
        <v>0</v>
      </c>
      <c r="L356" s="99">
        <v>0</v>
      </c>
      <c r="M356" s="99">
        <v>169.21078527322607</v>
      </c>
      <c r="N356" s="99">
        <v>54807.855348833189</v>
      </c>
      <c r="O356" s="99">
        <v>0</v>
      </c>
      <c r="P356" s="99">
        <v>0</v>
      </c>
      <c r="Q356" s="99">
        <v>0</v>
      </c>
      <c r="R356" s="99">
        <v>0</v>
      </c>
      <c r="S356" s="99">
        <v>0</v>
      </c>
      <c r="T356" s="99">
        <v>0</v>
      </c>
      <c r="U356" s="99">
        <v>0</v>
      </c>
      <c r="V356" s="99">
        <v>0</v>
      </c>
      <c r="W356" s="99">
        <v>0</v>
      </c>
      <c r="X356" s="99">
        <v>0</v>
      </c>
      <c r="Y356" s="99">
        <v>0</v>
      </c>
      <c r="Z356" s="99">
        <v>18870.815291811286</v>
      </c>
      <c r="AA356" s="99">
        <v>0</v>
      </c>
      <c r="AB356" s="99">
        <v>0</v>
      </c>
      <c r="AC356" s="99">
        <v>0</v>
      </c>
      <c r="AD356" s="99">
        <v>0</v>
      </c>
      <c r="AE356" s="99">
        <v>0</v>
      </c>
      <c r="AF356" s="99">
        <v>0</v>
      </c>
      <c r="AG356" s="99">
        <v>0</v>
      </c>
      <c r="AH356" s="99">
        <v>0</v>
      </c>
      <c r="AI356" s="99">
        <v>0</v>
      </c>
      <c r="AJ356" s="99">
        <v>0</v>
      </c>
      <c r="AK356" s="99">
        <v>0</v>
      </c>
      <c r="AL356" s="99">
        <v>0</v>
      </c>
      <c r="AM356" s="99">
        <v>4900.1728852467941</v>
      </c>
      <c r="AN356" s="99">
        <v>0</v>
      </c>
      <c r="AO356" s="99">
        <v>21408.563328020824</v>
      </c>
      <c r="AP356" s="99">
        <v>0</v>
      </c>
      <c r="AQ356" s="99">
        <v>0</v>
      </c>
      <c r="AR356" s="99">
        <f t="shared" si="5"/>
        <v>100193.06058924791</v>
      </c>
    </row>
    <row r="357" spans="1:44" ht="15" x14ac:dyDescent="0.25">
      <c r="A357" s="258">
        <v>350</v>
      </c>
      <c r="B357" s="258" t="s">
        <v>318</v>
      </c>
      <c r="C357" s="258" t="s">
        <v>1709</v>
      </c>
      <c r="D357" s="859" t="s">
        <v>1713</v>
      </c>
      <c r="E357" s="99">
        <v>0</v>
      </c>
      <c r="F357" s="99">
        <v>0</v>
      </c>
      <c r="G357" s="99">
        <v>0</v>
      </c>
      <c r="H357" s="99">
        <v>0</v>
      </c>
      <c r="I357" s="99">
        <v>0</v>
      </c>
      <c r="J357" s="99">
        <v>0</v>
      </c>
      <c r="K357" s="99">
        <v>0</v>
      </c>
      <c r="L357" s="99">
        <v>0</v>
      </c>
      <c r="M357" s="99">
        <v>91.646528351417018</v>
      </c>
      <c r="N357" s="99">
        <v>39809.575382296738</v>
      </c>
      <c r="O357" s="99">
        <v>0</v>
      </c>
      <c r="P357" s="99">
        <v>0</v>
      </c>
      <c r="Q357" s="99">
        <v>0</v>
      </c>
      <c r="R357" s="99">
        <v>0</v>
      </c>
      <c r="S357" s="99">
        <v>0</v>
      </c>
      <c r="T357" s="99">
        <v>0</v>
      </c>
      <c r="U357" s="99">
        <v>0</v>
      </c>
      <c r="V357" s="99">
        <v>0</v>
      </c>
      <c r="W357" s="99">
        <v>0</v>
      </c>
      <c r="X357" s="99">
        <v>0</v>
      </c>
      <c r="Y357" s="99">
        <v>0</v>
      </c>
      <c r="Z357" s="99">
        <v>38107.600639085278</v>
      </c>
      <c r="AA357" s="99">
        <v>0</v>
      </c>
      <c r="AB357" s="99">
        <v>0</v>
      </c>
      <c r="AC357" s="99">
        <v>0</v>
      </c>
      <c r="AD357" s="99">
        <v>0</v>
      </c>
      <c r="AE357" s="99">
        <v>0</v>
      </c>
      <c r="AF357" s="99">
        <v>0</v>
      </c>
      <c r="AG357" s="99">
        <v>0</v>
      </c>
      <c r="AH357" s="99">
        <v>0</v>
      </c>
      <c r="AI357" s="99">
        <v>0</v>
      </c>
      <c r="AJ357" s="99">
        <v>0</v>
      </c>
      <c r="AK357" s="99">
        <v>0</v>
      </c>
      <c r="AL357" s="99">
        <v>0</v>
      </c>
      <c r="AM357" s="99">
        <v>0</v>
      </c>
      <c r="AN357" s="99">
        <v>0</v>
      </c>
      <c r="AO357" s="99">
        <v>7148.1997507887063</v>
      </c>
      <c r="AP357" s="99">
        <v>0</v>
      </c>
      <c r="AQ357" s="99">
        <v>0</v>
      </c>
      <c r="AR357" s="99">
        <f t="shared" si="5"/>
        <v>85157.022300522134</v>
      </c>
    </row>
    <row r="358" spans="1:44" ht="15" x14ac:dyDescent="0.25">
      <c r="A358" s="258">
        <v>351</v>
      </c>
      <c r="B358" s="258" t="s">
        <v>318</v>
      </c>
      <c r="C358" s="258" t="s">
        <v>1709</v>
      </c>
      <c r="D358" s="859" t="s">
        <v>1714</v>
      </c>
      <c r="E358" s="99">
        <v>0</v>
      </c>
      <c r="F358" s="99">
        <v>0</v>
      </c>
      <c r="G358" s="99">
        <v>0</v>
      </c>
      <c r="H358" s="99">
        <v>0</v>
      </c>
      <c r="I358" s="99">
        <v>0</v>
      </c>
      <c r="J358" s="99">
        <v>0</v>
      </c>
      <c r="K358" s="99">
        <v>0</v>
      </c>
      <c r="L358" s="99">
        <v>0</v>
      </c>
      <c r="M358" s="99">
        <v>0</v>
      </c>
      <c r="N358" s="99">
        <v>3.3965144454394194</v>
      </c>
      <c r="O358" s="99">
        <v>0</v>
      </c>
      <c r="P358" s="99">
        <v>0</v>
      </c>
      <c r="Q358" s="99">
        <v>0</v>
      </c>
      <c r="R358" s="99">
        <v>0</v>
      </c>
      <c r="S358" s="99">
        <v>0</v>
      </c>
      <c r="T358" s="99">
        <v>0</v>
      </c>
      <c r="U358" s="99">
        <v>0</v>
      </c>
      <c r="V358" s="99">
        <v>0</v>
      </c>
      <c r="W358" s="99">
        <v>0</v>
      </c>
      <c r="X358" s="99">
        <v>0</v>
      </c>
      <c r="Y358" s="99">
        <v>0</v>
      </c>
      <c r="Z358" s="99">
        <v>52267.298683352099</v>
      </c>
      <c r="AA358" s="99">
        <v>0</v>
      </c>
      <c r="AB358" s="99">
        <v>0</v>
      </c>
      <c r="AC358" s="99">
        <v>0</v>
      </c>
      <c r="AD358" s="99">
        <v>0</v>
      </c>
      <c r="AE358" s="99">
        <v>0</v>
      </c>
      <c r="AF358" s="99">
        <v>0</v>
      </c>
      <c r="AG358" s="99">
        <v>0</v>
      </c>
      <c r="AH358" s="99">
        <v>0</v>
      </c>
      <c r="AI358" s="99">
        <v>0</v>
      </c>
      <c r="AJ358" s="99">
        <v>0</v>
      </c>
      <c r="AK358" s="99">
        <v>0</v>
      </c>
      <c r="AL358" s="99">
        <v>0</v>
      </c>
      <c r="AM358" s="99">
        <v>6955.1770083672609</v>
      </c>
      <c r="AN358" s="99">
        <v>0</v>
      </c>
      <c r="AO358" s="99">
        <v>12524.759663106843</v>
      </c>
      <c r="AP358" s="99">
        <v>0</v>
      </c>
      <c r="AQ358" s="99">
        <v>0</v>
      </c>
      <c r="AR358" s="99">
        <f t="shared" si="5"/>
        <v>71750.631869271645</v>
      </c>
    </row>
    <row r="359" spans="1:44" ht="15" x14ac:dyDescent="0.25">
      <c r="A359" s="258">
        <v>352</v>
      </c>
      <c r="B359" s="258" t="s">
        <v>315</v>
      </c>
      <c r="C359" s="258" t="s">
        <v>1715</v>
      </c>
      <c r="D359" s="859" t="s">
        <v>1716</v>
      </c>
      <c r="E359" s="99">
        <v>23.803776630474296</v>
      </c>
      <c r="F359" s="99">
        <v>0</v>
      </c>
      <c r="G359" s="99">
        <v>0</v>
      </c>
      <c r="H359" s="99">
        <v>0</v>
      </c>
      <c r="I359" s="99">
        <v>0</v>
      </c>
      <c r="J359" s="99">
        <v>0</v>
      </c>
      <c r="K359" s="99">
        <v>0</v>
      </c>
      <c r="L359" s="99">
        <v>0</v>
      </c>
      <c r="M359" s="99">
        <v>0</v>
      </c>
      <c r="N359" s="99">
        <v>0</v>
      </c>
      <c r="O359" s="99">
        <v>0</v>
      </c>
      <c r="P359" s="99">
        <v>472.8818970124949</v>
      </c>
      <c r="Q359" s="99">
        <v>0</v>
      </c>
      <c r="R359" s="99">
        <v>0</v>
      </c>
      <c r="S359" s="99">
        <v>0</v>
      </c>
      <c r="T359" s="99">
        <v>0</v>
      </c>
      <c r="U359" s="99">
        <v>0</v>
      </c>
      <c r="V359" s="99">
        <v>1062.0362980646428</v>
      </c>
      <c r="W359" s="99">
        <v>0</v>
      </c>
      <c r="X359" s="99">
        <v>0</v>
      </c>
      <c r="Y359" s="99">
        <v>0</v>
      </c>
      <c r="Z359" s="99">
        <v>0</v>
      </c>
      <c r="AA359" s="99">
        <v>0</v>
      </c>
      <c r="AB359" s="99">
        <v>0</v>
      </c>
      <c r="AC359" s="99">
        <v>0</v>
      </c>
      <c r="AD359" s="99">
        <v>0</v>
      </c>
      <c r="AE359" s="99">
        <v>0</v>
      </c>
      <c r="AF359" s="99">
        <v>0</v>
      </c>
      <c r="AG359" s="99">
        <v>0</v>
      </c>
      <c r="AH359" s="99">
        <v>0</v>
      </c>
      <c r="AI359" s="99">
        <v>0</v>
      </c>
      <c r="AJ359" s="99">
        <v>0</v>
      </c>
      <c r="AK359" s="99">
        <v>0</v>
      </c>
      <c r="AL359" s="99">
        <v>0</v>
      </c>
      <c r="AM359" s="99">
        <v>0</v>
      </c>
      <c r="AN359" s="99">
        <v>0</v>
      </c>
      <c r="AO359" s="99">
        <v>0</v>
      </c>
      <c r="AP359" s="99">
        <v>0</v>
      </c>
      <c r="AQ359" s="99">
        <v>0</v>
      </c>
      <c r="AR359" s="99">
        <f t="shared" si="5"/>
        <v>1558.7219717076121</v>
      </c>
    </row>
    <row r="360" spans="1:44" ht="15" x14ac:dyDescent="0.25">
      <c r="A360" s="258">
        <v>353</v>
      </c>
      <c r="B360" s="258" t="s">
        <v>315</v>
      </c>
      <c r="C360" s="258" t="s">
        <v>1715</v>
      </c>
      <c r="D360" s="859" t="s">
        <v>1717</v>
      </c>
      <c r="E360" s="99">
        <v>0</v>
      </c>
      <c r="F360" s="99">
        <v>0</v>
      </c>
      <c r="G360" s="99">
        <v>0</v>
      </c>
      <c r="H360" s="99">
        <v>0</v>
      </c>
      <c r="I360" s="99">
        <v>0</v>
      </c>
      <c r="J360" s="99">
        <v>0</v>
      </c>
      <c r="K360" s="99">
        <v>0</v>
      </c>
      <c r="L360" s="99">
        <v>0</v>
      </c>
      <c r="M360" s="99">
        <v>0</v>
      </c>
      <c r="N360" s="99">
        <v>0</v>
      </c>
      <c r="O360" s="99">
        <v>0</v>
      </c>
      <c r="P360" s="99">
        <v>8016.2301843742671</v>
      </c>
      <c r="Q360" s="99">
        <v>0</v>
      </c>
      <c r="R360" s="99">
        <v>0</v>
      </c>
      <c r="S360" s="99">
        <v>0</v>
      </c>
      <c r="T360" s="99">
        <v>0</v>
      </c>
      <c r="U360" s="99">
        <v>0</v>
      </c>
      <c r="V360" s="99">
        <v>6109.9442136606267</v>
      </c>
      <c r="W360" s="99">
        <v>0</v>
      </c>
      <c r="X360" s="99">
        <v>0</v>
      </c>
      <c r="Y360" s="99">
        <v>0</v>
      </c>
      <c r="Z360" s="99">
        <v>0</v>
      </c>
      <c r="AA360" s="99">
        <v>0</v>
      </c>
      <c r="AB360" s="99">
        <v>0</v>
      </c>
      <c r="AC360" s="99">
        <v>0</v>
      </c>
      <c r="AD360" s="99">
        <v>0</v>
      </c>
      <c r="AE360" s="99">
        <v>24569.975946523282</v>
      </c>
      <c r="AF360" s="99">
        <v>0</v>
      </c>
      <c r="AG360" s="99">
        <v>0</v>
      </c>
      <c r="AH360" s="99">
        <v>0</v>
      </c>
      <c r="AI360" s="99">
        <v>0</v>
      </c>
      <c r="AJ360" s="99">
        <v>0</v>
      </c>
      <c r="AK360" s="99">
        <v>0</v>
      </c>
      <c r="AL360" s="99">
        <v>0</v>
      </c>
      <c r="AM360" s="99">
        <v>0</v>
      </c>
      <c r="AN360" s="99">
        <v>0</v>
      </c>
      <c r="AO360" s="99">
        <v>0</v>
      </c>
      <c r="AP360" s="99">
        <v>0</v>
      </c>
      <c r="AQ360" s="99">
        <v>0</v>
      </c>
      <c r="AR360" s="99">
        <f t="shared" si="5"/>
        <v>38696.150344558177</v>
      </c>
    </row>
    <row r="361" spans="1:44" ht="15" x14ac:dyDescent="0.25">
      <c r="A361" s="258">
        <v>354</v>
      </c>
      <c r="B361" s="258" t="s">
        <v>315</v>
      </c>
      <c r="C361" s="258" t="s">
        <v>1715</v>
      </c>
      <c r="D361" s="859" t="s">
        <v>1718</v>
      </c>
      <c r="E361" s="99">
        <v>14.324396556391612</v>
      </c>
      <c r="F361" s="99">
        <v>0</v>
      </c>
      <c r="G361" s="99">
        <v>0</v>
      </c>
      <c r="H361" s="99">
        <v>0</v>
      </c>
      <c r="I361" s="99">
        <v>0</v>
      </c>
      <c r="J361" s="99">
        <v>0</v>
      </c>
      <c r="K361" s="99">
        <v>0</v>
      </c>
      <c r="L361" s="99">
        <v>0</v>
      </c>
      <c r="M361" s="99">
        <v>0</v>
      </c>
      <c r="N361" s="99">
        <v>0</v>
      </c>
      <c r="O361" s="99">
        <v>0</v>
      </c>
      <c r="P361" s="99">
        <v>16480.87304606002</v>
      </c>
      <c r="Q361" s="99">
        <v>0</v>
      </c>
      <c r="R361" s="99">
        <v>0</v>
      </c>
      <c r="S361" s="99">
        <v>0</v>
      </c>
      <c r="T361" s="99">
        <v>0</v>
      </c>
      <c r="U361" s="99">
        <v>0</v>
      </c>
      <c r="V361" s="99">
        <v>12390.511518231417</v>
      </c>
      <c r="W361" s="99">
        <v>0</v>
      </c>
      <c r="X361" s="99">
        <v>0</v>
      </c>
      <c r="Y361" s="99">
        <v>0</v>
      </c>
      <c r="Z361" s="99">
        <v>0</v>
      </c>
      <c r="AA361" s="99">
        <v>0</v>
      </c>
      <c r="AB361" s="99">
        <v>0</v>
      </c>
      <c r="AC361" s="99">
        <v>0</v>
      </c>
      <c r="AD361" s="99">
        <v>0</v>
      </c>
      <c r="AE361" s="99">
        <v>1289.6528521181244</v>
      </c>
      <c r="AF361" s="99">
        <v>0</v>
      </c>
      <c r="AG361" s="99">
        <v>0</v>
      </c>
      <c r="AH361" s="99">
        <v>0</v>
      </c>
      <c r="AI361" s="99">
        <v>0</v>
      </c>
      <c r="AJ361" s="99">
        <v>0</v>
      </c>
      <c r="AK361" s="99">
        <v>0</v>
      </c>
      <c r="AL361" s="99">
        <v>0</v>
      </c>
      <c r="AM361" s="99">
        <v>0</v>
      </c>
      <c r="AN361" s="99">
        <v>0</v>
      </c>
      <c r="AO361" s="99">
        <v>0</v>
      </c>
      <c r="AP361" s="99">
        <v>0</v>
      </c>
      <c r="AQ361" s="99">
        <v>0</v>
      </c>
      <c r="AR361" s="99">
        <f t="shared" si="5"/>
        <v>30175.361812965952</v>
      </c>
    </row>
    <row r="362" spans="1:44" ht="15" x14ac:dyDescent="0.25">
      <c r="A362" s="258">
        <v>355</v>
      </c>
      <c r="B362" s="258" t="s">
        <v>315</v>
      </c>
      <c r="C362" s="258" t="s">
        <v>1715</v>
      </c>
      <c r="D362" s="859" t="s">
        <v>1719</v>
      </c>
      <c r="E362" s="99">
        <v>0</v>
      </c>
      <c r="F362" s="99">
        <v>0</v>
      </c>
      <c r="G362" s="99">
        <v>0</v>
      </c>
      <c r="H362" s="99">
        <v>0</v>
      </c>
      <c r="I362" s="99">
        <v>0</v>
      </c>
      <c r="J362" s="99">
        <v>0</v>
      </c>
      <c r="K362" s="99">
        <v>0</v>
      </c>
      <c r="L362" s="99">
        <v>0</v>
      </c>
      <c r="M362" s="99">
        <v>0</v>
      </c>
      <c r="N362" s="99">
        <v>0</v>
      </c>
      <c r="O362" s="99">
        <v>0</v>
      </c>
      <c r="P362" s="99">
        <v>6086.5761377203917</v>
      </c>
      <c r="Q362" s="99">
        <v>0</v>
      </c>
      <c r="R362" s="99">
        <v>0</v>
      </c>
      <c r="S362" s="99">
        <v>0</v>
      </c>
      <c r="T362" s="99">
        <v>0</v>
      </c>
      <c r="U362" s="99">
        <v>0</v>
      </c>
      <c r="V362" s="99">
        <v>0</v>
      </c>
      <c r="W362" s="99">
        <v>0</v>
      </c>
      <c r="X362" s="99">
        <v>0</v>
      </c>
      <c r="Y362" s="99">
        <v>0</v>
      </c>
      <c r="Z362" s="99">
        <v>0</v>
      </c>
      <c r="AA362" s="99">
        <v>0</v>
      </c>
      <c r="AB362" s="99">
        <v>0</v>
      </c>
      <c r="AC362" s="99">
        <v>0</v>
      </c>
      <c r="AD362" s="99">
        <v>0</v>
      </c>
      <c r="AE362" s="99">
        <v>17313.254681752584</v>
      </c>
      <c r="AF362" s="99">
        <v>0</v>
      </c>
      <c r="AG362" s="99">
        <v>0</v>
      </c>
      <c r="AH362" s="99">
        <v>0</v>
      </c>
      <c r="AI362" s="99">
        <v>0</v>
      </c>
      <c r="AJ362" s="99">
        <v>0</v>
      </c>
      <c r="AK362" s="99">
        <v>0</v>
      </c>
      <c r="AL362" s="99">
        <v>0</v>
      </c>
      <c r="AM362" s="99">
        <v>0</v>
      </c>
      <c r="AN362" s="99">
        <v>0</v>
      </c>
      <c r="AO362" s="99">
        <v>0</v>
      </c>
      <c r="AP362" s="99">
        <v>0</v>
      </c>
      <c r="AQ362" s="99">
        <v>0</v>
      </c>
      <c r="AR362" s="99">
        <f t="shared" si="5"/>
        <v>23399.830819472976</v>
      </c>
    </row>
    <row r="363" spans="1:44" ht="15" x14ac:dyDescent="0.25">
      <c r="A363" s="258">
        <v>356</v>
      </c>
      <c r="B363" s="258" t="s">
        <v>315</v>
      </c>
      <c r="C363" s="258" t="s">
        <v>1715</v>
      </c>
      <c r="D363" s="859" t="s">
        <v>1720</v>
      </c>
      <c r="E363" s="99">
        <v>2733.8532133654462</v>
      </c>
      <c r="F363" s="99">
        <v>0</v>
      </c>
      <c r="G363" s="99">
        <v>0</v>
      </c>
      <c r="H363" s="99">
        <v>0</v>
      </c>
      <c r="I363" s="99">
        <v>0</v>
      </c>
      <c r="J363" s="99">
        <v>0</v>
      </c>
      <c r="K363" s="99">
        <v>0</v>
      </c>
      <c r="L363" s="99">
        <v>0</v>
      </c>
      <c r="M363" s="99">
        <v>0</v>
      </c>
      <c r="N363" s="99">
        <v>0</v>
      </c>
      <c r="O363" s="99">
        <v>0</v>
      </c>
      <c r="P363" s="99">
        <v>5686.532848189966</v>
      </c>
      <c r="Q363" s="99">
        <v>0</v>
      </c>
      <c r="R363" s="99">
        <v>0</v>
      </c>
      <c r="S363" s="99">
        <v>0</v>
      </c>
      <c r="T363" s="99">
        <v>0</v>
      </c>
      <c r="U363" s="99">
        <v>0</v>
      </c>
      <c r="V363" s="99">
        <v>11940.975139393808</v>
      </c>
      <c r="W363" s="99">
        <v>0</v>
      </c>
      <c r="X363" s="99">
        <v>0</v>
      </c>
      <c r="Y363" s="99">
        <v>0</v>
      </c>
      <c r="Z363" s="99">
        <v>0</v>
      </c>
      <c r="AA363" s="99">
        <v>0</v>
      </c>
      <c r="AB363" s="99">
        <v>0</v>
      </c>
      <c r="AC363" s="99">
        <v>0</v>
      </c>
      <c r="AD363" s="99">
        <v>0</v>
      </c>
      <c r="AE363" s="99">
        <v>19533.112885119452</v>
      </c>
      <c r="AF363" s="99">
        <v>0</v>
      </c>
      <c r="AG363" s="99">
        <v>0</v>
      </c>
      <c r="AH363" s="99">
        <v>0</v>
      </c>
      <c r="AI363" s="99">
        <v>0</v>
      </c>
      <c r="AJ363" s="99">
        <v>0</v>
      </c>
      <c r="AK363" s="99">
        <v>0</v>
      </c>
      <c r="AL363" s="99">
        <v>0</v>
      </c>
      <c r="AM363" s="99">
        <v>0</v>
      </c>
      <c r="AN363" s="99">
        <v>0</v>
      </c>
      <c r="AO363" s="99">
        <v>0</v>
      </c>
      <c r="AP363" s="99">
        <v>0</v>
      </c>
      <c r="AQ363" s="99">
        <v>0</v>
      </c>
      <c r="AR363" s="99">
        <f t="shared" si="5"/>
        <v>39894.474086068672</v>
      </c>
    </row>
    <row r="364" spans="1:44" ht="15" x14ac:dyDescent="0.25">
      <c r="A364" s="258">
        <v>357</v>
      </c>
      <c r="B364" s="258" t="s">
        <v>315</v>
      </c>
      <c r="C364" s="258" t="s">
        <v>1715</v>
      </c>
      <c r="D364" s="859" t="s">
        <v>1721</v>
      </c>
      <c r="E364" s="99">
        <v>135.4498086141148</v>
      </c>
      <c r="F364" s="99">
        <v>0</v>
      </c>
      <c r="G364" s="99">
        <v>0</v>
      </c>
      <c r="H364" s="99">
        <v>0</v>
      </c>
      <c r="I364" s="99">
        <v>0</v>
      </c>
      <c r="J364" s="99">
        <v>0</v>
      </c>
      <c r="K364" s="99">
        <v>51.119537746098736</v>
      </c>
      <c r="L364" s="99">
        <v>0</v>
      </c>
      <c r="M364" s="99">
        <v>0</v>
      </c>
      <c r="N364" s="99">
        <v>0</v>
      </c>
      <c r="O364" s="99">
        <v>0</v>
      </c>
      <c r="P364" s="99">
        <v>1062.9884279414448</v>
      </c>
      <c r="Q364" s="99">
        <v>0</v>
      </c>
      <c r="R364" s="99">
        <v>0</v>
      </c>
      <c r="S364" s="99">
        <v>0</v>
      </c>
      <c r="T364" s="99">
        <v>0</v>
      </c>
      <c r="U364" s="99">
        <v>0</v>
      </c>
      <c r="V364" s="99">
        <v>21696.073033628953</v>
      </c>
      <c r="W364" s="99">
        <v>0</v>
      </c>
      <c r="X364" s="99">
        <v>0</v>
      </c>
      <c r="Y364" s="99">
        <v>0</v>
      </c>
      <c r="Z364" s="99">
        <v>0</v>
      </c>
      <c r="AA364" s="99">
        <v>0</v>
      </c>
      <c r="AB364" s="99">
        <v>0</v>
      </c>
      <c r="AC364" s="99">
        <v>0</v>
      </c>
      <c r="AD364" s="99">
        <v>0</v>
      </c>
      <c r="AE364" s="99">
        <v>33526.176190654733</v>
      </c>
      <c r="AF364" s="99">
        <v>0</v>
      </c>
      <c r="AG364" s="99">
        <v>0</v>
      </c>
      <c r="AH364" s="99">
        <v>0</v>
      </c>
      <c r="AI364" s="99">
        <v>0</v>
      </c>
      <c r="AJ364" s="99">
        <v>0</v>
      </c>
      <c r="AK364" s="99">
        <v>0</v>
      </c>
      <c r="AL364" s="99">
        <v>0</v>
      </c>
      <c r="AM364" s="99">
        <v>0</v>
      </c>
      <c r="AN364" s="99">
        <v>0</v>
      </c>
      <c r="AO364" s="99">
        <v>0</v>
      </c>
      <c r="AP364" s="99">
        <v>0</v>
      </c>
      <c r="AQ364" s="99">
        <v>0</v>
      </c>
      <c r="AR364" s="99">
        <f t="shared" si="5"/>
        <v>56471.806998585344</v>
      </c>
    </row>
    <row r="365" spans="1:44" ht="15" x14ac:dyDescent="0.25">
      <c r="A365" s="258">
        <v>358</v>
      </c>
      <c r="B365" s="258" t="s">
        <v>315</v>
      </c>
      <c r="C365" s="258" t="s">
        <v>1715</v>
      </c>
      <c r="D365" s="859" t="s">
        <v>1722</v>
      </c>
      <c r="E365" s="99">
        <v>0</v>
      </c>
      <c r="F365" s="99">
        <v>0</v>
      </c>
      <c r="G365" s="99">
        <v>0</v>
      </c>
      <c r="H365" s="99">
        <v>0</v>
      </c>
      <c r="I365" s="99">
        <v>0</v>
      </c>
      <c r="J365" s="99">
        <v>0</v>
      </c>
      <c r="K365" s="99">
        <v>0</v>
      </c>
      <c r="L365" s="99">
        <v>0</v>
      </c>
      <c r="M365" s="99">
        <v>0</v>
      </c>
      <c r="N365" s="99">
        <v>897.65024629470383</v>
      </c>
      <c r="O365" s="99">
        <v>0</v>
      </c>
      <c r="P365" s="99">
        <v>19969.728534126938</v>
      </c>
      <c r="Q365" s="99">
        <v>0</v>
      </c>
      <c r="R365" s="99">
        <v>0</v>
      </c>
      <c r="S365" s="99">
        <v>0</v>
      </c>
      <c r="T365" s="99">
        <v>0</v>
      </c>
      <c r="U365" s="99">
        <v>0</v>
      </c>
      <c r="V365" s="99">
        <v>0</v>
      </c>
      <c r="W365" s="99">
        <v>0</v>
      </c>
      <c r="X365" s="99">
        <v>0</v>
      </c>
      <c r="Y365" s="99">
        <v>0</v>
      </c>
      <c r="Z365" s="99">
        <v>0</v>
      </c>
      <c r="AA365" s="99">
        <v>0</v>
      </c>
      <c r="AB365" s="99">
        <v>0</v>
      </c>
      <c r="AC365" s="99">
        <v>0</v>
      </c>
      <c r="AD365" s="99">
        <v>0</v>
      </c>
      <c r="AE365" s="99">
        <v>37832.94900001464</v>
      </c>
      <c r="AF365" s="99">
        <v>0</v>
      </c>
      <c r="AG365" s="99">
        <v>0</v>
      </c>
      <c r="AH365" s="99">
        <v>0</v>
      </c>
      <c r="AI365" s="99">
        <v>0</v>
      </c>
      <c r="AJ365" s="99">
        <v>0</v>
      </c>
      <c r="AK365" s="99">
        <v>0</v>
      </c>
      <c r="AL365" s="99">
        <v>0</v>
      </c>
      <c r="AM365" s="99">
        <v>0</v>
      </c>
      <c r="AN365" s="99">
        <v>0</v>
      </c>
      <c r="AO365" s="99">
        <v>0</v>
      </c>
      <c r="AP365" s="99">
        <v>0</v>
      </c>
      <c r="AQ365" s="99">
        <v>0</v>
      </c>
      <c r="AR365" s="99">
        <f t="shared" si="5"/>
        <v>58700.327780436281</v>
      </c>
    </row>
    <row r="366" spans="1:44" ht="15" x14ac:dyDescent="0.25">
      <c r="A366" s="258">
        <v>359</v>
      </c>
      <c r="B366" s="258" t="s">
        <v>315</v>
      </c>
      <c r="C366" s="258" t="s">
        <v>1715</v>
      </c>
      <c r="D366" s="859" t="s">
        <v>1723</v>
      </c>
      <c r="E366" s="99">
        <v>0</v>
      </c>
      <c r="F366" s="99">
        <v>0</v>
      </c>
      <c r="G366" s="99">
        <v>0</v>
      </c>
      <c r="H366" s="99">
        <v>0</v>
      </c>
      <c r="I366" s="99">
        <v>0</v>
      </c>
      <c r="J366" s="99">
        <v>0</v>
      </c>
      <c r="K366" s="99">
        <v>0</v>
      </c>
      <c r="L366" s="99">
        <v>0</v>
      </c>
      <c r="M366" s="99">
        <v>0</v>
      </c>
      <c r="N366" s="99">
        <v>26649.052338917689</v>
      </c>
      <c r="O366" s="99">
        <v>0</v>
      </c>
      <c r="P366" s="99">
        <v>5442.9787544217979</v>
      </c>
      <c r="Q366" s="99">
        <v>0</v>
      </c>
      <c r="R366" s="99">
        <v>0</v>
      </c>
      <c r="S366" s="99">
        <v>0</v>
      </c>
      <c r="T366" s="99">
        <v>0</v>
      </c>
      <c r="U366" s="99">
        <v>0</v>
      </c>
      <c r="V366" s="99">
        <v>0</v>
      </c>
      <c r="W366" s="99">
        <v>0</v>
      </c>
      <c r="X366" s="99">
        <v>0</v>
      </c>
      <c r="Y366" s="99">
        <v>0</v>
      </c>
      <c r="Z366" s="99">
        <v>0</v>
      </c>
      <c r="AA366" s="99">
        <v>0</v>
      </c>
      <c r="AB366" s="99">
        <v>0</v>
      </c>
      <c r="AC366" s="99">
        <v>0</v>
      </c>
      <c r="AD366" s="99">
        <v>0</v>
      </c>
      <c r="AE366" s="99">
        <v>16467.813368528659</v>
      </c>
      <c r="AF366" s="99">
        <v>0</v>
      </c>
      <c r="AG366" s="99">
        <v>0</v>
      </c>
      <c r="AH366" s="99">
        <v>0</v>
      </c>
      <c r="AI366" s="99">
        <v>0</v>
      </c>
      <c r="AJ366" s="99">
        <v>0</v>
      </c>
      <c r="AK366" s="99">
        <v>0</v>
      </c>
      <c r="AL366" s="99">
        <v>0</v>
      </c>
      <c r="AM366" s="99">
        <v>0</v>
      </c>
      <c r="AN366" s="99">
        <v>0</v>
      </c>
      <c r="AO366" s="99">
        <v>0</v>
      </c>
      <c r="AP366" s="99">
        <v>0</v>
      </c>
      <c r="AQ366" s="99">
        <v>0</v>
      </c>
      <c r="AR366" s="99">
        <f t="shared" si="5"/>
        <v>48559.844461868146</v>
      </c>
    </row>
    <row r="367" spans="1:44" ht="15" x14ac:dyDescent="0.25">
      <c r="A367" s="258">
        <v>360</v>
      </c>
      <c r="B367" s="258" t="s">
        <v>315</v>
      </c>
      <c r="C367" s="258" t="s">
        <v>1715</v>
      </c>
      <c r="D367" s="859" t="s">
        <v>1724</v>
      </c>
      <c r="E367" s="99">
        <v>25.910305535826005</v>
      </c>
      <c r="F367" s="99">
        <v>0</v>
      </c>
      <c r="G367" s="99">
        <v>0</v>
      </c>
      <c r="H367" s="99">
        <v>0</v>
      </c>
      <c r="I367" s="99">
        <v>0</v>
      </c>
      <c r="J367" s="99">
        <v>0</v>
      </c>
      <c r="K367" s="99">
        <v>0</v>
      </c>
      <c r="L367" s="99">
        <v>0</v>
      </c>
      <c r="M367" s="99">
        <v>0</v>
      </c>
      <c r="N367" s="99">
        <v>19449.169539110142</v>
      </c>
      <c r="O367" s="99">
        <v>0</v>
      </c>
      <c r="P367" s="99">
        <v>411.99337357045283</v>
      </c>
      <c r="Q367" s="99">
        <v>0</v>
      </c>
      <c r="R367" s="99">
        <v>0</v>
      </c>
      <c r="S367" s="99">
        <v>0</v>
      </c>
      <c r="T367" s="99">
        <v>0</v>
      </c>
      <c r="U367" s="99">
        <v>0</v>
      </c>
      <c r="V367" s="99">
        <v>0</v>
      </c>
      <c r="W367" s="99">
        <v>0</v>
      </c>
      <c r="X367" s="99">
        <v>0</v>
      </c>
      <c r="Y367" s="99">
        <v>0</v>
      </c>
      <c r="Z367" s="99">
        <v>0</v>
      </c>
      <c r="AA367" s="99">
        <v>0</v>
      </c>
      <c r="AB367" s="99">
        <v>0</v>
      </c>
      <c r="AC367" s="99">
        <v>0</v>
      </c>
      <c r="AD367" s="99">
        <v>0</v>
      </c>
      <c r="AE367" s="99">
        <v>30235.972092040549</v>
      </c>
      <c r="AF367" s="99">
        <v>0</v>
      </c>
      <c r="AG367" s="99">
        <v>0</v>
      </c>
      <c r="AH367" s="99">
        <v>0</v>
      </c>
      <c r="AI367" s="99">
        <v>0</v>
      </c>
      <c r="AJ367" s="99">
        <v>0</v>
      </c>
      <c r="AK367" s="99">
        <v>0</v>
      </c>
      <c r="AL367" s="99">
        <v>0</v>
      </c>
      <c r="AM367" s="99">
        <v>0</v>
      </c>
      <c r="AN367" s="99">
        <v>0</v>
      </c>
      <c r="AO367" s="99">
        <v>0</v>
      </c>
      <c r="AP367" s="99">
        <v>0</v>
      </c>
      <c r="AQ367" s="99">
        <v>0</v>
      </c>
      <c r="AR367" s="99">
        <f t="shared" si="5"/>
        <v>50123.045310256974</v>
      </c>
    </row>
    <row r="368" spans="1:44" ht="15" x14ac:dyDescent="0.25">
      <c r="A368" s="258">
        <v>361</v>
      </c>
      <c r="B368" s="258" t="s">
        <v>315</v>
      </c>
      <c r="C368" s="258" t="s">
        <v>1715</v>
      </c>
      <c r="D368" s="859" t="s">
        <v>1725</v>
      </c>
      <c r="E368" s="99">
        <v>0</v>
      </c>
      <c r="F368" s="99">
        <v>0</v>
      </c>
      <c r="G368" s="99">
        <v>0</v>
      </c>
      <c r="H368" s="99">
        <v>0</v>
      </c>
      <c r="I368" s="99">
        <v>0</v>
      </c>
      <c r="J368" s="99">
        <v>0</v>
      </c>
      <c r="K368" s="99">
        <v>0</v>
      </c>
      <c r="L368" s="99">
        <v>0</v>
      </c>
      <c r="M368" s="99">
        <v>0</v>
      </c>
      <c r="N368" s="99">
        <v>28061.274523696462</v>
      </c>
      <c r="O368" s="99">
        <v>0</v>
      </c>
      <c r="P368" s="99">
        <v>0</v>
      </c>
      <c r="Q368" s="99">
        <v>0</v>
      </c>
      <c r="R368" s="99">
        <v>13832.217680126165</v>
      </c>
      <c r="S368" s="99">
        <v>0</v>
      </c>
      <c r="T368" s="99">
        <v>0</v>
      </c>
      <c r="U368" s="99">
        <v>0</v>
      </c>
      <c r="V368" s="99">
        <v>0</v>
      </c>
      <c r="W368" s="99">
        <v>0</v>
      </c>
      <c r="X368" s="99">
        <v>0</v>
      </c>
      <c r="Y368" s="99">
        <v>0</v>
      </c>
      <c r="Z368" s="99">
        <v>50642.905279280778</v>
      </c>
      <c r="AA368" s="99">
        <v>0</v>
      </c>
      <c r="AB368" s="99">
        <v>0</v>
      </c>
      <c r="AC368" s="99">
        <v>0</v>
      </c>
      <c r="AD368" s="99">
        <v>0</v>
      </c>
      <c r="AE368" s="99">
        <v>0</v>
      </c>
      <c r="AF368" s="99">
        <v>0</v>
      </c>
      <c r="AG368" s="99">
        <v>0</v>
      </c>
      <c r="AH368" s="99">
        <v>0</v>
      </c>
      <c r="AI368" s="99">
        <v>0</v>
      </c>
      <c r="AJ368" s="99">
        <v>0</v>
      </c>
      <c r="AK368" s="99">
        <v>0</v>
      </c>
      <c r="AL368" s="99">
        <v>0</v>
      </c>
      <c r="AM368" s="99">
        <v>371.55979987274367</v>
      </c>
      <c r="AN368" s="99">
        <v>0</v>
      </c>
      <c r="AO368" s="99">
        <v>3315.1153770075034</v>
      </c>
      <c r="AP368" s="99">
        <v>0</v>
      </c>
      <c r="AQ368" s="99">
        <v>0</v>
      </c>
      <c r="AR368" s="99">
        <f t="shared" si="5"/>
        <v>96223.072659983663</v>
      </c>
    </row>
    <row r="369" spans="1:44" ht="15" x14ac:dyDescent="0.25">
      <c r="A369" s="258">
        <v>362</v>
      </c>
      <c r="B369" s="258" t="s">
        <v>294</v>
      </c>
      <c r="C369" s="258" t="s">
        <v>1726</v>
      </c>
      <c r="D369" s="859" t="s">
        <v>1727</v>
      </c>
      <c r="E369" s="99">
        <v>0</v>
      </c>
      <c r="F369" s="99">
        <v>0</v>
      </c>
      <c r="G369" s="99">
        <v>0</v>
      </c>
      <c r="H369" s="99">
        <v>0</v>
      </c>
      <c r="I369" s="99">
        <v>0</v>
      </c>
      <c r="J369" s="99">
        <v>0</v>
      </c>
      <c r="K369" s="99">
        <v>0</v>
      </c>
      <c r="L369" s="99">
        <v>0</v>
      </c>
      <c r="M369" s="99">
        <v>0</v>
      </c>
      <c r="N369" s="99">
        <v>17375.3548619947</v>
      </c>
      <c r="O369" s="99">
        <v>0</v>
      </c>
      <c r="P369" s="99">
        <v>0</v>
      </c>
      <c r="Q369" s="99">
        <v>0</v>
      </c>
      <c r="R369" s="99">
        <v>9338.3409830100045</v>
      </c>
      <c r="S369" s="99">
        <v>0</v>
      </c>
      <c r="T369" s="99">
        <v>0</v>
      </c>
      <c r="U369" s="99">
        <v>0</v>
      </c>
      <c r="V369" s="99">
        <v>0</v>
      </c>
      <c r="W369" s="99">
        <v>0</v>
      </c>
      <c r="X369" s="99">
        <v>0</v>
      </c>
      <c r="Y369" s="99">
        <v>0</v>
      </c>
      <c r="Z369" s="99">
        <v>7173.2787640603692</v>
      </c>
      <c r="AA369" s="99">
        <v>0</v>
      </c>
      <c r="AB369" s="99">
        <v>0</v>
      </c>
      <c r="AC369" s="99">
        <v>0</v>
      </c>
      <c r="AD369" s="99">
        <v>0</v>
      </c>
      <c r="AE369" s="99">
        <v>0</v>
      </c>
      <c r="AF369" s="99">
        <v>0</v>
      </c>
      <c r="AG369" s="99">
        <v>0</v>
      </c>
      <c r="AH369" s="99">
        <v>0</v>
      </c>
      <c r="AI369" s="99">
        <v>0</v>
      </c>
      <c r="AJ369" s="99">
        <v>0</v>
      </c>
      <c r="AK369" s="99">
        <v>0</v>
      </c>
      <c r="AL369" s="99">
        <v>0</v>
      </c>
      <c r="AM369" s="99">
        <v>0</v>
      </c>
      <c r="AN369" s="99">
        <v>0</v>
      </c>
      <c r="AO369" s="99">
        <v>2909.9957222624939</v>
      </c>
      <c r="AP369" s="99">
        <v>0</v>
      </c>
      <c r="AQ369" s="99">
        <v>0</v>
      </c>
      <c r="AR369" s="99">
        <f t="shared" si="5"/>
        <v>36796.970331327568</v>
      </c>
    </row>
    <row r="370" spans="1:44" ht="15" x14ac:dyDescent="0.25">
      <c r="A370" s="258">
        <v>363</v>
      </c>
      <c r="B370" s="258" t="s">
        <v>294</v>
      </c>
      <c r="C370" s="258" t="s">
        <v>1726</v>
      </c>
      <c r="D370" s="859" t="s">
        <v>1728</v>
      </c>
      <c r="E370" s="99">
        <v>0</v>
      </c>
      <c r="F370" s="99">
        <v>0</v>
      </c>
      <c r="G370" s="99">
        <v>0</v>
      </c>
      <c r="H370" s="99">
        <v>0</v>
      </c>
      <c r="I370" s="99">
        <v>0</v>
      </c>
      <c r="J370" s="99">
        <v>0</v>
      </c>
      <c r="K370" s="99">
        <v>0</v>
      </c>
      <c r="L370" s="99">
        <v>0</v>
      </c>
      <c r="M370" s="99">
        <v>0</v>
      </c>
      <c r="N370" s="99">
        <v>10657.534505264875</v>
      </c>
      <c r="O370" s="99">
        <v>0</v>
      </c>
      <c r="P370" s="99">
        <v>0</v>
      </c>
      <c r="Q370" s="99">
        <v>0</v>
      </c>
      <c r="R370" s="99">
        <v>19285.41262340327</v>
      </c>
      <c r="S370" s="99">
        <v>0</v>
      </c>
      <c r="T370" s="99">
        <v>0</v>
      </c>
      <c r="U370" s="99">
        <v>0</v>
      </c>
      <c r="V370" s="99">
        <v>0</v>
      </c>
      <c r="W370" s="99">
        <v>0</v>
      </c>
      <c r="X370" s="99">
        <v>0</v>
      </c>
      <c r="Y370" s="99">
        <v>0</v>
      </c>
      <c r="Z370" s="99">
        <v>43306.677960580018</v>
      </c>
      <c r="AA370" s="99">
        <v>0</v>
      </c>
      <c r="AB370" s="99">
        <v>0</v>
      </c>
      <c r="AC370" s="99">
        <v>0</v>
      </c>
      <c r="AD370" s="99">
        <v>0</v>
      </c>
      <c r="AE370" s="99">
        <v>0</v>
      </c>
      <c r="AF370" s="99">
        <v>0</v>
      </c>
      <c r="AG370" s="99">
        <v>0</v>
      </c>
      <c r="AH370" s="99">
        <v>0</v>
      </c>
      <c r="AI370" s="99">
        <v>0</v>
      </c>
      <c r="AJ370" s="99">
        <v>0</v>
      </c>
      <c r="AK370" s="99">
        <v>0</v>
      </c>
      <c r="AL370" s="99">
        <v>0</v>
      </c>
      <c r="AM370" s="99">
        <v>3162.1947205707197</v>
      </c>
      <c r="AN370" s="99">
        <v>0</v>
      </c>
      <c r="AO370" s="99">
        <v>2224.5545086630245</v>
      </c>
      <c r="AP370" s="99">
        <v>0</v>
      </c>
      <c r="AQ370" s="99">
        <v>0</v>
      </c>
      <c r="AR370" s="99">
        <f t="shared" si="5"/>
        <v>78636.374318481918</v>
      </c>
    </row>
    <row r="371" spans="1:44" ht="15" x14ac:dyDescent="0.25">
      <c r="A371" s="258">
        <v>364</v>
      </c>
      <c r="B371" s="258" t="s">
        <v>294</v>
      </c>
      <c r="C371" s="258" t="s">
        <v>1726</v>
      </c>
      <c r="D371" s="859" t="s">
        <v>1729</v>
      </c>
      <c r="E371" s="99">
        <v>0</v>
      </c>
      <c r="F371" s="99">
        <v>0</v>
      </c>
      <c r="G371" s="99">
        <v>0</v>
      </c>
      <c r="H371" s="99">
        <v>0</v>
      </c>
      <c r="I371" s="99">
        <v>0</v>
      </c>
      <c r="J371" s="99">
        <v>0</v>
      </c>
      <c r="K371" s="99">
        <v>0</v>
      </c>
      <c r="L371" s="99">
        <v>0</v>
      </c>
      <c r="M371" s="99">
        <v>0</v>
      </c>
      <c r="N371" s="99">
        <v>0</v>
      </c>
      <c r="O371" s="99">
        <v>0</v>
      </c>
      <c r="P371" s="99">
        <v>0</v>
      </c>
      <c r="Q371" s="99">
        <v>0</v>
      </c>
      <c r="R371" s="99">
        <v>3058.0977431931997</v>
      </c>
      <c r="S371" s="99">
        <v>0</v>
      </c>
      <c r="T371" s="99">
        <v>0</v>
      </c>
      <c r="U371" s="99">
        <v>0</v>
      </c>
      <c r="V371" s="99">
        <v>0</v>
      </c>
      <c r="W371" s="99">
        <v>0</v>
      </c>
      <c r="X371" s="99">
        <v>0</v>
      </c>
      <c r="Y371" s="99">
        <v>0</v>
      </c>
      <c r="Z371" s="99">
        <v>15225.726971703571</v>
      </c>
      <c r="AA371" s="99">
        <v>0</v>
      </c>
      <c r="AB371" s="99">
        <v>0</v>
      </c>
      <c r="AC371" s="99">
        <v>0</v>
      </c>
      <c r="AD371" s="99">
        <v>0</v>
      </c>
      <c r="AE371" s="99">
        <v>0</v>
      </c>
      <c r="AF371" s="99">
        <v>0</v>
      </c>
      <c r="AG371" s="99">
        <v>0</v>
      </c>
      <c r="AH371" s="99">
        <v>0</v>
      </c>
      <c r="AI371" s="99">
        <v>0</v>
      </c>
      <c r="AJ371" s="99">
        <v>0</v>
      </c>
      <c r="AK371" s="99">
        <v>0</v>
      </c>
      <c r="AL371" s="99">
        <v>0</v>
      </c>
      <c r="AM371" s="99">
        <v>22561.264664727722</v>
      </c>
      <c r="AN371" s="99">
        <v>0</v>
      </c>
      <c r="AO371" s="99">
        <v>13325.136509091835</v>
      </c>
      <c r="AP371" s="99">
        <v>0</v>
      </c>
      <c r="AQ371" s="99">
        <v>0</v>
      </c>
      <c r="AR371" s="99">
        <f t="shared" si="5"/>
        <v>54170.225888716326</v>
      </c>
    </row>
    <row r="372" spans="1:44" ht="15" x14ac:dyDescent="0.25">
      <c r="A372" s="258">
        <v>365</v>
      </c>
      <c r="B372" s="258" t="s">
        <v>294</v>
      </c>
      <c r="C372" s="258" t="s">
        <v>1726</v>
      </c>
      <c r="D372" s="859" t="s">
        <v>1730</v>
      </c>
      <c r="E372" s="99">
        <v>0</v>
      </c>
      <c r="F372" s="99">
        <v>0</v>
      </c>
      <c r="G372" s="99">
        <v>0</v>
      </c>
      <c r="H372" s="99">
        <v>0</v>
      </c>
      <c r="I372" s="99">
        <v>0</v>
      </c>
      <c r="J372" s="99">
        <v>0</v>
      </c>
      <c r="K372" s="99">
        <v>0</v>
      </c>
      <c r="L372" s="99">
        <v>0</v>
      </c>
      <c r="M372" s="99">
        <v>0</v>
      </c>
      <c r="N372" s="99">
        <v>0</v>
      </c>
      <c r="O372" s="99">
        <v>0</v>
      </c>
      <c r="P372" s="99">
        <v>0</v>
      </c>
      <c r="Q372" s="99">
        <v>0</v>
      </c>
      <c r="R372" s="99">
        <v>267.22244112248273</v>
      </c>
      <c r="S372" s="99">
        <v>0</v>
      </c>
      <c r="T372" s="99">
        <v>0</v>
      </c>
      <c r="U372" s="99">
        <v>0</v>
      </c>
      <c r="V372" s="99">
        <v>0</v>
      </c>
      <c r="W372" s="99">
        <v>0</v>
      </c>
      <c r="X372" s="99">
        <v>0</v>
      </c>
      <c r="Y372" s="99">
        <v>0</v>
      </c>
      <c r="Z372" s="99">
        <v>12600.174105561846</v>
      </c>
      <c r="AA372" s="99">
        <v>0</v>
      </c>
      <c r="AB372" s="99">
        <v>0</v>
      </c>
      <c r="AC372" s="99">
        <v>0</v>
      </c>
      <c r="AD372" s="99">
        <v>0</v>
      </c>
      <c r="AE372" s="99">
        <v>0</v>
      </c>
      <c r="AF372" s="99">
        <v>0</v>
      </c>
      <c r="AG372" s="99">
        <v>0</v>
      </c>
      <c r="AH372" s="99">
        <v>0</v>
      </c>
      <c r="AI372" s="99">
        <v>0</v>
      </c>
      <c r="AJ372" s="99">
        <v>0</v>
      </c>
      <c r="AK372" s="99">
        <v>0</v>
      </c>
      <c r="AL372" s="99">
        <v>0</v>
      </c>
      <c r="AM372" s="99">
        <v>12262.817539779408</v>
      </c>
      <c r="AN372" s="99">
        <v>0</v>
      </c>
      <c r="AO372" s="99">
        <v>3308.4771804175812</v>
      </c>
      <c r="AP372" s="99">
        <v>0</v>
      </c>
      <c r="AQ372" s="99">
        <v>0</v>
      </c>
      <c r="AR372" s="99">
        <f t="shared" si="5"/>
        <v>28438.691266881317</v>
      </c>
    </row>
    <row r="373" spans="1:44" ht="15" x14ac:dyDescent="0.25">
      <c r="A373" s="258">
        <v>366</v>
      </c>
      <c r="B373" s="258" t="s">
        <v>294</v>
      </c>
      <c r="C373" s="258" t="s">
        <v>1726</v>
      </c>
      <c r="D373" s="859" t="s">
        <v>1731</v>
      </c>
      <c r="E373" s="99">
        <v>0</v>
      </c>
      <c r="F373" s="99">
        <v>0</v>
      </c>
      <c r="G373" s="99">
        <v>0</v>
      </c>
      <c r="H373" s="99">
        <v>0</v>
      </c>
      <c r="I373" s="99">
        <v>0</v>
      </c>
      <c r="J373" s="99">
        <v>0</v>
      </c>
      <c r="K373" s="99">
        <v>0</v>
      </c>
      <c r="L373" s="99">
        <v>0</v>
      </c>
      <c r="M373" s="99">
        <v>0</v>
      </c>
      <c r="N373" s="99">
        <v>0</v>
      </c>
      <c r="O373" s="99">
        <v>0</v>
      </c>
      <c r="P373" s="99">
        <v>0</v>
      </c>
      <c r="Q373" s="99">
        <v>0</v>
      </c>
      <c r="R373" s="99">
        <v>6981.0057186213999</v>
      </c>
      <c r="S373" s="99">
        <v>0</v>
      </c>
      <c r="T373" s="99">
        <v>0</v>
      </c>
      <c r="U373" s="99">
        <v>0</v>
      </c>
      <c r="V373" s="99">
        <v>0</v>
      </c>
      <c r="W373" s="99">
        <v>0</v>
      </c>
      <c r="X373" s="99">
        <v>0</v>
      </c>
      <c r="Y373" s="99">
        <v>0</v>
      </c>
      <c r="Z373" s="99">
        <v>708.47197669732043</v>
      </c>
      <c r="AA373" s="99">
        <v>0</v>
      </c>
      <c r="AB373" s="99">
        <v>0</v>
      </c>
      <c r="AC373" s="99">
        <v>0</v>
      </c>
      <c r="AD373" s="99">
        <v>0</v>
      </c>
      <c r="AE373" s="99">
        <v>0</v>
      </c>
      <c r="AF373" s="99">
        <v>0</v>
      </c>
      <c r="AG373" s="99">
        <v>0</v>
      </c>
      <c r="AH373" s="99">
        <v>0</v>
      </c>
      <c r="AI373" s="99">
        <v>0</v>
      </c>
      <c r="AJ373" s="99">
        <v>0</v>
      </c>
      <c r="AK373" s="99">
        <v>0</v>
      </c>
      <c r="AL373" s="99">
        <v>0</v>
      </c>
      <c r="AM373" s="99">
        <v>25739.397092476447</v>
      </c>
      <c r="AN373" s="99">
        <v>0</v>
      </c>
      <c r="AO373" s="99">
        <v>16113.368739619171</v>
      </c>
      <c r="AP373" s="99">
        <v>0</v>
      </c>
      <c r="AQ373" s="99">
        <v>0</v>
      </c>
      <c r="AR373" s="99">
        <f t="shared" si="5"/>
        <v>49542.243527414335</v>
      </c>
    </row>
    <row r="374" spans="1:44" ht="15" x14ac:dyDescent="0.25">
      <c r="A374" s="258">
        <v>367</v>
      </c>
      <c r="B374" s="258" t="s">
        <v>352</v>
      </c>
      <c r="C374" s="258" t="s">
        <v>1732</v>
      </c>
      <c r="D374" s="859" t="s">
        <v>1733</v>
      </c>
      <c r="E374" s="99">
        <v>0</v>
      </c>
      <c r="F374" s="99">
        <v>0</v>
      </c>
      <c r="G374" s="99">
        <v>0</v>
      </c>
      <c r="H374" s="99">
        <v>0</v>
      </c>
      <c r="I374" s="99">
        <v>0</v>
      </c>
      <c r="J374" s="99">
        <v>0</v>
      </c>
      <c r="K374" s="99">
        <v>0</v>
      </c>
      <c r="L374" s="99">
        <v>0</v>
      </c>
      <c r="M374" s="99">
        <v>0</v>
      </c>
      <c r="N374" s="99">
        <v>68790.334888008583</v>
      </c>
      <c r="O374" s="99">
        <v>0</v>
      </c>
      <c r="P374" s="99">
        <v>3918.4894618869316</v>
      </c>
      <c r="Q374" s="99">
        <v>0</v>
      </c>
      <c r="R374" s="99">
        <v>0</v>
      </c>
      <c r="S374" s="99">
        <v>0</v>
      </c>
      <c r="T374" s="99">
        <v>21770.017915358014</v>
      </c>
      <c r="U374" s="99">
        <v>0</v>
      </c>
      <c r="V374" s="99">
        <v>119.91158401426208</v>
      </c>
      <c r="W374" s="99">
        <v>0</v>
      </c>
      <c r="X374" s="99">
        <v>0</v>
      </c>
      <c r="Y374" s="99">
        <v>0</v>
      </c>
      <c r="Z374" s="99">
        <v>0</v>
      </c>
      <c r="AA374" s="99">
        <v>0</v>
      </c>
      <c r="AB374" s="99">
        <v>0</v>
      </c>
      <c r="AC374" s="99">
        <v>0</v>
      </c>
      <c r="AD374" s="99">
        <v>0</v>
      </c>
      <c r="AE374" s="99">
        <v>15084.200379920761</v>
      </c>
      <c r="AF374" s="99">
        <v>0</v>
      </c>
      <c r="AG374" s="99">
        <v>0</v>
      </c>
      <c r="AH374" s="99">
        <v>0</v>
      </c>
      <c r="AI374" s="99">
        <v>0</v>
      </c>
      <c r="AJ374" s="99">
        <v>0</v>
      </c>
      <c r="AK374" s="99">
        <v>0</v>
      </c>
      <c r="AL374" s="99">
        <v>0</v>
      </c>
      <c r="AM374" s="99">
        <v>0</v>
      </c>
      <c r="AN374" s="99">
        <v>0</v>
      </c>
      <c r="AO374" s="99">
        <v>0</v>
      </c>
      <c r="AP374" s="99">
        <v>0</v>
      </c>
      <c r="AQ374" s="99">
        <v>0</v>
      </c>
      <c r="AR374" s="99">
        <f t="shared" si="5"/>
        <v>109682.95422918854</v>
      </c>
    </row>
    <row r="375" spans="1:44" ht="15" x14ac:dyDescent="0.25">
      <c r="A375" s="258">
        <v>368</v>
      </c>
      <c r="B375" s="258" t="s">
        <v>352</v>
      </c>
      <c r="C375" s="258" t="s">
        <v>1732</v>
      </c>
      <c r="D375" s="859" t="s">
        <v>1734</v>
      </c>
      <c r="E375" s="99">
        <v>0</v>
      </c>
      <c r="F375" s="99">
        <v>0</v>
      </c>
      <c r="G375" s="99">
        <v>0</v>
      </c>
      <c r="H375" s="99">
        <v>0</v>
      </c>
      <c r="I375" s="99">
        <v>0</v>
      </c>
      <c r="J375" s="99">
        <v>0</v>
      </c>
      <c r="K375" s="99">
        <v>0</v>
      </c>
      <c r="L375" s="99">
        <v>0</v>
      </c>
      <c r="M375" s="99">
        <v>0</v>
      </c>
      <c r="N375" s="99">
        <v>15460.691147465564</v>
      </c>
      <c r="O375" s="99">
        <v>0</v>
      </c>
      <c r="P375" s="99">
        <v>0</v>
      </c>
      <c r="Q375" s="99">
        <v>0</v>
      </c>
      <c r="R375" s="99">
        <v>8269.244869144688</v>
      </c>
      <c r="S375" s="99">
        <v>0</v>
      </c>
      <c r="T375" s="99">
        <v>0</v>
      </c>
      <c r="U375" s="99">
        <v>0</v>
      </c>
      <c r="V375" s="99">
        <v>0</v>
      </c>
      <c r="W375" s="99">
        <v>0</v>
      </c>
      <c r="X375" s="99">
        <v>0</v>
      </c>
      <c r="Y375" s="99">
        <v>0</v>
      </c>
      <c r="Z375" s="99">
        <v>2112.7962730070399</v>
      </c>
      <c r="AA375" s="99">
        <v>0</v>
      </c>
      <c r="AB375" s="99">
        <v>0</v>
      </c>
      <c r="AC375" s="99">
        <v>0</v>
      </c>
      <c r="AD375" s="99">
        <v>0</v>
      </c>
      <c r="AE375" s="99">
        <v>3663.0459168129582</v>
      </c>
      <c r="AF375" s="99">
        <v>0</v>
      </c>
      <c r="AG375" s="99">
        <v>0</v>
      </c>
      <c r="AH375" s="99">
        <v>0</v>
      </c>
      <c r="AI375" s="99">
        <v>0</v>
      </c>
      <c r="AJ375" s="99">
        <v>0</v>
      </c>
      <c r="AK375" s="99">
        <v>0</v>
      </c>
      <c r="AL375" s="99">
        <v>0</v>
      </c>
      <c r="AM375" s="99">
        <v>0</v>
      </c>
      <c r="AN375" s="99">
        <v>0</v>
      </c>
      <c r="AO375" s="99">
        <v>2670.4516567461324</v>
      </c>
      <c r="AP375" s="99">
        <v>0</v>
      </c>
      <c r="AQ375" s="99">
        <v>0</v>
      </c>
      <c r="AR375" s="99">
        <f t="shared" si="5"/>
        <v>32176.229863176384</v>
      </c>
    </row>
    <row r="376" spans="1:44" ht="15" x14ac:dyDescent="0.25">
      <c r="A376" s="258">
        <v>369</v>
      </c>
      <c r="B376" s="258" t="s">
        <v>352</v>
      </c>
      <c r="C376" s="258" t="s">
        <v>1732</v>
      </c>
      <c r="D376" s="859" t="s">
        <v>1735</v>
      </c>
      <c r="E376" s="99">
        <v>0</v>
      </c>
      <c r="F376" s="99">
        <v>0</v>
      </c>
      <c r="G376" s="99">
        <v>0</v>
      </c>
      <c r="H376" s="99">
        <v>0</v>
      </c>
      <c r="I376" s="99">
        <v>0</v>
      </c>
      <c r="J376" s="99">
        <v>0</v>
      </c>
      <c r="K376" s="99">
        <v>0</v>
      </c>
      <c r="L376" s="99">
        <v>0</v>
      </c>
      <c r="M376" s="99">
        <v>0</v>
      </c>
      <c r="N376" s="99">
        <v>17002.708705695062</v>
      </c>
      <c r="O376" s="99">
        <v>0</v>
      </c>
      <c r="P376" s="99">
        <v>0</v>
      </c>
      <c r="Q376" s="99">
        <v>0</v>
      </c>
      <c r="R376" s="99">
        <v>445.92100020516222</v>
      </c>
      <c r="S376" s="99">
        <v>0</v>
      </c>
      <c r="T376" s="99">
        <v>0</v>
      </c>
      <c r="U376" s="99">
        <v>0</v>
      </c>
      <c r="V376" s="99">
        <v>0</v>
      </c>
      <c r="W376" s="99">
        <v>0</v>
      </c>
      <c r="X376" s="99">
        <v>0</v>
      </c>
      <c r="Y376" s="99">
        <v>0</v>
      </c>
      <c r="Z376" s="99">
        <v>3763.5359787117973</v>
      </c>
      <c r="AA376" s="99">
        <v>0</v>
      </c>
      <c r="AB376" s="99">
        <v>0</v>
      </c>
      <c r="AC376" s="99">
        <v>0</v>
      </c>
      <c r="AD376" s="99">
        <v>0</v>
      </c>
      <c r="AE376" s="99">
        <v>2922.1602448319059</v>
      </c>
      <c r="AF376" s="99">
        <v>0</v>
      </c>
      <c r="AG376" s="99">
        <v>0</v>
      </c>
      <c r="AH376" s="99">
        <v>0</v>
      </c>
      <c r="AI376" s="99">
        <v>0</v>
      </c>
      <c r="AJ376" s="99">
        <v>0</v>
      </c>
      <c r="AK376" s="99">
        <v>0</v>
      </c>
      <c r="AL376" s="99">
        <v>0</v>
      </c>
      <c r="AM376" s="99">
        <v>0</v>
      </c>
      <c r="AN376" s="99">
        <v>0</v>
      </c>
      <c r="AO376" s="99">
        <v>2700.4183727806417</v>
      </c>
      <c r="AP376" s="99">
        <v>0</v>
      </c>
      <c r="AQ376" s="99">
        <v>0</v>
      </c>
      <c r="AR376" s="99">
        <f t="shared" si="5"/>
        <v>26834.744302224568</v>
      </c>
    </row>
    <row r="377" spans="1:44" ht="15" x14ac:dyDescent="0.25">
      <c r="A377" s="258">
        <v>370</v>
      </c>
      <c r="B377" s="258" t="s">
        <v>352</v>
      </c>
      <c r="C377" s="258" t="s">
        <v>1732</v>
      </c>
      <c r="D377" s="859" t="s">
        <v>1736</v>
      </c>
      <c r="E377" s="99">
        <v>0</v>
      </c>
      <c r="F377" s="99">
        <v>0</v>
      </c>
      <c r="G377" s="99">
        <v>0</v>
      </c>
      <c r="H377" s="99">
        <v>0</v>
      </c>
      <c r="I377" s="99">
        <v>0</v>
      </c>
      <c r="J377" s="99">
        <v>0</v>
      </c>
      <c r="K377" s="99">
        <v>0</v>
      </c>
      <c r="L377" s="99">
        <v>0</v>
      </c>
      <c r="M377" s="99">
        <v>0</v>
      </c>
      <c r="N377" s="99">
        <v>3900.8968405871742</v>
      </c>
      <c r="O377" s="99">
        <v>0</v>
      </c>
      <c r="P377" s="99">
        <v>0</v>
      </c>
      <c r="Q377" s="99">
        <v>0</v>
      </c>
      <c r="R377" s="99">
        <v>13722.646161797178</v>
      </c>
      <c r="S377" s="99">
        <v>0</v>
      </c>
      <c r="T377" s="99">
        <v>0</v>
      </c>
      <c r="U377" s="99">
        <v>0</v>
      </c>
      <c r="V377" s="99">
        <v>0</v>
      </c>
      <c r="W377" s="99">
        <v>0</v>
      </c>
      <c r="X377" s="99">
        <v>0</v>
      </c>
      <c r="Y377" s="99">
        <v>0</v>
      </c>
      <c r="Z377" s="99">
        <v>5350.0704115283588</v>
      </c>
      <c r="AA377" s="99">
        <v>0</v>
      </c>
      <c r="AB377" s="99">
        <v>0</v>
      </c>
      <c r="AC377" s="99">
        <v>0</v>
      </c>
      <c r="AD377" s="99">
        <v>0</v>
      </c>
      <c r="AE377" s="99">
        <v>12122.257013468718</v>
      </c>
      <c r="AF377" s="99">
        <v>0</v>
      </c>
      <c r="AG377" s="99">
        <v>0</v>
      </c>
      <c r="AH377" s="99">
        <v>0</v>
      </c>
      <c r="AI377" s="99">
        <v>0</v>
      </c>
      <c r="AJ377" s="99">
        <v>0</v>
      </c>
      <c r="AK377" s="99">
        <v>0</v>
      </c>
      <c r="AL377" s="99">
        <v>0</v>
      </c>
      <c r="AM377" s="99">
        <v>417.45271572265881</v>
      </c>
      <c r="AN377" s="99">
        <v>0</v>
      </c>
      <c r="AO377" s="99">
        <v>3228.8188213385056</v>
      </c>
      <c r="AP377" s="99">
        <v>0</v>
      </c>
      <c r="AQ377" s="99">
        <v>0</v>
      </c>
      <c r="AR377" s="99">
        <f t="shared" si="5"/>
        <v>38742.141964442599</v>
      </c>
    </row>
    <row r="378" spans="1:44" ht="15" x14ac:dyDescent="0.25">
      <c r="A378" s="258">
        <v>371</v>
      </c>
      <c r="B378" s="258" t="s">
        <v>352</v>
      </c>
      <c r="C378" s="258" t="s">
        <v>1732</v>
      </c>
      <c r="D378" s="859" t="s">
        <v>1737</v>
      </c>
      <c r="E378" s="99">
        <v>0</v>
      </c>
      <c r="F378" s="99">
        <v>0</v>
      </c>
      <c r="G378" s="99">
        <v>0</v>
      </c>
      <c r="H378" s="99">
        <v>0</v>
      </c>
      <c r="I378" s="99">
        <v>0</v>
      </c>
      <c r="J378" s="99">
        <v>0</v>
      </c>
      <c r="K378" s="99">
        <v>0</v>
      </c>
      <c r="L378" s="99">
        <v>0</v>
      </c>
      <c r="M378" s="99">
        <v>0</v>
      </c>
      <c r="N378" s="99">
        <v>12577.778207811521</v>
      </c>
      <c r="O378" s="99">
        <v>0</v>
      </c>
      <c r="P378" s="99">
        <v>0</v>
      </c>
      <c r="Q378" s="99">
        <v>0</v>
      </c>
      <c r="R378" s="99">
        <v>10154.45276265434</v>
      </c>
      <c r="S378" s="99">
        <v>0</v>
      </c>
      <c r="T378" s="99">
        <v>0</v>
      </c>
      <c r="U378" s="99">
        <v>0</v>
      </c>
      <c r="V378" s="99">
        <v>0</v>
      </c>
      <c r="W378" s="99">
        <v>0</v>
      </c>
      <c r="X378" s="99">
        <v>0</v>
      </c>
      <c r="Y378" s="99">
        <v>0</v>
      </c>
      <c r="Z378" s="99">
        <v>8505.870272729484</v>
      </c>
      <c r="AA378" s="99">
        <v>0</v>
      </c>
      <c r="AB378" s="99">
        <v>0</v>
      </c>
      <c r="AC378" s="99">
        <v>0</v>
      </c>
      <c r="AD378" s="99">
        <v>0</v>
      </c>
      <c r="AE378" s="99">
        <v>14541.030824936272</v>
      </c>
      <c r="AF378" s="99">
        <v>0</v>
      </c>
      <c r="AG378" s="99">
        <v>0</v>
      </c>
      <c r="AH378" s="99">
        <v>0</v>
      </c>
      <c r="AI378" s="99">
        <v>0</v>
      </c>
      <c r="AJ378" s="99">
        <v>0</v>
      </c>
      <c r="AK378" s="99">
        <v>0</v>
      </c>
      <c r="AL378" s="99">
        <v>0</v>
      </c>
      <c r="AM378" s="99">
        <v>0</v>
      </c>
      <c r="AN378" s="99">
        <v>0</v>
      </c>
      <c r="AO378" s="99">
        <v>8236.6743287763529</v>
      </c>
      <c r="AP378" s="99">
        <v>0</v>
      </c>
      <c r="AQ378" s="99">
        <v>0</v>
      </c>
      <c r="AR378" s="99">
        <f t="shared" si="5"/>
        <v>54015.806396907967</v>
      </c>
    </row>
    <row r="379" spans="1:44" ht="15" x14ac:dyDescent="0.25">
      <c r="A379" s="258">
        <v>372</v>
      </c>
      <c r="B379" s="258" t="s">
        <v>352</v>
      </c>
      <c r="C379" s="258" t="s">
        <v>1732</v>
      </c>
      <c r="D379" s="859" t="s">
        <v>1738</v>
      </c>
      <c r="E379" s="99">
        <v>0</v>
      </c>
      <c r="F379" s="99">
        <v>0</v>
      </c>
      <c r="G379" s="99">
        <v>0</v>
      </c>
      <c r="H379" s="99">
        <v>0</v>
      </c>
      <c r="I379" s="99">
        <v>0</v>
      </c>
      <c r="J379" s="99">
        <v>0</v>
      </c>
      <c r="K379" s="99">
        <v>0</v>
      </c>
      <c r="L379" s="99">
        <v>0</v>
      </c>
      <c r="M379" s="99">
        <v>0</v>
      </c>
      <c r="N379" s="99">
        <v>10607.314613107308</v>
      </c>
      <c r="O379" s="99">
        <v>0</v>
      </c>
      <c r="P379" s="99">
        <v>0</v>
      </c>
      <c r="Q379" s="99">
        <v>0</v>
      </c>
      <c r="R379" s="99">
        <v>32618.883863225929</v>
      </c>
      <c r="S379" s="99">
        <v>0</v>
      </c>
      <c r="T379" s="99">
        <v>0</v>
      </c>
      <c r="U379" s="99">
        <v>0</v>
      </c>
      <c r="V379" s="99">
        <v>0</v>
      </c>
      <c r="W379" s="99">
        <v>0</v>
      </c>
      <c r="X379" s="99">
        <v>0</v>
      </c>
      <c r="Y379" s="99">
        <v>0</v>
      </c>
      <c r="Z379" s="99">
        <v>22003.368416277033</v>
      </c>
      <c r="AA379" s="99">
        <v>0</v>
      </c>
      <c r="AB379" s="99">
        <v>0</v>
      </c>
      <c r="AC379" s="99">
        <v>0</v>
      </c>
      <c r="AD379" s="99">
        <v>0</v>
      </c>
      <c r="AE379" s="99">
        <v>37.783969779929549</v>
      </c>
      <c r="AF379" s="99">
        <v>0</v>
      </c>
      <c r="AG379" s="99">
        <v>0</v>
      </c>
      <c r="AH379" s="99">
        <v>0</v>
      </c>
      <c r="AI379" s="99">
        <v>0</v>
      </c>
      <c r="AJ379" s="99">
        <v>0</v>
      </c>
      <c r="AK379" s="99">
        <v>0</v>
      </c>
      <c r="AL379" s="99">
        <v>0</v>
      </c>
      <c r="AM379" s="99">
        <v>3024.3239524525643</v>
      </c>
      <c r="AN379" s="99">
        <v>0</v>
      </c>
      <c r="AO379" s="99">
        <v>13150.077781877582</v>
      </c>
      <c r="AP379" s="99">
        <v>0</v>
      </c>
      <c r="AQ379" s="99">
        <v>0</v>
      </c>
      <c r="AR379" s="99">
        <f t="shared" si="5"/>
        <v>81441.75259672034</v>
      </c>
    </row>
    <row r="380" spans="1:44" ht="15" x14ac:dyDescent="0.25">
      <c r="A380" s="258">
        <v>373</v>
      </c>
      <c r="B380" s="258" t="s">
        <v>352</v>
      </c>
      <c r="C380" s="258" t="s">
        <v>1732</v>
      </c>
      <c r="D380" s="859" t="s">
        <v>1739</v>
      </c>
      <c r="E380" s="99">
        <v>0</v>
      </c>
      <c r="F380" s="99">
        <v>0</v>
      </c>
      <c r="G380" s="99">
        <v>0</v>
      </c>
      <c r="H380" s="99">
        <v>0</v>
      </c>
      <c r="I380" s="99">
        <v>0</v>
      </c>
      <c r="J380" s="99">
        <v>0</v>
      </c>
      <c r="K380" s="99">
        <v>0</v>
      </c>
      <c r="L380" s="99">
        <v>0</v>
      </c>
      <c r="M380" s="99">
        <v>0</v>
      </c>
      <c r="N380" s="99">
        <v>24355.192047372704</v>
      </c>
      <c r="O380" s="99">
        <v>0</v>
      </c>
      <c r="P380" s="99">
        <v>0</v>
      </c>
      <c r="Q380" s="99">
        <v>0</v>
      </c>
      <c r="R380" s="99">
        <v>26723.275859125191</v>
      </c>
      <c r="S380" s="99">
        <v>0</v>
      </c>
      <c r="T380" s="99">
        <v>0</v>
      </c>
      <c r="U380" s="99">
        <v>0</v>
      </c>
      <c r="V380" s="99">
        <v>0</v>
      </c>
      <c r="W380" s="99">
        <v>0</v>
      </c>
      <c r="X380" s="99">
        <v>0</v>
      </c>
      <c r="Y380" s="99">
        <v>0</v>
      </c>
      <c r="Z380" s="99">
        <v>7023.6140589830602</v>
      </c>
      <c r="AA380" s="99">
        <v>0</v>
      </c>
      <c r="AB380" s="99">
        <v>0</v>
      </c>
      <c r="AC380" s="99">
        <v>0</v>
      </c>
      <c r="AD380" s="99">
        <v>0</v>
      </c>
      <c r="AE380" s="99">
        <v>0</v>
      </c>
      <c r="AF380" s="99">
        <v>0</v>
      </c>
      <c r="AG380" s="99">
        <v>0</v>
      </c>
      <c r="AH380" s="99">
        <v>0</v>
      </c>
      <c r="AI380" s="99">
        <v>0</v>
      </c>
      <c r="AJ380" s="99">
        <v>0</v>
      </c>
      <c r="AK380" s="99">
        <v>0</v>
      </c>
      <c r="AL380" s="99">
        <v>0</v>
      </c>
      <c r="AM380" s="99">
        <v>8974.6573263319351</v>
      </c>
      <c r="AN380" s="99">
        <v>0</v>
      </c>
      <c r="AO380" s="99">
        <v>30512.375794200823</v>
      </c>
      <c r="AP380" s="99">
        <v>0</v>
      </c>
      <c r="AQ380" s="99">
        <v>0</v>
      </c>
      <c r="AR380" s="99">
        <f t="shared" si="5"/>
        <v>97589.115086013713</v>
      </c>
    </row>
    <row r="381" spans="1:44" ht="15" x14ac:dyDescent="0.25">
      <c r="A381" s="258">
        <v>374</v>
      </c>
      <c r="B381" s="258" t="s">
        <v>310</v>
      </c>
      <c r="C381" s="258" t="s">
        <v>1740</v>
      </c>
      <c r="D381" s="859" t="s">
        <v>1741</v>
      </c>
      <c r="E381" s="99">
        <v>0</v>
      </c>
      <c r="F381" s="99">
        <v>0</v>
      </c>
      <c r="G381" s="99">
        <v>0</v>
      </c>
      <c r="H381" s="99">
        <v>0</v>
      </c>
      <c r="I381" s="99">
        <v>0</v>
      </c>
      <c r="J381" s="99">
        <v>0</v>
      </c>
      <c r="K381" s="99">
        <v>0</v>
      </c>
      <c r="L381" s="99">
        <v>0</v>
      </c>
      <c r="M381" s="99">
        <v>0</v>
      </c>
      <c r="N381" s="99">
        <v>0</v>
      </c>
      <c r="O381" s="99">
        <v>0</v>
      </c>
      <c r="P381" s="99">
        <v>0</v>
      </c>
      <c r="Q381" s="99">
        <v>0</v>
      </c>
      <c r="R381" s="99">
        <v>0</v>
      </c>
      <c r="S381" s="99">
        <v>0</v>
      </c>
      <c r="T381" s="99">
        <v>0</v>
      </c>
      <c r="U381" s="99">
        <v>0</v>
      </c>
      <c r="V381" s="99">
        <v>0</v>
      </c>
      <c r="W381" s="99">
        <v>0</v>
      </c>
      <c r="X381" s="99">
        <v>0</v>
      </c>
      <c r="Y381" s="99">
        <v>0</v>
      </c>
      <c r="Z381" s="99">
        <v>0</v>
      </c>
      <c r="AA381" s="99">
        <v>0</v>
      </c>
      <c r="AB381" s="99">
        <v>0</v>
      </c>
      <c r="AC381" s="99">
        <v>0</v>
      </c>
      <c r="AD381" s="99">
        <v>0</v>
      </c>
      <c r="AE381" s="99">
        <v>0</v>
      </c>
      <c r="AF381" s="99">
        <v>0</v>
      </c>
      <c r="AG381" s="99">
        <v>0</v>
      </c>
      <c r="AH381" s="99">
        <v>0</v>
      </c>
      <c r="AI381" s="99">
        <v>0</v>
      </c>
      <c r="AJ381" s="99">
        <v>0</v>
      </c>
      <c r="AK381" s="99">
        <v>0</v>
      </c>
      <c r="AL381" s="99">
        <v>0</v>
      </c>
      <c r="AM381" s="99">
        <v>13117.501089770923</v>
      </c>
      <c r="AN381" s="99">
        <v>0</v>
      </c>
      <c r="AO381" s="99">
        <v>5915.5814754198773</v>
      </c>
      <c r="AP381" s="99">
        <v>0</v>
      </c>
      <c r="AQ381" s="99">
        <v>0</v>
      </c>
      <c r="AR381" s="99">
        <f t="shared" si="5"/>
        <v>19033.082565190802</v>
      </c>
    </row>
    <row r="382" spans="1:44" ht="15" x14ac:dyDescent="0.25">
      <c r="A382" s="258">
        <v>375</v>
      </c>
      <c r="B382" s="258" t="s">
        <v>310</v>
      </c>
      <c r="C382" s="258" t="s">
        <v>1740</v>
      </c>
      <c r="D382" s="859" t="s">
        <v>1742</v>
      </c>
      <c r="E382" s="99">
        <v>0</v>
      </c>
      <c r="F382" s="99">
        <v>0</v>
      </c>
      <c r="G382" s="99">
        <v>0</v>
      </c>
      <c r="H382" s="99">
        <v>0</v>
      </c>
      <c r="I382" s="99">
        <v>0</v>
      </c>
      <c r="J382" s="99">
        <v>0</v>
      </c>
      <c r="K382" s="99">
        <v>0</v>
      </c>
      <c r="L382" s="99">
        <v>0</v>
      </c>
      <c r="M382" s="99">
        <v>0</v>
      </c>
      <c r="N382" s="99">
        <v>4613.6796577801033</v>
      </c>
      <c r="O382" s="99">
        <v>0</v>
      </c>
      <c r="P382" s="99">
        <v>0</v>
      </c>
      <c r="Q382" s="99">
        <v>0</v>
      </c>
      <c r="R382" s="99">
        <v>53011.360885565198</v>
      </c>
      <c r="S382" s="99">
        <v>0</v>
      </c>
      <c r="T382" s="99">
        <v>0</v>
      </c>
      <c r="U382" s="99">
        <v>0</v>
      </c>
      <c r="V382" s="99">
        <v>0</v>
      </c>
      <c r="W382" s="99">
        <v>0</v>
      </c>
      <c r="X382" s="99">
        <v>0</v>
      </c>
      <c r="Y382" s="99">
        <v>0</v>
      </c>
      <c r="Z382" s="99">
        <v>972.37778801707236</v>
      </c>
      <c r="AA382" s="99">
        <v>0</v>
      </c>
      <c r="AB382" s="99">
        <v>0</v>
      </c>
      <c r="AC382" s="99">
        <v>0</v>
      </c>
      <c r="AD382" s="99">
        <v>0</v>
      </c>
      <c r="AE382" s="99">
        <v>112.75216378772626</v>
      </c>
      <c r="AF382" s="99">
        <v>0</v>
      </c>
      <c r="AG382" s="99">
        <v>0</v>
      </c>
      <c r="AH382" s="99">
        <v>0</v>
      </c>
      <c r="AI382" s="99">
        <v>0</v>
      </c>
      <c r="AJ382" s="99">
        <v>0</v>
      </c>
      <c r="AK382" s="99">
        <v>0</v>
      </c>
      <c r="AL382" s="99">
        <v>0</v>
      </c>
      <c r="AM382" s="99">
        <v>33914.288751382031</v>
      </c>
      <c r="AN382" s="99">
        <v>0</v>
      </c>
      <c r="AO382" s="99">
        <v>38229.374161366068</v>
      </c>
      <c r="AP382" s="99">
        <v>0</v>
      </c>
      <c r="AQ382" s="99">
        <v>0</v>
      </c>
      <c r="AR382" s="99">
        <f t="shared" si="5"/>
        <v>130853.8334078982</v>
      </c>
    </row>
    <row r="383" spans="1:44" ht="15" x14ac:dyDescent="0.25">
      <c r="A383" s="258">
        <v>376</v>
      </c>
      <c r="B383" s="258" t="s">
        <v>310</v>
      </c>
      <c r="C383" s="258" t="s">
        <v>1740</v>
      </c>
      <c r="D383" s="859" t="s">
        <v>1743</v>
      </c>
      <c r="E383" s="99">
        <v>0</v>
      </c>
      <c r="F383" s="99">
        <v>0</v>
      </c>
      <c r="G383" s="99">
        <v>0</v>
      </c>
      <c r="H383" s="99">
        <v>0</v>
      </c>
      <c r="I383" s="99">
        <v>0</v>
      </c>
      <c r="J383" s="99">
        <v>0</v>
      </c>
      <c r="K383" s="99">
        <v>0</v>
      </c>
      <c r="L383" s="99">
        <v>0</v>
      </c>
      <c r="M383" s="99">
        <v>0</v>
      </c>
      <c r="N383" s="99">
        <v>0</v>
      </c>
      <c r="O383" s="99">
        <v>0</v>
      </c>
      <c r="P383" s="99">
        <v>0</v>
      </c>
      <c r="Q383" s="99">
        <v>0</v>
      </c>
      <c r="R383" s="99">
        <v>0</v>
      </c>
      <c r="S383" s="99">
        <v>0</v>
      </c>
      <c r="T383" s="99">
        <v>0</v>
      </c>
      <c r="U383" s="99">
        <v>0</v>
      </c>
      <c r="V383" s="99">
        <v>0</v>
      </c>
      <c r="W383" s="99">
        <v>0</v>
      </c>
      <c r="X383" s="99">
        <v>0</v>
      </c>
      <c r="Y383" s="99">
        <v>0</v>
      </c>
      <c r="Z383" s="99">
        <v>0</v>
      </c>
      <c r="AA383" s="99">
        <v>0</v>
      </c>
      <c r="AB383" s="99">
        <v>0</v>
      </c>
      <c r="AC383" s="99">
        <v>0</v>
      </c>
      <c r="AD383" s="99">
        <v>0</v>
      </c>
      <c r="AE383" s="99">
        <v>0</v>
      </c>
      <c r="AF383" s="99">
        <v>0</v>
      </c>
      <c r="AG383" s="99">
        <v>0</v>
      </c>
      <c r="AH383" s="99">
        <v>0</v>
      </c>
      <c r="AI383" s="99">
        <v>0</v>
      </c>
      <c r="AJ383" s="99">
        <v>0</v>
      </c>
      <c r="AK383" s="99">
        <v>0</v>
      </c>
      <c r="AL383" s="99">
        <v>0</v>
      </c>
      <c r="AM383" s="99">
        <v>15552.513917774162</v>
      </c>
      <c r="AN383" s="99">
        <v>0</v>
      </c>
      <c r="AO383" s="99">
        <v>1809.5723904129866</v>
      </c>
      <c r="AP383" s="99">
        <v>0</v>
      </c>
      <c r="AQ383" s="99">
        <v>0</v>
      </c>
      <c r="AR383" s="99">
        <f t="shared" si="5"/>
        <v>17362.08630818715</v>
      </c>
    </row>
    <row r="384" spans="1:44" ht="15" x14ac:dyDescent="0.25">
      <c r="A384" s="258">
        <v>377</v>
      </c>
      <c r="B384" s="258" t="s">
        <v>290</v>
      </c>
      <c r="C384" s="258" t="s">
        <v>1744</v>
      </c>
      <c r="D384" s="859" t="s">
        <v>1745</v>
      </c>
      <c r="E384" s="99">
        <v>0.63195867160551222</v>
      </c>
      <c r="F384" s="99">
        <v>0</v>
      </c>
      <c r="G384" s="99">
        <v>0</v>
      </c>
      <c r="H384" s="99">
        <v>0</v>
      </c>
      <c r="I384" s="99">
        <v>0</v>
      </c>
      <c r="J384" s="99">
        <v>0</v>
      </c>
      <c r="K384" s="99">
        <v>0</v>
      </c>
      <c r="L384" s="99">
        <v>0</v>
      </c>
      <c r="M384" s="99">
        <v>0</v>
      </c>
      <c r="N384" s="99">
        <v>0</v>
      </c>
      <c r="O384" s="99">
        <v>0</v>
      </c>
      <c r="P384" s="99">
        <v>295.90684289590536</v>
      </c>
      <c r="Q384" s="99">
        <v>0</v>
      </c>
      <c r="R384" s="99">
        <v>0</v>
      </c>
      <c r="S384" s="99">
        <v>0</v>
      </c>
      <c r="T384" s="99">
        <v>0</v>
      </c>
      <c r="U384" s="99">
        <v>0</v>
      </c>
      <c r="V384" s="99">
        <v>16746.682785075522</v>
      </c>
      <c r="W384" s="99">
        <v>0</v>
      </c>
      <c r="X384" s="99">
        <v>0</v>
      </c>
      <c r="Y384" s="99">
        <v>0</v>
      </c>
      <c r="Z384" s="99">
        <v>0</v>
      </c>
      <c r="AA384" s="99">
        <v>0</v>
      </c>
      <c r="AB384" s="99">
        <v>0</v>
      </c>
      <c r="AC384" s="99">
        <v>0</v>
      </c>
      <c r="AD384" s="99">
        <v>0</v>
      </c>
      <c r="AE384" s="99">
        <v>0</v>
      </c>
      <c r="AF384" s="99">
        <v>0</v>
      </c>
      <c r="AG384" s="99">
        <v>0</v>
      </c>
      <c r="AH384" s="99">
        <v>0</v>
      </c>
      <c r="AI384" s="99">
        <v>0</v>
      </c>
      <c r="AJ384" s="99">
        <v>0</v>
      </c>
      <c r="AK384" s="99">
        <v>0</v>
      </c>
      <c r="AL384" s="99">
        <v>0</v>
      </c>
      <c r="AM384" s="99">
        <v>0</v>
      </c>
      <c r="AN384" s="99">
        <v>0</v>
      </c>
      <c r="AO384" s="99">
        <v>0</v>
      </c>
      <c r="AP384" s="99">
        <v>0</v>
      </c>
      <c r="AQ384" s="99">
        <v>0</v>
      </c>
      <c r="AR384" s="99">
        <f t="shared" si="5"/>
        <v>17043.221586643034</v>
      </c>
    </row>
    <row r="385" spans="1:44" ht="15" x14ac:dyDescent="0.25">
      <c r="A385" s="258">
        <v>378</v>
      </c>
      <c r="B385" s="258" t="s">
        <v>290</v>
      </c>
      <c r="C385" s="258" t="s">
        <v>1744</v>
      </c>
      <c r="D385" s="859" t="s">
        <v>1746</v>
      </c>
      <c r="E385" s="99">
        <v>0</v>
      </c>
      <c r="F385" s="99">
        <v>0</v>
      </c>
      <c r="G385" s="99">
        <v>0</v>
      </c>
      <c r="H385" s="99">
        <v>0</v>
      </c>
      <c r="I385" s="99">
        <v>0</v>
      </c>
      <c r="J385" s="99">
        <v>0</v>
      </c>
      <c r="K385" s="99">
        <v>0</v>
      </c>
      <c r="L385" s="99">
        <v>0</v>
      </c>
      <c r="M385" s="99">
        <v>0</v>
      </c>
      <c r="N385" s="99">
        <v>0</v>
      </c>
      <c r="O385" s="99">
        <v>0</v>
      </c>
      <c r="P385" s="99">
        <v>13395.475157249255</v>
      </c>
      <c r="Q385" s="99">
        <v>0</v>
      </c>
      <c r="R385" s="99">
        <v>0</v>
      </c>
      <c r="S385" s="99">
        <v>0</v>
      </c>
      <c r="T385" s="99">
        <v>0</v>
      </c>
      <c r="U385" s="99">
        <v>0</v>
      </c>
      <c r="V385" s="99">
        <v>2647.8273782884967</v>
      </c>
      <c r="W385" s="99">
        <v>0</v>
      </c>
      <c r="X385" s="99">
        <v>0</v>
      </c>
      <c r="Y385" s="99">
        <v>0</v>
      </c>
      <c r="Z385" s="99">
        <v>0</v>
      </c>
      <c r="AA385" s="99">
        <v>0</v>
      </c>
      <c r="AB385" s="99">
        <v>0</v>
      </c>
      <c r="AC385" s="99">
        <v>0</v>
      </c>
      <c r="AD385" s="99">
        <v>0</v>
      </c>
      <c r="AE385" s="99">
        <v>261.88889106723656</v>
      </c>
      <c r="AF385" s="99">
        <v>0</v>
      </c>
      <c r="AG385" s="99">
        <v>0</v>
      </c>
      <c r="AH385" s="99">
        <v>0</v>
      </c>
      <c r="AI385" s="99">
        <v>0</v>
      </c>
      <c r="AJ385" s="99">
        <v>0</v>
      </c>
      <c r="AK385" s="99">
        <v>0</v>
      </c>
      <c r="AL385" s="99">
        <v>0</v>
      </c>
      <c r="AM385" s="99">
        <v>0</v>
      </c>
      <c r="AN385" s="99">
        <v>0</v>
      </c>
      <c r="AO385" s="99">
        <v>0</v>
      </c>
      <c r="AP385" s="99">
        <v>0</v>
      </c>
      <c r="AQ385" s="99">
        <v>0</v>
      </c>
      <c r="AR385" s="99">
        <f t="shared" si="5"/>
        <v>16305.191426604988</v>
      </c>
    </row>
    <row r="386" spans="1:44" ht="15" x14ac:dyDescent="0.25">
      <c r="A386" s="258">
        <v>379</v>
      </c>
      <c r="B386" s="258" t="s">
        <v>290</v>
      </c>
      <c r="C386" s="258" t="s">
        <v>1744</v>
      </c>
      <c r="D386" s="859" t="s">
        <v>1747</v>
      </c>
      <c r="E386" s="99">
        <v>0</v>
      </c>
      <c r="F386" s="99">
        <v>0</v>
      </c>
      <c r="G386" s="99">
        <v>0</v>
      </c>
      <c r="H386" s="99">
        <v>0</v>
      </c>
      <c r="I386" s="99">
        <v>0</v>
      </c>
      <c r="J386" s="99">
        <v>0</v>
      </c>
      <c r="K386" s="99">
        <v>0</v>
      </c>
      <c r="L386" s="99">
        <v>0</v>
      </c>
      <c r="M386" s="99">
        <v>0</v>
      </c>
      <c r="N386" s="99">
        <v>0</v>
      </c>
      <c r="O386" s="99">
        <v>0</v>
      </c>
      <c r="P386" s="99">
        <v>1187.610732930297</v>
      </c>
      <c r="Q386" s="99">
        <v>0</v>
      </c>
      <c r="R386" s="99">
        <v>0</v>
      </c>
      <c r="S386" s="99">
        <v>0</v>
      </c>
      <c r="T386" s="99">
        <v>0</v>
      </c>
      <c r="U386" s="99">
        <v>0</v>
      </c>
      <c r="V386" s="99">
        <v>0.79236729524842786</v>
      </c>
      <c r="W386" s="99">
        <v>0</v>
      </c>
      <c r="X386" s="99">
        <v>0</v>
      </c>
      <c r="Y386" s="99">
        <v>0</v>
      </c>
      <c r="Z386" s="99">
        <v>0</v>
      </c>
      <c r="AA386" s="99">
        <v>0</v>
      </c>
      <c r="AB386" s="99">
        <v>0</v>
      </c>
      <c r="AC386" s="99">
        <v>0</v>
      </c>
      <c r="AD386" s="99">
        <v>0</v>
      </c>
      <c r="AE386" s="99">
        <v>879.42689450746082</v>
      </c>
      <c r="AF386" s="99">
        <v>0</v>
      </c>
      <c r="AG386" s="99">
        <v>0</v>
      </c>
      <c r="AH386" s="99">
        <v>0</v>
      </c>
      <c r="AI386" s="99">
        <v>0</v>
      </c>
      <c r="AJ386" s="99">
        <v>0</v>
      </c>
      <c r="AK386" s="99">
        <v>0</v>
      </c>
      <c r="AL386" s="99">
        <v>0</v>
      </c>
      <c r="AM386" s="99">
        <v>0</v>
      </c>
      <c r="AN386" s="99">
        <v>0</v>
      </c>
      <c r="AO386" s="99">
        <v>0</v>
      </c>
      <c r="AP386" s="99">
        <v>0</v>
      </c>
      <c r="AQ386" s="99">
        <v>0</v>
      </c>
      <c r="AR386" s="99">
        <f t="shared" si="5"/>
        <v>2067.8299947330061</v>
      </c>
    </row>
    <row r="387" spans="1:44" ht="15" x14ac:dyDescent="0.25">
      <c r="A387" s="258">
        <v>380</v>
      </c>
      <c r="B387" s="258" t="s">
        <v>290</v>
      </c>
      <c r="C387" s="258" t="s">
        <v>1744</v>
      </c>
      <c r="D387" s="859" t="s">
        <v>1748</v>
      </c>
      <c r="E387" s="99">
        <v>0</v>
      </c>
      <c r="F387" s="99">
        <v>0</v>
      </c>
      <c r="G387" s="99">
        <v>0</v>
      </c>
      <c r="H387" s="99">
        <v>0</v>
      </c>
      <c r="I387" s="99">
        <v>0</v>
      </c>
      <c r="J387" s="99">
        <v>0</v>
      </c>
      <c r="K387" s="99">
        <v>0</v>
      </c>
      <c r="L387" s="99">
        <v>0</v>
      </c>
      <c r="M387" s="99">
        <v>0</v>
      </c>
      <c r="N387" s="99">
        <v>9747.0260257124392</v>
      </c>
      <c r="O387" s="99">
        <v>0</v>
      </c>
      <c r="P387" s="99">
        <v>5246.0868935718308</v>
      </c>
      <c r="Q387" s="99">
        <v>0</v>
      </c>
      <c r="R387" s="99">
        <v>0</v>
      </c>
      <c r="S387" s="99">
        <v>0</v>
      </c>
      <c r="T387" s="99">
        <v>3035.4775115832185</v>
      </c>
      <c r="U387" s="99">
        <v>0</v>
      </c>
      <c r="V387" s="99">
        <v>136.55129721447906</v>
      </c>
      <c r="W387" s="99">
        <v>0</v>
      </c>
      <c r="X387" s="99">
        <v>0</v>
      </c>
      <c r="Y387" s="99">
        <v>0</v>
      </c>
      <c r="Z387" s="99">
        <v>0</v>
      </c>
      <c r="AA387" s="99">
        <v>0</v>
      </c>
      <c r="AB387" s="99">
        <v>0</v>
      </c>
      <c r="AC387" s="99">
        <v>0</v>
      </c>
      <c r="AD387" s="99">
        <v>0</v>
      </c>
      <c r="AE387" s="99">
        <v>9904.9977074941235</v>
      </c>
      <c r="AF387" s="99">
        <v>0</v>
      </c>
      <c r="AG387" s="99">
        <v>0</v>
      </c>
      <c r="AH387" s="99">
        <v>0</v>
      </c>
      <c r="AI387" s="99">
        <v>0</v>
      </c>
      <c r="AJ387" s="99">
        <v>0</v>
      </c>
      <c r="AK387" s="99">
        <v>0</v>
      </c>
      <c r="AL387" s="99">
        <v>0</v>
      </c>
      <c r="AM387" s="99">
        <v>0</v>
      </c>
      <c r="AN387" s="99">
        <v>0</v>
      </c>
      <c r="AO387" s="99">
        <v>0</v>
      </c>
      <c r="AP387" s="99">
        <v>0</v>
      </c>
      <c r="AQ387" s="99">
        <v>0</v>
      </c>
      <c r="AR387" s="99">
        <f t="shared" si="5"/>
        <v>28070.139435576093</v>
      </c>
    </row>
    <row r="388" spans="1:44" ht="15" x14ac:dyDescent="0.25">
      <c r="A388" s="258">
        <v>381</v>
      </c>
      <c r="B388" s="258" t="s">
        <v>290</v>
      </c>
      <c r="C388" s="258" t="s">
        <v>1744</v>
      </c>
      <c r="D388" s="859" t="s">
        <v>1749</v>
      </c>
      <c r="E388" s="99">
        <v>0</v>
      </c>
      <c r="F388" s="99">
        <v>0</v>
      </c>
      <c r="G388" s="99">
        <v>0</v>
      </c>
      <c r="H388" s="99">
        <v>0</v>
      </c>
      <c r="I388" s="99">
        <v>0</v>
      </c>
      <c r="J388" s="99">
        <v>0</v>
      </c>
      <c r="K388" s="99">
        <v>0</v>
      </c>
      <c r="L388" s="99">
        <v>0</v>
      </c>
      <c r="M388" s="99">
        <v>0</v>
      </c>
      <c r="N388" s="99">
        <v>14784.056948299098</v>
      </c>
      <c r="O388" s="99">
        <v>0</v>
      </c>
      <c r="P388" s="99">
        <v>130.88187281934276</v>
      </c>
      <c r="Q388" s="99">
        <v>0</v>
      </c>
      <c r="R388" s="99">
        <v>0</v>
      </c>
      <c r="S388" s="99">
        <v>0</v>
      </c>
      <c r="T388" s="99">
        <v>13960.347193525577</v>
      </c>
      <c r="U388" s="99">
        <v>0</v>
      </c>
      <c r="V388" s="99">
        <v>0</v>
      </c>
      <c r="W388" s="99">
        <v>0</v>
      </c>
      <c r="X388" s="99">
        <v>0</v>
      </c>
      <c r="Y388" s="99">
        <v>0</v>
      </c>
      <c r="Z388" s="99">
        <v>0</v>
      </c>
      <c r="AA388" s="99">
        <v>0</v>
      </c>
      <c r="AB388" s="99">
        <v>0</v>
      </c>
      <c r="AC388" s="99">
        <v>0</v>
      </c>
      <c r="AD388" s="99">
        <v>0</v>
      </c>
      <c r="AE388" s="99">
        <v>3728.8180123557986</v>
      </c>
      <c r="AF388" s="99">
        <v>0</v>
      </c>
      <c r="AG388" s="99">
        <v>0</v>
      </c>
      <c r="AH388" s="99">
        <v>0</v>
      </c>
      <c r="AI388" s="99">
        <v>0</v>
      </c>
      <c r="AJ388" s="99">
        <v>0</v>
      </c>
      <c r="AK388" s="99">
        <v>0</v>
      </c>
      <c r="AL388" s="99">
        <v>0</v>
      </c>
      <c r="AM388" s="99">
        <v>0</v>
      </c>
      <c r="AN388" s="99">
        <v>0</v>
      </c>
      <c r="AO388" s="99">
        <v>0</v>
      </c>
      <c r="AP388" s="99">
        <v>0</v>
      </c>
      <c r="AQ388" s="99">
        <v>0</v>
      </c>
      <c r="AR388" s="99">
        <f t="shared" si="5"/>
        <v>32604.104026999812</v>
      </c>
    </row>
    <row r="389" spans="1:44" ht="15" x14ac:dyDescent="0.25">
      <c r="A389" s="258">
        <v>382</v>
      </c>
      <c r="B389" s="258" t="s">
        <v>290</v>
      </c>
      <c r="C389" s="258" t="s">
        <v>1744</v>
      </c>
      <c r="D389" s="859" t="s">
        <v>1750</v>
      </c>
      <c r="E389" s="99">
        <v>0</v>
      </c>
      <c r="F389" s="99">
        <v>0</v>
      </c>
      <c r="G389" s="99">
        <v>0</v>
      </c>
      <c r="H389" s="99">
        <v>0</v>
      </c>
      <c r="I389" s="99">
        <v>0</v>
      </c>
      <c r="J389" s="99">
        <v>0</v>
      </c>
      <c r="K389" s="99">
        <v>0</v>
      </c>
      <c r="L389" s="99">
        <v>0</v>
      </c>
      <c r="M389" s="99">
        <v>0</v>
      </c>
      <c r="N389" s="99">
        <v>13136.019617736954</v>
      </c>
      <c r="O389" s="99">
        <v>0</v>
      </c>
      <c r="P389" s="99">
        <v>367.60734713606701</v>
      </c>
      <c r="Q389" s="99">
        <v>0</v>
      </c>
      <c r="R389" s="99">
        <v>0</v>
      </c>
      <c r="S389" s="99">
        <v>0</v>
      </c>
      <c r="T389" s="99">
        <v>24159.842630888485</v>
      </c>
      <c r="U389" s="99">
        <v>0</v>
      </c>
      <c r="V389" s="99">
        <v>0</v>
      </c>
      <c r="W389" s="99">
        <v>0</v>
      </c>
      <c r="X389" s="99">
        <v>0</v>
      </c>
      <c r="Y389" s="99">
        <v>0</v>
      </c>
      <c r="Z389" s="99">
        <v>0</v>
      </c>
      <c r="AA389" s="99">
        <v>0</v>
      </c>
      <c r="AB389" s="99">
        <v>0</v>
      </c>
      <c r="AC389" s="99">
        <v>0</v>
      </c>
      <c r="AD389" s="99">
        <v>0</v>
      </c>
      <c r="AE389" s="99">
        <v>2863.5850959138138</v>
      </c>
      <c r="AF389" s="99">
        <v>0</v>
      </c>
      <c r="AG389" s="99">
        <v>0</v>
      </c>
      <c r="AH389" s="99">
        <v>0</v>
      </c>
      <c r="AI389" s="99">
        <v>0</v>
      </c>
      <c r="AJ389" s="99">
        <v>0</v>
      </c>
      <c r="AK389" s="99">
        <v>0</v>
      </c>
      <c r="AL389" s="99">
        <v>0</v>
      </c>
      <c r="AM389" s="99">
        <v>0</v>
      </c>
      <c r="AN389" s="99">
        <v>0</v>
      </c>
      <c r="AO389" s="99">
        <v>0</v>
      </c>
      <c r="AP389" s="99">
        <v>0</v>
      </c>
      <c r="AQ389" s="99">
        <v>0</v>
      </c>
      <c r="AR389" s="99">
        <f t="shared" si="5"/>
        <v>40527.054691675316</v>
      </c>
    </row>
    <row r="390" spans="1:44" ht="15" x14ac:dyDescent="0.25">
      <c r="A390" s="258">
        <v>383</v>
      </c>
      <c r="B390" s="258" t="s">
        <v>290</v>
      </c>
      <c r="C390" s="258" t="s">
        <v>1744</v>
      </c>
      <c r="D390" s="859" t="s">
        <v>1751</v>
      </c>
      <c r="E390" s="99">
        <v>0</v>
      </c>
      <c r="F390" s="99">
        <v>0</v>
      </c>
      <c r="G390" s="99">
        <v>0</v>
      </c>
      <c r="H390" s="99">
        <v>0</v>
      </c>
      <c r="I390" s="99">
        <v>0</v>
      </c>
      <c r="J390" s="99">
        <v>0</v>
      </c>
      <c r="K390" s="99">
        <v>0</v>
      </c>
      <c r="L390" s="99">
        <v>0</v>
      </c>
      <c r="M390" s="99">
        <v>0</v>
      </c>
      <c r="N390" s="99">
        <v>22155.22111942666</v>
      </c>
      <c r="O390" s="99">
        <v>0</v>
      </c>
      <c r="P390" s="99">
        <v>1033.9667952728078</v>
      </c>
      <c r="Q390" s="99">
        <v>0</v>
      </c>
      <c r="R390" s="99">
        <v>1360.6677812831281</v>
      </c>
      <c r="S390" s="99">
        <v>0</v>
      </c>
      <c r="T390" s="99">
        <v>58347.309743570891</v>
      </c>
      <c r="U390" s="99">
        <v>0</v>
      </c>
      <c r="V390" s="99">
        <v>0</v>
      </c>
      <c r="W390" s="99">
        <v>0</v>
      </c>
      <c r="X390" s="99">
        <v>0</v>
      </c>
      <c r="Y390" s="99">
        <v>0</v>
      </c>
      <c r="Z390" s="99">
        <v>0</v>
      </c>
      <c r="AA390" s="99">
        <v>0</v>
      </c>
      <c r="AB390" s="99">
        <v>0</v>
      </c>
      <c r="AC390" s="99">
        <v>0</v>
      </c>
      <c r="AD390" s="99">
        <v>0</v>
      </c>
      <c r="AE390" s="99">
        <v>6223.1597633832107</v>
      </c>
      <c r="AF390" s="99">
        <v>0</v>
      </c>
      <c r="AG390" s="99">
        <v>0</v>
      </c>
      <c r="AH390" s="99">
        <v>0</v>
      </c>
      <c r="AI390" s="99">
        <v>0</v>
      </c>
      <c r="AJ390" s="99">
        <v>0</v>
      </c>
      <c r="AK390" s="99">
        <v>0</v>
      </c>
      <c r="AL390" s="99">
        <v>0</v>
      </c>
      <c r="AM390" s="99">
        <v>0</v>
      </c>
      <c r="AN390" s="99">
        <v>0</v>
      </c>
      <c r="AO390" s="99">
        <v>0</v>
      </c>
      <c r="AP390" s="99">
        <v>0</v>
      </c>
      <c r="AQ390" s="99">
        <v>0</v>
      </c>
      <c r="AR390" s="99">
        <f t="shared" si="5"/>
        <v>89120.325202936699</v>
      </c>
    </row>
    <row r="391" spans="1:44" ht="15" x14ac:dyDescent="0.25">
      <c r="A391" s="258">
        <v>384</v>
      </c>
      <c r="B391" s="258" t="s">
        <v>290</v>
      </c>
      <c r="C391" s="258" t="s">
        <v>1744</v>
      </c>
      <c r="D391" s="859" t="s">
        <v>1752</v>
      </c>
      <c r="E391" s="99">
        <v>0</v>
      </c>
      <c r="F391" s="99">
        <v>0</v>
      </c>
      <c r="G391" s="99">
        <v>0</v>
      </c>
      <c r="H391" s="99">
        <v>0</v>
      </c>
      <c r="I391" s="99">
        <v>0</v>
      </c>
      <c r="J391" s="99">
        <v>0</v>
      </c>
      <c r="K391" s="99">
        <v>0</v>
      </c>
      <c r="L391" s="99">
        <v>0</v>
      </c>
      <c r="M391" s="99">
        <v>0</v>
      </c>
      <c r="N391" s="99">
        <v>19194.673563876859</v>
      </c>
      <c r="O391" s="99">
        <v>0</v>
      </c>
      <c r="P391" s="99">
        <v>0</v>
      </c>
      <c r="Q391" s="99">
        <v>0</v>
      </c>
      <c r="R391" s="99">
        <v>16003.632157293645</v>
      </c>
      <c r="S391" s="99">
        <v>0</v>
      </c>
      <c r="T391" s="99">
        <v>0</v>
      </c>
      <c r="U391" s="99">
        <v>0</v>
      </c>
      <c r="V391" s="99">
        <v>0</v>
      </c>
      <c r="W391" s="99">
        <v>0</v>
      </c>
      <c r="X391" s="99">
        <v>0</v>
      </c>
      <c r="Y391" s="99">
        <v>0</v>
      </c>
      <c r="Z391" s="99">
        <v>0</v>
      </c>
      <c r="AA391" s="99">
        <v>0</v>
      </c>
      <c r="AB391" s="99">
        <v>0</v>
      </c>
      <c r="AC391" s="99">
        <v>0</v>
      </c>
      <c r="AD391" s="99">
        <v>0</v>
      </c>
      <c r="AE391" s="99">
        <v>0</v>
      </c>
      <c r="AF391" s="99">
        <v>0</v>
      </c>
      <c r="AG391" s="99">
        <v>0</v>
      </c>
      <c r="AH391" s="99">
        <v>0</v>
      </c>
      <c r="AI391" s="99">
        <v>0</v>
      </c>
      <c r="AJ391" s="99">
        <v>0</v>
      </c>
      <c r="AK391" s="99">
        <v>0</v>
      </c>
      <c r="AL391" s="99">
        <v>0</v>
      </c>
      <c r="AM391" s="99">
        <v>0</v>
      </c>
      <c r="AN391" s="99">
        <v>0</v>
      </c>
      <c r="AO391" s="99">
        <v>0</v>
      </c>
      <c r="AP391" s="99">
        <v>0</v>
      </c>
      <c r="AQ391" s="99">
        <v>0</v>
      </c>
      <c r="AR391" s="99">
        <f t="shared" si="5"/>
        <v>35198.305721170502</v>
      </c>
    </row>
    <row r="392" spans="1:44" ht="15" x14ac:dyDescent="0.25">
      <c r="A392" s="258">
        <v>385</v>
      </c>
      <c r="B392" s="258" t="s">
        <v>290</v>
      </c>
      <c r="C392" s="258" t="s">
        <v>1744</v>
      </c>
      <c r="D392" s="859" t="s">
        <v>1753</v>
      </c>
      <c r="E392" s="99">
        <v>0</v>
      </c>
      <c r="F392" s="99">
        <v>0</v>
      </c>
      <c r="G392" s="99">
        <v>0</v>
      </c>
      <c r="H392" s="99">
        <v>0</v>
      </c>
      <c r="I392" s="99">
        <v>0</v>
      </c>
      <c r="J392" s="99">
        <v>0</v>
      </c>
      <c r="K392" s="99">
        <v>0</v>
      </c>
      <c r="L392" s="99">
        <v>0</v>
      </c>
      <c r="M392" s="99">
        <v>0</v>
      </c>
      <c r="N392" s="99">
        <v>24306.185196088511</v>
      </c>
      <c r="O392" s="99">
        <v>0</v>
      </c>
      <c r="P392" s="99">
        <v>0</v>
      </c>
      <c r="Q392" s="99">
        <v>0</v>
      </c>
      <c r="R392" s="99">
        <v>26787.037816118896</v>
      </c>
      <c r="S392" s="99">
        <v>0</v>
      </c>
      <c r="T392" s="99">
        <v>23581.786348225291</v>
      </c>
      <c r="U392" s="99">
        <v>0</v>
      </c>
      <c r="V392" s="99">
        <v>0</v>
      </c>
      <c r="W392" s="99">
        <v>0</v>
      </c>
      <c r="X392" s="99">
        <v>0</v>
      </c>
      <c r="Y392" s="99">
        <v>0</v>
      </c>
      <c r="Z392" s="99">
        <v>36.751983791173501</v>
      </c>
      <c r="AA392" s="99">
        <v>0</v>
      </c>
      <c r="AB392" s="99">
        <v>0</v>
      </c>
      <c r="AC392" s="99">
        <v>0</v>
      </c>
      <c r="AD392" s="99">
        <v>0</v>
      </c>
      <c r="AE392" s="99">
        <v>0</v>
      </c>
      <c r="AF392" s="99">
        <v>0</v>
      </c>
      <c r="AG392" s="99">
        <v>0</v>
      </c>
      <c r="AH392" s="99">
        <v>0</v>
      </c>
      <c r="AI392" s="99">
        <v>0</v>
      </c>
      <c r="AJ392" s="99">
        <v>0</v>
      </c>
      <c r="AK392" s="99">
        <v>0</v>
      </c>
      <c r="AL392" s="99">
        <v>0</v>
      </c>
      <c r="AM392" s="99">
        <v>0</v>
      </c>
      <c r="AN392" s="99">
        <v>0</v>
      </c>
      <c r="AO392" s="99">
        <v>51.208945122262485</v>
      </c>
      <c r="AP392" s="99">
        <v>0</v>
      </c>
      <c r="AQ392" s="99">
        <v>0</v>
      </c>
      <c r="AR392" s="99">
        <f t="shared" si="5"/>
        <v>74762.970289346122</v>
      </c>
    </row>
    <row r="393" spans="1:44" ht="15" x14ac:dyDescent="0.25">
      <c r="A393" s="258">
        <v>386</v>
      </c>
      <c r="B393" s="258" t="s">
        <v>290</v>
      </c>
      <c r="C393" s="258" t="s">
        <v>1744</v>
      </c>
      <c r="D393" s="859" t="s">
        <v>1754</v>
      </c>
      <c r="E393" s="99">
        <v>0</v>
      </c>
      <c r="F393" s="99">
        <v>0</v>
      </c>
      <c r="G393" s="99">
        <v>0</v>
      </c>
      <c r="H393" s="99">
        <v>0</v>
      </c>
      <c r="I393" s="99">
        <v>0</v>
      </c>
      <c r="J393" s="99">
        <v>0</v>
      </c>
      <c r="K393" s="99">
        <v>0</v>
      </c>
      <c r="L393" s="99">
        <v>0</v>
      </c>
      <c r="M393" s="99">
        <v>0</v>
      </c>
      <c r="N393" s="99">
        <v>47675.660229759764</v>
      </c>
      <c r="O393" s="99">
        <v>0</v>
      </c>
      <c r="P393" s="99">
        <v>14.795342144795269</v>
      </c>
      <c r="Q393" s="99">
        <v>0</v>
      </c>
      <c r="R393" s="99">
        <v>23442.3207905171</v>
      </c>
      <c r="S393" s="99">
        <v>0</v>
      </c>
      <c r="T393" s="99">
        <v>50538.851515252172</v>
      </c>
      <c r="U393" s="99">
        <v>0</v>
      </c>
      <c r="V393" s="99">
        <v>0</v>
      </c>
      <c r="W393" s="99">
        <v>0</v>
      </c>
      <c r="X393" s="99">
        <v>0</v>
      </c>
      <c r="Y393" s="99">
        <v>0</v>
      </c>
      <c r="Z393" s="99">
        <v>1556.6457712996437</v>
      </c>
      <c r="AA393" s="99">
        <v>0</v>
      </c>
      <c r="AB393" s="99">
        <v>0</v>
      </c>
      <c r="AC393" s="99">
        <v>0</v>
      </c>
      <c r="AD393" s="99">
        <v>0</v>
      </c>
      <c r="AE393" s="99">
        <v>2596.4984100620368</v>
      </c>
      <c r="AF393" s="99">
        <v>0</v>
      </c>
      <c r="AG393" s="99">
        <v>0</v>
      </c>
      <c r="AH393" s="99">
        <v>0</v>
      </c>
      <c r="AI393" s="99">
        <v>0</v>
      </c>
      <c r="AJ393" s="99">
        <v>0</v>
      </c>
      <c r="AK393" s="99">
        <v>0</v>
      </c>
      <c r="AL393" s="99">
        <v>0</v>
      </c>
      <c r="AM393" s="99">
        <v>0</v>
      </c>
      <c r="AN393" s="99">
        <v>0</v>
      </c>
      <c r="AO393" s="99">
        <v>9459.2404778804412</v>
      </c>
      <c r="AP393" s="99">
        <v>0</v>
      </c>
      <c r="AQ393" s="99">
        <v>0</v>
      </c>
      <c r="AR393" s="99">
        <f t="shared" ref="AR393:AR456" si="6">SUM(E393:AQ393)</f>
        <v>135284.01253691595</v>
      </c>
    </row>
    <row r="394" spans="1:44" ht="15" x14ac:dyDescent="0.25">
      <c r="A394" s="258">
        <v>387</v>
      </c>
      <c r="B394" s="258" t="s">
        <v>290</v>
      </c>
      <c r="C394" s="258" t="s">
        <v>1744</v>
      </c>
      <c r="D394" s="859" t="s">
        <v>1755</v>
      </c>
      <c r="E394" s="99">
        <v>0</v>
      </c>
      <c r="F394" s="99">
        <v>0</v>
      </c>
      <c r="G394" s="99">
        <v>0</v>
      </c>
      <c r="H394" s="99">
        <v>0</v>
      </c>
      <c r="I394" s="99">
        <v>0</v>
      </c>
      <c r="J394" s="99">
        <v>0</v>
      </c>
      <c r="K394" s="99">
        <v>0</v>
      </c>
      <c r="L394" s="99">
        <v>0</v>
      </c>
      <c r="M394" s="99">
        <v>0</v>
      </c>
      <c r="N394" s="99">
        <v>8618.412797127854</v>
      </c>
      <c r="O394" s="99">
        <v>0</v>
      </c>
      <c r="P394" s="99">
        <v>0</v>
      </c>
      <c r="Q394" s="99">
        <v>0</v>
      </c>
      <c r="R394" s="99">
        <v>20203.460994487381</v>
      </c>
      <c r="S394" s="99">
        <v>0</v>
      </c>
      <c r="T394" s="99">
        <v>0</v>
      </c>
      <c r="U394" s="99">
        <v>0</v>
      </c>
      <c r="V394" s="99">
        <v>0</v>
      </c>
      <c r="W394" s="99">
        <v>0</v>
      </c>
      <c r="X394" s="99">
        <v>0</v>
      </c>
      <c r="Y394" s="99">
        <v>0</v>
      </c>
      <c r="Z394" s="99">
        <v>6237.6529598344705</v>
      </c>
      <c r="AA394" s="99">
        <v>0</v>
      </c>
      <c r="AB394" s="99">
        <v>0</v>
      </c>
      <c r="AC394" s="99">
        <v>0</v>
      </c>
      <c r="AD394" s="99">
        <v>0</v>
      </c>
      <c r="AE394" s="99">
        <v>0</v>
      </c>
      <c r="AF394" s="99">
        <v>0</v>
      </c>
      <c r="AG394" s="99">
        <v>0</v>
      </c>
      <c r="AH394" s="99">
        <v>0</v>
      </c>
      <c r="AI394" s="99">
        <v>0</v>
      </c>
      <c r="AJ394" s="99">
        <v>0</v>
      </c>
      <c r="AK394" s="99">
        <v>0</v>
      </c>
      <c r="AL394" s="99">
        <v>0</v>
      </c>
      <c r="AM394" s="99">
        <v>8329.2761959069776</v>
      </c>
      <c r="AN394" s="99">
        <v>0</v>
      </c>
      <c r="AO394" s="99">
        <v>23683.56813076726</v>
      </c>
      <c r="AP394" s="99">
        <v>0</v>
      </c>
      <c r="AQ394" s="99">
        <v>0</v>
      </c>
      <c r="AR394" s="99">
        <f t="shared" si="6"/>
        <v>67072.371078123935</v>
      </c>
    </row>
    <row r="395" spans="1:44" ht="15" x14ac:dyDescent="0.25">
      <c r="A395" s="258">
        <v>388</v>
      </c>
      <c r="B395" s="258" t="s">
        <v>290</v>
      </c>
      <c r="C395" s="258" t="s">
        <v>1744</v>
      </c>
      <c r="D395" s="859" t="s">
        <v>1756</v>
      </c>
      <c r="E395" s="99">
        <v>0</v>
      </c>
      <c r="F395" s="99">
        <v>0</v>
      </c>
      <c r="G395" s="99">
        <v>0</v>
      </c>
      <c r="H395" s="99">
        <v>0</v>
      </c>
      <c r="I395" s="99">
        <v>0</v>
      </c>
      <c r="J395" s="99">
        <v>0</v>
      </c>
      <c r="K395" s="99">
        <v>0</v>
      </c>
      <c r="L395" s="99">
        <v>0</v>
      </c>
      <c r="M395" s="99">
        <v>0</v>
      </c>
      <c r="N395" s="99">
        <v>0</v>
      </c>
      <c r="O395" s="99">
        <v>0</v>
      </c>
      <c r="P395" s="99">
        <v>0</v>
      </c>
      <c r="Q395" s="99">
        <v>0</v>
      </c>
      <c r="R395" s="99">
        <v>11105.723383175304</v>
      </c>
      <c r="S395" s="99">
        <v>0</v>
      </c>
      <c r="T395" s="99">
        <v>0</v>
      </c>
      <c r="U395" s="99">
        <v>0</v>
      </c>
      <c r="V395" s="99">
        <v>0</v>
      </c>
      <c r="W395" s="99">
        <v>0</v>
      </c>
      <c r="X395" s="99">
        <v>0</v>
      </c>
      <c r="Y395" s="99">
        <v>0</v>
      </c>
      <c r="Z395" s="99">
        <v>638.73176649117795</v>
      </c>
      <c r="AA395" s="99">
        <v>0</v>
      </c>
      <c r="AB395" s="99">
        <v>0</v>
      </c>
      <c r="AC395" s="99">
        <v>0</v>
      </c>
      <c r="AD395" s="99">
        <v>0</v>
      </c>
      <c r="AE395" s="99">
        <v>0</v>
      </c>
      <c r="AF395" s="99">
        <v>0</v>
      </c>
      <c r="AG395" s="99">
        <v>0</v>
      </c>
      <c r="AH395" s="99">
        <v>0</v>
      </c>
      <c r="AI395" s="99">
        <v>0</v>
      </c>
      <c r="AJ395" s="99">
        <v>0</v>
      </c>
      <c r="AK395" s="99">
        <v>0</v>
      </c>
      <c r="AL395" s="99">
        <v>0</v>
      </c>
      <c r="AM395" s="99">
        <v>28950.941099128453</v>
      </c>
      <c r="AN395" s="99">
        <v>0</v>
      </c>
      <c r="AO395" s="99">
        <v>29204.082077706869</v>
      </c>
      <c r="AP395" s="99">
        <v>0</v>
      </c>
      <c r="AQ395" s="99">
        <v>0</v>
      </c>
      <c r="AR395" s="99">
        <f t="shared" si="6"/>
        <v>69899.478326501805</v>
      </c>
    </row>
    <row r="396" spans="1:44" ht="15" x14ac:dyDescent="0.25">
      <c r="A396" s="258">
        <v>389</v>
      </c>
      <c r="B396" s="258" t="e">
        <v>#N/A</v>
      </c>
      <c r="C396" s="258" t="s">
        <v>1757</v>
      </c>
      <c r="D396" s="859" t="s">
        <v>1758</v>
      </c>
      <c r="E396" s="99">
        <v>0</v>
      </c>
      <c r="F396" s="99">
        <v>0</v>
      </c>
      <c r="G396" s="99">
        <v>0</v>
      </c>
      <c r="H396" s="99">
        <v>0</v>
      </c>
      <c r="I396" s="99">
        <v>0</v>
      </c>
      <c r="J396" s="99">
        <v>0</v>
      </c>
      <c r="K396" s="99">
        <v>0</v>
      </c>
      <c r="L396" s="99">
        <v>0</v>
      </c>
      <c r="M396" s="99">
        <v>0</v>
      </c>
      <c r="N396" s="99">
        <v>0</v>
      </c>
      <c r="O396" s="99">
        <v>0</v>
      </c>
      <c r="P396" s="99">
        <v>0</v>
      </c>
      <c r="Q396" s="99">
        <v>0</v>
      </c>
      <c r="R396" s="99">
        <v>0</v>
      </c>
      <c r="S396" s="99">
        <v>0</v>
      </c>
      <c r="T396" s="99">
        <v>0</v>
      </c>
      <c r="U396" s="99">
        <v>0</v>
      </c>
      <c r="V396" s="99">
        <v>0</v>
      </c>
      <c r="W396" s="99">
        <v>0</v>
      </c>
      <c r="X396" s="99">
        <v>0</v>
      </c>
      <c r="Y396" s="99">
        <v>0</v>
      </c>
      <c r="Z396" s="99">
        <v>0</v>
      </c>
      <c r="AA396" s="99">
        <v>0</v>
      </c>
      <c r="AB396" s="99">
        <v>0</v>
      </c>
      <c r="AC396" s="99">
        <v>0</v>
      </c>
      <c r="AD396" s="99">
        <v>0</v>
      </c>
      <c r="AE396" s="99">
        <v>0</v>
      </c>
      <c r="AF396" s="99">
        <v>0</v>
      </c>
      <c r="AG396" s="99">
        <v>0</v>
      </c>
      <c r="AH396" s="99">
        <v>0</v>
      </c>
      <c r="AI396" s="99">
        <v>0</v>
      </c>
      <c r="AJ396" s="99">
        <v>0</v>
      </c>
      <c r="AK396" s="99">
        <v>0</v>
      </c>
      <c r="AL396" s="99">
        <v>0</v>
      </c>
      <c r="AM396" s="99">
        <v>9.7930489888940198</v>
      </c>
      <c r="AN396" s="99">
        <v>0</v>
      </c>
      <c r="AO396" s="99">
        <v>0</v>
      </c>
      <c r="AP396" s="99">
        <v>0</v>
      </c>
      <c r="AQ396" s="99">
        <v>0</v>
      </c>
      <c r="AR396" s="99">
        <f t="shared" si="6"/>
        <v>9.7930489888940198</v>
      </c>
    </row>
    <row r="397" spans="1:44" ht="15" x14ac:dyDescent="0.25">
      <c r="A397" s="258">
        <v>390</v>
      </c>
      <c r="B397" s="258" t="e">
        <v>#N/A</v>
      </c>
      <c r="C397" s="258" t="s">
        <v>1759</v>
      </c>
      <c r="D397" s="859" t="s">
        <v>1760</v>
      </c>
      <c r="E397" s="99">
        <v>0</v>
      </c>
      <c r="F397" s="99">
        <v>0</v>
      </c>
      <c r="G397" s="99">
        <v>0</v>
      </c>
      <c r="H397" s="99">
        <v>0</v>
      </c>
      <c r="I397" s="99">
        <v>0</v>
      </c>
      <c r="J397" s="99">
        <v>0</v>
      </c>
      <c r="K397" s="99">
        <v>0</v>
      </c>
      <c r="L397" s="99">
        <v>0</v>
      </c>
      <c r="M397" s="99">
        <v>0</v>
      </c>
      <c r="N397" s="99">
        <v>0</v>
      </c>
      <c r="O397" s="99">
        <v>0</v>
      </c>
      <c r="P397" s="99">
        <v>0</v>
      </c>
      <c r="Q397" s="99">
        <v>0</v>
      </c>
      <c r="R397" s="99">
        <v>0</v>
      </c>
      <c r="S397" s="99">
        <v>0</v>
      </c>
      <c r="T397" s="99">
        <v>0</v>
      </c>
      <c r="U397" s="99">
        <v>0</v>
      </c>
      <c r="V397" s="99">
        <v>0</v>
      </c>
      <c r="W397" s="99">
        <v>0</v>
      </c>
      <c r="X397" s="99">
        <v>0</v>
      </c>
      <c r="Y397" s="99">
        <v>0</v>
      </c>
      <c r="Z397" s="99">
        <v>0</v>
      </c>
      <c r="AA397" s="99">
        <v>0</v>
      </c>
      <c r="AB397" s="99">
        <v>0</v>
      </c>
      <c r="AC397" s="99">
        <v>0</v>
      </c>
      <c r="AD397" s="99">
        <v>0</v>
      </c>
      <c r="AE397" s="99">
        <v>0</v>
      </c>
      <c r="AF397" s="99">
        <v>0</v>
      </c>
      <c r="AG397" s="99">
        <v>0</v>
      </c>
      <c r="AH397" s="99">
        <v>0</v>
      </c>
      <c r="AI397" s="99">
        <v>0</v>
      </c>
      <c r="AJ397" s="99">
        <v>0</v>
      </c>
      <c r="AK397" s="99">
        <v>0</v>
      </c>
      <c r="AL397" s="99">
        <v>0</v>
      </c>
      <c r="AM397" s="99">
        <v>5.5685964838809126</v>
      </c>
      <c r="AN397" s="99">
        <v>0</v>
      </c>
      <c r="AO397" s="99">
        <v>0</v>
      </c>
      <c r="AP397" s="99">
        <v>0</v>
      </c>
      <c r="AQ397" s="99">
        <v>0</v>
      </c>
      <c r="AR397" s="99">
        <f t="shared" si="6"/>
        <v>5.5685964838809126</v>
      </c>
    </row>
    <row r="398" spans="1:44" ht="15" x14ac:dyDescent="0.25">
      <c r="A398" s="258">
        <v>391</v>
      </c>
      <c r="B398" s="258" t="s">
        <v>309</v>
      </c>
      <c r="C398" s="258" t="s">
        <v>1761</v>
      </c>
      <c r="D398" s="859" t="s">
        <v>1762</v>
      </c>
      <c r="E398" s="99">
        <v>0</v>
      </c>
      <c r="F398" s="99">
        <v>0</v>
      </c>
      <c r="G398" s="99">
        <v>0</v>
      </c>
      <c r="H398" s="99">
        <v>0</v>
      </c>
      <c r="I398" s="99">
        <v>0</v>
      </c>
      <c r="J398" s="99">
        <v>0</v>
      </c>
      <c r="K398" s="99">
        <v>0</v>
      </c>
      <c r="L398" s="99">
        <v>0</v>
      </c>
      <c r="M398" s="99">
        <v>0</v>
      </c>
      <c r="N398" s="99">
        <v>0</v>
      </c>
      <c r="O398" s="99">
        <v>0</v>
      </c>
      <c r="P398" s="99">
        <v>0</v>
      </c>
      <c r="Q398" s="99">
        <v>0</v>
      </c>
      <c r="R398" s="99">
        <v>13134.137743201563</v>
      </c>
      <c r="S398" s="99">
        <v>0</v>
      </c>
      <c r="T398" s="99">
        <v>0</v>
      </c>
      <c r="U398" s="99">
        <v>0</v>
      </c>
      <c r="V398" s="99">
        <v>0</v>
      </c>
      <c r="W398" s="99">
        <v>0</v>
      </c>
      <c r="X398" s="99">
        <v>0</v>
      </c>
      <c r="Y398" s="99">
        <v>0</v>
      </c>
      <c r="Z398" s="99">
        <v>839.09649740088889</v>
      </c>
      <c r="AA398" s="99">
        <v>0</v>
      </c>
      <c r="AB398" s="99">
        <v>0</v>
      </c>
      <c r="AC398" s="99">
        <v>0</v>
      </c>
      <c r="AD398" s="99">
        <v>0</v>
      </c>
      <c r="AE398" s="99">
        <v>0</v>
      </c>
      <c r="AF398" s="99">
        <v>0</v>
      </c>
      <c r="AG398" s="99">
        <v>0</v>
      </c>
      <c r="AH398" s="99">
        <v>0</v>
      </c>
      <c r="AI398" s="99">
        <v>0</v>
      </c>
      <c r="AJ398" s="99">
        <v>0</v>
      </c>
      <c r="AK398" s="99">
        <v>0</v>
      </c>
      <c r="AL398" s="99">
        <v>0</v>
      </c>
      <c r="AM398" s="99">
        <v>13716.797283777554</v>
      </c>
      <c r="AN398" s="99">
        <v>0</v>
      </c>
      <c r="AO398" s="99">
        <v>9675.4560239522161</v>
      </c>
      <c r="AP398" s="99">
        <v>0</v>
      </c>
      <c r="AQ398" s="99">
        <v>0</v>
      </c>
      <c r="AR398" s="99">
        <f t="shared" si="6"/>
        <v>37365.487548332225</v>
      </c>
    </row>
    <row r="399" spans="1:44" ht="15" x14ac:dyDescent="0.25">
      <c r="A399" s="258">
        <v>392</v>
      </c>
      <c r="B399" s="258" t="s">
        <v>309</v>
      </c>
      <c r="C399" s="258" t="s">
        <v>1761</v>
      </c>
      <c r="D399" s="859" t="s">
        <v>1763</v>
      </c>
      <c r="E399" s="99">
        <v>0</v>
      </c>
      <c r="F399" s="99">
        <v>0</v>
      </c>
      <c r="G399" s="99">
        <v>0</v>
      </c>
      <c r="H399" s="99">
        <v>0</v>
      </c>
      <c r="I399" s="99">
        <v>0</v>
      </c>
      <c r="J399" s="99">
        <v>0</v>
      </c>
      <c r="K399" s="99">
        <v>0</v>
      </c>
      <c r="L399" s="99">
        <v>0</v>
      </c>
      <c r="M399" s="99">
        <v>0</v>
      </c>
      <c r="N399" s="99">
        <v>54949.781131017626</v>
      </c>
      <c r="O399" s="99">
        <v>0</v>
      </c>
      <c r="P399" s="99">
        <v>592.95178903371811</v>
      </c>
      <c r="Q399" s="99">
        <v>0</v>
      </c>
      <c r="R399" s="99">
        <v>11580.120597183479</v>
      </c>
      <c r="S399" s="99">
        <v>0</v>
      </c>
      <c r="T399" s="99">
        <v>42231.755329418527</v>
      </c>
      <c r="U399" s="99">
        <v>0</v>
      </c>
      <c r="V399" s="99">
        <v>0</v>
      </c>
      <c r="W399" s="99">
        <v>0</v>
      </c>
      <c r="X399" s="99">
        <v>0</v>
      </c>
      <c r="Y399" s="99">
        <v>0</v>
      </c>
      <c r="Z399" s="99">
        <v>0</v>
      </c>
      <c r="AA399" s="99">
        <v>0</v>
      </c>
      <c r="AB399" s="99">
        <v>0</v>
      </c>
      <c r="AC399" s="99">
        <v>0</v>
      </c>
      <c r="AD399" s="99">
        <v>0</v>
      </c>
      <c r="AE399" s="99">
        <v>13680.595872910786</v>
      </c>
      <c r="AF399" s="99">
        <v>0</v>
      </c>
      <c r="AG399" s="99">
        <v>0</v>
      </c>
      <c r="AH399" s="99">
        <v>0</v>
      </c>
      <c r="AI399" s="99">
        <v>0</v>
      </c>
      <c r="AJ399" s="99">
        <v>0</v>
      </c>
      <c r="AK399" s="99">
        <v>0</v>
      </c>
      <c r="AL399" s="99">
        <v>0</v>
      </c>
      <c r="AM399" s="99">
        <v>0</v>
      </c>
      <c r="AN399" s="99">
        <v>0</v>
      </c>
      <c r="AO399" s="99">
        <v>4.5519062330899986</v>
      </c>
      <c r="AP399" s="99">
        <v>0</v>
      </c>
      <c r="AQ399" s="99">
        <v>0</v>
      </c>
      <c r="AR399" s="99">
        <f t="shared" si="6"/>
        <v>123039.75662579721</v>
      </c>
    </row>
    <row r="400" spans="1:44" ht="15" x14ac:dyDescent="0.25">
      <c r="A400" s="258">
        <v>393</v>
      </c>
      <c r="B400" s="258" t="s">
        <v>309</v>
      </c>
      <c r="C400" s="258" t="s">
        <v>1761</v>
      </c>
      <c r="D400" s="859" t="s">
        <v>1764</v>
      </c>
      <c r="E400" s="99">
        <v>0</v>
      </c>
      <c r="F400" s="99">
        <v>0</v>
      </c>
      <c r="G400" s="99">
        <v>0</v>
      </c>
      <c r="H400" s="99">
        <v>0</v>
      </c>
      <c r="I400" s="99">
        <v>0</v>
      </c>
      <c r="J400" s="99">
        <v>0</v>
      </c>
      <c r="K400" s="99">
        <v>0</v>
      </c>
      <c r="L400" s="99">
        <v>0</v>
      </c>
      <c r="M400" s="99">
        <v>0</v>
      </c>
      <c r="N400" s="99">
        <v>0</v>
      </c>
      <c r="O400" s="99">
        <v>0</v>
      </c>
      <c r="P400" s="99">
        <v>0</v>
      </c>
      <c r="Q400" s="99">
        <v>0</v>
      </c>
      <c r="R400" s="99">
        <v>18560.094568927958</v>
      </c>
      <c r="S400" s="99">
        <v>0</v>
      </c>
      <c r="T400" s="99">
        <v>0</v>
      </c>
      <c r="U400" s="99">
        <v>0</v>
      </c>
      <c r="V400" s="99">
        <v>0</v>
      </c>
      <c r="W400" s="99">
        <v>0</v>
      </c>
      <c r="X400" s="99">
        <v>0</v>
      </c>
      <c r="Y400" s="99">
        <v>0</v>
      </c>
      <c r="Z400" s="99">
        <v>0</v>
      </c>
      <c r="AA400" s="99">
        <v>0</v>
      </c>
      <c r="AB400" s="99">
        <v>0</v>
      </c>
      <c r="AC400" s="99">
        <v>0</v>
      </c>
      <c r="AD400" s="99">
        <v>0</v>
      </c>
      <c r="AE400" s="99">
        <v>0</v>
      </c>
      <c r="AF400" s="99">
        <v>0</v>
      </c>
      <c r="AG400" s="99">
        <v>0</v>
      </c>
      <c r="AH400" s="99">
        <v>0</v>
      </c>
      <c r="AI400" s="99">
        <v>0</v>
      </c>
      <c r="AJ400" s="99">
        <v>0</v>
      </c>
      <c r="AK400" s="99">
        <v>0</v>
      </c>
      <c r="AL400" s="99">
        <v>0</v>
      </c>
      <c r="AM400" s="99">
        <v>54868.341258520675</v>
      </c>
      <c r="AN400" s="99">
        <v>0</v>
      </c>
      <c r="AO400" s="99">
        <v>7360.62204166624</v>
      </c>
      <c r="AP400" s="99">
        <v>0</v>
      </c>
      <c r="AQ400" s="99">
        <v>0</v>
      </c>
      <c r="AR400" s="99">
        <f t="shared" si="6"/>
        <v>80789.057869114869</v>
      </c>
    </row>
    <row r="401" spans="1:44" ht="15" x14ac:dyDescent="0.25">
      <c r="A401" s="258">
        <v>394</v>
      </c>
      <c r="B401" s="258" t="s">
        <v>309</v>
      </c>
      <c r="C401" s="258" t="s">
        <v>1761</v>
      </c>
      <c r="D401" s="859" t="s">
        <v>1765</v>
      </c>
      <c r="E401" s="99">
        <v>0</v>
      </c>
      <c r="F401" s="99">
        <v>0</v>
      </c>
      <c r="G401" s="99">
        <v>0</v>
      </c>
      <c r="H401" s="99">
        <v>0</v>
      </c>
      <c r="I401" s="99">
        <v>0</v>
      </c>
      <c r="J401" s="99">
        <v>0</v>
      </c>
      <c r="K401" s="99">
        <v>0</v>
      </c>
      <c r="L401" s="99">
        <v>0</v>
      </c>
      <c r="M401" s="99">
        <v>0</v>
      </c>
      <c r="N401" s="99">
        <v>0</v>
      </c>
      <c r="O401" s="99">
        <v>0</v>
      </c>
      <c r="P401" s="99">
        <v>0</v>
      </c>
      <c r="Q401" s="99">
        <v>0</v>
      </c>
      <c r="R401" s="99">
        <v>0</v>
      </c>
      <c r="S401" s="99">
        <v>0</v>
      </c>
      <c r="T401" s="99">
        <v>0</v>
      </c>
      <c r="U401" s="99">
        <v>0</v>
      </c>
      <c r="V401" s="99">
        <v>0</v>
      </c>
      <c r="W401" s="99">
        <v>0</v>
      </c>
      <c r="X401" s="99">
        <v>0</v>
      </c>
      <c r="Y401" s="99">
        <v>0</v>
      </c>
      <c r="Z401" s="99">
        <v>0</v>
      </c>
      <c r="AA401" s="99">
        <v>0</v>
      </c>
      <c r="AB401" s="99">
        <v>0</v>
      </c>
      <c r="AC401" s="99">
        <v>0</v>
      </c>
      <c r="AD401" s="99">
        <v>0</v>
      </c>
      <c r="AE401" s="99">
        <v>0</v>
      </c>
      <c r="AF401" s="99">
        <v>0</v>
      </c>
      <c r="AG401" s="99">
        <v>0</v>
      </c>
      <c r="AH401" s="99">
        <v>0</v>
      </c>
      <c r="AI401" s="99">
        <v>0</v>
      </c>
      <c r="AJ401" s="99">
        <v>0</v>
      </c>
      <c r="AK401" s="99">
        <v>0</v>
      </c>
      <c r="AL401" s="99">
        <v>0</v>
      </c>
      <c r="AM401" s="99">
        <v>10227.399514636731</v>
      </c>
      <c r="AN401" s="99">
        <v>0</v>
      </c>
      <c r="AO401" s="99">
        <v>12787.063259788656</v>
      </c>
      <c r="AP401" s="99">
        <v>0</v>
      </c>
      <c r="AQ401" s="99">
        <v>0</v>
      </c>
      <c r="AR401" s="99">
        <f t="shared" si="6"/>
        <v>23014.462774425388</v>
      </c>
    </row>
    <row r="402" spans="1:44" ht="15" x14ac:dyDescent="0.25">
      <c r="A402" s="258">
        <v>395</v>
      </c>
      <c r="B402" s="258" t="s">
        <v>309</v>
      </c>
      <c r="C402" s="258" t="s">
        <v>1761</v>
      </c>
      <c r="D402" s="859" t="s">
        <v>1766</v>
      </c>
      <c r="E402" s="99">
        <v>0</v>
      </c>
      <c r="F402" s="99">
        <v>0</v>
      </c>
      <c r="G402" s="99">
        <v>0</v>
      </c>
      <c r="H402" s="99">
        <v>0</v>
      </c>
      <c r="I402" s="99">
        <v>0</v>
      </c>
      <c r="J402" s="99">
        <v>0</v>
      </c>
      <c r="K402" s="99">
        <v>0</v>
      </c>
      <c r="L402" s="99">
        <v>0</v>
      </c>
      <c r="M402" s="99">
        <v>0</v>
      </c>
      <c r="N402" s="99">
        <v>0</v>
      </c>
      <c r="O402" s="99">
        <v>0</v>
      </c>
      <c r="P402" s="99">
        <v>0</v>
      </c>
      <c r="Q402" s="99">
        <v>0</v>
      </c>
      <c r="R402" s="99">
        <v>0</v>
      </c>
      <c r="S402" s="99">
        <v>0</v>
      </c>
      <c r="T402" s="99">
        <v>0</v>
      </c>
      <c r="U402" s="99">
        <v>0</v>
      </c>
      <c r="V402" s="99">
        <v>0</v>
      </c>
      <c r="W402" s="99">
        <v>0</v>
      </c>
      <c r="X402" s="99">
        <v>0</v>
      </c>
      <c r="Y402" s="99">
        <v>0</v>
      </c>
      <c r="Z402" s="99">
        <v>0</v>
      </c>
      <c r="AA402" s="99">
        <v>0</v>
      </c>
      <c r="AB402" s="99">
        <v>0</v>
      </c>
      <c r="AC402" s="99">
        <v>0</v>
      </c>
      <c r="AD402" s="99">
        <v>0</v>
      </c>
      <c r="AE402" s="99">
        <v>0</v>
      </c>
      <c r="AF402" s="99">
        <v>0</v>
      </c>
      <c r="AG402" s="99">
        <v>0</v>
      </c>
      <c r="AH402" s="99">
        <v>0</v>
      </c>
      <c r="AI402" s="99">
        <v>0</v>
      </c>
      <c r="AJ402" s="99">
        <v>0</v>
      </c>
      <c r="AK402" s="99">
        <v>0</v>
      </c>
      <c r="AL402" s="99">
        <v>0</v>
      </c>
      <c r="AM402" s="99">
        <v>0</v>
      </c>
      <c r="AN402" s="99">
        <v>0</v>
      </c>
      <c r="AO402" s="99">
        <v>2.4656158762570826</v>
      </c>
      <c r="AP402" s="99">
        <v>0</v>
      </c>
      <c r="AQ402" s="99">
        <v>0</v>
      </c>
      <c r="AR402" s="99">
        <f t="shared" si="6"/>
        <v>2.4656158762570826</v>
      </c>
    </row>
    <row r="403" spans="1:44" ht="15" x14ac:dyDescent="0.25">
      <c r="A403" s="258">
        <v>396</v>
      </c>
      <c r="B403" s="258" t="s">
        <v>309</v>
      </c>
      <c r="C403" s="258" t="s">
        <v>1761</v>
      </c>
      <c r="D403" s="859" t="s">
        <v>1767</v>
      </c>
      <c r="E403" s="99">
        <v>0</v>
      </c>
      <c r="F403" s="99">
        <v>0</v>
      </c>
      <c r="G403" s="99">
        <v>0</v>
      </c>
      <c r="H403" s="99">
        <v>0</v>
      </c>
      <c r="I403" s="99">
        <v>0</v>
      </c>
      <c r="J403" s="99">
        <v>0</v>
      </c>
      <c r="K403" s="99">
        <v>0</v>
      </c>
      <c r="L403" s="99">
        <v>0</v>
      </c>
      <c r="M403" s="99">
        <v>0</v>
      </c>
      <c r="N403" s="99">
        <v>0</v>
      </c>
      <c r="O403" s="99">
        <v>0</v>
      </c>
      <c r="P403" s="99">
        <v>0</v>
      </c>
      <c r="Q403" s="99">
        <v>0</v>
      </c>
      <c r="R403" s="99">
        <v>0</v>
      </c>
      <c r="S403" s="99">
        <v>0</v>
      </c>
      <c r="T403" s="99">
        <v>0</v>
      </c>
      <c r="U403" s="99">
        <v>0</v>
      </c>
      <c r="V403" s="99">
        <v>0</v>
      </c>
      <c r="W403" s="99">
        <v>0</v>
      </c>
      <c r="X403" s="99">
        <v>0</v>
      </c>
      <c r="Y403" s="99">
        <v>0</v>
      </c>
      <c r="Z403" s="99">
        <v>0</v>
      </c>
      <c r="AA403" s="99">
        <v>0</v>
      </c>
      <c r="AB403" s="99">
        <v>0</v>
      </c>
      <c r="AC403" s="99">
        <v>0</v>
      </c>
      <c r="AD403" s="99">
        <v>0</v>
      </c>
      <c r="AE403" s="99">
        <v>0</v>
      </c>
      <c r="AF403" s="99">
        <v>0</v>
      </c>
      <c r="AG403" s="99">
        <v>0</v>
      </c>
      <c r="AH403" s="99">
        <v>0</v>
      </c>
      <c r="AI403" s="99">
        <v>0</v>
      </c>
      <c r="AJ403" s="99">
        <v>0</v>
      </c>
      <c r="AK403" s="99">
        <v>0</v>
      </c>
      <c r="AL403" s="99">
        <v>0</v>
      </c>
      <c r="AM403" s="99">
        <v>0</v>
      </c>
      <c r="AN403" s="99">
        <v>0</v>
      </c>
      <c r="AO403" s="99">
        <v>8849.0953798866685</v>
      </c>
      <c r="AP403" s="99">
        <v>0</v>
      </c>
      <c r="AQ403" s="99">
        <v>0</v>
      </c>
      <c r="AR403" s="99">
        <f t="shared" si="6"/>
        <v>8849.0953798866685</v>
      </c>
    </row>
    <row r="404" spans="1:44" ht="15" x14ac:dyDescent="0.25">
      <c r="A404" s="258">
        <v>397</v>
      </c>
      <c r="B404" s="258" t="s">
        <v>985</v>
      </c>
      <c r="C404" s="258" t="s">
        <v>1768</v>
      </c>
      <c r="D404" s="859" t="s">
        <v>1769</v>
      </c>
      <c r="E404" s="99">
        <v>0</v>
      </c>
      <c r="F404" s="99">
        <v>0</v>
      </c>
      <c r="G404" s="99">
        <v>0</v>
      </c>
      <c r="H404" s="99">
        <v>0</v>
      </c>
      <c r="I404" s="99">
        <v>0</v>
      </c>
      <c r="J404" s="99">
        <v>0</v>
      </c>
      <c r="K404" s="99">
        <v>0</v>
      </c>
      <c r="L404" s="99">
        <v>0</v>
      </c>
      <c r="M404" s="99">
        <v>0</v>
      </c>
      <c r="N404" s="99">
        <v>0</v>
      </c>
      <c r="O404" s="99">
        <v>0</v>
      </c>
      <c r="P404" s="99">
        <v>0</v>
      </c>
      <c r="Q404" s="99">
        <v>0</v>
      </c>
      <c r="R404" s="99">
        <v>0</v>
      </c>
      <c r="S404" s="99">
        <v>0</v>
      </c>
      <c r="T404" s="99">
        <v>0</v>
      </c>
      <c r="U404" s="99">
        <v>0</v>
      </c>
      <c r="V404" s="99">
        <v>1422.299294970928</v>
      </c>
      <c r="W404" s="99">
        <v>0</v>
      </c>
      <c r="X404" s="99">
        <v>20131.053501021106</v>
      </c>
      <c r="Y404" s="99">
        <v>0</v>
      </c>
      <c r="Z404" s="99">
        <v>0</v>
      </c>
      <c r="AA404" s="99">
        <v>37.540093051885968</v>
      </c>
      <c r="AB404" s="99">
        <v>0</v>
      </c>
      <c r="AC404" s="99">
        <v>0</v>
      </c>
      <c r="AD404" s="99">
        <v>0</v>
      </c>
      <c r="AE404" s="99">
        <v>0</v>
      </c>
      <c r="AF404" s="99">
        <v>0</v>
      </c>
      <c r="AG404" s="99">
        <v>0</v>
      </c>
      <c r="AH404" s="99">
        <v>0</v>
      </c>
      <c r="AI404" s="99">
        <v>0</v>
      </c>
      <c r="AJ404" s="99">
        <v>0</v>
      </c>
      <c r="AK404" s="99">
        <v>0</v>
      </c>
      <c r="AL404" s="99">
        <v>0</v>
      </c>
      <c r="AM404" s="99">
        <v>0</v>
      </c>
      <c r="AN404" s="99">
        <v>0</v>
      </c>
      <c r="AO404" s="99">
        <v>0</v>
      </c>
      <c r="AP404" s="99">
        <v>0</v>
      </c>
      <c r="AQ404" s="99">
        <v>0</v>
      </c>
      <c r="AR404" s="99">
        <f t="shared" si="6"/>
        <v>21590.89288904392</v>
      </c>
    </row>
    <row r="405" spans="1:44" ht="15" x14ac:dyDescent="0.25">
      <c r="A405" s="258">
        <v>398</v>
      </c>
      <c r="B405" s="258" t="s">
        <v>985</v>
      </c>
      <c r="C405" s="258" t="s">
        <v>1768</v>
      </c>
      <c r="D405" s="859" t="s">
        <v>1770</v>
      </c>
      <c r="E405" s="99">
        <v>0</v>
      </c>
      <c r="F405" s="99">
        <v>0</v>
      </c>
      <c r="G405" s="99">
        <v>0</v>
      </c>
      <c r="H405" s="99">
        <v>0</v>
      </c>
      <c r="I405" s="99">
        <v>0</v>
      </c>
      <c r="J405" s="99">
        <v>0</v>
      </c>
      <c r="K405" s="99">
        <v>0</v>
      </c>
      <c r="L405" s="99">
        <v>0</v>
      </c>
      <c r="M405" s="99">
        <v>0</v>
      </c>
      <c r="N405" s="99">
        <v>0</v>
      </c>
      <c r="O405" s="99">
        <v>0</v>
      </c>
      <c r="P405" s="99">
        <v>0</v>
      </c>
      <c r="Q405" s="99">
        <v>0</v>
      </c>
      <c r="R405" s="99">
        <v>0</v>
      </c>
      <c r="S405" s="99">
        <v>0</v>
      </c>
      <c r="T405" s="99">
        <v>0</v>
      </c>
      <c r="U405" s="99">
        <v>0</v>
      </c>
      <c r="V405" s="99">
        <v>0</v>
      </c>
      <c r="W405" s="99">
        <v>0</v>
      </c>
      <c r="X405" s="99">
        <v>1650.0206185977861</v>
      </c>
      <c r="Y405" s="99">
        <v>0</v>
      </c>
      <c r="Z405" s="99">
        <v>0</v>
      </c>
      <c r="AA405" s="99">
        <v>38.018310797769871</v>
      </c>
      <c r="AB405" s="99">
        <v>0</v>
      </c>
      <c r="AC405" s="99">
        <v>0</v>
      </c>
      <c r="AD405" s="99">
        <v>0</v>
      </c>
      <c r="AE405" s="99">
        <v>0</v>
      </c>
      <c r="AF405" s="99">
        <v>0</v>
      </c>
      <c r="AG405" s="99">
        <v>0</v>
      </c>
      <c r="AH405" s="99">
        <v>0</v>
      </c>
      <c r="AI405" s="99">
        <v>0</v>
      </c>
      <c r="AJ405" s="99">
        <v>0</v>
      </c>
      <c r="AK405" s="99">
        <v>0</v>
      </c>
      <c r="AL405" s="99">
        <v>0</v>
      </c>
      <c r="AM405" s="99">
        <v>0</v>
      </c>
      <c r="AN405" s="99">
        <v>0</v>
      </c>
      <c r="AO405" s="99">
        <v>0</v>
      </c>
      <c r="AP405" s="99">
        <v>0</v>
      </c>
      <c r="AQ405" s="99">
        <v>0</v>
      </c>
      <c r="AR405" s="99">
        <f t="shared" si="6"/>
        <v>1688.0389293955559</v>
      </c>
    </row>
    <row r="406" spans="1:44" ht="15" x14ac:dyDescent="0.25">
      <c r="A406" s="258">
        <v>399</v>
      </c>
      <c r="B406" s="258" t="s">
        <v>985</v>
      </c>
      <c r="C406" s="258" t="s">
        <v>1768</v>
      </c>
      <c r="D406" s="859" t="s">
        <v>1771</v>
      </c>
      <c r="E406" s="99">
        <v>0</v>
      </c>
      <c r="F406" s="99">
        <v>0</v>
      </c>
      <c r="G406" s="99">
        <v>0</v>
      </c>
      <c r="H406" s="99">
        <v>0</v>
      </c>
      <c r="I406" s="99">
        <v>0</v>
      </c>
      <c r="J406" s="99">
        <v>0</v>
      </c>
      <c r="K406" s="99">
        <v>0</v>
      </c>
      <c r="L406" s="99">
        <v>0</v>
      </c>
      <c r="M406" s="99">
        <v>0</v>
      </c>
      <c r="N406" s="99">
        <v>0</v>
      </c>
      <c r="O406" s="99">
        <v>0</v>
      </c>
      <c r="P406" s="99">
        <v>0</v>
      </c>
      <c r="Q406" s="99">
        <v>0</v>
      </c>
      <c r="R406" s="99">
        <v>0</v>
      </c>
      <c r="S406" s="99">
        <v>0</v>
      </c>
      <c r="T406" s="99">
        <v>0</v>
      </c>
      <c r="U406" s="99">
        <v>0</v>
      </c>
      <c r="V406" s="99">
        <v>0</v>
      </c>
      <c r="W406" s="99">
        <v>0</v>
      </c>
      <c r="X406" s="99">
        <v>0</v>
      </c>
      <c r="Y406" s="99">
        <v>0</v>
      </c>
      <c r="Z406" s="99">
        <v>0</v>
      </c>
      <c r="AA406" s="99">
        <v>21.280689691833448</v>
      </c>
      <c r="AB406" s="99">
        <v>0</v>
      </c>
      <c r="AC406" s="99">
        <v>0</v>
      </c>
      <c r="AD406" s="99">
        <v>0</v>
      </c>
      <c r="AE406" s="99">
        <v>0</v>
      </c>
      <c r="AF406" s="99">
        <v>0</v>
      </c>
      <c r="AG406" s="99">
        <v>0</v>
      </c>
      <c r="AH406" s="99">
        <v>0</v>
      </c>
      <c r="AI406" s="99">
        <v>0</v>
      </c>
      <c r="AJ406" s="99">
        <v>0</v>
      </c>
      <c r="AK406" s="99">
        <v>0</v>
      </c>
      <c r="AL406" s="99">
        <v>0</v>
      </c>
      <c r="AM406" s="99">
        <v>0</v>
      </c>
      <c r="AN406" s="99">
        <v>0</v>
      </c>
      <c r="AO406" s="99">
        <v>0</v>
      </c>
      <c r="AP406" s="99">
        <v>0</v>
      </c>
      <c r="AQ406" s="99">
        <v>0</v>
      </c>
      <c r="AR406" s="99">
        <f t="shared" si="6"/>
        <v>21.280689691833448</v>
      </c>
    </row>
    <row r="407" spans="1:44" ht="15" x14ac:dyDescent="0.25">
      <c r="A407" s="258">
        <v>400</v>
      </c>
      <c r="B407" s="258" t="s">
        <v>985</v>
      </c>
      <c r="C407" s="258" t="s">
        <v>1768</v>
      </c>
      <c r="D407" s="859" t="s">
        <v>1772</v>
      </c>
      <c r="E407" s="99">
        <v>0</v>
      </c>
      <c r="F407" s="99">
        <v>0</v>
      </c>
      <c r="G407" s="99">
        <v>0</v>
      </c>
      <c r="H407" s="99">
        <v>0</v>
      </c>
      <c r="I407" s="99">
        <v>0</v>
      </c>
      <c r="J407" s="99">
        <v>0</v>
      </c>
      <c r="K407" s="99">
        <v>0</v>
      </c>
      <c r="L407" s="99">
        <v>0</v>
      </c>
      <c r="M407" s="99">
        <v>0</v>
      </c>
      <c r="N407" s="99">
        <v>0</v>
      </c>
      <c r="O407" s="99">
        <v>0</v>
      </c>
      <c r="P407" s="99">
        <v>0</v>
      </c>
      <c r="Q407" s="99">
        <v>0</v>
      </c>
      <c r="R407" s="99">
        <v>0</v>
      </c>
      <c r="S407" s="99">
        <v>0</v>
      </c>
      <c r="T407" s="99">
        <v>0</v>
      </c>
      <c r="U407" s="99">
        <v>0</v>
      </c>
      <c r="V407" s="99">
        <v>1265.4105705117393</v>
      </c>
      <c r="W407" s="99">
        <v>0</v>
      </c>
      <c r="X407" s="99">
        <v>1409.4343801631151</v>
      </c>
      <c r="Y407" s="99">
        <v>0</v>
      </c>
      <c r="Z407" s="99">
        <v>0</v>
      </c>
      <c r="AA407" s="99">
        <v>450.24200774968972</v>
      </c>
      <c r="AB407" s="99">
        <v>0</v>
      </c>
      <c r="AC407" s="99">
        <v>0</v>
      </c>
      <c r="AD407" s="99">
        <v>0</v>
      </c>
      <c r="AE407" s="99">
        <v>0</v>
      </c>
      <c r="AF407" s="99">
        <v>0</v>
      </c>
      <c r="AG407" s="99">
        <v>0</v>
      </c>
      <c r="AH407" s="99">
        <v>0</v>
      </c>
      <c r="AI407" s="99">
        <v>0</v>
      </c>
      <c r="AJ407" s="99">
        <v>0</v>
      </c>
      <c r="AK407" s="99">
        <v>0</v>
      </c>
      <c r="AL407" s="99">
        <v>0</v>
      </c>
      <c r="AM407" s="99">
        <v>0</v>
      </c>
      <c r="AN407" s="99">
        <v>0</v>
      </c>
      <c r="AO407" s="99">
        <v>0</v>
      </c>
      <c r="AP407" s="99">
        <v>0</v>
      </c>
      <c r="AQ407" s="99">
        <v>0</v>
      </c>
      <c r="AR407" s="99">
        <f t="shared" si="6"/>
        <v>3125.0869584245438</v>
      </c>
    </row>
    <row r="408" spans="1:44" ht="15" x14ac:dyDescent="0.25">
      <c r="A408" s="258">
        <v>401</v>
      </c>
      <c r="B408" s="258" t="s">
        <v>985</v>
      </c>
      <c r="C408" s="258" t="s">
        <v>1768</v>
      </c>
      <c r="D408" s="859" t="s">
        <v>1773</v>
      </c>
      <c r="E408" s="99">
        <v>0</v>
      </c>
      <c r="F408" s="99">
        <v>0</v>
      </c>
      <c r="G408" s="99">
        <v>0</v>
      </c>
      <c r="H408" s="99">
        <v>0</v>
      </c>
      <c r="I408" s="99">
        <v>0</v>
      </c>
      <c r="J408" s="99">
        <v>0</v>
      </c>
      <c r="K408" s="99">
        <v>0</v>
      </c>
      <c r="L408" s="99">
        <v>0</v>
      </c>
      <c r="M408" s="99">
        <v>0</v>
      </c>
      <c r="N408" s="99">
        <v>0</v>
      </c>
      <c r="O408" s="99">
        <v>0</v>
      </c>
      <c r="P408" s="99">
        <v>22.762064838146568</v>
      </c>
      <c r="Q408" s="99">
        <v>0</v>
      </c>
      <c r="R408" s="99">
        <v>0</v>
      </c>
      <c r="S408" s="99">
        <v>0</v>
      </c>
      <c r="T408" s="99">
        <v>0</v>
      </c>
      <c r="U408" s="99">
        <v>0</v>
      </c>
      <c r="V408" s="99">
        <v>4974.7460020013787</v>
      </c>
      <c r="W408" s="99">
        <v>0</v>
      </c>
      <c r="X408" s="99">
        <v>0</v>
      </c>
      <c r="Y408" s="99">
        <v>0</v>
      </c>
      <c r="Z408" s="99">
        <v>0</v>
      </c>
      <c r="AA408" s="99">
        <v>2647.8916589591418</v>
      </c>
      <c r="AB408" s="99">
        <v>0</v>
      </c>
      <c r="AC408" s="99">
        <v>0</v>
      </c>
      <c r="AD408" s="99">
        <v>0</v>
      </c>
      <c r="AE408" s="99">
        <v>0</v>
      </c>
      <c r="AF408" s="99">
        <v>0</v>
      </c>
      <c r="AG408" s="99">
        <v>0</v>
      </c>
      <c r="AH408" s="99">
        <v>0</v>
      </c>
      <c r="AI408" s="99">
        <v>0</v>
      </c>
      <c r="AJ408" s="99">
        <v>0</v>
      </c>
      <c r="AK408" s="99">
        <v>0</v>
      </c>
      <c r="AL408" s="99">
        <v>0</v>
      </c>
      <c r="AM408" s="99">
        <v>0</v>
      </c>
      <c r="AN408" s="99">
        <v>0</v>
      </c>
      <c r="AO408" s="99">
        <v>0</v>
      </c>
      <c r="AP408" s="99">
        <v>0</v>
      </c>
      <c r="AQ408" s="99">
        <v>0</v>
      </c>
      <c r="AR408" s="99">
        <f t="shared" si="6"/>
        <v>7645.3997257986666</v>
      </c>
    </row>
    <row r="409" spans="1:44" ht="15" x14ac:dyDescent="0.25">
      <c r="A409" s="258">
        <v>402</v>
      </c>
      <c r="B409" s="258" t="s">
        <v>985</v>
      </c>
      <c r="C409" s="258" t="s">
        <v>1768</v>
      </c>
      <c r="D409" s="859" t="s">
        <v>1774</v>
      </c>
      <c r="E409" s="99">
        <v>0</v>
      </c>
      <c r="F409" s="99">
        <v>0</v>
      </c>
      <c r="G409" s="99">
        <v>0</v>
      </c>
      <c r="H409" s="99">
        <v>0</v>
      </c>
      <c r="I409" s="99">
        <v>0</v>
      </c>
      <c r="J409" s="99">
        <v>0</v>
      </c>
      <c r="K409" s="99">
        <v>0</v>
      </c>
      <c r="L409" s="99">
        <v>0</v>
      </c>
      <c r="M409" s="99">
        <v>0</v>
      </c>
      <c r="N409" s="99">
        <v>0</v>
      </c>
      <c r="O409" s="99">
        <v>0</v>
      </c>
      <c r="P409" s="99">
        <v>5923.8273741276444</v>
      </c>
      <c r="Q409" s="99">
        <v>0</v>
      </c>
      <c r="R409" s="99">
        <v>0</v>
      </c>
      <c r="S409" s="99">
        <v>0</v>
      </c>
      <c r="T409" s="99">
        <v>0</v>
      </c>
      <c r="U409" s="99">
        <v>0</v>
      </c>
      <c r="V409" s="99">
        <v>35467.152502614874</v>
      </c>
      <c r="W409" s="99">
        <v>0</v>
      </c>
      <c r="X409" s="99">
        <v>0</v>
      </c>
      <c r="Y409" s="99">
        <v>0</v>
      </c>
      <c r="Z409" s="99">
        <v>0</v>
      </c>
      <c r="AA409" s="99">
        <v>5634.361482004083</v>
      </c>
      <c r="AB409" s="99">
        <v>0</v>
      </c>
      <c r="AC409" s="99">
        <v>0</v>
      </c>
      <c r="AD409" s="99">
        <v>0</v>
      </c>
      <c r="AE409" s="99">
        <v>0</v>
      </c>
      <c r="AF409" s="99">
        <v>0</v>
      </c>
      <c r="AG409" s="99">
        <v>0</v>
      </c>
      <c r="AH409" s="99">
        <v>0</v>
      </c>
      <c r="AI409" s="99">
        <v>0</v>
      </c>
      <c r="AJ409" s="99">
        <v>0</v>
      </c>
      <c r="AK409" s="99">
        <v>0</v>
      </c>
      <c r="AL409" s="99">
        <v>0</v>
      </c>
      <c r="AM409" s="99">
        <v>0</v>
      </c>
      <c r="AN409" s="99">
        <v>0</v>
      </c>
      <c r="AO409" s="99">
        <v>0</v>
      </c>
      <c r="AP409" s="99">
        <v>0</v>
      </c>
      <c r="AQ409" s="99">
        <v>0</v>
      </c>
      <c r="AR409" s="99">
        <f t="shared" si="6"/>
        <v>47025.341358746598</v>
      </c>
    </row>
    <row r="410" spans="1:44" ht="15" x14ac:dyDescent="0.25">
      <c r="A410" s="258">
        <v>403</v>
      </c>
      <c r="B410" s="258" t="s">
        <v>985</v>
      </c>
      <c r="C410" s="258" t="s">
        <v>1768</v>
      </c>
      <c r="D410" s="859" t="s">
        <v>1775</v>
      </c>
      <c r="E410" s="99">
        <v>0</v>
      </c>
      <c r="F410" s="99">
        <v>0</v>
      </c>
      <c r="G410" s="99">
        <v>0</v>
      </c>
      <c r="H410" s="99">
        <v>0</v>
      </c>
      <c r="I410" s="99">
        <v>0</v>
      </c>
      <c r="J410" s="99">
        <v>0</v>
      </c>
      <c r="K410" s="99">
        <v>0</v>
      </c>
      <c r="L410" s="99">
        <v>0</v>
      </c>
      <c r="M410" s="99">
        <v>0</v>
      </c>
      <c r="N410" s="99">
        <v>0</v>
      </c>
      <c r="O410" s="99">
        <v>0</v>
      </c>
      <c r="P410" s="99">
        <v>8757.1353948559372</v>
      </c>
      <c r="Q410" s="99">
        <v>0</v>
      </c>
      <c r="R410" s="99">
        <v>0</v>
      </c>
      <c r="S410" s="99">
        <v>0</v>
      </c>
      <c r="T410" s="99">
        <v>0</v>
      </c>
      <c r="U410" s="99">
        <v>0</v>
      </c>
      <c r="V410" s="99">
        <v>6841.5633496066757</v>
      </c>
      <c r="W410" s="99">
        <v>0</v>
      </c>
      <c r="X410" s="99">
        <v>0</v>
      </c>
      <c r="Y410" s="99">
        <v>0</v>
      </c>
      <c r="Z410" s="99">
        <v>0</v>
      </c>
      <c r="AA410" s="99">
        <v>363.44548687176223</v>
      </c>
      <c r="AB410" s="99">
        <v>0</v>
      </c>
      <c r="AC410" s="99">
        <v>0</v>
      </c>
      <c r="AD410" s="99">
        <v>0</v>
      </c>
      <c r="AE410" s="99">
        <v>0</v>
      </c>
      <c r="AF410" s="99">
        <v>0</v>
      </c>
      <c r="AG410" s="99">
        <v>0</v>
      </c>
      <c r="AH410" s="99">
        <v>0</v>
      </c>
      <c r="AI410" s="99">
        <v>0</v>
      </c>
      <c r="AJ410" s="99">
        <v>0</v>
      </c>
      <c r="AK410" s="99">
        <v>0</v>
      </c>
      <c r="AL410" s="99">
        <v>0</v>
      </c>
      <c r="AM410" s="99">
        <v>0</v>
      </c>
      <c r="AN410" s="99">
        <v>0</v>
      </c>
      <c r="AO410" s="99">
        <v>0</v>
      </c>
      <c r="AP410" s="99">
        <v>0</v>
      </c>
      <c r="AQ410" s="99">
        <v>0</v>
      </c>
      <c r="AR410" s="99">
        <f t="shared" si="6"/>
        <v>15962.144231334376</v>
      </c>
    </row>
    <row r="411" spans="1:44" ht="15" x14ac:dyDescent="0.25">
      <c r="A411" s="258">
        <v>404</v>
      </c>
      <c r="B411" s="258" t="s">
        <v>985</v>
      </c>
      <c r="C411" s="258" t="s">
        <v>1768</v>
      </c>
      <c r="D411" s="859" t="s">
        <v>1776</v>
      </c>
      <c r="E411" s="99">
        <v>0</v>
      </c>
      <c r="F411" s="99">
        <v>0</v>
      </c>
      <c r="G411" s="99">
        <v>0</v>
      </c>
      <c r="H411" s="99">
        <v>0</v>
      </c>
      <c r="I411" s="99">
        <v>0</v>
      </c>
      <c r="J411" s="99">
        <v>0</v>
      </c>
      <c r="K411" s="99">
        <v>0</v>
      </c>
      <c r="L411" s="99">
        <v>0</v>
      </c>
      <c r="M411" s="99">
        <v>0</v>
      </c>
      <c r="N411" s="99">
        <v>0</v>
      </c>
      <c r="O411" s="99">
        <v>0</v>
      </c>
      <c r="P411" s="99">
        <v>9284.0771958590321</v>
      </c>
      <c r="Q411" s="99">
        <v>0</v>
      </c>
      <c r="R411" s="99">
        <v>0</v>
      </c>
      <c r="S411" s="99">
        <v>0</v>
      </c>
      <c r="T411" s="99">
        <v>0</v>
      </c>
      <c r="U411" s="99">
        <v>0</v>
      </c>
      <c r="V411" s="99">
        <v>72.89779116285537</v>
      </c>
      <c r="W411" s="99">
        <v>0</v>
      </c>
      <c r="X411" s="99">
        <v>0</v>
      </c>
      <c r="Y411" s="99">
        <v>0</v>
      </c>
      <c r="Z411" s="99">
        <v>0</v>
      </c>
      <c r="AA411" s="99">
        <v>8.6079194259101577</v>
      </c>
      <c r="AB411" s="99">
        <v>0</v>
      </c>
      <c r="AC411" s="99">
        <v>0</v>
      </c>
      <c r="AD411" s="99">
        <v>0</v>
      </c>
      <c r="AE411" s="99">
        <v>0</v>
      </c>
      <c r="AF411" s="99">
        <v>0</v>
      </c>
      <c r="AG411" s="99">
        <v>0</v>
      </c>
      <c r="AH411" s="99">
        <v>0</v>
      </c>
      <c r="AI411" s="99">
        <v>0</v>
      </c>
      <c r="AJ411" s="99">
        <v>0</v>
      </c>
      <c r="AK411" s="99">
        <v>0</v>
      </c>
      <c r="AL411" s="99">
        <v>0</v>
      </c>
      <c r="AM411" s="99">
        <v>0</v>
      </c>
      <c r="AN411" s="99">
        <v>0</v>
      </c>
      <c r="AO411" s="99">
        <v>0</v>
      </c>
      <c r="AP411" s="99">
        <v>0</v>
      </c>
      <c r="AQ411" s="99">
        <v>0</v>
      </c>
      <c r="AR411" s="99">
        <f t="shared" si="6"/>
        <v>9365.5829064477985</v>
      </c>
    </row>
    <row r="412" spans="1:44" ht="15" x14ac:dyDescent="0.25">
      <c r="A412" s="258">
        <v>405</v>
      </c>
      <c r="B412" s="258" t="s">
        <v>985</v>
      </c>
      <c r="C412" s="258" t="s">
        <v>1768</v>
      </c>
      <c r="D412" s="859" t="s">
        <v>1777</v>
      </c>
      <c r="E412" s="99">
        <v>0</v>
      </c>
      <c r="F412" s="99">
        <v>0</v>
      </c>
      <c r="G412" s="99">
        <v>0</v>
      </c>
      <c r="H412" s="99">
        <v>0</v>
      </c>
      <c r="I412" s="99">
        <v>0</v>
      </c>
      <c r="J412" s="99">
        <v>0</v>
      </c>
      <c r="K412" s="99">
        <v>0</v>
      </c>
      <c r="L412" s="99">
        <v>0</v>
      </c>
      <c r="M412" s="99">
        <v>0</v>
      </c>
      <c r="N412" s="99">
        <v>0</v>
      </c>
      <c r="O412" s="99">
        <v>0</v>
      </c>
      <c r="P412" s="99">
        <v>0</v>
      </c>
      <c r="Q412" s="99">
        <v>0</v>
      </c>
      <c r="R412" s="99">
        <v>0</v>
      </c>
      <c r="S412" s="99">
        <v>0</v>
      </c>
      <c r="T412" s="99">
        <v>0</v>
      </c>
      <c r="U412" s="99">
        <v>0</v>
      </c>
      <c r="V412" s="99">
        <v>0</v>
      </c>
      <c r="W412" s="99">
        <v>0</v>
      </c>
      <c r="X412" s="99">
        <v>12.029311921733555</v>
      </c>
      <c r="Y412" s="99">
        <v>0</v>
      </c>
      <c r="Z412" s="99">
        <v>0</v>
      </c>
      <c r="AA412" s="99">
        <v>66.950484423745678</v>
      </c>
      <c r="AB412" s="99">
        <v>0</v>
      </c>
      <c r="AC412" s="99">
        <v>0</v>
      </c>
      <c r="AD412" s="99">
        <v>0</v>
      </c>
      <c r="AE412" s="99">
        <v>0</v>
      </c>
      <c r="AF412" s="99">
        <v>0</v>
      </c>
      <c r="AG412" s="99">
        <v>0</v>
      </c>
      <c r="AH412" s="99">
        <v>0</v>
      </c>
      <c r="AI412" s="99">
        <v>0</v>
      </c>
      <c r="AJ412" s="99">
        <v>0</v>
      </c>
      <c r="AK412" s="99">
        <v>0</v>
      </c>
      <c r="AL412" s="99">
        <v>0</v>
      </c>
      <c r="AM412" s="99">
        <v>0</v>
      </c>
      <c r="AN412" s="99">
        <v>0</v>
      </c>
      <c r="AO412" s="99">
        <v>0</v>
      </c>
      <c r="AP412" s="99">
        <v>0</v>
      </c>
      <c r="AQ412" s="99">
        <v>0</v>
      </c>
      <c r="AR412" s="99">
        <f t="shared" si="6"/>
        <v>78.97979634547923</v>
      </c>
    </row>
    <row r="413" spans="1:44" ht="15" x14ac:dyDescent="0.25">
      <c r="A413" s="258">
        <v>406</v>
      </c>
      <c r="B413" s="258" t="s">
        <v>312</v>
      </c>
      <c r="C413" s="258" t="s">
        <v>1778</v>
      </c>
      <c r="D413" s="859" t="s">
        <v>1779</v>
      </c>
      <c r="E413" s="99">
        <v>0</v>
      </c>
      <c r="F413" s="99">
        <v>0</v>
      </c>
      <c r="G413" s="99">
        <v>0</v>
      </c>
      <c r="H413" s="99">
        <v>0</v>
      </c>
      <c r="I413" s="99">
        <v>0</v>
      </c>
      <c r="J413" s="99">
        <v>0</v>
      </c>
      <c r="K413" s="99">
        <v>0</v>
      </c>
      <c r="L413" s="99">
        <v>0</v>
      </c>
      <c r="M413" s="99">
        <v>0</v>
      </c>
      <c r="N413" s="99">
        <v>0</v>
      </c>
      <c r="O413" s="99">
        <v>0</v>
      </c>
      <c r="P413" s="99">
        <v>0</v>
      </c>
      <c r="Q413" s="99">
        <v>0</v>
      </c>
      <c r="R413" s="99">
        <v>0</v>
      </c>
      <c r="S413" s="99">
        <v>0</v>
      </c>
      <c r="T413" s="99">
        <v>0</v>
      </c>
      <c r="U413" s="99">
        <v>0</v>
      </c>
      <c r="V413" s="99">
        <v>0</v>
      </c>
      <c r="W413" s="99">
        <v>0</v>
      </c>
      <c r="X413" s="99">
        <v>0</v>
      </c>
      <c r="Y413" s="99">
        <v>0</v>
      </c>
      <c r="Z413" s="99">
        <v>0</v>
      </c>
      <c r="AA413" s="99">
        <v>84.166323275566</v>
      </c>
      <c r="AB413" s="99">
        <v>0</v>
      </c>
      <c r="AC413" s="99">
        <v>0</v>
      </c>
      <c r="AD413" s="99">
        <v>0</v>
      </c>
      <c r="AE413" s="99">
        <v>0</v>
      </c>
      <c r="AF413" s="99">
        <v>0</v>
      </c>
      <c r="AG413" s="99">
        <v>0</v>
      </c>
      <c r="AH413" s="99">
        <v>0</v>
      </c>
      <c r="AI413" s="99">
        <v>0</v>
      </c>
      <c r="AJ413" s="99">
        <v>0</v>
      </c>
      <c r="AK413" s="99">
        <v>0</v>
      </c>
      <c r="AL413" s="99">
        <v>0</v>
      </c>
      <c r="AM413" s="99">
        <v>0</v>
      </c>
      <c r="AN413" s="99">
        <v>0</v>
      </c>
      <c r="AO413" s="99">
        <v>0</v>
      </c>
      <c r="AP413" s="99">
        <v>0</v>
      </c>
      <c r="AQ413" s="99">
        <v>0</v>
      </c>
      <c r="AR413" s="99">
        <f t="shared" si="6"/>
        <v>84.166323275566</v>
      </c>
    </row>
    <row r="414" spans="1:44" ht="15" x14ac:dyDescent="0.25">
      <c r="A414" s="258">
        <v>407</v>
      </c>
      <c r="B414" s="258" t="s">
        <v>312</v>
      </c>
      <c r="C414" s="258" t="s">
        <v>1778</v>
      </c>
      <c r="D414" s="859" t="s">
        <v>1780</v>
      </c>
      <c r="E414" s="99">
        <v>0</v>
      </c>
      <c r="F414" s="99">
        <v>0</v>
      </c>
      <c r="G414" s="99">
        <v>0</v>
      </c>
      <c r="H414" s="99">
        <v>0</v>
      </c>
      <c r="I414" s="99">
        <v>0</v>
      </c>
      <c r="J414" s="99">
        <v>0</v>
      </c>
      <c r="K414" s="99">
        <v>0</v>
      </c>
      <c r="L414" s="99">
        <v>0</v>
      </c>
      <c r="M414" s="99">
        <v>0</v>
      </c>
      <c r="N414" s="99">
        <v>0</v>
      </c>
      <c r="O414" s="99">
        <v>0</v>
      </c>
      <c r="P414" s="99">
        <v>0</v>
      </c>
      <c r="Q414" s="99">
        <v>0</v>
      </c>
      <c r="R414" s="99">
        <v>0</v>
      </c>
      <c r="S414" s="99">
        <v>0</v>
      </c>
      <c r="T414" s="99">
        <v>0</v>
      </c>
      <c r="U414" s="99">
        <v>0</v>
      </c>
      <c r="V414" s="99">
        <v>0</v>
      </c>
      <c r="W414" s="99">
        <v>0</v>
      </c>
      <c r="X414" s="99">
        <v>0</v>
      </c>
      <c r="Y414" s="99">
        <v>0</v>
      </c>
      <c r="Z414" s="99">
        <v>0</v>
      </c>
      <c r="AA414" s="99">
        <v>12324.627746919812</v>
      </c>
      <c r="AB414" s="99">
        <v>0</v>
      </c>
      <c r="AC414" s="99">
        <v>0</v>
      </c>
      <c r="AD414" s="99">
        <v>0</v>
      </c>
      <c r="AE414" s="99">
        <v>0</v>
      </c>
      <c r="AF414" s="99">
        <v>0</v>
      </c>
      <c r="AG414" s="99">
        <v>0</v>
      </c>
      <c r="AH414" s="99">
        <v>0</v>
      </c>
      <c r="AI414" s="99">
        <v>0</v>
      </c>
      <c r="AJ414" s="99">
        <v>0</v>
      </c>
      <c r="AK414" s="99">
        <v>0</v>
      </c>
      <c r="AL414" s="99">
        <v>0</v>
      </c>
      <c r="AM414" s="99">
        <v>0</v>
      </c>
      <c r="AN414" s="99">
        <v>0</v>
      </c>
      <c r="AO414" s="99">
        <v>67522.408073377897</v>
      </c>
      <c r="AP414" s="99">
        <v>0</v>
      </c>
      <c r="AQ414" s="99">
        <v>0</v>
      </c>
      <c r="AR414" s="99">
        <f t="shared" si="6"/>
        <v>79847.035820297708</v>
      </c>
    </row>
    <row r="415" spans="1:44" ht="15" x14ac:dyDescent="0.25">
      <c r="A415" s="258">
        <v>408</v>
      </c>
      <c r="B415" s="258" t="s">
        <v>312</v>
      </c>
      <c r="C415" s="258" t="s">
        <v>1778</v>
      </c>
      <c r="D415" s="859" t="s">
        <v>1781</v>
      </c>
      <c r="E415" s="99">
        <v>0</v>
      </c>
      <c r="F415" s="99">
        <v>0</v>
      </c>
      <c r="G415" s="99">
        <v>0</v>
      </c>
      <c r="H415" s="99">
        <v>0</v>
      </c>
      <c r="I415" s="99">
        <v>0</v>
      </c>
      <c r="J415" s="99">
        <v>0</v>
      </c>
      <c r="K415" s="99">
        <v>0</v>
      </c>
      <c r="L415" s="99">
        <v>0</v>
      </c>
      <c r="M415" s="99">
        <v>0</v>
      </c>
      <c r="N415" s="99">
        <v>0</v>
      </c>
      <c r="O415" s="99">
        <v>0</v>
      </c>
      <c r="P415" s="99">
        <v>0</v>
      </c>
      <c r="Q415" s="99">
        <v>0</v>
      </c>
      <c r="R415" s="99">
        <v>23228.955536369886</v>
      </c>
      <c r="S415" s="99">
        <v>0</v>
      </c>
      <c r="T415" s="99">
        <v>0</v>
      </c>
      <c r="U415" s="99">
        <v>0</v>
      </c>
      <c r="V415" s="99">
        <v>0</v>
      </c>
      <c r="W415" s="99">
        <v>0</v>
      </c>
      <c r="X415" s="99">
        <v>0</v>
      </c>
      <c r="Y415" s="99">
        <v>0</v>
      </c>
      <c r="Z415" s="99">
        <v>0</v>
      </c>
      <c r="AA415" s="99">
        <v>0</v>
      </c>
      <c r="AB415" s="99">
        <v>0</v>
      </c>
      <c r="AC415" s="99">
        <v>0</v>
      </c>
      <c r="AD415" s="99">
        <v>0</v>
      </c>
      <c r="AE415" s="99">
        <v>0</v>
      </c>
      <c r="AF415" s="99">
        <v>0</v>
      </c>
      <c r="AG415" s="99">
        <v>0</v>
      </c>
      <c r="AH415" s="99">
        <v>0</v>
      </c>
      <c r="AI415" s="99">
        <v>0</v>
      </c>
      <c r="AJ415" s="99">
        <v>0</v>
      </c>
      <c r="AK415" s="99">
        <v>0</v>
      </c>
      <c r="AL415" s="99">
        <v>0</v>
      </c>
      <c r="AM415" s="99">
        <v>0</v>
      </c>
      <c r="AN415" s="99">
        <v>0</v>
      </c>
      <c r="AO415" s="99">
        <v>37316.716961631515</v>
      </c>
      <c r="AP415" s="99">
        <v>0</v>
      </c>
      <c r="AQ415" s="99">
        <v>0</v>
      </c>
      <c r="AR415" s="99">
        <f t="shared" si="6"/>
        <v>60545.672498001397</v>
      </c>
    </row>
    <row r="416" spans="1:44" ht="15" x14ac:dyDescent="0.25">
      <c r="A416" s="258">
        <v>409</v>
      </c>
      <c r="B416" s="258" t="s">
        <v>312</v>
      </c>
      <c r="C416" s="258" t="s">
        <v>1778</v>
      </c>
      <c r="D416" s="859" t="s">
        <v>1782</v>
      </c>
      <c r="E416" s="99">
        <v>0</v>
      </c>
      <c r="F416" s="99">
        <v>0</v>
      </c>
      <c r="G416" s="99">
        <v>0</v>
      </c>
      <c r="H416" s="99">
        <v>0</v>
      </c>
      <c r="I416" s="99">
        <v>0</v>
      </c>
      <c r="J416" s="99">
        <v>0</v>
      </c>
      <c r="K416" s="99">
        <v>0</v>
      </c>
      <c r="L416" s="99">
        <v>0</v>
      </c>
      <c r="M416" s="99">
        <v>0</v>
      </c>
      <c r="N416" s="99">
        <v>0</v>
      </c>
      <c r="O416" s="99">
        <v>0</v>
      </c>
      <c r="P416" s="99">
        <v>0</v>
      </c>
      <c r="Q416" s="99">
        <v>0</v>
      </c>
      <c r="R416" s="99">
        <v>54120.901477005813</v>
      </c>
      <c r="S416" s="99">
        <v>0</v>
      </c>
      <c r="T416" s="99">
        <v>0</v>
      </c>
      <c r="U416" s="99">
        <v>0</v>
      </c>
      <c r="V416" s="99">
        <v>0</v>
      </c>
      <c r="W416" s="99">
        <v>0</v>
      </c>
      <c r="X416" s="99">
        <v>0</v>
      </c>
      <c r="Y416" s="99">
        <v>0</v>
      </c>
      <c r="Z416" s="99">
        <v>0</v>
      </c>
      <c r="AA416" s="99">
        <v>0</v>
      </c>
      <c r="AB416" s="99">
        <v>0</v>
      </c>
      <c r="AC416" s="99">
        <v>0</v>
      </c>
      <c r="AD416" s="99">
        <v>0</v>
      </c>
      <c r="AE416" s="99">
        <v>0</v>
      </c>
      <c r="AF416" s="99">
        <v>0</v>
      </c>
      <c r="AG416" s="99">
        <v>0</v>
      </c>
      <c r="AH416" s="99">
        <v>0</v>
      </c>
      <c r="AI416" s="99">
        <v>0</v>
      </c>
      <c r="AJ416" s="99">
        <v>0</v>
      </c>
      <c r="AK416" s="99">
        <v>0</v>
      </c>
      <c r="AL416" s="99">
        <v>0</v>
      </c>
      <c r="AM416" s="99">
        <v>0</v>
      </c>
      <c r="AN416" s="99">
        <v>0</v>
      </c>
      <c r="AO416" s="99">
        <v>3554.8491052835766</v>
      </c>
      <c r="AP416" s="99">
        <v>0</v>
      </c>
      <c r="AQ416" s="99">
        <v>0</v>
      </c>
      <c r="AR416" s="99">
        <f t="shared" si="6"/>
        <v>57675.750582289387</v>
      </c>
    </row>
    <row r="417" spans="1:44" ht="15" x14ac:dyDescent="0.25">
      <c r="A417" s="258">
        <v>410</v>
      </c>
      <c r="B417" s="258" t="s">
        <v>312</v>
      </c>
      <c r="C417" s="258" t="s">
        <v>1778</v>
      </c>
      <c r="D417" s="859" t="s">
        <v>1783</v>
      </c>
      <c r="E417" s="99">
        <v>0</v>
      </c>
      <c r="F417" s="99">
        <v>0</v>
      </c>
      <c r="G417" s="99">
        <v>0</v>
      </c>
      <c r="H417" s="99">
        <v>0</v>
      </c>
      <c r="I417" s="99">
        <v>0</v>
      </c>
      <c r="J417" s="99">
        <v>0</v>
      </c>
      <c r="K417" s="99">
        <v>0</v>
      </c>
      <c r="L417" s="99">
        <v>0</v>
      </c>
      <c r="M417" s="99">
        <v>0</v>
      </c>
      <c r="N417" s="99">
        <v>0</v>
      </c>
      <c r="O417" s="99">
        <v>0</v>
      </c>
      <c r="P417" s="99">
        <v>0</v>
      </c>
      <c r="Q417" s="99">
        <v>0</v>
      </c>
      <c r="R417" s="99">
        <v>72523.138773764877</v>
      </c>
      <c r="S417" s="99">
        <v>0</v>
      </c>
      <c r="T417" s="99">
        <v>0</v>
      </c>
      <c r="U417" s="99">
        <v>0</v>
      </c>
      <c r="V417" s="99">
        <v>0</v>
      </c>
      <c r="W417" s="99">
        <v>0</v>
      </c>
      <c r="X417" s="99">
        <v>0</v>
      </c>
      <c r="Y417" s="99">
        <v>0</v>
      </c>
      <c r="Z417" s="99">
        <v>0</v>
      </c>
      <c r="AA417" s="99">
        <v>0</v>
      </c>
      <c r="AB417" s="99">
        <v>0</v>
      </c>
      <c r="AC417" s="99">
        <v>0</v>
      </c>
      <c r="AD417" s="99">
        <v>0</v>
      </c>
      <c r="AE417" s="99">
        <v>0</v>
      </c>
      <c r="AF417" s="99">
        <v>0</v>
      </c>
      <c r="AG417" s="99">
        <v>0</v>
      </c>
      <c r="AH417" s="99">
        <v>0</v>
      </c>
      <c r="AI417" s="99">
        <v>0</v>
      </c>
      <c r="AJ417" s="99">
        <v>0</v>
      </c>
      <c r="AK417" s="99">
        <v>0</v>
      </c>
      <c r="AL417" s="99">
        <v>0</v>
      </c>
      <c r="AM417" s="99">
        <v>451.44035633117335</v>
      </c>
      <c r="AN417" s="99">
        <v>0</v>
      </c>
      <c r="AO417" s="99">
        <v>32184.442683822548</v>
      </c>
      <c r="AP417" s="99">
        <v>0</v>
      </c>
      <c r="AQ417" s="99">
        <v>0</v>
      </c>
      <c r="AR417" s="99">
        <f t="shared" si="6"/>
        <v>105159.0218139186</v>
      </c>
    </row>
    <row r="418" spans="1:44" ht="15" x14ac:dyDescent="0.25">
      <c r="A418" s="258">
        <v>411</v>
      </c>
      <c r="B418" s="258" t="s">
        <v>312</v>
      </c>
      <c r="C418" s="258" t="s">
        <v>1778</v>
      </c>
      <c r="D418" s="859" t="s">
        <v>1784</v>
      </c>
      <c r="E418" s="99">
        <v>0</v>
      </c>
      <c r="F418" s="99">
        <v>0</v>
      </c>
      <c r="G418" s="99">
        <v>0</v>
      </c>
      <c r="H418" s="99">
        <v>0</v>
      </c>
      <c r="I418" s="99">
        <v>0</v>
      </c>
      <c r="J418" s="99">
        <v>0</v>
      </c>
      <c r="K418" s="99">
        <v>0</v>
      </c>
      <c r="L418" s="99">
        <v>0</v>
      </c>
      <c r="M418" s="99">
        <v>0</v>
      </c>
      <c r="N418" s="99">
        <v>950.29622019901478</v>
      </c>
      <c r="O418" s="99">
        <v>0</v>
      </c>
      <c r="P418" s="99">
        <v>0</v>
      </c>
      <c r="Q418" s="99">
        <v>0</v>
      </c>
      <c r="R418" s="99">
        <v>19925.921084595691</v>
      </c>
      <c r="S418" s="99">
        <v>0</v>
      </c>
      <c r="T418" s="99">
        <v>0</v>
      </c>
      <c r="U418" s="99">
        <v>0</v>
      </c>
      <c r="V418" s="99">
        <v>0</v>
      </c>
      <c r="W418" s="99">
        <v>0</v>
      </c>
      <c r="X418" s="99">
        <v>0</v>
      </c>
      <c r="Y418" s="99">
        <v>0</v>
      </c>
      <c r="Z418" s="99">
        <v>0</v>
      </c>
      <c r="AA418" s="99">
        <v>0</v>
      </c>
      <c r="AB418" s="99">
        <v>0</v>
      </c>
      <c r="AC418" s="99">
        <v>0</v>
      </c>
      <c r="AD418" s="99">
        <v>0</v>
      </c>
      <c r="AE418" s="99">
        <v>0</v>
      </c>
      <c r="AF418" s="99">
        <v>0</v>
      </c>
      <c r="AG418" s="99">
        <v>0</v>
      </c>
      <c r="AH418" s="99">
        <v>0</v>
      </c>
      <c r="AI418" s="99">
        <v>0</v>
      </c>
      <c r="AJ418" s="99">
        <v>0</v>
      </c>
      <c r="AK418" s="99">
        <v>0</v>
      </c>
      <c r="AL418" s="99">
        <v>0</v>
      </c>
      <c r="AM418" s="99">
        <v>11227.442634914378</v>
      </c>
      <c r="AN418" s="99">
        <v>0</v>
      </c>
      <c r="AO418" s="99">
        <v>28288.959262096065</v>
      </c>
      <c r="AP418" s="99">
        <v>0</v>
      </c>
      <c r="AQ418" s="99">
        <v>0</v>
      </c>
      <c r="AR418" s="99">
        <f t="shared" si="6"/>
        <v>60392.619201805152</v>
      </c>
    </row>
    <row r="419" spans="1:44" ht="15" x14ac:dyDescent="0.25">
      <c r="A419" s="258">
        <v>412</v>
      </c>
      <c r="B419" s="258" t="s">
        <v>312</v>
      </c>
      <c r="C419" s="258" t="s">
        <v>1778</v>
      </c>
      <c r="D419" s="859" t="s">
        <v>1785</v>
      </c>
      <c r="E419" s="99">
        <v>0</v>
      </c>
      <c r="F419" s="99">
        <v>0</v>
      </c>
      <c r="G419" s="99">
        <v>0</v>
      </c>
      <c r="H419" s="99">
        <v>0</v>
      </c>
      <c r="I419" s="99">
        <v>0</v>
      </c>
      <c r="J419" s="99">
        <v>0</v>
      </c>
      <c r="K419" s="99">
        <v>0</v>
      </c>
      <c r="L419" s="99">
        <v>0</v>
      </c>
      <c r="M419" s="99">
        <v>0</v>
      </c>
      <c r="N419" s="99">
        <v>0</v>
      </c>
      <c r="O419" s="99">
        <v>0</v>
      </c>
      <c r="P419" s="99">
        <v>0</v>
      </c>
      <c r="Q419" s="99">
        <v>0</v>
      </c>
      <c r="R419" s="99">
        <v>0</v>
      </c>
      <c r="S419" s="99">
        <v>0</v>
      </c>
      <c r="T419" s="99">
        <v>0</v>
      </c>
      <c r="U419" s="99">
        <v>0</v>
      </c>
      <c r="V419" s="99">
        <v>0</v>
      </c>
      <c r="W419" s="99">
        <v>0</v>
      </c>
      <c r="X419" s="99">
        <v>0</v>
      </c>
      <c r="Y419" s="99">
        <v>0</v>
      </c>
      <c r="Z419" s="99">
        <v>0</v>
      </c>
      <c r="AA419" s="99">
        <v>0</v>
      </c>
      <c r="AB419" s="99">
        <v>0</v>
      </c>
      <c r="AC419" s="99">
        <v>0</v>
      </c>
      <c r="AD419" s="99">
        <v>0</v>
      </c>
      <c r="AE419" s="99">
        <v>0</v>
      </c>
      <c r="AF419" s="99">
        <v>0</v>
      </c>
      <c r="AG419" s="99">
        <v>0</v>
      </c>
      <c r="AH419" s="99">
        <v>0</v>
      </c>
      <c r="AI419" s="99">
        <v>0</v>
      </c>
      <c r="AJ419" s="99">
        <v>0</v>
      </c>
      <c r="AK419" s="99">
        <v>0</v>
      </c>
      <c r="AL419" s="99">
        <v>0</v>
      </c>
      <c r="AM419" s="99">
        <v>1204.3530050655547</v>
      </c>
      <c r="AN419" s="99">
        <v>0</v>
      </c>
      <c r="AO419" s="99">
        <v>59769.184119107653</v>
      </c>
      <c r="AP419" s="99">
        <v>0</v>
      </c>
      <c r="AQ419" s="99">
        <v>0</v>
      </c>
      <c r="AR419" s="99">
        <f t="shared" si="6"/>
        <v>60973.537124173206</v>
      </c>
    </row>
    <row r="420" spans="1:44" ht="15" x14ac:dyDescent="0.25">
      <c r="A420" s="258">
        <v>413</v>
      </c>
      <c r="B420" s="258" t="s">
        <v>298</v>
      </c>
      <c r="C420" s="258" t="s">
        <v>1786</v>
      </c>
      <c r="D420" s="859" t="s">
        <v>1787</v>
      </c>
      <c r="E420" s="99">
        <v>0</v>
      </c>
      <c r="F420" s="99">
        <v>0</v>
      </c>
      <c r="G420" s="99">
        <v>0</v>
      </c>
      <c r="H420" s="99">
        <v>0</v>
      </c>
      <c r="I420" s="99">
        <v>0</v>
      </c>
      <c r="J420" s="99">
        <v>0</v>
      </c>
      <c r="K420" s="99">
        <v>0</v>
      </c>
      <c r="L420" s="99">
        <v>0</v>
      </c>
      <c r="M420" s="99">
        <v>0</v>
      </c>
      <c r="N420" s="99">
        <v>0</v>
      </c>
      <c r="O420" s="99">
        <v>0</v>
      </c>
      <c r="P420" s="99">
        <v>0</v>
      </c>
      <c r="Q420" s="99">
        <v>0</v>
      </c>
      <c r="R420" s="99">
        <v>1274.0010436217822</v>
      </c>
      <c r="S420" s="99">
        <v>0</v>
      </c>
      <c r="T420" s="99">
        <v>0</v>
      </c>
      <c r="U420" s="99">
        <v>0</v>
      </c>
      <c r="V420" s="99">
        <v>0</v>
      </c>
      <c r="W420" s="99">
        <v>0</v>
      </c>
      <c r="X420" s="99">
        <v>50681.496011583768</v>
      </c>
      <c r="Y420" s="99">
        <v>0</v>
      </c>
      <c r="Z420" s="99">
        <v>0</v>
      </c>
      <c r="AA420" s="99">
        <v>0</v>
      </c>
      <c r="AB420" s="99">
        <v>0</v>
      </c>
      <c r="AC420" s="99">
        <v>0</v>
      </c>
      <c r="AD420" s="99">
        <v>9.4955463869038592</v>
      </c>
      <c r="AE420" s="99">
        <v>0</v>
      </c>
      <c r="AF420" s="99">
        <v>0</v>
      </c>
      <c r="AG420" s="99">
        <v>0</v>
      </c>
      <c r="AH420" s="99">
        <v>0</v>
      </c>
      <c r="AI420" s="99">
        <v>0</v>
      </c>
      <c r="AJ420" s="99">
        <v>0</v>
      </c>
      <c r="AK420" s="99">
        <v>0</v>
      </c>
      <c r="AL420" s="99">
        <v>0</v>
      </c>
      <c r="AM420" s="99">
        <v>0</v>
      </c>
      <c r="AN420" s="99">
        <v>0</v>
      </c>
      <c r="AO420" s="99">
        <v>1754.1908645770582</v>
      </c>
      <c r="AP420" s="99">
        <v>0</v>
      </c>
      <c r="AQ420" s="99">
        <v>0</v>
      </c>
      <c r="AR420" s="99">
        <f t="shared" si="6"/>
        <v>53719.183466169517</v>
      </c>
    </row>
    <row r="421" spans="1:44" ht="15" x14ac:dyDescent="0.25">
      <c r="A421" s="258">
        <v>414</v>
      </c>
      <c r="B421" s="258" t="s">
        <v>298</v>
      </c>
      <c r="C421" s="258" t="s">
        <v>1786</v>
      </c>
      <c r="D421" s="859" t="s">
        <v>1788</v>
      </c>
      <c r="E421" s="99">
        <v>0</v>
      </c>
      <c r="F421" s="99">
        <v>0</v>
      </c>
      <c r="G421" s="99">
        <v>0</v>
      </c>
      <c r="H421" s="99">
        <v>0</v>
      </c>
      <c r="I421" s="99">
        <v>0</v>
      </c>
      <c r="J421" s="99">
        <v>0</v>
      </c>
      <c r="K421" s="99">
        <v>0</v>
      </c>
      <c r="L421" s="99">
        <v>0</v>
      </c>
      <c r="M421" s="99">
        <v>0</v>
      </c>
      <c r="N421" s="99">
        <v>0</v>
      </c>
      <c r="O421" s="99">
        <v>0</v>
      </c>
      <c r="P421" s="99">
        <v>0</v>
      </c>
      <c r="Q421" s="99">
        <v>0</v>
      </c>
      <c r="R421" s="99">
        <v>944.25474175790021</v>
      </c>
      <c r="S421" s="99">
        <v>0</v>
      </c>
      <c r="T421" s="99">
        <v>0</v>
      </c>
      <c r="U421" s="99">
        <v>0</v>
      </c>
      <c r="V421" s="99">
        <v>0</v>
      </c>
      <c r="W421" s="99">
        <v>0</v>
      </c>
      <c r="X421" s="99">
        <v>828.01763727932632</v>
      </c>
      <c r="Y421" s="99">
        <v>0</v>
      </c>
      <c r="Z421" s="99">
        <v>0</v>
      </c>
      <c r="AA421" s="99">
        <v>0</v>
      </c>
      <c r="AB421" s="99">
        <v>0</v>
      </c>
      <c r="AC421" s="99">
        <v>0</v>
      </c>
      <c r="AD421" s="99">
        <v>0</v>
      </c>
      <c r="AE421" s="99">
        <v>0</v>
      </c>
      <c r="AF421" s="99">
        <v>0</v>
      </c>
      <c r="AG421" s="99">
        <v>0</v>
      </c>
      <c r="AH421" s="99">
        <v>0</v>
      </c>
      <c r="AI421" s="99">
        <v>0</v>
      </c>
      <c r="AJ421" s="99">
        <v>0</v>
      </c>
      <c r="AK421" s="99">
        <v>0</v>
      </c>
      <c r="AL421" s="99">
        <v>0</v>
      </c>
      <c r="AM421" s="99">
        <v>0</v>
      </c>
      <c r="AN421" s="99">
        <v>0</v>
      </c>
      <c r="AO421" s="99">
        <v>13852.967969370564</v>
      </c>
      <c r="AP421" s="99">
        <v>0</v>
      </c>
      <c r="AQ421" s="99">
        <v>0</v>
      </c>
      <c r="AR421" s="99">
        <f t="shared" si="6"/>
        <v>15625.240348407791</v>
      </c>
    </row>
    <row r="422" spans="1:44" ht="15" x14ac:dyDescent="0.25">
      <c r="A422" s="258">
        <v>415</v>
      </c>
      <c r="B422" s="258" t="s">
        <v>298</v>
      </c>
      <c r="C422" s="258" t="s">
        <v>1786</v>
      </c>
      <c r="D422" s="859" t="s">
        <v>1789</v>
      </c>
      <c r="E422" s="99">
        <v>0</v>
      </c>
      <c r="F422" s="99">
        <v>0</v>
      </c>
      <c r="G422" s="99">
        <v>0</v>
      </c>
      <c r="H422" s="99">
        <v>0</v>
      </c>
      <c r="I422" s="99">
        <v>0</v>
      </c>
      <c r="J422" s="99">
        <v>0</v>
      </c>
      <c r="K422" s="99">
        <v>0</v>
      </c>
      <c r="L422" s="99">
        <v>0</v>
      </c>
      <c r="M422" s="99">
        <v>0</v>
      </c>
      <c r="N422" s="99">
        <v>0</v>
      </c>
      <c r="O422" s="99">
        <v>0</v>
      </c>
      <c r="P422" s="99">
        <v>0</v>
      </c>
      <c r="Q422" s="99">
        <v>0</v>
      </c>
      <c r="R422" s="99">
        <v>0</v>
      </c>
      <c r="S422" s="99">
        <v>0</v>
      </c>
      <c r="T422" s="99">
        <v>0</v>
      </c>
      <c r="U422" s="99">
        <v>0</v>
      </c>
      <c r="V422" s="99">
        <v>0</v>
      </c>
      <c r="W422" s="99">
        <v>0</v>
      </c>
      <c r="X422" s="99">
        <v>19144.649923438952</v>
      </c>
      <c r="Y422" s="99">
        <v>0</v>
      </c>
      <c r="Z422" s="99">
        <v>0</v>
      </c>
      <c r="AA422" s="99">
        <v>11083.413587478157</v>
      </c>
      <c r="AB422" s="99">
        <v>0</v>
      </c>
      <c r="AC422" s="99">
        <v>0</v>
      </c>
      <c r="AD422" s="99">
        <v>0</v>
      </c>
      <c r="AE422" s="99">
        <v>0</v>
      </c>
      <c r="AF422" s="99">
        <v>0</v>
      </c>
      <c r="AG422" s="99">
        <v>0</v>
      </c>
      <c r="AH422" s="99">
        <v>0</v>
      </c>
      <c r="AI422" s="99">
        <v>0</v>
      </c>
      <c r="AJ422" s="99">
        <v>0</v>
      </c>
      <c r="AK422" s="99">
        <v>0</v>
      </c>
      <c r="AL422" s="99">
        <v>0</v>
      </c>
      <c r="AM422" s="99">
        <v>0</v>
      </c>
      <c r="AN422" s="99">
        <v>0</v>
      </c>
      <c r="AO422" s="99">
        <v>16747.411345336663</v>
      </c>
      <c r="AP422" s="99">
        <v>0</v>
      </c>
      <c r="AQ422" s="99">
        <v>0</v>
      </c>
      <c r="AR422" s="99">
        <f t="shared" si="6"/>
        <v>46975.474856253772</v>
      </c>
    </row>
    <row r="423" spans="1:44" ht="15" x14ac:dyDescent="0.25">
      <c r="A423" s="258">
        <v>416</v>
      </c>
      <c r="B423" s="258" t="s">
        <v>298</v>
      </c>
      <c r="C423" s="258" t="s">
        <v>1786</v>
      </c>
      <c r="D423" s="859" t="s">
        <v>1790</v>
      </c>
      <c r="E423" s="99">
        <v>0</v>
      </c>
      <c r="F423" s="99">
        <v>0</v>
      </c>
      <c r="G423" s="99">
        <v>0</v>
      </c>
      <c r="H423" s="99">
        <v>0</v>
      </c>
      <c r="I423" s="99">
        <v>0</v>
      </c>
      <c r="J423" s="99">
        <v>0</v>
      </c>
      <c r="K423" s="99">
        <v>0</v>
      </c>
      <c r="L423" s="99">
        <v>0</v>
      </c>
      <c r="M423" s="99">
        <v>0</v>
      </c>
      <c r="N423" s="99">
        <v>0</v>
      </c>
      <c r="O423" s="99">
        <v>0</v>
      </c>
      <c r="P423" s="99">
        <v>0</v>
      </c>
      <c r="Q423" s="99">
        <v>0</v>
      </c>
      <c r="R423" s="99">
        <v>0</v>
      </c>
      <c r="S423" s="99">
        <v>0</v>
      </c>
      <c r="T423" s="99">
        <v>0</v>
      </c>
      <c r="U423" s="99">
        <v>0</v>
      </c>
      <c r="V423" s="99">
        <v>0</v>
      </c>
      <c r="W423" s="99">
        <v>0</v>
      </c>
      <c r="X423" s="99">
        <v>0</v>
      </c>
      <c r="Y423" s="99">
        <v>0</v>
      </c>
      <c r="Z423" s="99">
        <v>0</v>
      </c>
      <c r="AA423" s="99">
        <v>0</v>
      </c>
      <c r="AB423" s="99">
        <v>0</v>
      </c>
      <c r="AC423" s="99">
        <v>0</v>
      </c>
      <c r="AD423" s="99">
        <v>0</v>
      </c>
      <c r="AE423" s="99">
        <v>0</v>
      </c>
      <c r="AF423" s="99">
        <v>0</v>
      </c>
      <c r="AG423" s="99">
        <v>0</v>
      </c>
      <c r="AH423" s="99">
        <v>0</v>
      </c>
      <c r="AI423" s="99">
        <v>0</v>
      </c>
      <c r="AJ423" s="99">
        <v>0</v>
      </c>
      <c r="AK423" s="99">
        <v>0</v>
      </c>
      <c r="AL423" s="99">
        <v>0</v>
      </c>
      <c r="AM423" s="99">
        <v>0</v>
      </c>
      <c r="AN423" s="99">
        <v>0</v>
      </c>
      <c r="AO423" s="99">
        <v>15185.917844627083</v>
      </c>
      <c r="AP423" s="99">
        <v>0</v>
      </c>
      <c r="AQ423" s="99">
        <v>0</v>
      </c>
      <c r="AR423" s="99">
        <f t="shared" si="6"/>
        <v>15185.917844627083</v>
      </c>
    </row>
    <row r="424" spans="1:44" ht="15" x14ac:dyDescent="0.25">
      <c r="A424" s="258">
        <v>417</v>
      </c>
      <c r="B424" s="258" t="s">
        <v>298</v>
      </c>
      <c r="C424" s="258" t="s">
        <v>1786</v>
      </c>
      <c r="D424" s="859" t="s">
        <v>1791</v>
      </c>
      <c r="E424" s="99">
        <v>0</v>
      </c>
      <c r="F424" s="99">
        <v>0</v>
      </c>
      <c r="G424" s="99">
        <v>0</v>
      </c>
      <c r="H424" s="99">
        <v>0</v>
      </c>
      <c r="I424" s="99">
        <v>0</v>
      </c>
      <c r="J424" s="99">
        <v>0</v>
      </c>
      <c r="K424" s="99">
        <v>0</v>
      </c>
      <c r="L424" s="99">
        <v>0</v>
      </c>
      <c r="M424" s="99">
        <v>0</v>
      </c>
      <c r="N424" s="99">
        <v>0</v>
      </c>
      <c r="O424" s="99">
        <v>0</v>
      </c>
      <c r="P424" s="99">
        <v>0</v>
      </c>
      <c r="Q424" s="99">
        <v>0</v>
      </c>
      <c r="R424" s="99">
        <v>0</v>
      </c>
      <c r="S424" s="99">
        <v>0</v>
      </c>
      <c r="T424" s="99">
        <v>0</v>
      </c>
      <c r="U424" s="99">
        <v>0</v>
      </c>
      <c r="V424" s="99">
        <v>0</v>
      </c>
      <c r="W424" s="99">
        <v>0</v>
      </c>
      <c r="X424" s="99">
        <v>0</v>
      </c>
      <c r="Y424" s="99">
        <v>0</v>
      </c>
      <c r="Z424" s="99">
        <v>0</v>
      </c>
      <c r="AA424" s="99">
        <v>1172.8290217802592</v>
      </c>
      <c r="AB424" s="99">
        <v>0</v>
      </c>
      <c r="AC424" s="99">
        <v>0</v>
      </c>
      <c r="AD424" s="99">
        <v>0</v>
      </c>
      <c r="AE424" s="99">
        <v>0</v>
      </c>
      <c r="AF424" s="99">
        <v>0</v>
      </c>
      <c r="AG424" s="99">
        <v>0</v>
      </c>
      <c r="AH424" s="99">
        <v>0</v>
      </c>
      <c r="AI424" s="99">
        <v>0</v>
      </c>
      <c r="AJ424" s="99">
        <v>0</v>
      </c>
      <c r="AK424" s="99">
        <v>0</v>
      </c>
      <c r="AL424" s="99">
        <v>0</v>
      </c>
      <c r="AM424" s="99">
        <v>0</v>
      </c>
      <c r="AN424" s="99">
        <v>0</v>
      </c>
      <c r="AO424" s="99">
        <v>10561.939762846494</v>
      </c>
      <c r="AP424" s="99">
        <v>0</v>
      </c>
      <c r="AQ424" s="99">
        <v>0</v>
      </c>
      <c r="AR424" s="99">
        <f t="shared" si="6"/>
        <v>11734.768784626753</v>
      </c>
    </row>
    <row r="425" spans="1:44" ht="15" x14ac:dyDescent="0.25">
      <c r="A425" s="258">
        <v>418</v>
      </c>
      <c r="B425" s="258" t="s">
        <v>298</v>
      </c>
      <c r="C425" s="258" t="s">
        <v>1786</v>
      </c>
      <c r="D425" s="859" t="s">
        <v>1792</v>
      </c>
      <c r="E425" s="99">
        <v>0</v>
      </c>
      <c r="F425" s="99">
        <v>0</v>
      </c>
      <c r="G425" s="99">
        <v>0</v>
      </c>
      <c r="H425" s="99">
        <v>0</v>
      </c>
      <c r="I425" s="99">
        <v>0</v>
      </c>
      <c r="J425" s="99">
        <v>0</v>
      </c>
      <c r="K425" s="99">
        <v>0</v>
      </c>
      <c r="L425" s="99">
        <v>0</v>
      </c>
      <c r="M425" s="99">
        <v>0</v>
      </c>
      <c r="N425" s="99">
        <v>0</v>
      </c>
      <c r="O425" s="99">
        <v>0</v>
      </c>
      <c r="P425" s="99">
        <v>0</v>
      </c>
      <c r="Q425" s="99">
        <v>0</v>
      </c>
      <c r="R425" s="99">
        <v>0</v>
      </c>
      <c r="S425" s="99">
        <v>0</v>
      </c>
      <c r="T425" s="99">
        <v>0</v>
      </c>
      <c r="U425" s="99">
        <v>0</v>
      </c>
      <c r="V425" s="99">
        <v>0</v>
      </c>
      <c r="W425" s="99">
        <v>0</v>
      </c>
      <c r="X425" s="99">
        <v>0</v>
      </c>
      <c r="Y425" s="99">
        <v>0</v>
      </c>
      <c r="Z425" s="99">
        <v>0</v>
      </c>
      <c r="AA425" s="99">
        <v>5206.8348171838779</v>
      </c>
      <c r="AB425" s="99">
        <v>0</v>
      </c>
      <c r="AC425" s="99">
        <v>0</v>
      </c>
      <c r="AD425" s="99">
        <v>0</v>
      </c>
      <c r="AE425" s="99">
        <v>0</v>
      </c>
      <c r="AF425" s="99">
        <v>0</v>
      </c>
      <c r="AG425" s="99">
        <v>0</v>
      </c>
      <c r="AH425" s="99">
        <v>0</v>
      </c>
      <c r="AI425" s="99">
        <v>0</v>
      </c>
      <c r="AJ425" s="99">
        <v>0</v>
      </c>
      <c r="AK425" s="99">
        <v>0</v>
      </c>
      <c r="AL425" s="99">
        <v>0</v>
      </c>
      <c r="AM425" s="99">
        <v>0</v>
      </c>
      <c r="AN425" s="99">
        <v>0</v>
      </c>
      <c r="AO425" s="99">
        <v>28185.213732533561</v>
      </c>
      <c r="AP425" s="99">
        <v>0</v>
      </c>
      <c r="AQ425" s="99">
        <v>0</v>
      </c>
      <c r="AR425" s="99">
        <f t="shared" si="6"/>
        <v>33392.048549717438</v>
      </c>
    </row>
    <row r="426" spans="1:44" ht="15" x14ac:dyDescent="0.25">
      <c r="A426" s="258">
        <v>419</v>
      </c>
      <c r="B426" s="258" t="s">
        <v>298</v>
      </c>
      <c r="C426" s="258" t="s">
        <v>1786</v>
      </c>
      <c r="D426" s="859" t="s">
        <v>1793</v>
      </c>
      <c r="E426" s="99">
        <v>0</v>
      </c>
      <c r="F426" s="99">
        <v>0</v>
      </c>
      <c r="G426" s="99">
        <v>0</v>
      </c>
      <c r="H426" s="99">
        <v>0</v>
      </c>
      <c r="I426" s="99">
        <v>0</v>
      </c>
      <c r="J426" s="99">
        <v>0</v>
      </c>
      <c r="K426" s="99">
        <v>0</v>
      </c>
      <c r="L426" s="99">
        <v>0</v>
      </c>
      <c r="M426" s="99">
        <v>0</v>
      </c>
      <c r="N426" s="99">
        <v>0</v>
      </c>
      <c r="O426" s="99">
        <v>0</v>
      </c>
      <c r="P426" s="99">
        <v>0</v>
      </c>
      <c r="Q426" s="99">
        <v>0</v>
      </c>
      <c r="R426" s="99">
        <v>0</v>
      </c>
      <c r="S426" s="99">
        <v>0</v>
      </c>
      <c r="T426" s="99">
        <v>0</v>
      </c>
      <c r="U426" s="99">
        <v>0</v>
      </c>
      <c r="V426" s="99">
        <v>0</v>
      </c>
      <c r="W426" s="99">
        <v>0</v>
      </c>
      <c r="X426" s="99">
        <v>0</v>
      </c>
      <c r="Y426" s="99">
        <v>0</v>
      </c>
      <c r="Z426" s="99">
        <v>0</v>
      </c>
      <c r="AA426" s="99">
        <v>1838.5081240506449</v>
      </c>
      <c r="AB426" s="99">
        <v>0</v>
      </c>
      <c r="AC426" s="99">
        <v>0</v>
      </c>
      <c r="AD426" s="99">
        <v>0</v>
      </c>
      <c r="AE426" s="99">
        <v>0</v>
      </c>
      <c r="AF426" s="99">
        <v>0</v>
      </c>
      <c r="AG426" s="99">
        <v>0</v>
      </c>
      <c r="AH426" s="99">
        <v>0</v>
      </c>
      <c r="AI426" s="99">
        <v>0</v>
      </c>
      <c r="AJ426" s="99">
        <v>0</v>
      </c>
      <c r="AK426" s="99">
        <v>0</v>
      </c>
      <c r="AL426" s="99">
        <v>0</v>
      </c>
      <c r="AM426" s="99">
        <v>0</v>
      </c>
      <c r="AN426" s="99">
        <v>0</v>
      </c>
      <c r="AO426" s="99">
        <v>20500.268371759659</v>
      </c>
      <c r="AP426" s="99">
        <v>0</v>
      </c>
      <c r="AQ426" s="99">
        <v>0</v>
      </c>
      <c r="AR426" s="99">
        <f t="shared" si="6"/>
        <v>22338.776495810303</v>
      </c>
    </row>
    <row r="427" spans="1:44" ht="15" x14ac:dyDescent="0.25">
      <c r="A427" s="258">
        <v>420</v>
      </c>
      <c r="B427" s="258" t="s">
        <v>298</v>
      </c>
      <c r="C427" s="258" t="s">
        <v>1786</v>
      </c>
      <c r="D427" s="859" t="s">
        <v>1794</v>
      </c>
      <c r="E427" s="99">
        <v>0</v>
      </c>
      <c r="F427" s="99">
        <v>0</v>
      </c>
      <c r="G427" s="99">
        <v>0</v>
      </c>
      <c r="H427" s="99">
        <v>0</v>
      </c>
      <c r="I427" s="99">
        <v>0</v>
      </c>
      <c r="J427" s="99">
        <v>0</v>
      </c>
      <c r="K427" s="99">
        <v>0</v>
      </c>
      <c r="L427" s="99">
        <v>0</v>
      </c>
      <c r="M427" s="99">
        <v>0</v>
      </c>
      <c r="N427" s="99">
        <v>0</v>
      </c>
      <c r="O427" s="99">
        <v>0</v>
      </c>
      <c r="P427" s="99">
        <v>0</v>
      </c>
      <c r="Q427" s="99">
        <v>0</v>
      </c>
      <c r="R427" s="99">
        <v>327.68280811004053</v>
      </c>
      <c r="S427" s="99">
        <v>0</v>
      </c>
      <c r="T427" s="99">
        <v>0</v>
      </c>
      <c r="U427" s="99">
        <v>0</v>
      </c>
      <c r="V427" s="99">
        <v>0</v>
      </c>
      <c r="W427" s="99">
        <v>0</v>
      </c>
      <c r="X427" s="99">
        <v>0</v>
      </c>
      <c r="Y427" s="99">
        <v>0</v>
      </c>
      <c r="Z427" s="99">
        <v>0</v>
      </c>
      <c r="AA427" s="99">
        <v>0</v>
      </c>
      <c r="AB427" s="99">
        <v>0</v>
      </c>
      <c r="AC427" s="99">
        <v>0</v>
      </c>
      <c r="AD427" s="99">
        <v>0</v>
      </c>
      <c r="AE427" s="99">
        <v>0</v>
      </c>
      <c r="AF427" s="99">
        <v>0</v>
      </c>
      <c r="AG427" s="99">
        <v>0</v>
      </c>
      <c r="AH427" s="99">
        <v>0</v>
      </c>
      <c r="AI427" s="99">
        <v>0</v>
      </c>
      <c r="AJ427" s="99">
        <v>0</v>
      </c>
      <c r="AK427" s="99">
        <v>0</v>
      </c>
      <c r="AL427" s="99">
        <v>0</v>
      </c>
      <c r="AM427" s="99">
        <v>0</v>
      </c>
      <c r="AN427" s="99">
        <v>0</v>
      </c>
      <c r="AO427" s="99">
        <v>29764.914858175503</v>
      </c>
      <c r="AP427" s="99">
        <v>0</v>
      </c>
      <c r="AQ427" s="99">
        <v>0</v>
      </c>
      <c r="AR427" s="99">
        <f t="shared" si="6"/>
        <v>30092.597666285543</v>
      </c>
    </row>
    <row r="428" spans="1:44" ht="15" x14ac:dyDescent="0.25">
      <c r="A428" s="258">
        <v>421</v>
      </c>
      <c r="B428" s="258" t="s">
        <v>348</v>
      </c>
      <c r="C428" s="258" t="s">
        <v>1795</v>
      </c>
      <c r="D428" s="859" t="s">
        <v>1796</v>
      </c>
      <c r="E428" s="99">
        <v>32.651198032951463</v>
      </c>
      <c r="F428" s="99">
        <v>0</v>
      </c>
      <c r="G428" s="99">
        <v>0</v>
      </c>
      <c r="H428" s="99">
        <v>0</v>
      </c>
      <c r="I428" s="99">
        <v>0</v>
      </c>
      <c r="J428" s="99">
        <v>0</v>
      </c>
      <c r="K428" s="99">
        <v>0</v>
      </c>
      <c r="L428" s="99">
        <v>0</v>
      </c>
      <c r="M428" s="99">
        <v>0</v>
      </c>
      <c r="N428" s="99">
        <v>0</v>
      </c>
      <c r="O428" s="99">
        <v>0</v>
      </c>
      <c r="P428" s="99">
        <v>30281.512957428291</v>
      </c>
      <c r="Q428" s="99">
        <v>0</v>
      </c>
      <c r="R428" s="99">
        <v>0</v>
      </c>
      <c r="S428" s="99">
        <v>0</v>
      </c>
      <c r="T428" s="99">
        <v>0</v>
      </c>
      <c r="U428" s="99">
        <v>0</v>
      </c>
      <c r="V428" s="99">
        <v>12375.984784485196</v>
      </c>
      <c r="W428" s="99">
        <v>0</v>
      </c>
      <c r="X428" s="99">
        <v>0</v>
      </c>
      <c r="Y428" s="99">
        <v>0</v>
      </c>
      <c r="Z428" s="99">
        <v>0</v>
      </c>
      <c r="AA428" s="99">
        <v>0</v>
      </c>
      <c r="AB428" s="99">
        <v>0</v>
      </c>
      <c r="AC428" s="99">
        <v>0</v>
      </c>
      <c r="AD428" s="99">
        <v>0</v>
      </c>
      <c r="AE428" s="99">
        <v>337.25691544307483</v>
      </c>
      <c r="AF428" s="99">
        <v>0</v>
      </c>
      <c r="AG428" s="99">
        <v>0</v>
      </c>
      <c r="AH428" s="99">
        <v>0</v>
      </c>
      <c r="AI428" s="99">
        <v>0</v>
      </c>
      <c r="AJ428" s="99">
        <v>0</v>
      </c>
      <c r="AK428" s="99">
        <v>0</v>
      </c>
      <c r="AL428" s="99">
        <v>0</v>
      </c>
      <c r="AM428" s="99">
        <v>0</v>
      </c>
      <c r="AN428" s="99">
        <v>0</v>
      </c>
      <c r="AO428" s="99">
        <v>0</v>
      </c>
      <c r="AP428" s="99">
        <v>0</v>
      </c>
      <c r="AQ428" s="99">
        <v>0</v>
      </c>
      <c r="AR428" s="99">
        <f t="shared" si="6"/>
        <v>43027.405855389516</v>
      </c>
    </row>
    <row r="429" spans="1:44" ht="15" x14ac:dyDescent="0.25">
      <c r="A429" s="258">
        <v>422</v>
      </c>
      <c r="B429" s="258" t="s">
        <v>348</v>
      </c>
      <c r="C429" s="258" t="s">
        <v>1795</v>
      </c>
      <c r="D429" s="859" t="s">
        <v>1797</v>
      </c>
      <c r="E429" s="99">
        <v>0</v>
      </c>
      <c r="F429" s="99">
        <v>0</v>
      </c>
      <c r="G429" s="99">
        <v>0</v>
      </c>
      <c r="H429" s="99">
        <v>0</v>
      </c>
      <c r="I429" s="99">
        <v>0</v>
      </c>
      <c r="J429" s="99">
        <v>0</v>
      </c>
      <c r="K429" s="99">
        <v>0</v>
      </c>
      <c r="L429" s="99">
        <v>0</v>
      </c>
      <c r="M429" s="99">
        <v>0</v>
      </c>
      <c r="N429" s="99">
        <v>7251.8009491878356</v>
      </c>
      <c r="O429" s="99">
        <v>0</v>
      </c>
      <c r="P429" s="99">
        <v>26895.655812753983</v>
      </c>
      <c r="Q429" s="99">
        <v>0</v>
      </c>
      <c r="R429" s="99">
        <v>0</v>
      </c>
      <c r="S429" s="99">
        <v>0</v>
      </c>
      <c r="T429" s="99">
        <v>0</v>
      </c>
      <c r="U429" s="99">
        <v>0</v>
      </c>
      <c r="V429" s="99">
        <v>0</v>
      </c>
      <c r="W429" s="99">
        <v>0</v>
      </c>
      <c r="X429" s="99">
        <v>0</v>
      </c>
      <c r="Y429" s="99">
        <v>0</v>
      </c>
      <c r="Z429" s="99">
        <v>0</v>
      </c>
      <c r="AA429" s="99">
        <v>24716.205978263373</v>
      </c>
      <c r="AB429" s="99">
        <v>0</v>
      </c>
      <c r="AC429" s="99">
        <v>0</v>
      </c>
      <c r="AD429" s="99">
        <v>0</v>
      </c>
      <c r="AE429" s="99">
        <v>17.392621009808838</v>
      </c>
      <c r="AF429" s="99">
        <v>0</v>
      </c>
      <c r="AG429" s="99">
        <v>0</v>
      </c>
      <c r="AH429" s="99">
        <v>0</v>
      </c>
      <c r="AI429" s="99">
        <v>0</v>
      </c>
      <c r="AJ429" s="99">
        <v>0</v>
      </c>
      <c r="AK429" s="99">
        <v>0</v>
      </c>
      <c r="AL429" s="99">
        <v>0</v>
      </c>
      <c r="AM429" s="99">
        <v>0</v>
      </c>
      <c r="AN429" s="99">
        <v>0</v>
      </c>
      <c r="AO429" s="99">
        <v>16189.423506263718</v>
      </c>
      <c r="AP429" s="99">
        <v>0</v>
      </c>
      <c r="AQ429" s="99">
        <v>0</v>
      </c>
      <c r="AR429" s="99">
        <f t="shared" si="6"/>
        <v>75070.478867478712</v>
      </c>
    </row>
    <row r="430" spans="1:44" ht="15" x14ac:dyDescent="0.25">
      <c r="A430" s="258">
        <v>423</v>
      </c>
      <c r="B430" s="258" t="s">
        <v>348</v>
      </c>
      <c r="C430" s="258" t="s">
        <v>1795</v>
      </c>
      <c r="D430" s="859" t="s">
        <v>1798</v>
      </c>
      <c r="E430" s="99">
        <v>0</v>
      </c>
      <c r="F430" s="99">
        <v>0</v>
      </c>
      <c r="G430" s="99">
        <v>0</v>
      </c>
      <c r="H430" s="99">
        <v>0</v>
      </c>
      <c r="I430" s="99">
        <v>0</v>
      </c>
      <c r="J430" s="99">
        <v>0</v>
      </c>
      <c r="K430" s="99">
        <v>0</v>
      </c>
      <c r="L430" s="99">
        <v>0</v>
      </c>
      <c r="M430" s="99">
        <v>0</v>
      </c>
      <c r="N430" s="99">
        <v>30242.079405843244</v>
      </c>
      <c r="O430" s="99">
        <v>0</v>
      </c>
      <c r="P430" s="99">
        <v>343.70717905601316</v>
      </c>
      <c r="Q430" s="99">
        <v>0</v>
      </c>
      <c r="R430" s="99">
        <v>8458.260896996575</v>
      </c>
      <c r="S430" s="99">
        <v>0</v>
      </c>
      <c r="T430" s="99">
        <v>0</v>
      </c>
      <c r="U430" s="99">
        <v>0</v>
      </c>
      <c r="V430" s="99">
        <v>0</v>
      </c>
      <c r="W430" s="99">
        <v>0</v>
      </c>
      <c r="X430" s="99">
        <v>0</v>
      </c>
      <c r="Y430" s="99">
        <v>0</v>
      </c>
      <c r="Z430" s="99">
        <v>0</v>
      </c>
      <c r="AA430" s="99">
        <v>0</v>
      </c>
      <c r="AB430" s="99">
        <v>0</v>
      </c>
      <c r="AC430" s="99">
        <v>0</v>
      </c>
      <c r="AD430" s="99">
        <v>0</v>
      </c>
      <c r="AE430" s="99">
        <v>16939.413287633706</v>
      </c>
      <c r="AF430" s="99">
        <v>0</v>
      </c>
      <c r="AG430" s="99">
        <v>0</v>
      </c>
      <c r="AH430" s="99">
        <v>0</v>
      </c>
      <c r="AI430" s="99">
        <v>0</v>
      </c>
      <c r="AJ430" s="99">
        <v>0</v>
      </c>
      <c r="AK430" s="99">
        <v>0</v>
      </c>
      <c r="AL430" s="99">
        <v>0</v>
      </c>
      <c r="AM430" s="99">
        <v>0</v>
      </c>
      <c r="AN430" s="99">
        <v>0</v>
      </c>
      <c r="AO430" s="99">
        <v>7108.3705712491692</v>
      </c>
      <c r="AP430" s="99">
        <v>0</v>
      </c>
      <c r="AQ430" s="99">
        <v>0</v>
      </c>
      <c r="AR430" s="99">
        <f t="shared" si="6"/>
        <v>63091.831340778714</v>
      </c>
    </row>
    <row r="431" spans="1:44" ht="15" x14ac:dyDescent="0.25">
      <c r="A431" s="258">
        <v>424</v>
      </c>
      <c r="B431" s="258" t="s">
        <v>348</v>
      </c>
      <c r="C431" s="258" t="s">
        <v>1795</v>
      </c>
      <c r="D431" s="859" t="s">
        <v>1799</v>
      </c>
      <c r="E431" s="99">
        <v>0</v>
      </c>
      <c r="F431" s="99">
        <v>0</v>
      </c>
      <c r="G431" s="99">
        <v>0</v>
      </c>
      <c r="H431" s="99">
        <v>0</v>
      </c>
      <c r="I431" s="99">
        <v>0</v>
      </c>
      <c r="J431" s="99">
        <v>0</v>
      </c>
      <c r="K431" s="99">
        <v>0</v>
      </c>
      <c r="L431" s="99">
        <v>0</v>
      </c>
      <c r="M431" s="99">
        <v>0</v>
      </c>
      <c r="N431" s="99">
        <v>16458.295961726053</v>
      </c>
      <c r="O431" s="99">
        <v>0</v>
      </c>
      <c r="P431" s="99">
        <v>2592.5991850648938</v>
      </c>
      <c r="Q431" s="99">
        <v>0</v>
      </c>
      <c r="R431" s="99">
        <v>5961.84615359905</v>
      </c>
      <c r="S431" s="99">
        <v>0</v>
      </c>
      <c r="T431" s="99">
        <v>1154.2938250558113</v>
      </c>
      <c r="U431" s="99">
        <v>0</v>
      </c>
      <c r="V431" s="99">
        <v>0</v>
      </c>
      <c r="W431" s="99">
        <v>0</v>
      </c>
      <c r="X431" s="99">
        <v>0</v>
      </c>
      <c r="Y431" s="99">
        <v>0</v>
      </c>
      <c r="Z431" s="99">
        <v>0</v>
      </c>
      <c r="AA431" s="99">
        <v>0</v>
      </c>
      <c r="AB431" s="99">
        <v>0</v>
      </c>
      <c r="AC431" s="99">
        <v>0</v>
      </c>
      <c r="AD431" s="99">
        <v>0</v>
      </c>
      <c r="AE431" s="99">
        <v>6869.485553322429</v>
      </c>
      <c r="AF431" s="99">
        <v>0</v>
      </c>
      <c r="AG431" s="99">
        <v>0</v>
      </c>
      <c r="AH431" s="99">
        <v>0</v>
      </c>
      <c r="AI431" s="99">
        <v>0</v>
      </c>
      <c r="AJ431" s="99">
        <v>0</v>
      </c>
      <c r="AK431" s="99">
        <v>0</v>
      </c>
      <c r="AL431" s="99">
        <v>0</v>
      </c>
      <c r="AM431" s="99">
        <v>0</v>
      </c>
      <c r="AN431" s="99">
        <v>0</v>
      </c>
      <c r="AO431" s="99">
        <v>655.09517204553572</v>
      </c>
      <c r="AP431" s="99">
        <v>0</v>
      </c>
      <c r="AQ431" s="99">
        <v>0</v>
      </c>
      <c r="AR431" s="99">
        <f t="shared" si="6"/>
        <v>33691.615850813774</v>
      </c>
    </row>
    <row r="432" spans="1:44" ht="15" x14ac:dyDescent="0.25">
      <c r="A432" s="258">
        <v>425</v>
      </c>
      <c r="B432" s="258" t="s">
        <v>348</v>
      </c>
      <c r="C432" s="258" t="s">
        <v>1795</v>
      </c>
      <c r="D432" s="859" t="s">
        <v>1800</v>
      </c>
      <c r="E432" s="99">
        <v>0</v>
      </c>
      <c r="F432" s="99">
        <v>0</v>
      </c>
      <c r="G432" s="99">
        <v>0</v>
      </c>
      <c r="H432" s="99">
        <v>0</v>
      </c>
      <c r="I432" s="99">
        <v>0</v>
      </c>
      <c r="J432" s="99">
        <v>0</v>
      </c>
      <c r="K432" s="99">
        <v>0</v>
      </c>
      <c r="L432" s="99">
        <v>0</v>
      </c>
      <c r="M432" s="99">
        <v>0</v>
      </c>
      <c r="N432" s="99">
        <v>15358.067889578359</v>
      </c>
      <c r="O432" s="99">
        <v>0</v>
      </c>
      <c r="P432" s="99">
        <v>3342.6092214818241</v>
      </c>
      <c r="Q432" s="99">
        <v>0</v>
      </c>
      <c r="R432" s="99">
        <v>204.6985803810833</v>
      </c>
      <c r="S432" s="99">
        <v>0</v>
      </c>
      <c r="T432" s="99">
        <v>0</v>
      </c>
      <c r="U432" s="99">
        <v>0</v>
      </c>
      <c r="V432" s="99">
        <v>0</v>
      </c>
      <c r="W432" s="99">
        <v>0</v>
      </c>
      <c r="X432" s="99">
        <v>0</v>
      </c>
      <c r="Y432" s="99">
        <v>0</v>
      </c>
      <c r="Z432" s="99">
        <v>0</v>
      </c>
      <c r="AA432" s="99">
        <v>16264.902864130188</v>
      </c>
      <c r="AB432" s="99">
        <v>0</v>
      </c>
      <c r="AC432" s="99">
        <v>0</v>
      </c>
      <c r="AD432" s="99">
        <v>0</v>
      </c>
      <c r="AE432" s="99">
        <v>11320.597125545346</v>
      </c>
      <c r="AF432" s="99">
        <v>0</v>
      </c>
      <c r="AG432" s="99">
        <v>0</v>
      </c>
      <c r="AH432" s="99">
        <v>0</v>
      </c>
      <c r="AI432" s="99">
        <v>0</v>
      </c>
      <c r="AJ432" s="99">
        <v>0</v>
      </c>
      <c r="AK432" s="99">
        <v>0</v>
      </c>
      <c r="AL432" s="99">
        <v>0</v>
      </c>
      <c r="AM432" s="99">
        <v>0</v>
      </c>
      <c r="AN432" s="99">
        <v>0</v>
      </c>
      <c r="AO432" s="99">
        <v>42545.908909653372</v>
      </c>
      <c r="AP432" s="99">
        <v>0</v>
      </c>
      <c r="AQ432" s="99">
        <v>0</v>
      </c>
      <c r="AR432" s="99">
        <f t="shared" si="6"/>
        <v>89036.78459077017</v>
      </c>
    </row>
    <row r="433" spans="1:44" ht="15" x14ac:dyDescent="0.25">
      <c r="A433" s="258">
        <v>426</v>
      </c>
      <c r="B433" s="258" t="s">
        <v>348</v>
      </c>
      <c r="C433" s="258" t="s">
        <v>1795</v>
      </c>
      <c r="D433" s="859" t="s">
        <v>1801</v>
      </c>
      <c r="E433" s="99">
        <v>0</v>
      </c>
      <c r="F433" s="99">
        <v>0</v>
      </c>
      <c r="G433" s="99">
        <v>0</v>
      </c>
      <c r="H433" s="99">
        <v>0</v>
      </c>
      <c r="I433" s="99">
        <v>0</v>
      </c>
      <c r="J433" s="99">
        <v>0</v>
      </c>
      <c r="K433" s="99">
        <v>0</v>
      </c>
      <c r="L433" s="99">
        <v>0</v>
      </c>
      <c r="M433" s="99">
        <v>0</v>
      </c>
      <c r="N433" s="99">
        <v>9817.1397881932935</v>
      </c>
      <c r="O433" s="99">
        <v>0</v>
      </c>
      <c r="P433" s="99">
        <v>0</v>
      </c>
      <c r="Q433" s="99">
        <v>0</v>
      </c>
      <c r="R433" s="99">
        <v>16604.315189036923</v>
      </c>
      <c r="S433" s="99">
        <v>0</v>
      </c>
      <c r="T433" s="99">
        <v>8034.5882686264022</v>
      </c>
      <c r="U433" s="99">
        <v>0</v>
      </c>
      <c r="V433" s="99">
        <v>0</v>
      </c>
      <c r="W433" s="99">
        <v>0</v>
      </c>
      <c r="X433" s="99">
        <v>0</v>
      </c>
      <c r="Y433" s="99">
        <v>0</v>
      </c>
      <c r="Z433" s="99">
        <v>0</v>
      </c>
      <c r="AA433" s="99">
        <v>0</v>
      </c>
      <c r="AB433" s="99">
        <v>0</v>
      </c>
      <c r="AC433" s="99">
        <v>0</v>
      </c>
      <c r="AD433" s="99">
        <v>0</v>
      </c>
      <c r="AE433" s="99">
        <v>2886.3754268921839</v>
      </c>
      <c r="AF433" s="99">
        <v>0</v>
      </c>
      <c r="AG433" s="99">
        <v>0</v>
      </c>
      <c r="AH433" s="99">
        <v>0</v>
      </c>
      <c r="AI433" s="99">
        <v>0</v>
      </c>
      <c r="AJ433" s="99">
        <v>0</v>
      </c>
      <c r="AK433" s="99">
        <v>0</v>
      </c>
      <c r="AL433" s="99">
        <v>0</v>
      </c>
      <c r="AM433" s="99">
        <v>0</v>
      </c>
      <c r="AN433" s="99">
        <v>0</v>
      </c>
      <c r="AO433" s="99">
        <v>0</v>
      </c>
      <c r="AP433" s="99">
        <v>0</v>
      </c>
      <c r="AQ433" s="99">
        <v>0</v>
      </c>
      <c r="AR433" s="99">
        <f t="shared" si="6"/>
        <v>37342.418672748805</v>
      </c>
    </row>
    <row r="434" spans="1:44" ht="15" x14ac:dyDescent="0.25">
      <c r="A434" s="258">
        <v>427</v>
      </c>
      <c r="B434" s="258" t="s">
        <v>348</v>
      </c>
      <c r="C434" s="258" t="s">
        <v>1795</v>
      </c>
      <c r="D434" s="859" t="s">
        <v>1802</v>
      </c>
      <c r="E434" s="99">
        <v>0</v>
      </c>
      <c r="F434" s="99">
        <v>0</v>
      </c>
      <c r="G434" s="99">
        <v>0</v>
      </c>
      <c r="H434" s="99">
        <v>0</v>
      </c>
      <c r="I434" s="99">
        <v>0</v>
      </c>
      <c r="J434" s="99">
        <v>0</v>
      </c>
      <c r="K434" s="99">
        <v>0</v>
      </c>
      <c r="L434" s="99">
        <v>0</v>
      </c>
      <c r="M434" s="99">
        <v>0</v>
      </c>
      <c r="N434" s="99">
        <v>0</v>
      </c>
      <c r="O434" s="99">
        <v>0</v>
      </c>
      <c r="P434" s="99">
        <v>0</v>
      </c>
      <c r="Q434" s="99">
        <v>0</v>
      </c>
      <c r="R434" s="99">
        <v>33067.074706560314</v>
      </c>
      <c r="S434" s="99">
        <v>0</v>
      </c>
      <c r="T434" s="99">
        <v>0</v>
      </c>
      <c r="U434" s="99">
        <v>0</v>
      </c>
      <c r="V434" s="99">
        <v>0</v>
      </c>
      <c r="W434" s="99">
        <v>0</v>
      </c>
      <c r="X434" s="99">
        <v>0</v>
      </c>
      <c r="Y434" s="99">
        <v>0</v>
      </c>
      <c r="Z434" s="99">
        <v>0</v>
      </c>
      <c r="AA434" s="99">
        <v>0</v>
      </c>
      <c r="AB434" s="99">
        <v>0</v>
      </c>
      <c r="AC434" s="99">
        <v>0</v>
      </c>
      <c r="AD434" s="99">
        <v>0</v>
      </c>
      <c r="AE434" s="99">
        <v>0</v>
      </c>
      <c r="AF434" s="99">
        <v>0</v>
      </c>
      <c r="AG434" s="99">
        <v>0</v>
      </c>
      <c r="AH434" s="99">
        <v>0</v>
      </c>
      <c r="AI434" s="99">
        <v>0</v>
      </c>
      <c r="AJ434" s="99">
        <v>0</v>
      </c>
      <c r="AK434" s="99">
        <v>0</v>
      </c>
      <c r="AL434" s="99">
        <v>0</v>
      </c>
      <c r="AM434" s="99">
        <v>0</v>
      </c>
      <c r="AN434" s="99">
        <v>0</v>
      </c>
      <c r="AO434" s="99">
        <v>23279.586452580526</v>
      </c>
      <c r="AP434" s="99">
        <v>0</v>
      </c>
      <c r="AQ434" s="99">
        <v>0</v>
      </c>
      <c r="AR434" s="99">
        <f t="shared" si="6"/>
        <v>56346.661159140844</v>
      </c>
    </row>
    <row r="435" spans="1:44" ht="15" x14ac:dyDescent="0.25">
      <c r="A435" s="258">
        <v>428</v>
      </c>
      <c r="B435" s="258" t="s">
        <v>311</v>
      </c>
      <c r="C435" s="258" t="s">
        <v>1803</v>
      </c>
      <c r="D435" s="859" t="s">
        <v>1804</v>
      </c>
      <c r="E435" s="99">
        <v>0</v>
      </c>
      <c r="F435" s="99">
        <v>0</v>
      </c>
      <c r="G435" s="99">
        <v>0</v>
      </c>
      <c r="H435" s="99">
        <v>0</v>
      </c>
      <c r="I435" s="99">
        <v>0</v>
      </c>
      <c r="J435" s="99">
        <v>0</v>
      </c>
      <c r="K435" s="99">
        <v>0</v>
      </c>
      <c r="L435" s="99">
        <v>0</v>
      </c>
      <c r="M435" s="99">
        <v>0</v>
      </c>
      <c r="N435" s="99">
        <v>0</v>
      </c>
      <c r="O435" s="99">
        <v>0</v>
      </c>
      <c r="P435" s="99">
        <v>0</v>
      </c>
      <c r="Q435" s="99">
        <v>0</v>
      </c>
      <c r="R435" s="99">
        <v>26274.259618289267</v>
      </c>
      <c r="S435" s="99">
        <v>0</v>
      </c>
      <c r="T435" s="99">
        <v>0</v>
      </c>
      <c r="U435" s="99">
        <v>0</v>
      </c>
      <c r="V435" s="99">
        <v>0</v>
      </c>
      <c r="W435" s="99">
        <v>0</v>
      </c>
      <c r="X435" s="99">
        <v>0</v>
      </c>
      <c r="Y435" s="99">
        <v>0</v>
      </c>
      <c r="Z435" s="99">
        <v>0</v>
      </c>
      <c r="AA435" s="99">
        <v>0</v>
      </c>
      <c r="AB435" s="99">
        <v>0</v>
      </c>
      <c r="AC435" s="99">
        <v>0</v>
      </c>
      <c r="AD435" s="99">
        <v>0</v>
      </c>
      <c r="AE435" s="99">
        <v>0</v>
      </c>
      <c r="AF435" s="99">
        <v>0</v>
      </c>
      <c r="AG435" s="99">
        <v>0</v>
      </c>
      <c r="AH435" s="99">
        <v>0</v>
      </c>
      <c r="AI435" s="99">
        <v>0</v>
      </c>
      <c r="AJ435" s="99">
        <v>0</v>
      </c>
      <c r="AK435" s="99">
        <v>0</v>
      </c>
      <c r="AL435" s="99">
        <v>0</v>
      </c>
      <c r="AM435" s="99">
        <v>10922.513972279796</v>
      </c>
      <c r="AN435" s="99">
        <v>0</v>
      </c>
      <c r="AO435" s="99">
        <v>13158.802268824338</v>
      </c>
      <c r="AP435" s="99">
        <v>0</v>
      </c>
      <c r="AQ435" s="99">
        <v>0</v>
      </c>
      <c r="AR435" s="99">
        <f t="shared" si="6"/>
        <v>50355.575859393401</v>
      </c>
    </row>
    <row r="436" spans="1:44" ht="15" x14ac:dyDescent="0.25">
      <c r="A436" s="258">
        <v>429</v>
      </c>
      <c r="B436" s="258" t="s">
        <v>311</v>
      </c>
      <c r="C436" s="258" t="s">
        <v>1803</v>
      </c>
      <c r="D436" s="859" t="s">
        <v>1805</v>
      </c>
      <c r="E436" s="99">
        <v>0</v>
      </c>
      <c r="F436" s="99">
        <v>0</v>
      </c>
      <c r="G436" s="99">
        <v>0</v>
      </c>
      <c r="H436" s="99">
        <v>0</v>
      </c>
      <c r="I436" s="99">
        <v>0</v>
      </c>
      <c r="J436" s="99">
        <v>0</v>
      </c>
      <c r="K436" s="99">
        <v>0</v>
      </c>
      <c r="L436" s="99">
        <v>0</v>
      </c>
      <c r="M436" s="99">
        <v>0</v>
      </c>
      <c r="N436" s="99">
        <v>0</v>
      </c>
      <c r="O436" s="99">
        <v>0</v>
      </c>
      <c r="P436" s="99">
        <v>0</v>
      </c>
      <c r="Q436" s="99">
        <v>0</v>
      </c>
      <c r="R436" s="99">
        <v>3812.0983608469073</v>
      </c>
      <c r="S436" s="99">
        <v>0</v>
      </c>
      <c r="T436" s="99">
        <v>0</v>
      </c>
      <c r="U436" s="99">
        <v>0</v>
      </c>
      <c r="V436" s="99">
        <v>0</v>
      </c>
      <c r="W436" s="99">
        <v>0</v>
      </c>
      <c r="X436" s="99">
        <v>0</v>
      </c>
      <c r="Y436" s="99">
        <v>0</v>
      </c>
      <c r="Z436" s="99">
        <v>0</v>
      </c>
      <c r="AA436" s="99">
        <v>0</v>
      </c>
      <c r="AB436" s="99">
        <v>0</v>
      </c>
      <c r="AC436" s="99">
        <v>0</v>
      </c>
      <c r="AD436" s="99">
        <v>0</v>
      </c>
      <c r="AE436" s="99">
        <v>0</v>
      </c>
      <c r="AF436" s="99">
        <v>0</v>
      </c>
      <c r="AG436" s="99">
        <v>0</v>
      </c>
      <c r="AH436" s="99">
        <v>0</v>
      </c>
      <c r="AI436" s="99">
        <v>0</v>
      </c>
      <c r="AJ436" s="99">
        <v>0</v>
      </c>
      <c r="AK436" s="99">
        <v>0</v>
      </c>
      <c r="AL436" s="99">
        <v>0</v>
      </c>
      <c r="AM436" s="99">
        <v>20674.278538965733</v>
      </c>
      <c r="AN436" s="99">
        <v>0</v>
      </c>
      <c r="AO436" s="99">
        <v>68832.977742988398</v>
      </c>
      <c r="AP436" s="99">
        <v>0</v>
      </c>
      <c r="AQ436" s="99">
        <v>0</v>
      </c>
      <c r="AR436" s="99">
        <f t="shared" si="6"/>
        <v>93319.354642801045</v>
      </c>
    </row>
    <row r="437" spans="1:44" ht="15" x14ac:dyDescent="0.25">
      <c r="A437" s="258">
        <v>430</v>
      </c>
      <c r="B437" s="258" t="s">
        <v>311</v>
      </c>
      <c r="C437" s="258" t="s">
        <v>1803</v>
      </c>
      <c r="D437" s="859" t="s">
        <v>1806</v>
      </c>
      <c r="E437" s="99">
        <v>0</v>
      </c>
      <c r="F437" s="99">
        <v>0</v>
      </c>
      <c r="G437" s="99">
        <v>0</v>
      </c>
      <c r="H437" s="99">
        <v>0</v>
      </c>
      <c r="I437" s="99">
        <v>0</v>
      </c>
      <c r="J437" s="99">
        <v>0</v>
      </c>
      <c r="K437" s="99">
        <v>0</v>
      </c>
      <c r="L437" s="99">
        <v>0</v>
      </c>
      <c r="M437" s="99">
        <v>0</v>
      </c>
      <c r="N437" s="99">
        <v>0</v>
      </c>
      <c r="O437" s="99">
        <v>0</v>
      </c>
      <c r="P437" s="99">
        <v>0</v>
      </c>
      <c r="Q437" s="99">
        <v>0</v>
      </c>
      <c r="R437" s="99">
        <v>21204.255465100538</v>
      </c>
      <c r="S437" s="99">
        <v>0</v>
      </c>
      <c r="T437" s="99">
        <v>0</v>
      </c>
      <c r="U437" s="99">
        <v>0</v>
      </c>
      <c r="V437" s="99">
        <v>0</v>
      </c>
      <c r="W437" s="99">
        <v>0</v>
      </c>
      <c r="X437" s="99">
        <v>0</v>
      </c>
      <c r="Y437" s="99">
        <v>0</v>
      </c>
      <c r="Z437" s="99">
        <v>0</v>
      </c>
      <c r="AA437" s="99">
        <v>0</v>
      </c>
      <c r="AB437" s="99">
        <v>0</v>
      </c>
      <c r="AC437" s="99">
        <v>0</v>
      </c>
      <c r="AD437" s="99">
        <v>0</v>
      </c>
      <c r="AE437" s="99">
        <v>0</v>
      </c>
      <c r="AF437" s="99">
        <v>0</v>
      </c>
      <c r="AG437" s="99">
        <v>0</v>
      </c>
      <c r="AH437" s="99">
        <v>0</v>
      </c>
      <c r="AI437" s="99">
        <v>0</v>
      </c>
      <c r="AJ437" s="99">
        <v>0</v>
      </c>
      <c r="AK437" s="99">
        <v>0</v>
      </c>
      <c r="AL437" s="99">
        <v>0</v>
      </c>
      <c r="AM437" s="99">
        <v>9969.8999323993394</v>
      </c>
      <c r="AN437" s="99">
        <v>0</v>
      </c>
      <c r="AO437" s="99">
        <v>19738.203403236505</v>
      </c>
      <c r="AP437" s="99">
        <v>0</v>
      </c>
      <c r="AQ437" s="99">
        <v>0</v>
      </c>
      <c r="AR437" s="99">
        <f t="shared" si="6"/>
        <v>50912.35880073638</v>
      </c>
    </row>
    <row r="438" spans="1:44" ht="15" x14ac:dyDescent="0.25">
      <c r="A438" s="258">
        <v>431</v>
      </c>
      <c r="B438" s="258" t="s">
        <v>311</v>
      </c>
      <c r="C438" s="258" t="s">
        <v>1803</v>
      </c>
      <c r="D438" s="859" t="s">
        <v>1807</v>
      </c>
      <c r="E438" s="99">
        <v>0</v>
      </c>
      <c r="F438" s="99">
        <v>0</v>
      </c>
      <c r="G438" s="99">
        <v>0</v>
      </c>
      <c r="H438" s="99">
        <v>0</v>
      </c>
      <c r="I438" s="99">
        <v>0</v>
      </c>
      <c r="J438" s="99">
        <v>0</v>
      </c>
      <c r="K438" s="99">
        <v>0</v>
      </c>
      <c r="L438" s="99">
        <v>0</v>
      </c>
      <c r="M438" s="99">
        <v>0</v>
      </c>
      <c r="N438" s="99">
        <v>0</v>
      </c>
      <c r="O438" s="99">
        <v>0</v>
      </c>
      <c r="P438" s="99">
        <v>0</v>
      </c>
      <c r="Q438" s="99">
        <v>0</v>
      </c>
      <c r="R438" s="99">
        <v>5537.1791390584567</v>
      </c>
      <c r="S438" s="99">
        <v>0</v>
      </c>
      <c r="T438" s="99">
        <v>0</v>
      </c>
      <c r="U438" s="99">
        <v>0</v>
      </c>
      <c r="V438" s="99">
        <v>0</v>
      </c>
      <c r="W438" s="99">
        <v>0</v>
      </c>
      <c r="X438" s="99">
        <v>0</v>
      </c>
      <c r="Y438" s="99">
        <v>0</v>
      </c>
      <c r="Z438" s="99">
        <v>0</v>
      </c>
      <c r="AA438" s="99">
        <v>0</v>
      </c>
      <c r="AB438" s="99">
        <v>0</v>
      </c>
      <c r="AC438" s="99">
        <v>0</v>
      </c>
      <c r="AD438" s="99">
        <v>0</v>
      </c>
      <c r="AE438" s="99">
        <v>0</v>
      </c>
      <c r="AF438" s="99">
        <v>0</v>
      </c>
      <c r="AG438" s="99">
        <v>0</v>
      </c>
      <c r="AH438" s="99">
        <v>0</v>
      </c>
      <c r="AI438" s="99">
        <v>0</v>
      </c>
      <c r="AJ438" s="99">
        <v>0</v>
      </c>
      <c r="AK438" s="99">
        <v>0</v>
      </c>
      <c r="AL438" s="99">
        <v>0</v>
      </c>
      <c r="AM438" s="99">
        <v>14301.115873448234</v>
      </c>
      <c r="AN438" s="99">
        <v>0</v>
      </c>
      <c r="AO438" s="99">
        <v>11891.855033947621</v>
      </c>
      <c r="AP438" s="99">
        <v>0</v>
      </c>
      <c r="AQ438" s="99">
        <v>0</v>
      </c>
      <c r="AR438" s="99">
        <f t="shared" si="6"/>
        <v>31730.150046454313</v>
      </c>
    </row>
    <row r="439" spans="1:44" ht="15" x14ac:dyDescent="0.25">
      <c r="A439" s="258">
        <v>432</v>
      </c>
      <c r="B439" s="258" t="s">
        <v>311</v>
      </c>
      <c r="C439" s="258" t="s">
        <v>1803</v>
      </c>
      <c r="D439" s="859" t="s">
        <v>1808</v>
      </c>
      <c r="E439" s="99">
        <v>0</v>
      </c>
      <c r="F439" s="99">
        <v>0</v>
      </c>
      <c r="G439" s="99">
        <v>0</v>
      </c>
      <c r="H439" s="99">
        <v>0</v>
      </c>
      <c r="I439" s="99">
        <v>0</v>
      </c>
      <c r="J439" s="99">
        <v>0</v>
      </c>
      <c r="K439" s="99">
        <v>0</v>
      </c>
      <c r="L439" s="99">
        <v>0</v>
      </c>
      <c r="M439" s="99">
        <v>0</v>
      </c>
      <c r="N439" s="99">
        <v>0</v>
      </c>
      <c r="O439" s="99">
        <v>0</v>
      </c>
      <c r="P439" s="99">
        <v>0</v>
      </c>
      <c r="Q439" s="99">
        <v>0</v>
      </c>
      <c r="R439" s="99">
        <v>0</v>
      </c>
      <c r="S439" s="99">
        <v>0</v>
      </c>
      <c r="T439" s="99">
        <v>0</v>
      </c>
      <c r="U439" s="99">
        <v>0</v>
      </c>
      <c r="V439" s="99">
        <v>0</v>
      </c>
      <c r="W439" s="99">
        <v>0</v>
      </c>
      <c r="X439" s="99">
        <v>0</v>
      </c>
      <c r="Y439" s="99">
        <v>0</v>
      </c>
      <c r="Z439" s="99">
        <v>0</v>
      </c>
      <c r="AA439" s="99">
        <v>0</v>
      </c>
      <c r="AB439" s="99">
        <v>0</v>
      </c>
      <c r="AC439" s="99">
        <v>0</v>
      </c>
      <c r="AD439" s="99">
        <v>0</v>
      </c>
      <c r="AE439" s="99">
        <v>0</v>
      </c>
      <c r="AF439" s="99">
        <v>0</v>
      </c>
      <c r="AG439" s="99">
        <v>0</v>
      </c>
      <c r="AH439" s="99">
        <v>0</v>
      </c>
      <c r="AI439" s="99">
        <v>0</v>
      </c>
      <c r="AJ439" s="99">
        <v>0</v>
      </c>
      <c r="AK439" s="99">
        <v>0</v>
      </c>
      <c r="AL439" s="99">
        <v>0</v>
      </c>
      <c r="AM439" s="99">
        <v>7477.8569955784269</v>
      </c>
      <c r="AN439" s="99">
        <v>0</v>
      </c>
      <c r="AO439" s="99">
        <v>21975.085991280816</v>
      </c>
      <c r="AP439" s="99">
        <v>0</v>
      </c>
      <c r="AQ439" s="99">
        <v>0</v>
      </c>
      <c r="AR439" s="99">
        <f t="shared" si="6"/>
        <v>29452.942986859242</v>
      </c>
    </row>
    <row r="440" spans="1:44" ht="15" x14ac:dyDescent="0.25">
      <c r="A440" s="258">
        <v>433</v>
      </c>
      <c r="B440" s="258" t="s">
        <v>311</v>
      </c>
      <c r="C440" s="258" t="s">
        <v>1803</v>
      </c>
      <c r="D440" s="859" t="s">
        <v>1809</v>
      </c>
      <c r="E440" s="99">
        <v>0</v>
      </c>
      <c r="F440" s="99">
        <v>0</v>
      </c>
      <c r="G440" s="99">
        <v>0</v>
      </c>
      <c r="H440" s="99">
        <v>0</v>
      </c>
      <c r="I440" s="99">
        <v>0</v>
      </c>
      <c r="J440" s="99">
        <v>0</v>
      </c>
      <c r="K440" s="99">
        <v>0</v>
      </c>
      <c r="L440" s="99">
        <v>0</v>
      </c>
      <c r="M440" s="99">
        <v>0</v>
      </c>
      <c r="N440" s="99">
        <v>0</v>
      </c>
      <c r="O440" s="99">
        <v>0</v>
      </c>
      <c r="P440" s="99">
        <v>0</v>
      </c>
      <c r="Q440" s="99">
        <v>0</v>
      </c>
      <c r="R440" s="99">
        <v>0</v>
      </c>
      <c r="S440" s="99">
        <v>0</v>
      </c>
      <c r="T440" s="99">
        <v>0</v>
      </c>
      <c r="U440" s="99">
        <v>0</v>
      </c>
      <c r="V440" s="99">
        <v>0</v>
      </c>
      <c r="W440" s="99">
        <v>0</v>
      </c>
      <c r="X440" s="99">
        <v>0</v>
      </c>
      <c r="Y440" s="99">
        <v>0</v>
      </c>
      <c r="Z440" s="99">
        <v>0</v>
      </c>
      <c r="AA440" s="99">
        <v>0</v>
      </c>
      <c r="AB440" s="99">
        <v>0</v>
      </c>
      <c r="AC440" s="99">
        <v>0</v>
      </c>
      <c r="AD440" s="99">
        <v>0</v>
      </c>
      <c r="AE440" s="99">
        <v>0</v>
      </c>
      <c r="AF440" s="99">
        <v>0</v>
      </c>
      <c r="AG440" s="99">
        <v>0</v>
      </c>
      <c r="AH440" s="99">
        <v>0</v>
      </c>
      <c r="AI440" s="99">
        <v>0</v>
      </c>
      <c r="AJ440" s="99">
        <v>0</v>
      </c>
      <c r="AK440" s="99">
        <v>0</v>
      </c>
      <c r="AL440" s="99">
        <v>0</v>
      </c>
      <c r="AM440" s="99">
        <v>15673.678896440673</v>
      </c>
      <c r="AN440" s="99">
        <v>0</v>
      </c>
      <c r="AO440" s="99">
        <v>17625.739585563326</v>
      </c>
      <c r="AP440" s="99">
        <v>0</v>
      </c>
      <c r="AQ440" s="99">
        <v>0</v>
      </c>
      <c r="AR440" s="99">
        <f t="shared" si="6"/>
        <v>33299.418482003995</v>
      </c>
    </row>
    <row r="441" spans="1:44" ht="15" x14ac:dyDescent="0.25">
      <c r="A441" s="258">
        <v>434</v>
      </c>
      <c r="B441" s="258" t="e">
        <v>#N/A</v>
      </c>
      <c r="C441" s="258" t="s">
        <v>1810</v>
      </c>
      <c r="D441" s="859" t="s">
        <v>1811</v>
      </c>
      <c r="E441" s="99">
        <v>0</v>
      </c>
      <c r="F441" s="99">
        <v>0</v>
      </c>
      <c r="G441" s="99">
        <v>0</v>
      </c>
      <c r="H441" s="99">
        <v>0</v>
      </c>
      <c r="I441" s="99">
        <v>0</v>
      </c>
      <c r="J441" s="99">
        <v>0</v>
      </c>
      <c r="K441" s="99">
        <v>0</v>
      </c>
      <c r="L441" s="99">
        <v>0</v>
      </c>
      <c r="M441" s="99">
        <v>0</v>
      </c>
      <c r="N441" s="99">
        <v>0</v>
      </c>
      <c r="O441" s="99">
        <v>0</v>
      </c>
      <c r="P441" s="99">
        <v>0</v>
      </c>
      <c r="Q441" s="99">
        <v>0</v>
      </c>
      <c r="R441" s="99">
        <v>0</v>
      </c>
      <c r="S441" s="99">
        <v>0</v>
      </c>
      <c r="T441" s="99">
        <v>0</v>
      </c>
      <c r="U441" s="99">
        <v>0</v>
      </c>
      <c r="V441" s="99">
        <v>0</v>
      </c>
      <c r="W441" s="99">
        <v>0</v>
      </c>
      <c r="X441" s="99">
        <v>0</v>
      </c>
      <c r="Y441" s="99">
        <v>0</v>
      </c>
      <c r="Z441" s="99">
        <v>0</v>
      </c>
      <c r="AA441" s="99">
        <v>0</v>
      </c>
      <c r="AB441" s="99">
        <v>0</v>
      </c>
      <c r="AC441" s="99">
        <v>0</v>
      </c>
      <c r="AD441" s="99">
        <v>0</v>
      </c>
      <c r="AE441" s="99">
        <v>0</v>
      </c>
      <c r="AF441" s="99">
        <v>0</v>
      </c>
      <c r="AG441" s="99">
        <v>0</v>
      </c>
      <c r="AH441" s="99">
        <v>0</v>
      </c>
      <c r="AI441" s="99">
        <v>0</v>
      </c>
      <c r="AJ441" s="99">
        <v>0</v>
      </c>
      <c r="AK441" s="99">
        <v>0</v>
      </c>
      <c r="AL441" s="99">
        <v>0</v>
      </c>
      <c r="AM441" s="99">
        <v>0</v>
      </c>
      <c r="AN441" s="99">
        <v>0</v>
      </c>
      <c r="AO441" s="99">
        <v>4.362243473377915</v>
      </c>
      <c r="AP441" s="99">
        <v>0</v>
      </c>
      <c r="AQ441" s="99">
        <v>0</v>
      </c>
      <c r="AR441" s="99">
        <f t="shared" si="6"/>
        <v>4.362243473377915</v>
      </c>
    </row>
    <row r="442" spans="1:44" ht="15" x14ac:dyDescent="0.25">
      <c r="A442" s="258">
        <v>435</v>
      </c>
      <c r="B442" s="258" t="s">
        <v>300</v>
      </c>
      <c r="C442" s="258" t="s">
        <v>1812</v>
      </c>
      <c r="D442" s="859" t="s">
        <v>1813</v>
      </c>
      <c r="E442" s="99">
        <v>0</v>
      </c>
      <c r="F442" s="99">
        <v>0</v>
      </c>
      <c r="G442" s="99">
        <v>0</v>
      </c>
      <c r="H442" s="99">
        <v>0</v>
      </c>
      <c r="I442" s="99">
        <v>0</v>
      </c>
      <c r="J442" s="99">
        <v>0</v>
      </c>
      <c r="K442" s="99">
        <v>0</v>
      </c>
      <c r="L442" s="99">
        <v>0</v>
      </c>
      <c r="M442" s="99">
        <v>0</v>
      </c>
      <c r="N442" s="99">
        <v>0</v>
      </c>
      <c r="O442" s="99">
        <v>0</v>
      </c>
      <c r="P442" s="99">
        <v>0</v>
      </c>
      <c r="Q442" s="99">
        <v>0</v>
      </c>
      <c r="R442" s="99">
        <v>49340.199148105668</v>
      </c>
      <c r="S442" s="99">
        <v>0</v>
      </c>
      <c r="T442" s="99">
        <v>0</v>
      </c>
      <c r="U442" s="99">
        <v>0</v>
      </c>
      <c r="V442" s="99">
        <v>0</v>
      </c>
      <c r="W442" s="99">
        <v>0</v>
      </c>
      <c r="X442" s="99">
        <v>0</v>
      </c>
      <c r="Y442" s="99">
        <v>0</v>
      </c>
      <c r="Z442" s="99">
        <v>0</v>
      </c>
      <c r="AA442" s="99">
        <v>0</v>
      </c>
      <c r="AB442" s="99">
        <v>0</v>
      </c>
      <c r="AC442" s="99">
        <v>0</v>
      </c>
      <c r="AD442" s="99">
        <v>0</v>
      </c>
      <c r="AE442" s="99">
        <v>0</v>
      </c>
      <c r="AF442" s="99">
        <v>0</v>
      </c>
      <c r="AG442" s="99">
        <v>0</v>
      </c>
      <c r="AH442" s="99">
        <v>0</v>
      </c>
      <c r="AI442" s="99">
        <v>0</v>
      </c>
      <c r="AJ442" s="99">
        <v>0</v>
      </c>
      <c r="AK442" s="99">
        <v>0</v>
      </c>
      <c r="AL442" s="99">
        <v>0</v>
      </c>
      <c r="AM442" s="99">
        <v>7529.7025490490423</v>
      </c>
      <c r="AN442" s="99">
        <v>0</v>
      </c>
      <c r="AO442" s="99">
        <v>27115.895093276831</v>
      </c>
      <c r="AP442" s="99">
        <v>0</v>
      </c>
      <c r="AQ442" s="99">
        <v>0</v>
      </c>
      <c r="AR442" s="99">
        <f t="shared" si="6"/>
        <v>83985.796790431545</v>
      </c>
    </row>
    <row r="443" spans="1:44" ht="15" x14ac:dyDescent="0.25">
      <c r="A443" s="258">
        <v>436</v>
      </c>
      <c r="B443" s="258" t="s">
        <v>300</v>
      </c>
      <c r="C443" s="258" t="s">
        <v>1812</v>
      </c>
      <c r="D443" s="859" t="s">
        <v>1814</v>
      </c>
      <c r="E443" s="99">
        <v>0</v>
      </c>
      <c r="F443" s="99">
        <v>0</v>
      </c>
      <c r="G443" s="99">
        <v>0</v>
      </c>
      <c r="H443" s="99">
        <v>0</v>
      </c>
      <c r="I443" s="99">
        <v>0</v>
      </c>
      <c r="J443" s="99">
        <v>0</v>
      </c>
      <c r="K443" s="99">
        <v>0</v>
      </c>
      <c r="L443" s="99">
        <v>0</v>
      </c>
      <c r="M443" s="99">
        <v>0</v>
      </c>
      <c r="N443" s="99">
        <v>0</v>
      </c>
      <c r="O443" s="99">
        <v>0</v>
      </c>
      <c r="P443" s="99">
        <v>0</v>
      </c>
      <c r="Q443" s="99">
        <v>0</v>
      </c>
      <c r="R443" s="99">
        <v>32939.963491323681</v>
      </c>
      <c r="S443" s="99">
        <v>0</v>
      </c>
      <c r="T443" s="99">
        <v>0</v>
      </c>
      <c r="U443" s="99">
        <v>0</v>
      </c>
      <c r="V443" s="99">
        <v>0</v>
      </c>
      <c r="W443" s="99">
        <v>0</v>
      </c>
      <c r="X443" s="99">
        <v>0</v>
      </c>
      <c r="Y443" s="99">
        <v>0</v>
      </c>
      <c r="Z443" s="99">
        <v>0</v>
      </c>
      <c r="AA443" s="99">
        <v>0</v>
      </c>
      <c r="AB443" s="99">
        <v>0</v>
      </c>
      <c r="AC443" s="99">
        <v>0</v>
      </c>
      <c r="AD443" s="99">
        <v>0</v>
      </c>
      <c r="AE443" s="99">
        <v>0</v>
      </c>
      <c r="AF443" s="99">
        <v>0</v>
      </c>
      <c r="AG443" s="99">
        <v>0</v>
      </c>
      <c r="AH443" s="99">
        <v>0</v>
      </c>
      <c r="AI443" s="99">
        <v>0</v>
      </c>
      <c r="AJ443" s="99">
        <v>0</v>
      </c>
      <c r="AK443" s="99">
        <v>0</v>
      </c>
      <c r="AL443" s="99">
        <v>0</v>
      </c>
      <c r="AM443" s="99">
        <v>10334.546991809335</v>
      </c>
      <c r="AN443" s="99">
        <v>0</v>
      </c>
      <c r="AO443" s="99">
        <v>38629.941909877984</v>
      </c>
      <c r="AP443" s="99">
        <v>0</v>
      </c>
      <c r="AQ443" s="99">
        <v>0</v>
      </c>
      <c r="AR443" s="99">
        <f t="shared" si="6"/>
        <v>81904.452393011001</v>
      </c>
    </row>
    <row r="444" spans="1:44" ht="15" x14ac:dyDescent="0.25">
      <c r="A444" s="258">
        <v>437</v>
      </c>
      <c r="B444" s="258" t="s">
        <v>300</v>
      </c>
      <c r="C444" s="258" t="s">
        <v>1812</v>
      </c>
      <c r="D444" s="859" t="s">
        <v>1815</v>
      </c>
      <c r="E444" s="99">
        <v>0</v>
      </c>
      <c r="F444" s="99">
        <v>0</v>
      </c>
      <c r="G444" s="99">
        <v>0</v>
      </c>
      <c r="H444" s="99">
        <v>0</v>
      </c>
      <c r="I444" s="99">
        <v>0</v>
      </c>
      <c r="J444" s="99">
        <v>0</v>
      </c>
      <c r="K444" s="99">
        <v>0</v>
      </c>
      <c r="L444" s="99">
        <v>0</v>
      </c>
      <c r="M444" s="99">
        <v>0</v>
      </c>
      <c r="N444" s="99">
        <v>0</v>
      </c>
      <c r="O444" s="99">
        <v>0</v>
      </c>
      <c r="P444" s="99">
        <v>0</v>
      </c>
      <c r="Q444" s="99">
        <v>0</v>
      </c>
      <c r="R444" s="99">
        <v>25661.195624022937</v>
      </c>
      <c r="S444" s="99">
        <v>0</v>
      </c>
      <c r="T444" s="99">
        <v>0</v>
      </c>
      <c r="U444" s="99">
        <v>0</v>
      </c>
      <c r="V444" s="99">
        <v>0</v>
      </c>
      <c r="W444" s="99">
        <v>0</v>
      </c>
      <c r="X444" s="99">
        <v>0</v>
      </c>
      <c r="Y444" s="99">
        <v>0</v>
      </c>
      <c r="Z444" s="99">
        <v>0</v>
      </c>
      <c r="AA444" s="99">
        <v>0</v>
      </c>
      <c r="AB444" s="99">
        <v>0</v>
      </c>
      <c r="AC444" s="99">
        <v>0</v>
      </c>
      <c r="AD444" s="99">
        <v>0</v>
      </c>
      <c r="AE444" s="99">
        <v>0</v>
      </c>
      <c r="AF444" s="99">
        <v>0</v>
      </c>
      <c r="AG444" s="99">
        <v>0</v>
      </c>
      <c r="AH444" s="99">
        <v>0</v>
      </c>
      <c r="AI444" s="99">
        <v>0</v>
      </c>
      <c r="AJ444" s="99">
        <v>0</v>
      </c>
      <c r="AK444" s="99">
        <v>0</v>
      </c>
      <c r="AL444" s="99">
        <v>0</v>
      </c>
      <c r="AM444" s="99">
        <v>68544.238161226982</v>
      </c>
      <c r="AN444" s="99">
        <v>0</v>
      </c>
      <c r="AO444" s="99">
        <v>43408.495140823921</v>
      </c>
      <c r="AP444" s="99">
        <v>0</v>
      </c>
      <c r="AQ444" s="99">
        <v>0</v>
      </c>
      <c r="AR444" s="99">
        <f t="shared" si="6"/>
        <v>137613.92892607383</v>
      </c>
    </row>
    <row r="445" spans="1:44" ht="15" x14ac:dyDescent="0.25">
      <c r="A445" s="258">
        <v>438</v>
      </c>
      <c r="B445" s="258" t="e">
        <v>#N/A</v>
      </c>
      <c r="C445" s="258" t="s">
        <v>1816</v>
      </c>
      <c r="D445" s="859" t="s">
        <v>1817</v>
      </c>
      <c r="E445" s="99">
        <v>0</v>
      </c>
      <c r="F445" s="99">
        <v>0</v>
      </c>
      <c r="G445" s="99">
        <v>0</v>
      </c>
      <c r="H445" s="99">
        <v>0</v>
      </c>
      <c r="I445" s="99">
        <v>0</v>
      </c>
      <c r="J445" s="99">
        <v>0</v>
      </c>
      <c r="K445" s="99">
        <v>0</v>
      </c>
      <c r="L445" s="99">
        <v>0</v>
      </c>
      <c r="M445" s="99">
        <v>0</v>
      </c>
      <c r="N445" s="99">
        <v>0</v>
      </c>
      <c r="O445" s="99">
        <v>0</v>
      </c>
      <c r="P445" s="99">
        <v>0</v>
      </c>
      <c r="Q445" s="99">
        <v>0</v>
      </c>
      <c r="R445" s="99">
        <v>0</v>
      </c>
      <c r="S445" s="99">
        <v>0</v>
      </c>
      <c r="T445" s="99">
        <v>0</v>
      </c>
      <c r="U445" s="99">
        <v>0</v>
      </c>
      <c r="V445" s="99">
        <v>0</v>
      </c>
      <c r="W445" s="99">
        <v>0</v>
      </c>
      <c r="X445" s="99">
        <v>0</v>
      </c>
      <c r="Y445" s="99">
        <v>0</v>
      </c>
      <c r="Z445" s="99">
        <v>0</v>
      </c>
      <c r="AA445" s="99">
        <v>0</v>
      </c>
      <c r="AB445" s="99">
        <v>0</v>
      </c>
      <c r="AC445" s="99">
        <v>0</v>
      </c>
      <c r="AD445" s="99">
        <v>0</v>
      </c>
      <c r="AE445" s="99">
        <v>0</v>
      </c>
      <c r="AF445" s="99">
        <v>0</v>
      </c>
      <c r="AG445" s="99">
        <v>0</v>
      </c>
      <c r="AH445" s="99">
        <v>0</v>
      </c>
      <c r="AI445" s="99">
        <v>0</v>
      </c>
      <c r="AJ445" s="99">
        <v>0</v>
      </c>
      <c r="AK445" s="99">
        <v>0</v>
      </c>
      <c r="AL445" s="99">
        <v>0</v>
      </c>
      <c r="AM445" s="99">
        <v>0</v>
      </c>
      <c r="AN445" s="99">
        <v>0</v>
      </c>
      <c r="AO445" s="99">
        <v>1.1379765582724997</v>
      </c>
      <c r="AP445" s="99">
        <v>0</v>
      </c>
      <c r="AQ445" s="99">
        <v>0</v>
      </c>
      <c r="AR445" s="99">
        <f t="shared" si="6"/>
        <v>1.1379765582724997</v>
      </c>
    </row>
    <row r="446" spans="1:44" ht="15" x14ac:dyDescent="0.25">
      <c r="A446" s="258">
        <v>439</v>
      </c>
      <c r="B446" s="258" t="s">
        <v>308</v>
      </c>
      <c r="C446" s="258" t="s">
        <v>1818</v>
      </c>
      <c r="D446" s="859" t="s">
        <v>1819</v>
      </c>
      <c r="E446" s="99">
        <v>0</v>
      </c>
      <c r="F446" s="99">
        <v>0</v>
      </c>
      <c r="G446" s="99">
        <v>0</v>
      </c>
      <c r="H446" s="99">
        <v>0</v>
      </c>
      <c r="I446" s="99">
        <v>0</v>
      </c>
      <c r="J446" s="99">
        <v>0</v>
      </c>
      <c r="K446" s="99">
        <v>0</v>
      </c>
      <c r="L446" s="99">
        <v>0</v>
      </c>
      <c r="M446" s="99">
        <v>0</v>
      </c>
      <c r="N446" s="99">
        <v>0</v>
      </c>
      <c r="O446" s="99">
        <v>0</v>
      </c>
      <c r="P446" s="99">
        <v>0</v>
      </c>
      <c r="Q446" s="99">
        <v>0</v>
      </c>
      <c r="R446" s="99">
        <v>7954.7684210592333</v>
      </c>
      <c r="S446" s="99">
        <v>0</v>
      </c>
      <c r="T446" s="99">
        <v>0</v>
      </c>
      <c r="U446" s="99">
        <v>0</v>
      </c>
      <c r="V446" s="99">
        <v>0</v>
      </c>
      <c r="W446" s="99">
        <v>0</v>
      </c>
      <c r="X446" s="99">
        <v>0</v>
      </c>
      <c r="Y446" s="99">
        <v>0</v>
      </c>
      <c r="Z446" s="99">
        <v>0</v>
      </c>
      <c r="AA446" s="99">
        <v>0</v>
      </c>
      <c r="AB446" s="99">
        <v>0</v>
      </c>
      <c r="AC446" s="99">
        <v>0</v>
      </c>
      <c r="AD446" s="99">
        <v>17727.266180505609</v>
      </c>
      <c r="AE446" s="99">
        <v>0</v>
      </c>
      <c r="AF446" s="99">
        <v>0</v>
      </c>
      <c r="AG446" s="99">
        <v>0</v>
      </c>
      <c r="AH446" s="99">
        <v>0</v>
      </c>
      <c r="AI446" s="99">
        <v>0</v>
      </c>
      <c r="AJ446" s="99">
        <v>0</v>
      </c>
      <c r="AK446" s="99">
        <v>0</v>
      </c>
      <c r="AL446" s="99">
        <v>0</v>
      </c>
      <c r="AM446" s="99">
        <v>0</v>
      </c>
      <c r="AN446" s="99">
        <v>0</v>
      </c>
      <c r="AO446" s="99">
        <v>7434.0215296748156</v>
      </c>
      <c r="AP446" s="99">
        <v>0</v>
      </c>
      <c r="AQ446" s="99">
        <v>0</v>
      </c>
      <c r="AR446" s="99">
        <f t="shared" si="6"/>
        <v>33116.05613123966</v>
      </c>
    </row>
    <row r="447" spans="1:44" ht="15" x14ac:dyDescent="0.25">
      <c r="A447" s="258">
        <v>440</v>
      </c>
      <c r="B447" s="258" t="s">
        <v>308</v>
      </c>
      <c r="C447" s="258" t="s">
        <v>1818</v>
      </c>
      <c r="D447" s="859" t="s">
        <v>1820</v>
      </c>
      <c r="E447" s="99">
        <v>0</v>
      </c>
      <c r="F447" s="99">
        <v>0</v>
      </c>
      <c r="G447" s="99">
        <v>0</v>
      </c>
      <c r="H447" s="99">
        <v>0</v>
      </c>
      <c r="I447" s="99">
        <v>0</v>
      </c>
      <c r="J447" s="99">
        <v>0</v>
      </c>
      <c r="K447" s="99">
        <v>0</v>
      </c>
      <c r="L447" s="99">
        <v>0</v>
      </c>
      <c r="M447" s="99">
        <v>0</v>
      </c>
      <c r="N447" s="99">
        <v>0</v>
      </c>
      <c r="O447" s="99">
        <v>0</v>
      </c>
      <c r="P447" s="99">
        <v>0</v>
      </c>
      <c r="Q447" s="99">
        <v>0</v>
      </c>
      <c r="R447" s="99">
        <v>43539.718206057027</v>
      </c>
      <c r="S447" s="99">
        <v>0</v>
      </c>
      <c r="T447" s="99">
        <v>0</v>
      </c>
      <c r="U447" s="99">
        <v>0</v>
      </c>
      <c r="V447" s="99">
        <v>0</v>
      </c>
      <c r="W447" s="99">
        <v>0</v>
      </c>
      <c r="X447" s="99">
        <v>0</v>
      </c>
      <c r="Y447" s="99">
        <v>0</v>
      </c>
      <c r="Z447" s="99">
        <v>0</v>
      </c>
      <c r="AA447" s="99">
        <v>0</v>
      </c>
      <c r="AB447" s="99">
        <v>0</v>
      </c>
      <c r="AC447" s="99">
        <v>0</v>
      </c>
      <c r="AD447" s="99">
        <v>0</v>
      </c>
      <c r="AE447" s="99">
        <v>0</v>
      </c>
      <c r="AF447" s="99">
        <v>0</v>
      </c>
      <c r="AG447" s="99">
        <v>0</v>
      </c>
      <c r="AH447" s="99">
        <v>0</v>
      </c>
      <c r="AI447" s="99">
        <v>0</v>
      </c>
      <c r="AJ447" s="99">
        <v>0</v>
      </c>
      <c r="AK447" s="99">
        <v>0</v>
      </c>
      <c r="AL447" s="99">
        <v>0</v>
      </c>
      <c r="AM447" s="99">
        <v>26283.007321644269</v>
      </c>
      <c r="AN447" s="99">
        <v>0</v>
      </c>
      <c r="AO447" s="99">
        <v>22437.294136699165</v>
      </c>
      <c r="AP447" s="99">
        <v>0</v>
      </c>
      <c r="AQ447" s="99">
        <v>0</v>
      </c>
      <c r="AR447" s="99">
        <f t="shared" si="6"/>
        <v>92260.019664400461</v>
      </c>
    </row>
    <row r="448" spans="1:44" ht="15" x14ac:dyDescent="0.25">
      <c r="A448" s="258">
        <v>441</v>
      </c>
      <c r="B448" s="258" t="s">
        <v>308</v>
      </c>
      <c r="C448" s="258" t="s">
        <v>1818</v>
      </c>
      <c r="D448" s="859" t="s">
        <v>1821</v>
      </c>
      <c r="E448" s="99">
        <v>0</v>
      </c>
      <c r="F448" s="99">
        <v>0</v>
      </c>
      <c r="G448" s="99">
        <v>0</v>
      </c>
      <c r="H448" s="99">
        <v>0</v>
      </c>
      <c r="I448" s="99">
        <v>0</v>
      </c>
      <c r="J448" s="99">
        <v>0</v>
      </c>
      <c r="K448" s="99">
        <v>0</v>
      </c>
      <c r="L448" s="99">
        <v>0</v>
      </c>
      <c r="M448" s="99">
        <v>0</v>
      </c>
      <c r="N448" s="99">
        <v>0</v>
      </c>
      <c r="O448" s="99">
        <v>0</v>
      </c>
      <c r="P448" s="99">
        <v>0</v>
      </c>
      <c r="Q448" s="99">
        <v>0</v>
      </c>
      <c r="R448" s="99">
        <v>17894.205134563286</v>
      </c>
      <c r="S448" s="99">
        <v>0</v>
      </c>
      <c r="T448" s="99">
        <v>0</v>
      </c>
      <c r="U448" s="99">
        <v>0</v>
      </c>
      <c r="V448" s="99">
        <v>0</v>
      </c>
      <c r="W448" s="99">
        <v>0</v>
      </c>
      <c r="X448" s="99">
        <v>0</v>
      </c>
      <c r="Y448" s="99">
        <v>0</v>
      </c>
      <c r="Z448" s="99">
        <v>0</v>
      </c>
      <c r="AA448" s="99">
        <v>0</v>
      </c>
      <c r="AB448" s="99">
        <v>0</v>
      </c>
      <c r="AC448" s="99">
        <v>0</v>
      </c>
      <c r="AD448" s="99">
        <v>0</v>
      </c>
      <c r="AE448" s="99">
        <v>0</v>
      </c>
      <c r="AF448" s="99">
        <v>0</v>
      </c>
      <c r="AG448" s="99">
        <v>0</v>
      </c>
      <c r="AH448" s="99">
        <v>0</v>
      </c>
      <c r="AI448" s="99">
        <v>0</v>
      </c>
      <c r="AJ448" s="99">
        <v>0</v>
      </c>
      <c r="AK448" s="99">
        <v>0</v>
      </c>
      <c r="AL448" s="99">
        <v>0</v>
      </c>
      <c r="AM448" s="99">
        <v>29009.123331356594</v>
      </c>
      <c r="AN448" s="99">
        <v>0</v>
      </c>
      <c r="AO448" s="99">
        <v>6106.5718744499454</v>
      </c>
      <c r="AP448" s="99">
        <v>0</v>
      </c>
      <c r="AQ448" s="99">
        <v>0</v>
      </c>
      <c r="AR448" s="99">
        <f t="shared" si="6"/>
        <v>53009.90034036983</v>
      </c>
    </row>
    <row r="449" spans="1:44" ht="15" x14ac:dyDescent="0.25">
      <c r="A449" s="258">
        <v>442</v>
      </c>
      <c r="B449" s="258" t="s">
        <v>308</v>
      </c>
      <c r="C449" s="258" t="s">
        <v>1818</v>
      </c>
      <c r="D449" s="859" t="s">
        <v>1822</v>
      </c>
      <c r="E449" s="99">
        <v>0</v>
      </c>
      <c r="F449" s="99">
        <v>0</v>
      </c>
      <c r="G449" s="99">
        <v>0</v>
      </c>
      <c r="H449" s="99">
        <v>0</v>
      </c>
      <c r="I449" s="99">
        <v>0</v>
      </c>
      <c r="J449" s="99">
        <v>0</v>
      </c>
      <c r="K449" s="99">
        <v>0</v>
      </c>
      <c r="L449" s="99">
        <v>0</v>
      </c>
      <c r="M449" s="99">
        <v>0</v>
      </c>
      <c r="N449" s="99">
        <v>0</v>
      </c>
      <c r="O449" s="99">
        <v>0</v>
      </c>
      <c r="P449" s="99">
        <v>0</v>
      </c>
      <c r="Q449" s="99">
        <v>0</v>
      </c>
      <c r="R449" s="99">
        <v>26154.783329941842</v>
      </c>
      <c r="S449" s="99">
        <v>0</v>
      </c>
      <c r="T449" s="99">
        <v>0</v>
      </c>
      <c r="U449" s="99">
        <v>0</v>
      </c>
      <c r="V449" s="99">
        <v>0</v>
      </c>
      <c r="W449" s="99">
        <v>0</v>
      </c>
      <c r="X449" s="99">
        <v>0</v>
      </c>
      <c r="Y449" s="99">
        <v>0</v>
      </c>
      <c r="Z449" s="99">
        <v>0</v>
      </c>
      <c r="AA449" s="99">
        <v>0</v>
      </c>
      <c r="AB449" s="99">
        <v>0</v>
      </c>
      <c r="AC449" s="99">
        <v>0</v>
      </c>
      <c r="AD449" s="99">
        <v>0</v>
      </c>
      <c r="AE449" s="99">
        <v>0</v>
      </c>
      <c r="AF449" s="99">
        <v>0</v>
      </c>
      <c r="AG449" s="99">
        <v>0</v>
      </c>
      <c r="AH449" s="99">
        <v>0</v>
      </c>
      <c r="AI449" s="99">
        <v>0</v>
      </c>
      <c r="AJ449" s="99">
        <v>0</v>
      </c>
      <c r="AK449" s="99">
        <v>0</v>
      </c>
      <c r="AL449" s="99">
        <v>0</v>
      </c>
      <c r="AM449" s="99">
        <v>32938.056181587184</v>
      </c>
      <c r="AN449" s="99">
        <v>0</v>
      </c>
      <c r="AO449" s="99">
        <v>13752.257043963447</v>
      </c>
      <c r="AP449" s="99">
        <v>0</v>
      </c>
      <c r="AQ449" s="99">
        <v>0</v>
      </c>
      <c r="AR449" s="99">
        <f t="shared" si="6"/>
        <v>72845.096555492477</v>
      </c>
    </row>
    <row r="450" spans="1:44" ht="15" x14ac:dyDescent="0.25">
      <c r="A450" s="258">
        <v>443</v>
      </c>
      <c r="B450" s="258" t="s">
        <v>308</v>
      </c>
      <c r="C450" s="258" t="s">
        <v>1818</v>
      </c>
      <c r="D450" s="859" t="s">
        <v>1823</v>
      </c>
      <c r="E450" s="99">
        <v>0</v>
      </c>
      <c r="F450" s="99">
        <v>0</v>
      </c>
      <c r="G450" s="99">
        <v>0</v>
      </c>
      <c r="H450" s="99">
        <v>0</v>
      </c>
      <c r="I450" s="99">
        <v>0</v>
      </c>
      <c r="J450" s="99">
        <v>0</v>
      </c>
      <c r="K450" s="99">
        <v>0</v>
      </c>
      <c r="L450" s="99">
        <v>0</v>
      </c>
      <c r="M450" s="99">
        <v>0</v>
      </c>
      <c r="N450" s="99">
        <v>0</v>
      </c>
      <c r="O450" s="99">
        <v>0</v>
      </c>
      <c r="P450" s="99">
        <v>0</v>
      </c>
      <c r="Q450" s="99">
        <v>0</v>
      </c>
      <c r="R450" s="99">
        <v>2447.9226401822489</v>
      </c>
      <c r="S450" s="99">
        <v>0</v>
      </c>
      <c r="T450" s="99">
        <v>0</v>
      </c>
      <c r="U450" s="99">
        <v>0</v>
      </c>
      <c r="V450" s="99">
        <v>0</v>
      </c>
      <c r="W450" s="99">
        <v>0</v>
      </c>
      <c r="X450" s="99">
        <v>0</v>
      </c>
      <c r="Y450" s="99">
        <v>0</v>
      </c>
      <c r="Z450" s="99">
        <v>0</v>
      </c>
      <c r="AA450" s="99">
        <v>0</v>
      </c>
      <c r="AB450" s="99">
        <v>0</v>
      </c>
      <c r="AC450" s="99">
        <v>0</v>
      </c>
      <c r="AD450" s="99">
        <v>0</v>
      </c>
      <c r="AE450" s="99">
        <v>0</v>
      </c>
      <c r="AF450" s="99">
        <v>0</v>
      </c>
      <c r="AG450" s="99">
        <v>0</v>
      </c>
      <c r="AH450" s="99">
        <v>0</v>
      </c>
      <c r="AI450" s="99">
        <v>0</v>
      </c>
      <c r="AJ450" s="99">
        <v>0</v>
      </c>
      <c r="AK450" s="99">
        <v>0</v>
      </c>
      <c r="AL450" s="99">
        <v>0</v>
      </c>
      <c r="AM450" s="99">
        <v>25964.445198652604</v>
      </c>
      <c r="AN450" s="99">
        <v>0</v>
      </c>
      <c r="AO450" s="99">
        <v>12481.326891132776</v>
      </c>
      <c r="AP450" s="99">
        <v>0</v>
      </c>
      <c r="AQ450" s="99">
        <v>0</v>
      </c>
      <c r="AR450" s="99">
        <f t="shared" si="6"/>
        <v>40893.694729967625</v>
      </c>
    </row>
    <row r="451" spans="1:44" ht="15" x14ac:dyDescent="0.25">
      <c r="A451" s="258">
        <v>444</v>
      </c>
      <c r="B451" s="258" t="s">
        <v>308</v>
      </c>
      <c r="C451" s="258" t="s">
        <v>1818</v>
      </c>
      <c r="D451" s="859" t="s">
        <v>1824</v>
      </c>
      <c r="E451" s="99">
        <v>0</v>
      </c>
      <c r="F451" s="99">
        <v>0</v>
      </c>
      <c r="G451" s="99">
        <v>0</v>
      </c>
      <c r="H451" s="99">
        <v>0</v>
      </c>
      <c r="I451" s="99">
        <v>0</v>
      </c>
      <c r="J451" s="99">
        <v>0</v>
      </c>
      <c r="K451" s="99">
        <v>0</v>
      </c>
      <c r="L451" s="99">
        <v>0</v>
      </c>
      <c r="M451" s="99">
        <v>0</v>
      </c>
      <c r="N451" s="99">
        <v>0</v>
      </c>
      <c r="O451" s="99">
        <v>0</v>
      </c>
      <c r="P451" s="99">
        <v>0</v>
      </c>
      <c r="Q451" s="99">
        <v>0</v>
      </c>
      <c r="R451" s="99">
        <v>0</v>
      </c>
      <c r="S451" s="99">
        <v>0</v>
      </c>
      <c r="T451" s="99">
        <v>0</v>
      </c>
      <c r="U451" s="99">
        <v>0</v>
      </c>
      <c r="V451" s="99">
        <v>0</v>
      </c>
      <c r="W451" s="99">
        <v>0</v>
      </c>
      <c r="X451" s="99">
        <v>0</v>
      </c>
      <c r="Y451" s="99">
        <v>0</v>
      </c>
      <c r="Z451" s="99">
        <v>0</v>
      </c>
      <c r="AA451" s="99">
        <v>0</v>
      </c>
      <c r="AB451" s="99">
        <v>0</v>
      </c>
      <c r="AC451" s="99">
        <v>0</v>
      </c>
      <c r="AD451" s="99">
        <v>0</v>
      </c>
      <c r="AE451" s="99">
        <v>0</v>
      </c>
      <c r="AF451" s="99">
        <v>0</v>
      </c>
      <c r="AG451" s="99">
        <v>0</v>
      </c>
      <c r="AH451" s="99">
        <v>0</v>
      </c>
      <c r="AI451" s="99">
        <v>0</v>
      </c>
      <c r="AJ451" s="99">
        <v>0</v>
      </c>
      <c r="AK451" s="99">
        <v>0</v>
      </c>
      <c r="AL451" s="99">
        <v>0</v>
      </c>
      <c r="AM451" s="99">
        <v>0</v>
      </c>
      <c r="AN451" s="99">
        <v>0</v>
      </c>
      <c r="AO451" s="99">
        <v>0</v>
      </c>
      <c r="AP451" s="99">
        <v>0</v>
      </c>
      <c r="AQ451" s="99">
        <v>0</v>
      </c>
      <c r="AR451" s="99">
        <f t="shared" si="6"/>
        <v>0</v>
      </c>
    </row>
    <row r="452" spans="1:44" ht="15" x14ac:dyDescent="0.25">
      <c r="A452" s="258">
        <v>445</v>
      </c>
      <c r="B452" s="258" t="s">
        <v>308</v>
      </c>
      <c r="C452" s="258" t="s">
        <v>1818</v>
      </c>
      <c r="D452" s="859" t="s">
        <v>1825</v>
      </c>
      <c r="E452" s="99">
        <v>0</v>
      </c>
      <c r="F452" s="99">
        <v>0</v>
      </c>
      <c r="G452" s="99">
        <v>0</v>
      </c>
      <c r="H452" s="99">
        <v>0</v>
      </c>
      <c r="I452" s="99">
        <v>0</v>
      </c>
      <c r="J452" s="99">
        <v>0</v>
      </c>
      <c r="K452" s="99">
        <v>0</v>
      </c>
      <c r="L452" s="99">
        <v>0</v>
      </c>
      <c r="M452" s="99">
        <v>0</v>
      </c>
      <c r="N452" s="99">
        <v>0</v>
      </c>
      <c r="O452" s="99">
        <v>0</v>
      </c>
      <c r="P452" s="99">
        <v>0</v>
      </c>
      <c r="Q452" s="99">
        <v>0</v>
      </c>
      <c r="R452" s="99">
        <v>2083.5096432538285</v>
      </c>
      <c r="S452" s="99">
        <v>0</v>
      </c>
      <c r="T452" s="99">
        <v>0</v>
      </c>
      <c r="U452" s="99">
        <v>0</v>
      </c>
      <c r="V452" s="99">
        <v>0</v>
      </c>
      <c r="W452" s="99">
        <v>0</v>
      </c>
      <c r="X452" s="99">
        <v>0</v>
      </c>
      <c r="Y452" s="99">
        <v>0</v>
      </c>
      <c r="Z452" s="99">
        <v>0</v>
      </c>
      <c r="AA452" s="99">
        <v>0</v>
      </c>
      <c r="AB452" s="99">
        <v>0</v>
      </c>
      <c r="AC452" s="99">
        <v>0</v>
      </c>
      <c r="AD452" s="99">
        <v>0</v>
      </c>
      <c r="AE452" s="99">
        <v>0</v>
      </c>
      <c r="AF452" s="99">
        <v>0</v>
      </c>
      <c r="AG452" s="99">
        <v>0</v>
      </c>
      <c r="AH452" s="99">
        <v>0</v>
      </c>
      <c r="AI452" s="99">
        <v>0</v>
      </c>
      <c r="AJ452" s="99">
        <v>0</v>
      </c>
      <c r="AK452" s="99">
        <v>0</v>
      </c>
      <c r="AL452" s="99">
        <v>0</v>
      </c>
      <c r="AM452" s="99">
        <v>31796.301881823194</v>
      </c>
      <c r="AN452" s="99">
        <v>0</v>
      </c>
      <c r="AO452" s="99">
        <v>8278.0208103935856</v>
      </c>
      <c r="AP452" s="99">
        <v>0</v>
      </c>
      <c r="AQ452" s="99">
        <v>0</v>
      </c>
      <c r="AR452" s="99">
        <f t="shared" si="6"/>
        <v>42157.832335470608</v>
      </c>
    </row>
    <row r="453" spans="1:44" ht="15" x14ac:dyDescent="0.25">
      <c r="A453" s="258">
        <v>446</v>
      </c>
      <c r="B453" s="258" t="s">
        <v>308</v>
      </c>
      <c r="C453" s="258" t="s">
        <v>1818</v>
      </c>
      <c r="D453" s="859" t="s">
        <v>1826</v>
      </c>
      <c r="E453" s="99">
        <v>0</v>
      </c>
      <c r="F453" s="99">
        <v>0</v>
      </c>
      <c r="G453" s="99">
        <v>0</v>
      </c>
      <c r="H453" s="99">
        <v>0</v>
      </c>
      <c r="I453" s="99">
        <v>0</v>
      </c>
      <c r="J453" s="99">
        <v>0</v>
      </c>
      <c r="K453" s="99">
        <v>0</v>
      </c>
      <c r="L453" s="99">
        <v>0</v>
      </c>
      <c r="M453" s="99">
        <v>0</v>
      </c>
      <c r="N453" s="99">
        <v>0</v>
      </c>
      <c r="O453" s="99">
        <v>0</v>
      </c>
      <c r="P453" s="99">
        <v>0</v>
      </c>
      <c r="Q453" s="99">
        <v>0</v>
      </c>
      <c r="R453" s="99">
        <v>0</v>
      </c>
      <c r="S453" s="99">
        <v>0</v>
      </c>
      <c r="T453" s="99">
        <v>0</v>
      </c>
      <c r="U453" s="99">
        <v>0</v>
      </c>
      <c r="V453" s="99">
        <v>0</v>
      </c>
      <c r="W453" s="99">
        <v>0</v>
      </c>
      <c r="X453" s="99">
        <v>0</v>
      </c>
      <c r="Y453" s="99">
        <v>0</v>
      </c>
      <c r="Z453" s="99">
        <v>0</v>
      </c>
      <c r="AA453" s="99">
        <v>0</v>
      </c>
      <c r="AB453" s="99">
        <v>0</v>
      </c>
      <c r="AC453" s="99">
        <v>0</v>
      </c>
      <c r="AD453" s="99">
        <v>0</v>
      </c>
      <c r="AE453" s="99">
        <v>0</v>
      </c>
      <c r="AF453" s="99">
        <v>0</v>
      </c>
      <c r="AG453" s="99">
        <v>0</v>
      </c>
      <c r="AH453" s="99">
        <v>0</v>
      </c>
      <c r="AI453" s="99">
        <v>0</v>
      </c>
      <c r="AJ453" s="99">
        <v>0</v>
      </c>
      <c r="AK453" s="99">
        <v>0</v>
      </c>
      <c r="AL453" s="99">
        <v>0</v>
      </c>
      <c r="AM453" s="99">
        <v>14658.466151258659</v>
      </c>
      <c r="AN453" s="99">
        <v>0</v>
      </c>
      <c r="AO453" s="99">
        <v>8413.2503580683024</v>
      </c>
      <c r="AP453" s="99">
        <v>0</v>
      </c>
      <c r="AQ453" s="99">
        <v>0</v>
      </c>
      <c r="AR453" s="99">
        <f t="shared" si="6"/>
        <v>23071.716509326961</v>
      </c>
    </row>
    <row r="454" spans="1:44" ht="15" x14ac:dyDescent="0.25">
      <c r="A454" s="258">
        <v>447</v>
      </c>
      <c r="B454" s="258" t="s">
        <v>297</v>
      </c>
      <c r="C454" s="258" t="s">
        <v>1827</v>
      </c>
      <c r="D454" s="859" t="s">
        <v>1828</v>
      </c>
      <c r="E454" s="99">
        <v>0</v>
      </c>
      <c r="F454" s="99">
        <v>0</v>
      </c>
      <c r="G454" s="99">
        <v>0</v>
      </c>
      <c r="H454" s="99">
        <v>0</v>
      </c>
      <c r="I454" s="99">
        <v>0</v>
      </c>
      <c r="J454" s="99">
        <v>0</v>
      </c>
      <c r="K454" s="99">
        <v>0</v>
      </c>
      <c r="L454" s="99">
        <v>0</v>
      </c>
      <c r="M454" s="99">
        <v>0</v>
      </c>
      <c r="N454" s="99">
        <v>0</v>
      </c>
      <c r="O454" s="99">
        <v>0</v>
      </c>
      <c r="P454" s="99">
        <v>0</v>
      </c>
      <c r="Q454" s="99">
        <v>0</v>
      </c>
      <c r="R454" s="99">
        <v>4201.4796321968106</v>
      </c>
      <c r="S454" s="99">
        <v>0</v>
      </c>
      <c r="T454" s="99">
        <v>0</v>
      </c>
      <c r="U454" s="99">
        <v>0</v>
      </c>
      <c r="V454" s="99">
        <v>0</v>
      </c>
      <c r="W454" s="99">
        <v>0</v>
      </c>
      <c r="X454" s="99">
        <v>0</v>
      </c>
      <c r="Y454" s="99">
        <v>0</v>
      </c>
      <c r="Z454" s="99">
        <v>0</v>
      </c>
      <c r="AA454" s="99">
        <v>0</v>
      </c>
      <c r="AB454" s="99">
        <v>0</v>
      </c>
      <c r="AC454" s="99">
        <v>0</v>
      </c>
      <c r="AD454" s="99">
        <v>107336.73743371732</v>
      </c>
      <c r="AE454" s="99">
        <v>0</v>
      </c>
      <c r="AF454" s="99">
        <v>0</v>
      </c>
      <c r="AG454" s="99">
        <v>0</v>
      </c>
      <c r="AH454" s="99">
        <v>0</v>
      </c>
      <c r="AI454" s="99">
        <v>0</v>
      </c>
      <c r="AJ454" s="99">
        <v>0</v>
      </c>
      <c r="AK454" s="99">
        <v>0</v>
      </c>
      <c r="AL454" s="99">
        <v>0</v>
      </c>
      <c r="AM454" s="99">
        <v>0</v>
      </c>
      <c r="AN454" s="99">
        <v>0</v>
      </c>
      <c r="AO454" s="99">
        <v>0</v>
      </c>
      <c r="AP454" s="99">
        <v>0</v>
      </c>
      <c r="AQ454" s="99">
        <v>0</v>
      </c>
      <c r="AR454" s="99">
        <f t="shared" si="6"/>
        <v>111538.21706591414</v>
      </c>
    </row>
    <row r="455" spans="1:44" ht="15" x14ac:dyDescent="0.25">
      <c r="A455" s="258">
        <v>448</v>
      </c>
      <c r="B455" s="258" t="s">
        <v>297</v>
      </c>
      <c r="C455" s="258" t="s">
        <v>1827</v>
      </c>
      <c r="D455" s="859" t="s">
        <v>1829</v>
      </c>
      <c r="E455" s="99">
        <v>0</v>
      </c>
      <c r="F455" s="99">
        <v>0</v>
      </c>
      <c r="G455" s="99">
        <v>0</v>
      </c>
      <c r="H455" s="99">
        <v>0</v>
      </c>
      <c r="I455" s="99">
        <v>0</v>
      </c>
      <c r="J455" s="99">
        <v>0</v>
      </c>
      <c r="K455" s="99">
        <v>0</v>
      </c>
      <c r="L455" s="99">
        <v>0</v>
      </c>
      <c r="M455" s="99">
        <v>0</v>
      </c>
      <c r="N455" s="99">
        <v>0</v>
      </c>
      <c r="O455" s="99">
        <v>0</v>
      </c>
      <c r="P455" s="99">
        <v>0</v>
      </c>
      <c r="Q455" s="99">
        <v>0</v>
      </c>
      <c r="R455" s="99">
        <v>722.84186197070028</v>
      </c>
      <c r="S455" s="99">
        <v>0</v>
      </c>
      <c r="T455" s="99">
        <v>0</v>
      </c>
      <c r="U455" s="99">
        <v>0</v>
      </c>
      <c r="V455" s="99">
        <v>0</v>
      </c>
      <c r="W455" s="99">
        <v>0</v>
      </c>
      <c r="X455" s="99">
        <v>11772.686600736573</v>
      </c>
      <c r="Y455" s="99">
        <v>0</v>
      </c>
      <c r="Z455" s="99">
        <v>0</v>
      </c>
      <c r="AA455" s="99">
        <v>0</v>
      </c>
      <c r="AB455" s="99">
        <v>0</v>
      </c>
      <c r="AC455" s="99">
        <v>0</v>
      </c>
      <c r="AD455" s="99">
        <v>103690.75392909419</v>
      </c>
      <c r="AE455" s="99">
        <v>0</v>
      </c>
      <c r="AF455" s="99">
        <v>0</v>
      </c>
      <c r="AG455" s="99">
        <v>0</v>
      </c>
      <c r="AH455" s="99">
        <v>0</v>
      </c>
      <c r="AI455" s="99">
        <v>0</v>
      </c>
      <c r="AJ455" s="99">
        <v>0</v>
      </c>
      <c r="AK455" s="99">
        <v>0</v>
      </c>
      <c r="AL455" s="99">
        <v>0</v>
      </c>
      <c r="AM455" s="99">
        <v>0</v>
      </c>
      <c r="AN455" s="99">
        <v>0</v>
      </c>
      <c r="AO455" s="99">
        <v>0</v>
      </c>
      <c r="AP455" s="99">
        <v>0</v>
      </c>
      <c r="AQ455" s="99">
        <v>0</v>
      </c>
      <c r="AR455" s="99">
        <f t="shared" si="6"/>
        <v>116186.28239180146</v>
      </c>
    </row>
    <row r="456" spans="1:44" ht="15" x14ac:dyDescent="0.25">
      <c r="A456" s="258">
        <v>449</v>
      </c>
      <c r="B456" s="258" t="s">
        <v>297</v>
      </c>
      <c r="C456" s="258" t="s">
        <v>1827</v>
      </c>
      <c r="D456" s="859" t="s">
        <v>1830</v>
      </c>
      <c r="E456" s="99">
        <v>0</v>
      </c>
      <c r="F456" s="99">
        <v>0</v>
      </c>
      <c r="G456" s="99">
        <v>0</v>
      </c>
      <c r="H456" s="99">
        <v>0</v>
      </c>
      <c r="I456" s="99">
        <v>0</v>
      </c>
      <c r="J456" s="99">
        <v>0</v>
      </c>
      <c r="K456" s="99">
        <v>0</v>
      </c>
      <c r="L456" s="99">
        <v>0</v>
      </c>
      <c r="M456" s="99">
        <v>0</v>
      </c>
      <c r="N456" s="99">
        <v>0</v>
      </c>
      <c r="O456" s="99">
        <v>0</v>
      </c>
      <c r="P456" s="99">
        <v>0</v>
      </c>
      <c r="Q456" s="99">
        <v>0</v>
      </c>
      <c r="R456" s="99">
        <v>11708.26355929704</v>
      </c>
      <c r="S456" s="99">
        <v>0</v>
      </c>
      <c r="T456" s="99">
        <v>0</v>
      </c>
      <c r="U456" s="99">
        <v>0</v>
      </c>
      <c r="V456" s="99">
        <v>0</v>
      </c>
      <c r="W456" s="99">
        <v>0</v>
      </c>
      <c r="X456" s="99">
        <v>1451.5369718891823</v>
      </c>
      <c r="Y456" s="99">
        <v>0</v>
      </c>
      <c r="Z456" s="99">
        <v>0</v>
      </c>
      <c r="AA456" s="99">
        <v>0</v>
      </c>
      <c r="AB456" s="99">
        <v>0</v>
      </c>
      <c r="AC456" s="99">
        <v>0</v>
      </c>
      <c r="AD456" s="99">
        <v>0</v>
      </c>
      <c r="AE456" s="99">
        <v>0</v>
      </c>
      <c r="AF456" s="99">
        <v>0</v>
      </c>
      <c r="AG456" s="99">
        <v>0</v>
      </c>
      <c r="AH456" s="99">
        <v>0</v>
      </c>
      <c r="AI456" s="99">
        <v>0</v>
      </c>
      <c r="AJ456" s="99">
        <v>0</v>
      </c>
      <c r="AK456" s="99">
        <v>0</v>
      </c>
      <c r="AL456" s="99">
        <v>0</v>
      </c>
      <c r="AM456" s="99">
        <v>2027.5451818378815</v>
      </c>
      <c r="AN456" s="99">
        <v>0</v>
      </c>
      <c r="AO456" s="99">
        <v>5555.4118947266315</v>
      </c>
      <c r="AP456" s="99">
        <v>0</v>
      </c>
      <c r="AQ456" s="99">
        <v>0</v>
      </c>
      <c r="AR456" s="99">
        <f t="shared" si="6"/>
        <v>20742.757607750736</v>
      </c>
    </row>
    <row r="457" spans="1:44" ht="15" x14ac:dyDescent="0.25">
      <c r="A457" s="258">
        <v>450</v>
      </c>
      <c r="B457" s="258" t="s">
        <v>297</v>
      </c>
      <c r="C457" s="258" t="s">
        <v>1827</v>
      </c>
      <c r="D457" s="859" t="s">
        <v>1831</v>
      </c>
      <c r="E457" s="99">
        <v>0</v>
      </c>
      <c r="F457" s="99">
        <v>0</v>
      </c>
      <c r="G457" s="99">
        <v>0</v>
      </c>
      <c r="H457" s="99">
        <v>0</v>
      </c>
      <c r="I457" s="99">
        <v>0</v>
      </c>
      <c r="J457" s="99">
        <v>0</v>
      </c>
      <c r="K457" s="99">
        <v>0</v>
      </c>
      <c r="L457" s="99">
        <v>0</v>
      </c>
      <c r="M457" s="99">
        <v>0</v>
      </c>
      <c r="N457" s="99">
        <v>0</v>
      </c>
      <c r="O457" s="99">
        <v>0</v>
      </c>
      <c r="P457" s="99">
        <v>5.1214645885829775</v>
      </c>
      <c r="Q457" s="99">
        <v>0</v>
      </c>
      <c r="R457" s="99">
        <v>3799.5110489484741</v>
      </c>
      <c r="S457" s="99">
        <v>0</v>
      </c>
      <c r="T457" s="99">
        <v>0</v>
      </c>
      <c r="U457" s="99">
        <v>0</v>
      </c>
      <c r="V457" s="99">
        <v>0</v>
      </c>
      <c r="W457" s="99">
        <v>0</v>
      </c>
      <c r="X457" s="99">
        <v>20620.245519171604</v>
      </c>
      <c r="Y457" s="99">
        <v>0</v>
      </c>
      <c r="Z457" s="99">
        <v>0</v>
      </c>
      <c r="AA457" s="99">
        <v>0</v>
      </c>
      <c r="AB457" s="99">
        <v>0</v>
      </c>
      <c r="AC457" s="99">
        <v>0</v>
      </c>
      <c r="AD457" s="99">
        <v>15260.874583494322</v>
      </c>
      <c r="AE457" s="99">
        <v>0</v>
      </c>
      <c r="AF457" s="99">
        <v>0</v>
      </c>
      <c r="AG457" s="99">
        <v>0</v>
      </c>
      <c r="AH457" s="99">
        <v>0</v>
      </c>
      <c r="AI457" s="99">
        <v>0</v>
      </c>
      <c r="AJ457" s="99">
        <v>0</v>
      </c>
      <c r="AK457" s="99">
        <v>0</v>
      </c>
      <c r="AL457" s="99">
        <v>0</v>
      </c>
      <c r="AM457" s="99">
        <v>0</v>
      </c>
      <c r="AN457" s="99">
        <v>0</v>
      </c>
      <c r="AO457" s="99">
        <v>0</v>
      </c>
      <c r="AP457" s="99">
        <v>0</v>
      </c>
      <c r="AQ457" s="99">
        <v>0</v>
      </c>
      <c r="AR457" s="99">
        <f t="shared" ref="AR457:AR520" si="7">SUM(E457:AQ457)</f>
        <v>39685.752616202983</v>
      </c>
    </row>
    <row r="458" spans="1:44" ht="15" x14ac:dyDescent="0.25">
      <c r="A458" s="258">
        <v>451</v>
      </c>
      <c r="B458" s="258" t="s">
        <v>297</v>
      </c>
      <c r="C458" s="258" t="s">
        <v>1827</v>
      </c>
      <c r="D458" s="859" t="s">
        <v>1832</v>
      </c>
      <c r="E458" s="99">
        <v>0</v>
      </c>
      <c r="F458" s="99">
        <v>0</v>
      </c>
      <c r="G458" s="99">
        <v>0</v>
      </c>
      <c r="H458" s="99">
        <v>0</v>
      </c>
      <c r="I458" s="99">
        <v>0</v>
      </c>
      <c r="J458" s="99">
        <v>0</v>
      </c>
      <c r="K458" s="99">
        <v>0</v>
      </c>
      <c r="L458" s="99">
        <v>0</v>
      </c>
      <c r="M458" s="99">
        <v>0</v>
      </c>
      <c r="N458" s="99">
        <v>0</v>
      </c>
      <c r="O458" s="99">
        <v>0</v>
      </c>
      <c r="P458" s="99">
        <v>0</v>
      </c>
      <c r="Q458" s="99">
        <v>0</v>
      </c>
      <c r="R458" s="99">
        <v>13049.328149918674</v>
      </c>
      <c r="S458" s="99">
        <v>0</v>
      </c>
      <c r="T458" s="99">
        <v>0</v>
      </c>
      <c r="U458" s="99">
        <v>0</v>
      </c>
      <c r="V458" s="99">
        <v>0</v>
      </c>
      <c r="W458" s="99">
        <v>0</v>
      </c>
      <c r="X458" s="99">
        <v>0</v>
      </c>
      <c r="Y458" s="99">
        <v>0</v>
      </c>
      <c r="Z458" s="99">
        <v>0</v>
      </c>
      <c r="AA458" s="99">
        <v>0</v>
      </c>
      <c r="AB458" s="99">
        <v>0</v>
      </c>
      <c r="AC458" s="99">
        <v>0</v>
      </c>
      <c r="AD458" s="99">
        <v>0</v>
      </c>
      <c r="AE458" s="99">
        <v>0</v>
      </c>
      <c r="AF458" s="99">
        <v>0</v>
      </c>
      <c r="AG458" s="99">
        <v>0</v>
      </c>
      <c r="AH458" s="99">
        <v>0</v>
      </c>
      <c r="AI458" s="99">
        <v>0</v>
      </c>
      <c r="AJ458" s="99">
        <v>0</v>
      </c>
      <c r="AK458" s="99">
        <v>0</v>
      </c>
      <c r="AL458" s="99">
        <v>0</v>
      </c>
      <c r="AM458" s="99">
        <v>4382.2934122458682</v>
      </c>
      <c r="AN458" s="99">
        <v>0</v>
      </c>
      <c r="AO458" s="99">
        <v>6364.513227658379</v>
      </c>
      <c r="AP458" s="99">
        <v>0</v>
      </c>
      <c r="AQ458" s="99">
        <v>0</v>
      </c>
      <c r="AR458" s="99">
        <f t="shared" si="7"/>
        <v>23796.134789822921</v>
      </c>
    </row>
    <row r="459" spans="1:44" ht="15" x14ac:dyDescent="0.25">
      <c r="A459" s="258">
        <v>452</v>
      </c>
      <c r="B459" s="258" t="s">
        <v>297</v>
      </c>
      <c r="C459" s="258" t="s">
        <v>1827</v>
      </c>
      <c r="D459" s="859" t="s">
        <v>1833</v>
      </c>
      <c r="E459" s="99">
        <v>0</v>
      </c>
      <c r="F459" s="99">
        <v>0</v>
      </c>
      <c r="G459" s="99">
        <v>0</v>
      </c>
      <c r="H459" s="99">
        <v>0</v>
      </c>
      <c r="I459" s="99">
        <v>0</v>
      </c>
      <c r="J459" s="99">
        <v>0</v>
      </c>
      <c r="K459" s="99">
        <v>0</v>
      </c>
      <c r="L459" s="99">
        <v>0</v>
      </c>
      <c r="M459" s="99">
        <v>0</v>
      </c>
      <c r="N459" s="99">
        <v>0</v>
      </c>
      <c r="O459" s="99">
        <v>0</v>
      </c>
      <c r="P459" s="99">
        <v>0</v>
      </c>
      <c r="Q459" s="99">
        <v>0</v>
      </c>
      <c r="R459" s="99">
        <v>28250.673935718722</v>
      </c>
      <c r="S459" s="99">
        <v>0</v>
      </c>
      <c r="T459" s="99">
        <v>0</v>
      </c>
      <c r="U459" s="99">
        <v>0</v>
      </c>
      <c r="V459" s="99">
        <v>0</v>
      </c>
      <c r="W459" s="99">
        <v>0</v>
      </c>
      <c r="X459" s="99">
        <v>1862.5384625484123</v>
      </c>
      <c r="Y459" s="99">
        <v>0</v>
      </c>
      <c r="Z459" s="99">
        <v>0</v>
      </c>
      <c r="AA459" s="99">
        <v>0</v>
      </c>
      <c r="AB459" s="99">
        <v>0</v>
      </c>
      <c r="AC459" s="99">
        <v>0</v>
      </c>
      <c r="AD459" s="99">
        <v>2137.7231688452262</v>
      </c>
      <c r="AE459" s="99">
        <v>0</v>
      </c>
      <c r="AF459" s="99">
        <v>0</v>
      </c>
      <c r="AG459" s="99">
        <v>0</v>
      </c>
      <c r="AH459" s="99">
        <v>0</v>
      </c>
      <c r="AI459" s="99">
        <v>0</v>
      </c>
      <c r="AJ459" s="99">
        <v>0</v>
      </c>
      <c r="AK459" s="99">
        <v>0</v>
      </c>
      <c r="AL459" s="99">
        <v>0</v>
      </c>
      <c r="AM459" s="99">
        <v>18371.183841459952</v>
      </c>
      <c r="AN459" s="99">
        <v>0</v>
      </c>
      <c r="AO459" s="99">
        <v>8985.8422296390818</v>
      </c>
      <c r="AP459" s="99">
        <v>0</v>
      </c>
      <c r="AQ459" s="99">
        <v>0</v>
      </c>
      <c r="AR459" s="99">
        <f t="shared" si="7"/>
        <v>59607.961638211389</v>
      </c>
    </row>
    <row r="460" spans="1:44" ht="15" x14ac:dyDescent="0.25">
      <c r="A460" s="258">
        <v>453</v>
      </c>
      <c r="B460" s="258" t="s">
        <v>297</v>
      </c>
      <c r="C460" s="258" t="s">
        <v>1827</v>
      </c>
      <c r="D460" s="859" t="s">
        <v>1834</v>
      </c>
      <c r="E460" s="99">
        <v>0</v>
      </c>
      <c r="F460" s="99">
        <v>0</v>
      </c>
      <c r="G460" s="99">
        <v>0</v>
      </c>
      <c r="H460" s="99">
        <v>0</v>
      </c>
      <c r="I460" s="99">
        <v>0</v>
      </c>
      <c r="J460" s="99">
        <v>0</v>
      </c>
      <c r="K460" s="99">
        <v>0</v>
      </c>
      <c r="L460" s="99">
        <v>0</v>
      </c>
      <c r="M460" s="99">
        <v>0</v>
      </c>
      <c r="N460" s="99">
        <v>0</v>
      </c>
      <c r="O460" s="99">
        <v>0</v>
      </c>
      <c r="P460" s="99">
        <v>0</v>
      </c>
      <c r="Q460" s="99">
        <v>0</v>
      </c>
      <c r="R460" s="99">
        <v>15801.409769417172</v>
      </c>
      <c r="S460" s="99">
        <v>0</v>
      </c>
      <c r="T460" s="99">
        <v>0</v>
      </c>
      <c r="U460" s="99">
        <v>0</v>
      </c>
      <c r="V460" s="99">
        <v>0</v>
      </c>
      <c r="W460" s="99">
        <v>0</v>
      </c>
      <c r="X460" s="99">
        <v>0</v>
      </c>
      <c r="Y460" s="99">
        <v>0</v>
      </c>
      <c r="Z460" s="99">
        <v>0</v>
      </c>
      <c r="AA460" s="99">
        <v>0</v>
      </c>
      <c r="AB460" s="99">
        <v>0</v>
      </c>
      <c r="AC460" s="99">
        <v>0</v>
      </c>
      <c r="AD460" s="99">
        <v>2458.7338983121695</v>
      </c>
      <c r="AE460" s="99">
        <v>0</v>
      </c>
      <c r="AF460" s="99">
        <v>0</v>
      </c>
      <c r="AG460" s="99">
        <v>0</v>
      </c>
      <c r="AH460" s="99">
        <v>0</v>
      </c>
      <c r="AI460" s="99">
        <v>0</v>
      </c>
      <c r="AJ460" s="99">
        <v>0</v>
      </c>
      <c r="AK460" s="99">
        <v>0</v>
      </c>
      <c r="AL460" s="99">
        <v>0</v>
      </c>
      <c r="AM460" s="99">
        <v>23366.982969774766</v>
      </c>
      <c r="AN460" s="99">
        <v>0</v>
      </c>
      <c r="AO460" s="99">
        <v>7031.746816325488</v>
      </c>
      <c r="AP460" s="99">
        <v>0</v>
      </c>
      <c r="AQ460" s="99">
        <v>0</v>
      </c>
      <c r="AR460" s="99">
        <f t="shared" si="7"/>
        <v>48658.873453829598</v>
      </c>
    </row>
    <row r="461" spans="1:44" ht="15" x14ac:dyDescent="0.25">
      <c r="A461" s="258">
        <v>454</v>
      </c>
      <c r="B461" s="258" t="s">
        <v>983</v>
      </c>
      <c r="C461" s="258" t="s">
        <v>1835</v>
      </c>
      <c r="D461" s="859" t="s">
        <v>1836</v>
      </c>
      <c r="E461" s="99">
        <v>0</v>
      </c>
      <c r="F461" s="99">
        <v>0</v>
      </c>
      <c r="G461" s="99">
        <v>0</v>
      </c>
      <c r="H461" s="99">
        <v>0</v>
      </c>
      <c r="I461" s="99">
        <v>0</v>
      </c>
      <c r="J461" s="99">
        <v>0</v>
      </c>
      <c r="K461" s="99">
        <v>0</v>
      </c>
      <c r="L461" s="99">
        <v>0</v>
      </c>
      <c r="M461" s="99">
        <v>0</v>
      </c>
      <c r="N461" s="99">
        <v>0</v>
      </c>
      <c r="O461" s="99">
        <v>0</v>
      </c>
      <c r="P461" s="99">
        <v>0</v>
      </c>
      <c r="Q461" s="99">
        <v>0</v>
      </c>
      <c r="R461" s="99">
        <v>0</v>
      </c>
      <c r="S461" s="99">
        <v>0</v>
      </c>
      <c r="T461" s="99">
        <v>0</v>
      </c>
      <c r="U461" s="99">
        <v>0</v>
      </c>
      <c r="V461" s="99">
        <v>0</v>
      </c>
      <c r="W461" s="99">
        <v>0</v>
      </c>
      <c r="X461" s="99">
        <v>6910.839699035927</v>
      </c>
      <c r="Y461" s="99">
        <v>0</v>
      </c>
      <c r="Z461" s="99">
        <v>0</v>
      </c>
      <c r="AA461" s="99">
        <v>0</v>
      </c>
      <c r="AB461" s="99">
        <v>0</v>
      </c>
      <c r="AC461" s="99">
        <v>0</v>
      </c>
      <c r="AD461" s="99">
        <v>21011.193690634522</v>
      </c>
      <c r="AE461" s="99">
        <v>0</v>
      </c>
      <c r="AF461" s="99">
        <v>0</v>
      </c>
      <c r="AG461" s="99">
        <v>0</v>
      </c>
      <c r="AH461" s="99">
        <v>0</v>
      </c>
      <c r="AI461" s="99">
        <v>0</v>
      </c>
      <c r="AJ461" s="99">
        <v>0</v>
      </c>
      <c r="AK461" s="99">
        <v>0</v>
      </c>
      <c r="AL461" s="99">
        <v>0</v>
      </c>
      <c r="AM461" s="99">
        <v>0</v>
      </c>
      <c r="AN461" s="99">
        <v>0</v>
      </c>
      <c r="AO461" s="99">
        <v>0</v>
      </c>
      <c r="AP461" s="99">
        <v>0</v>
      </c>
      <c r="AQ461" s="99">
        <v>0</v>
      </c>
      <c r="AR461" s="99">
        <f t="shared" si="7"/>
        <v>27922.033389670447</v>
      </c>
    </row>
    <row r="462" spans="1:44" ht="15" x14ac:dyDescent="0.25">
      <c r="A462" s="258">
        <v>455</v>
      </c>
      <c r="B462" s="258" t="s">
        <v>983</v>
      </c>
      <c r="C462" s="258" t="s">
        <v>1835</v>
      </c>
      <c r="D462" s="859" t="s">
        <v>1837</v>
      </c>
      <c r="E462" s="99">
        <v>0</v>
      </c>
      <c r="F462" s="99">
        <v>0</v>
      </c>
      <c r="G462" s="99">
        <v>0</v>
      </c>
      <c r="H462" s="99">
        <v>0</v>
      </c>
      <c r="I462" s="99">
        <v>0</v>
      </c>
      <c r="J462" s="99">
        <v>0</v>
      </c>
      <c r="K462" s="99">
        <v>0</v>
      </c>
      <c r="L462" s="99">
        <v>0</v>
      </c>
      <c r="M462" s="99">
        <v>0</v>
      </c>
      <c r="N462" s="99">
        <v>0</v>
      </c>
      <c r="O462" s="99">
        <v>0</v>
      </c>
      <c r="P462" s="99">
        <v>0</v>
      </c>
      <c r="Q462" s="99">
        <v>0</v>
      </c>
      <c r="R462" s="99">
        <v>1440.5249895567968</v>
      </c>
      <c r="S462" s="99">
        <v>0</v>
      </c>
      <c r="T462" s="99">
        <v>0</v>
      </c>
      <c r="U462" s="99">
        <v>0</v>
      </c>
      <c r="V462" s="99">
        <v>0</v>
      </c>
      <c r="W462" s="99">
        <v>0</v>
      </c>
      <c r="X462" s="99">
        <v>36430.771154970069</v>
      </c>
      <c r="Y462" s="99">
        <v>0</v>
      </c>
      <c r="Z462" s="99">
        <v>0</v>
      </c>
      <c r="AA462" s="99">
        <v>0</v>
      </c>
      <c r="AB462" s="99">
        <v>0</v>
      </c>
      <c r="AC462" s="99">
        <v>0</v>
      </c>
      <c r="AD462" s="99">
        <v>37912.347335479491</v>
      </c>
      <c r="AE462" s="99">
        <v>0</v>
      </c>
      <c r="AF462" s="99">
        <v>0</v>
      </c>
      <c r="AG462" s="99">
        <v>0</v>
      </c>
      <c r="AH462" s="99">
        <v>0</v>
      </c>
      <c r="AI462" s="99">
        <v>0</v>
      </c>
      <c r="AJ462" s="99">
        <v>0</v>
      </c>
      <c r="AK462" s="99">
        <v>0</v>
      </c>
      <c r="AL462" s="99">
        <v>0</v>
      </c>
      <c r="AM462" s="99">
        <v>0</v>
      </c>
      <c r="AN462" s="99">
        <v>0</v>
      </c>
      <c r="AO462" s="99">
        <v>638.59451195058432</v>
      </c>
      <c r="AP462" s="99">
        <v>0</v>
      </c>
      <c r="AQ462" s="99">
        <v>0</v>
      </c>
      <c r="AR462" s="99">
        <f t="shared" si="7"/>
        <v>76422.237991956936</v>
      </c>
    </row>
    <row r="463" spans="1:44" ht="15" x14ac:dyDescent="0.25">
      <c r="A463" s="258">
        <v>456</v>
      </c>
      <c r="B463" s="258" t="s">
        <v>983</v>
      </c>
      <c r="C463" s="258" t="s">
        <v>1835</v>
      </c>
      <c r="D463" s="859" t="s">
        <v>1838</v>
      </c>
      <c r="E463" s="99">
        <v>0</v>
      </c>
      <c r="F463" s="99">
        <v>0</v>
      </c>
      <c r="G463" s="99">
        <v>0</v>
      </c>
      <c r="H463" s="99">
        <v>0</v>
      </c>
      <c r="I463" s="99">
        <v>0</v>
      </c>
      <c r="J463" s="99">
        <v>0</v>
      </c>
      <c r="K463" s="99">
        <v>0</v>
      </c>
      <c r="L463" s="99">
        <v>0</v>
      </c>
      <c r="M463" s="99">
        <v>0</v>
      </c>
      <c r="N463" s="99">
        <v>0</v>
      </c>
      <c r="O463" s="99">
        <v>0</v>
      </c>
      <c r="P463" s="99">
        <v>0</v>
      </c>
      <c r="Q463" s="99">
        <v>0</v>
      </c>
      <c r="R463" s="99">
        <v>0</v>
      </c>
      <c r="S463" s="99">
        <v>0</v>
      </c>
      <c r="T463" s="99">
        <v>0</v>
      </c>
      <c r="U463" s="99">
        <v>0</v>
      </c>
      <c r="V463" s="99">
        <v>0</v>
      </c>
      <c r="W463" s="99">
        <v>0</v>
      </c>
      <c r="X463" s="99">
        <v>4316.5180945820575</v>
      </c>
      <c r="Y463" s="99">
        <v>0</v>
      </c>
      <c r="Z463" s="99">
        <v>0</v>
      </c>
      <c r="AA463" s="99">
        <v>0</v>
      </c>
      <c r="AB463" s="99">
        <v>0</v>
      </c>
      <c r="AC463" s="99">
        <v>0</v>
      </c>
      <c r="AD463" s="99">
        <v>25766.624582785564</v>
      </c>
      <c r="AE463" s="99">
        <v>0</v>
      </c>
      <c r="AF463" s="99">
        <v>0</v>
      </c>
      <c r="AG463" s="99">
        <v>0</v>
      </c>
      <c r="AH463" s="99">
        <v>0</v>
      </c>
      <c r="AI463" s="99">
        <v>0</v>
      </c>
      <c r="AJ463" s="99">
        <v>0</v>
      </c>
      <c r="AK463" s="99">
        <v>0</v>
      </c>
      <c r="AL463" s="99">
        <v>0</v>
      </c>
      <c r="AM463" s="99">
        <v>0</v>
      </c>
      <c r="AN463" s="99">
        <v>0</v>
      </c>
      <c r="AO463" s="99">
        <v>0</v>
      </c>
      <c r="AP463" s="99">
        <v>0</v>
      </c>
      <c r="AQ463" s="99">
        <v>0</v>
      </c>
      <c r="AR463" s="99">
        <f t="shared" si="7"/>
        <v>30083.142677367621</v>
      </c>
    </row>
    <row r="464" spans="1:44" ht="15" x14ac:dyDescent="0.25">
      <c r="A464" s="258">
        <v>457</v>
      </c>
      <c r="B464" s="258" t="s">
        <v>983</v>
      </c>
      <c r="C464" s="258" t="s">
        <v>1835</v>
      </c>
      <c r="D464" s="859" t="s">
        <v>1839</v>
      </c>
      <c r="E464" s="99">
        <v>0</v>
      </c>
      <c r="F464" s="99">
        <v>0</v>
      </c>
      <c r="G464" s="99">
        <v>0</v>
      </c>
      <c r="H464" s="99">
        <v>0</v>
      </c>
      <c r="I464" s="99">
        <v>0</v>
      </c>
      <c r="J464" s="99">
        <v>0</v>
      </c>
      <c r="K464" s="99">
        <v>0</v>
      </c>
      <c r="L464" s="99">
        <v>0</v>
      </c>
      <c r="M464" s="99">
        <v>0</v>
      </c>
      <c r="N464" s="99">
        <v>0</v>
      </c>
      <c r="O464" s="99">
        <v>0</v>
      </c>
      <c r="P464" s="99">
        <v>0</v>
      </c>
      <c r="Q464" s="99">
        <v>0</v>
      </c>
      <c r="R464" s="99">
        <v>0</v>
      </c>
      <c r="S464" s="99">
        <v>0</v>
      </c>
      <c r="T464" s="99">
        <v>0</v>
      </c>
      <c r="U464" s="99">
        <v>0</v>
      </c>
      <c r="V464" s="99">
        <v>0</v>
      </c>
      <c r="W464" s="99">
        <v>0</v>
      </c>
      <c r="X464" s="99">
        <v>6275.2910525043371</v>
      </c>
      <c r="Y464" s="99">
        <v>0</v>
      </c>
      <c r="Z464" s="99">
        <v>0</v>
      </c>
      <c r="AA464" s="99">
        <v>0</v>
      </c>
      <c r="AB464" s="99">
        <v>0</v>
      </c>
      <c r="AC464" s="99">
        <v>0</v>
      </c>
      <c r="AD464" s="99">
        <v>2410.3372425337566</v>
      </c>
      <c r="AE464" s="99">
        <v>0</v>
      </c>
      <c r="AF464" s="99">
        <v>0</v>
      </c>
      <c r="AG464" s="99">
        <v>0</v>
      </c>
      <c r="AH464" s="99">
        <v>0</v>
      </c>
      <c r="AI464" s="99">
        <v>0</v>
      </c>
      <c r="AJ464" s="99">
        <v>0</v>
      </c>
      <c r="AK464" s="99">
        <v>0</v>
      </c>
      <c r="AL464" s="99">
        <v>0</v>
      </c>
      <c r="AM464" s="99">
        <v>0</v>
      </c>
      <c r="AN464" s="99">
        <v>0</v>
      </c>
      <c r="AO464" s="99">
        <v>0</v>
      </c>
      <c r="AP464" s="99">
        <v>0</v>
      </c>
      <c r="AQ464" s="99">
        <v>0</v>
      </c>
      <c r="AR464" s="99">
        <f t="shared" si="7"/>
        <v>8685.6282950380937</v>
      </c>
    </row>
    <row r="465" spans="1:44" ht="15" x14ac:dyDescent="0.25">
      <c r="A465" s="258">
        <v>458</v>
      </c>
      <c r="B465" s="258" t="s">
        <v>983</v>
      </c>
      <c r="C465" s="258" t="s">
        <v>1835</v>
      </c>
      <c r="D465" s="859" t="s">
        <v>1840</v>
      </c>
      <c r="E465" s="99">
        <v>0</v>
      </c>
      <c r="F465" s="99">
        <v>0</v>
      </c>
      <c r="G465" s="99">
        <v>0</v>
      </c>
      <c r="H465" s="99">
        <v>0</v>
      </c>
      <c r="I465" s="99">
        <v>0</v>
      </c>
      <c r="J465" s="99">
        <v>0</v>
      </c>
      <c r="K465" s="99">
        <v>0</v>
      </c>
      <c r="L465" s="99">
        <v>0</v>
      </c>
      <c r="M465" s="99">
        <v>0</v>
      </c>
      <c r="N465" s="99">
        <v>0</v>
      </c>
      <c r="O465" s="99">
        <v>0</v>
      </c>
      <c r="P465" s="99">
        <v>0</v>
      </c>
      <c r="Q465" s="99">
        <v>0</v>
      </c>
      <c r="R465" s="99">
        <v>0</v>
      </c>
      <c r="S465" s="99">
        <v>0</v>
      </c>
      <c r="T465" s="99">
        <v>0</v>
      </c>
      <c r="U465" s="99">
        <v>0</v>
      </c>
      <c r="V465" s="99">
        <v>0</v>
      </c>
      <c r="W465" s="99">
        <v>0</v>
      </c>
      <c r="X465" s="99">
        <v>33417.42851857582</v>
      </c>
      <c r="Y465" s="99">
        <v>0</v>
      </c>
      <c r="Z465" s="99">
        <v>0</v>
      </c>
      <c r="AA465" s="99">
        <v>0</v>
      </c>
      <c r="AB465" s="99">
        <v>0</v>
      </c>
      <c r="AC465" s="99">
        <v>0</v>
      </c>
      <c r="AD465" s="99">
        <v>42233.739865364638</v>
      </c>
      <c r="AE465" s="99">
        <v>0</v>
      </c>
      <c r="AF465" s="99">
        <v>0</v>
      </c>
      <c r="AG465" s="99">
        <v>0</v>
      </c>
      <c r="AH465" s="99">
        <v>0</v>
      </c>
      <c r="AI465" s="99">
        <v>0</v>
      </c>
      <c r="AJ465" s="99">
        <v>0</v>
      </c>
      <c r="AK465" s="99">
        <v>0</v>
      </c>
      <c r="AL465" s="99">
        <v>0</v>
      </c>
      <c r="AM465" s="99">
        <v>0</v>
      </c>
      <c r="AN465" s="99">
        <v>0</v>
      </c>
      <c r="AO465" s="99">
        <v>0</v>
      </c>
      <c r="AP465" s="99">
        <v>0</v>
      </c>
      <c r="AQ465" s="99">
        <v>0</v>
      </c>
      <c r="AR465" s="99">
        <f t="shared" si="7"/>
        <v>75651.168383940458</v>
      </c>
    </row>
    <row r="466" spans="1:44" ht="15" x14ac:dyDescent="0.25">
      <c r="A466" s="258">
        <v>459</v>
      </c>
      <c r="B466" s="258" t="s">
        <v>983</v>
      </c>
      <c r="C466" s="258" t="s">
        <v>1835</v>
      </c>
      <c r="D466" s="859" t="s">
        <v>1841</v>
      </c>
      <c r="E466" s="99">
        <v>0</v>
      </c>
      <c r="F466" s="99">
        <v>0</v>
      </c>
      <c r="G466" s="99">
        <v>0</v>
      </c>
      <c r="H466" s="99">
        <v>0</v>
      </c>
      <c r="I466" s="99">
        <v>0</v>
      </c>
      <c r="J466" s="99">
        <v>0</v>
      </c>
      <c r="K466" s="99">
        <v>0</v>
      </c>
      <c r="L466" s="99">
        <v>0</v>
      </c>
      <c r="M466" s="99">
        <v>0</v>
      </c>
      <c r="N466" s="99">
        <v>0</v>
      </c>
      <c r="O466" s="99">
        <v>0</v>
      </c>
      <c r="P466" s="99">
        <v>0</v>
      </c>
      <c r="Q466" s="99">
        <v>0</v>
      </c>
      <c r="R466" s="99">
        <v>321.28597747313171</v>
      </c>
      <c r="S466" s="99">
        <v>0</v>
      </c>
      <c r="T466" s="99">
        <v>0</v>
      </c>
      <c r="U466" s="99">
        <v>0</v>
      </c>
      <c r="V466" s="99">
        <v>0</v>
      </c>
      <c r="W466" s="99">
        <v>0</v>
      </c>
      <c r="X466" s="99">
        <v>2119.1637835453948</v>
      </c>
      <c r="Y466" s="99">
        <v>0</v>
      </c>
      <c r="Z466" s="99">
        <v>0</v>
      </c>
      <c r="AA466" s="99">
        <v>0</v>
      </c>
      <c r="AB466" s="99">
        <v>0</v>
      </c>
      <c r="AC466" s="99">
        <v>0</v>
      </c>
      <c r="AD466" s="99">
        <v>51526.816698663875</v>
      </c>
      <c r="AE466" s="99">
        <v>0</v>
      </c>
      <c r="AF466" s="99">
        <v>0</v>
      </c>
      <c r="AG466" s="99">
        <v>0</v>
      </c>
      <c r="AH466" s="99">
        <v>0</v>
      </c>
      <c r="AI466" s="99">
        <v>0</v>
      </c>
      <c r="AJ466" s="99">
        <v>0</v>
      </c>
      <c r="AK466" s="99">
        <v>0</v>
      </c>
      <c r="AL466" s="99">
        <v>0</v>
      </c>
      <c r="AM466" s="99">
        <v>0</v>
      </c>
      <c r="AN466" s="99">
        <v>0</v>
      </c>
      <c r="AO466" s="99">
        <v>0</v>
      </c>
      <c r="AP466" s="99">
        <v>0</v>
      </c>
      <c r="AQ466" s="99">
        <v>0</v>
      </c>
      <c r="AR466" s="99">
        <f t="shared" si="7"/>
        <v>53967.266459682403</v>
      </c>
    </row>
    <row r="467" spans="1:44" ht="15" x14ac:dyDescent="0.25">
      <c r="A467" s="258">
        <v>460</v>
      </c>
      <c r="B467" s="258" t="s">
        <v>983</v>
      </c>
      <c r="C467" s="258" t="s">
        <v>1835</v>
      </c>
      <c r="D467" s="859" t="s">
        <v>1842</v>
      </c>
      <c r="E467" s="99">
        <v>0</v>
      </c>
      <c r="F467" s="99">
        <v>0</v>
      </c>
      <c r="G467" s="99">
        <v>0</v>
      </c>
      <c r="H467" s="99">
        <v>0</v>
      </c>
      <c r="I467" s="99">
        <v>0</v>
      </c>
      <c r="J467" s="99">
        <v>0</v>
      </c>
      <c r="K467" s="99">
        <v>0</v>
      </c>
      <c r="L467" s="99">
        <v>0</v>
      </c>
      <c r="M467" s="99">
        <v>0</v>
      </c>
      <c r="N467" s="99">
        <v>0</v>
      </c>
      <c r="O467" s="99">
        <v>0</v>
      </c>
      <c r="P467" s="99">
        <v>0</v>
      </c>
      <c r="Q467" s="99">
        <v>0</v>
      </c>
      <c r="R467" s="99">
        <v>2373.0178169178002</v>
      </c>
      <c r="S467" s="99">
        <v>0</v>
      </c>
      <c r="T467" s="99">
        <v>0</v>
      </c>
      <c r="U467" s="99">
        <v>0</v>
      </c>
      <c r="V467" s="99">
        <v>0</v>
      </c>
      <c r="W467" s="99">
        <v>0</v>
      </c>
      <c r="X467" s="99">
        <v>0</v>
      </c>
      <c r="Y467" s="99">
        <v>0</v>
      </c>
      <c r="Z467" s="99">
        <v>0</v>
      </c>
      <c r="AA467" s="99">
        <v>0</v>
      </c>
      <c r="AB467" s="99">
        <v>0</v>
      </c>
      <c r="AC467" s="99">
        <v>0</v>
      </c>
      <c r="AD467" s="99">
        <v>22.6667881493834</v>
      </c>
      <c r="AE467" s="99">
        <v>0</v>
      </c>
      <c r="AF467" s="99">
        <v>0</v>
      </c>
      <c r="AG467" s="99">
        <v>0</v>
      </c>
      <c r="AH467" s="99">
        <v>0</v>
      </c>
      <c r="AI467" s="99">
        <v>0</v>
      </c>
      <c r="AJ467" s="99">
        <v>0</v>
      </c>
      <c r="AK467" s="99">
        <v>0</v>
      </c>
      <c r="AL467" s="99">
        <v>0</v>
      </c>
      <c r="AM467" s="99">
        <v>33.603599471695162</v>
      </c>
      <c r="AN467" s="99">
        <v>0</v>
      </c>
      <c r="AO467" s="99">
        <v>491.98519869314396</v>
      </c>
      <c r="AP467" s="99">
        <v>0</v>
      </c>
      <c r="AQ467" s="99">
        <v>0</v>
      </c>
      <c r="AR467" s="99">
        <f t="shared" si="7"/>
        <v>2921.2734032320232</v>
      </c>
    </row>
    <row r="468" spans="1:44" ht="15" x14ac:dyDescent="0.25">
      <c r="A468" s="258">
        <v>461</v>
      </c>
      <c r="B468" s="258" t="e">
        <v>#N/A</v>
      </c>
      <c r="C468" s="258" t="s">
        <v>1843</v>
      </c>
      <c r="D468" s="859" t="s">
        <v>1844</v>
      </c>
      <c r="E468" s="99">
        <v>0</v>
      </c>
      <c r="F468" s="99">
        <v>0</v>
      </c>
      <c r="G468" s="99">
        <v>0</v>
      </c>
      <c r="H468" s="99">
        <v>0</v>
      </c>
      <c r="I468" s="99">
        <v>0</v>
      </c>
      <c r="J468" s="99">
        <v>0</v>
      </c>
      <c r="K468" s="99">
        <v>0</v>
      </c>
      <c r="L468" s="99">
        <v>0</v>
      </c>
      <c r="M468" s="99">
        <v>0</v>
      </c>
      <c r="N468" s="99">
        <v>0</v>
      </c>
      <c r="O468" s="99">
        <v>0</v>
      </c>
      <c r="P468" s="99">
        <v>0</v>
      </c>
      <c r="Q468" s="99">
        <v>0</v>
      </c>
      <c r="R468" s="99">
        <v>0</v>
      </c>
      <c r="S468" s="99">
        <v>0</v>
      </c>
      <c r="T468" s="99">
        <v>0</v>
      </c>
      <c r="U468" s="99">
        <v>0</v>
      </c>
      <c r="V468" s="99">
        <v>0</v>
      </c>
      <c r="W468" s="99">
        <v>0</v>
      </c>
      <c r="X468" s="99">
        <v>0</v>
      </c>
      <c r="Y468" s="99">
        <v>0</v>
      </c>
      <c r="Z468" s="99">
        <v>0</v>
      </c>
      <c r="AA468" s="99">
        <v>0</v>
      </c>
      <c r="AB468" s="99">
        <v>0</v>
      </c>
      <c r="AC468" s="99">
        <v>0</v>
      </c>
      <c r="AD468" s="99">
        <v>0</v>
      </c>
      <c r="AE468" s="99">
        <v>0</v>
      </c>
      <c r="AF468" s="99">
        <v>0</v>
      </c>
      <c r="AG468" s="99">
        <v>0</v>
      </c>
      <c r="AH468" s="99">
        <v>0</v>
      </c>
      <c r="AI468" s="99">
        <v>0</v>
      </c>
      <c r="AJ468" s="99">
        <v>0</v>
      </c>
      <c r="AK468" s="99">
        <v>0</v>
      </c>
      <c r="AL468" s="99">
        <v>0</v>
      </c>
      <c r="AM468" s="99">
        <v>0</v>
      </c>
      <c r="AN468" s="99">
        <v>0</v>
      </c>
      <c r="AO468" s="99">
        <v>0</v>
      </c>
      <c r="AP468" s="99">
        <v>0</v>
      </c>
      <c r="AQ468" s="99">
        <v>0</v>
      </c>
      <c r="AR468" s="99">
        <f t="shared" si="7"/>
        <v>0</v>
      </c>
    </row>
    <row r="469" spans="1:44" ht="15" x14ac:dyDescent="0.25">
      <c r="A469" s="258">
        <v>462</v>
      </c>
      <c r="B469" s="258" t="s">
        <v>975</v>
      </c>
      <c r="C469" s="258" t="s">
        <v>1845</v>
      </c>
      <c r="D469" s="859" t="s">
        <v>1846</v>
      </c>
      <c r="E469" s="99">
        <v>0</v>
      </c>
      <c r="F469" s="99">
        <v>0</v>
      </c>
      <c r="G469" s="99">
        <v>0</v>
      </c>
      <c r="H469" s="99">
        <v>0</v>
      </c>
      <c r="I469" s="99">
        <v>0</v>
      </c>
      <c r="J469" s="99">
        <v>0</v>
      </c>
      <c r="K469" s="99">
        <v>0</v>
      </c>
      <c r="L469" s="99">
        <v>0</v>
      </c>
      <c r="M469" s="99">
        <v>0</v>
      </c>
      <c r="N469" s="99">
        <v>0</v>
      </c>
      <c r="O469" s="99">
        <v>0</v>
      </c>
      <c r="P469" s="99">
        <v>0</v>
      </c>
      <c r="Q469" s="99">
        <v>0</v>
      </c>
      <c r="R469" s="99">
        <v>0</v>
      </c>
      <c r="S469" s="99">
        <v>0</v>
      </c>
      <c r="T469" s="99">
        <v>0</v>
      </c>
      <c r="U469" s="99">
        <v>0</v>
      </c>
      <c r="V469" s="99">
        <v>0</v>
      </c>
      <c r="W469" s="99">
        <v>0</v>
      </c>
      <c r="X469" s="99">
        <v>0</v>
      </c>
      <c r="Y469" s="99">
        <v>0</v>
      </c>
      <c r="Z469" s="99">
        <v>0</v>
      </c>
      <c r="AA469" s="99">
        <v>0</v>
      </c>
      <c r="AB469" s="99">
        <v>0</v>
      </c>
      <c r="AC469" s="99">
        <v>0</v>
      </c>
      <c r="AD469" s="99">
        <v>0</v>
      </c>
      <c r="AE469" s="99">
        <v>0</v>
      </c>
      <c r="AF469" s="99">
        <v>0</v>
      </c>
      <c r="AG469" s="99">
        <v>0</v>
      </c>
      <c r="AH469" s="99">
        <v>0</v>
      </c>
      <c r="AI469" s="99">
        <v>0</v>
      </c>
      <c r="AJ469" s="99">
        <v>0</v>
      </c>
      <c r="AK469" s="99">
        <v>0</v>
      </c>
      <c r="AL469" s="99">
        <v>0</v>
      </c>
      <c r="AM469" s="99">
        <v>0</v>
      </c>
      <c r="AN469" s="99">
        <v>0</v>
      </c>
      <c r="AO469" s="99">
        <v>0</v>
      </c>
      <c r="AP469" s="99">
        <v>0</v>
      </c>
      <c r="AQ469" s="99">
        <v>0</v>
      </c>
      <c r="AR469" s="99">
        <f t="shared" si="7"/>
        <v>0</v>
      </c>
    </row>
    <row r="470" spans="1:44" ht="15" x14ac:dyDescent="0.25">
      <c r="A470" s="258">
        <v>463</v>
      </c>
      <c r="B470" s="258" t="s">
        <v>975</v>
      </c>
      <c r="C470" s="258" t="s">
        <v>1845</v>
      </c>
      <c r="D470" s="859" t="s">
        <v>1847</v>
      </c>
      <c r="E470" s="99">
        <v>0</v>
      </c>
      <c r="F470" s="99">
        <v>0</v>
      </c>
      <c r="G470" s="99">
        <v>0</v>
      </c>
      <c r="H470" s="99">
        <v>0</v>
      </c>
      <c r="I470" s="99">
        <v>0</v>
      </c>
      <c r="J470" s="99">
        <v>0</v>
      </c>
      <c r="K470" s="99">
        <v>0</v>
      </c>
      <c r="L470" s="99">
        <v>0</v>
      </c>
      <c r="M470" s="99">
        <v>0</v>
      </c>
      <c r="N470" s="99">
        <v>0</v>
      </c>
      <c r="O470" s="99">
        <v>0</v>
      </c>
      <c r="P470" s="99">
        <v>0</v>
      </c>
      <c r="Q470" s="99">
        <v>0</v>
      </c>
      <c r="R470" s="99">
        <v>0</v>
      </c>
      <c r="S470" s="99">
        <v>0</v>
      </c>
      <c r="T470" s="99">
        <v>0</v>
      </c>
      <c r="U470" s="99">
        <v>0</v>
      </c>
      <c r="V470" s="99">
        <v>0</v>
      </c>
      <c r="W470" s="99">
        <v>0</v>
      </c>
      <c r="X470" s="99">
        <v>0</v>
      </c>
      <c r="Y470" s="99">
        <v>0</v>
      </c>
      <c r="Z470" s="99">
        <v>0</v>
      </c>
      <c r="AA470" s="99">
        <v>0</v>
      </c>
      <c r="AB470" s="99">
        <v>0</v>
      </c>
      <c r="AC470" s="99">
        <v>0</v>
      </c>
      <c r="AD470" s="99">
        <v>0</v>
      </c>
      <c r="AE470" s="99">
        <v>0</v>
      </c>
      <c r="AF470" s="99">
        <v>0</v>
      </c>
      <c r="AG470" s="99">
        <v>0</v>
      </c>
      <c r="AH470" s="99">
        <v>0</v>
      </c>
      <c r="AI470" s="99">
        <v>0</v>
      </c>
      <c r="AJ470" s="99">
        <v>0</v>
      </c>
      <c r="AK470" s="99">
        <v>0</v>
      </c>
      <c r="AL470" s="99">
        <v>0</v>
      </c>
      <c r="AM470" s="99">
        <v>0</v>
      </c>
      <c r="AN470" s="99">
        <v>0</v>
      </c>
      <c r="AO470" s="99">
        <v>0</v>
      </c>
      <c r="AP470" s="99">
        <v>0</v>
      </c>
      <c r="AQ470" s="99">
        <v>0</v>
      </c>
      <c r="AR470" s="99">
        <f t="shared" si="7"/>
        <v>0</v>
      </c>
    </row>
    <row r="471" spans="1:44" ht="15" x14ac:dyDescent="0.25">
      <c r="A471" s="258">
        <v>464</v>
      </c>
      <c r="B471" s="258" t="s">
        <v>975</v>
      </c>
      <c r="C471" s="258" t="s">
        <v>1845</v>
      </c>
      <c r="D471" s="859" t="s">
        <v>1848</v>
      </c>
      <c r="E471" s="99">
        <v>0</v>
      </c>
      <c r="F471" s="99">
        <v>0</v>
      </c>
      <c r="G471" s="99">
        <v>0</v>
      </c>
      <c r="H471" s="99">
        <v>0</v>
      </c>
      <c r="I471" s="99">
        <v>0</v>
      </c>
      <c r="J471" s="99">
        <v>0</v>
      </c>
      <c r="K471" s="99">
        <v>0</v>
      </c>
      <c r="L471" s="99">
        <v>0</v>
      </c>
      <c r="M471" s="99">
        <v>0</v>
      </c>
      <c r="N471" s="99">
        <v>0</v>
      </c>
      <c r="O471" s="99">
        <v>0</v>
      </c>
      <c r="P471" s="99">
        <v>0</v>
      </c>
      <c r="Q471" s="99">
        <v>0</v>
      </c>
      <c r="R471" s="99">
        <v>0</v>
      </c>
      <c r="S471" s="99">
        <v>0</v>
      </c>
      <c r="T471" s="99">
        <v>0</v>
      </c>
      <c r="U471" s="99">
        <v>0</v>
      </c>
      <c r="V471" s="99">
        <v>0</v>
      </c>
      <c r="W471" s="99">
        <v>0</v>
      </c>
      <c r="X471" s="99">
        <v>0</v>
      </c>
      <c r="Y471" s="99">
        <v>0</v>
      </c>
      <c r="Z471" s="99">
        <v>0</v>
      </c>
      <c r="AA471" s="99">
        <v>0</v>
      </c>
      <c r="AB471" s="99">
        <v>0</v>
      </c>
      <c r="AC471" s="99">
        <v>0</v>
      </c>
      <c r="AD471" s="99">
        <v>0</v>
      </c>
      <c r="AE471" s="99">
        <v>0</v>
      </c>
      <c r="AF471" s="99">
        <v>0</v>
      </c>
      <c r="AG471" s="99">
        <v>0</v>
      </c>
      <c r="AH471" s="99">
        <v>0</v>
      </c>
      <c r="AI471" s="99">
        <v>0</v>
      </c>
      <c r="AJ471" s="99">
        <v>0</v>
      </c>
      <c r="AK471" s="99">
        <v>0</v>
      </c>
      <c r="AL471" s="99">
        <v>0</v>
      </c>
      <c r="AM471" s="99">
        <v>0</v>
      </c>
      <c r="AN471" s="99">
        <v>0</v>
      </c>
      <c r="AO471" s="99">
        <v>0</v>
      </c>
      <c r="AP471" s="99">
        <v>0</v>
      </c>
      <c r="AQ471" s="99">
        <v>0</v>
      </c>
      <c r="AR471" s="99">
        <f t="shared" si="7"/>
        <v>0</v>
      </c>
    </row>
    <row r="472" spans="1:44" ht="15" x14ac:dyDescent="0.25">
      <c r="A472" s="258">
        <v>465</v>
      </c>
      <c r="B472" s="258" t="s">
        <v>975</v>
      </c>
      <c r="C472" s="258" t="s">
        <v>1845</v>
      </c>
      <c r="D472" s="859" t="s">
        <v>1849</v>
      </c>
      <c r="E472" s="99">
        <v>0</v>
      </c>
      <c r="F472" s="99">
        <v>0</v>
      </c>
      <c r="G472" s="99">
        <v>0</v>
      </c>
      <c r="H472" s="99">
        <v>0</v>
      </c>
      <c r="I472" s="99">
        <v>0</v>
      </c>
      <c r="J472" s="99">
        <v>0</v>
      </c>
      <c r="K472" s="99">
        <v>0</v>
      </c>
      <c r="L472" s="99">
        <v>0</v>
      </c>
      <c r="M472" s="99">
        <v>0</v>
      </c>
      <c r="N472" s="99">
        <v>0</v>
      </c>
      <c r="O472" s="99">
        <v>0</v>
      </c>
      <c r="P472" s="99">
        <v>0</v>
      </c>
      <c r="Q472" s="99">
        <v>0</v>
      </c>
      <c r="R472" s="99">
        <v>0</v>
      </c>
      <c r="S472" s="99">
        <v>0</v>
      </c>
      <c r="T472" s="99">
        <v>0</v>
      </c>
      <c r="U472" s="99">
        <v>0</v>
      </c>
      <c r="V472" s="99">
        <v>0</v>
      </c>
      <c r="W472" s="99">
        <v>0</v>
      </c>
      <c r="X472" s="99">
        <v>0</v>
      </c>
      <c r="Y472" s="99">
        <v>0</v>
      </c>
      <c r="Z472" s="99">
        <v>0</v>
      </c>
      <c r="AA472" s="99">
        <v>0</v>
      </c>
      <c r="AB472" s="99">
        <v>0</v>
      </c>
      <c r="AC472" s="99">
        <v>0</v>
      </c>
      <c r="AD472" s="99">
        <v>0</v>
      </c>
      <c r="AE472" s="99">
        <v>0</v>
      </c>
      <c r="AF472" s="99">
        <v>0</v>
      </c>
      <c r="AG472" s="99">
        <v>0</v>
      </c>
      <c r="AH472" s="99">
        <v>0</v>
      </c>
      <c r="AI472" s="99">
        <v>0</v>
      </c>
      <c r="AJ472" s="99">
        <v>0</v>
      </c>
      <c r="AK472" s="99">
        <v>0</v>
      </c>
      <c r="AL472" s="99">
        <v>0</v>
      </c>
      <c r="AM472" s="99">
        <v>0</v>
      </c>
      <c r="AN472" s="99">
        <v>0</v>
      </c>
      <c r="AO472" s="99">
        <v>0</v>
      </c>
      <c r="AP472" s="99">
        <v>0</v>
      </c>
      <c r="AQ472" s="99">
        <v>0</v>
      </c>
      <c r="AR472" s="99">
        <f t="shared" si="7"/>
        <v>0</v>
      </c>
    </row>
    <row r="473" spans="1:44" ht="15" x14ac:dyDescent="0.25">
      <c r="A473" s="258">
        <v>466</v>
      </c>
      <c r="B473" s="258" t="s">
        <v>975</v>
      </c>
      <c r="C473" s="258" t="s">
        <v>1845</v>
      </c>
      <c r="D473" s="859" t="s">
        <v>1850</v>
      </c>
      <c r="E473" s="99">
        <v>0</v>
      </c>
      <c r="F473" s="99">
        <v>0</v>
      </c>
      <c r="G473" s="99">
        <v>0</v>
      </c>
      <c r="H473" s="99">
        <v>0</v>
      </c>
      <c r="I473" s="99">
        <v>0</v>
      </c>
      <c r="J473" s="99">
        <v>0</v>
      </c>
      <c r="K473" s="99">
        <v>0</v>
      </c>
      <c r="L473" s="99">
        <v>0</v>
      </c>
      <c r="M473" s="99">
        <v>0</v>
      </c>
      <c r="N473" s="99">
        <v>0</v>
      </c>
      <c r="O473" s="99">
        <v>0</v>
      </c>
      <c r="P473" s="99">
        <v>0</v>
      </c>
      <c r="Q473" s="99">
        <v>0</v>
      </c>
      <c r="R473" s="99">
        <v>0</v>
      </c>
      <c r="S473" s="99">
        <v>0</v>
      </c>
      <c r="T473" s="99">
        <v>0</v>
      </c>
      <c r="U473" s="99">
        <v>0</v>
      </c>
      <c r="V473" s="99">
        <v>0</v>
      </c>
      <c r="W473" s="99">
        <v>0</v>
      </c>
      <c r="X473" s="99">
        <v>0</v>
      </c>
      <c r="Y473" s="99">
        <v>0</v>
      </c>
      <c r="Z473" s="99">
        <v>0</v>
      </c>
      <c r="AA473" s="99">
        <v>0</v>
      </c>
      <c r="AB473" s="99">
        <v>0</v>
      </c>
      <c r="AC473" s="99">
        <v>0</v>
      </c>
      <c r="AD473" s="99">
        <v>0</v>
      </c>
      <c r="AE473" s="99">
        <v>0</v>
      </c>
      <c r="AF473" s="99">
        <v>0</v>
      </c>
      <c r="AG473" s="99">
        <v>0</v>
      </c>
      <c r="AH473" s="99">
        <v>0</v>
      </c>
      <c r="AI473" s="99">
        <v>0</v>
      </c>
      <c r="AJ473" s="99">
        <v>0</v>
      </c>
      <c r="AK473" s="99">
        <v>0</v>
      </c>
      <c r="AL473" s="99">
        <v>0</v>
      </c>
      <c r="AM473" s="99">
        <v>0</v>
      </c>
      <c r="AN473" s="99">
        <v>0</v>
      </c>
      <c r="AO473" s="99">
        <v>0</v>
      </c>
      <c r="AP473" s="99">
        <v>0</v>
      </c>
      <c r="AQ473" s="99">
        <v>0</v>
      </c>
      <c r="AR473" s="99">
        <f t="shared" si="7"/>
        <v>0</v>
      </c>
    </row>
    <row r="474" spans="1:44" ht="15" x14ac:dyDescent="0.25">
      <c r="A474" s="258">
        <v>467</v>
      </c>
      <c r="B474" s="258" t="s">
        <v>975</v>
      </c>
      <c r="C474" s="258" t="s">
        <v>1845</v>
      </c>
      <c r="D474" s="859" t="s">
        <v>1851</v>
      </c>
      <c r="E474" s="99">
        <v>0</v>
      </c>
      <c r="F474" s="99">
        <v>0</v>
      </c>
      <c r="G474" s="99">
        <v>0</v>
      </c>
      <c r="H474" s="99">
        <v>0</v>
      </c>
      <c r="I474" s="99">
        <v>0</v>
      </c>
      <c r="J474" s="99">
        <v>0</v>
      </c>
      <c r="K474" s="99">
        <v>0</v>
      </c>
      <c r="L474" s="99">
        <v>0</v>
      </c>
      <c r="M474" s="99">
        <v>0</v>
      </c>
      <c r="N474" s="99">
        <v>0</v>
      </c>
      <c r="O474" s="99">
        <v>0</v>
      </c>
      <c r="P474" s="99">
        <v>0</v>
      </c>
      <c r="Q474" s="99">
        <v>0</v>
      </c>
      <c r="R474" s="99">
        <v>0</v>
      </c>
      <c r="S474" s="99">
        <v>0</v>
      </c>
      <c r="T474" s="99">
        <v>0</v>
      </c>
      <c r="U474" s="99">
        <v>0</v>
      </c>
      <c r="V474" s="99">
        <v>0</v>
      </c>
      <c r="W474" s="99">
        <v>0</v>
      </c>
      <c r="X474" s="99">
        <v>0</v>
      </c>
      <c r="Y474" s="99">
        <v>0</v>
      </c>
      <c r="Z474" s="99">
        <v>0</v>
      </c>
      <c r="AA474" s="99">
        <v>0</v>
      </c>
      <c r="AB474" s="99">
        <v>0</v>
      </c>
      <c r="AC474" s="99">
        <v>0</v>
      </c>
      <c r="AD474" s="99">
        <v>0</v>
      </c>
      <c r="AE474" s="99">
        <v>0</v>
      </c>
      <c r="AF474" s="99">
        <v>0</v>
      </c>
      <c r="AG474" s="99">
        <v>0</v>
      </c>
      <c r="AH474" s="99">
        <v>0</v>
      </c>
      <c r="AI474" s="99">
        <v>0</v>
      </c>
      <c r="AJ474" s="99">
        <v>0</v>
      </c>
      <c r="AK474" s="99">
        <v>0</v>
      </c>
      <c r="AL474" s="99">
        <v>0</v>
      </c>
      <c r="AM474" s="99">
        <v>0</v>
      </c>
      <c r="AN474" s="99">
        <v>0</v>
      </c>
      <c r="AO474" s="99">
        <v>0</v>
      </c>
      <c r="AP474" s="99">
        <v>0</v>
      </c>
      <c r="AQ474" s="99">
        <v>0</v>
      </c>
      <c r="AR474" s="99">
        <f t="shared" si="7"/>
        <v>0</v>
      </c>
    </row>
    <row r="475" spans="1:44" ht="15" x14ac:dyDescent="0.25">
      <c r="A475" s="258">
        <v>468</v>
      </c>
      <c r="B475" s="258" t="s">
        <v>975</v>
      </c>
      <c r="C475" s="258" t="s">
        <v>1845</v>
      </c>
      <c r="D475" s="859" t="s">
        <v>1852</v>
      </c>
      <c r="E475" s="99">
        <v>0</v>
      </c>
      <c r="F475" s="99">
        <v>0</v>
      </c>
      <c r="G475" s="99">
        <v>0</v>
      </c>
      <c r="H475" s="99">
        <v>0</v>
      </c>
      <c r="I475" s="99">
        <v>0</v>
      </c>
      <c r="J475" s="99">
        <v>0</v>
      </c>
      <c r="K475" s="99">
        <v>0</v>
      </c>
      <c r="L475" s="99">
        <v>0</v>
      </c>
      <c r="M475" s="99">
        <v>0</v>
      </c>
      <c r="N475" s="99">
        <v>0</v>
      </c>
      <c r="O475" s="99">
        <v>0</v>
      </c>
      <c r="P475" s="99">
        <v>7.966722693351298</v>
      </c>
      <c r="Q475" s="99">
        <v>0</v>
      </c>
      <c r="R475" s="99">
        <v>0</v>
      </c>
      <c r="S475" s="99">
        <v>0</v>
      </c>
      <c r="T475" s="99">
        <v>0</v>
      </c>
      <c r="U475" s="99">
        <v>0</v>
      </c>
      <c r="V475" s="99">
        <v>0</v>
      </c>
      <c r="W475" s="99">
        <v>0</v>
      </c>
      <c r="X475" s="99">
        <v>0</v>
      </c>
      <c r="Y475" s="99">
        <v>0</v>
      </c>
      <c r="Z475" s="99">
        <v>0</v>
      </c>
      <c r="AA475" s="99">
        <v>0</v>
      </c>
      <c r="AB475" s="99">
        <v>0</v>
      </c>
      <c r="AC475" s="99">
        <v>0</v>
      </c>
      <c r="AD475" s="99">
        <v>0</v>
      </c>
      <c r="AE475" s="99">
        <v>0</v>
      </c>
      <c r="AF475" s="99">
        <v>0</v>
      </c>
      <c r="AG475" s="99">
        <v>0</v>
      </c>
      <c r="AH475" s="99">
        <v>0</v>
      </c>
      <c r="AI475" s="99">
        <v>0</v>
      </c>
      <c r="AJ475" s="99">
        <v>0</v>
      </c>
      <c r="AK475" s="99">
        <v>0</v>
      </c>
      <c r="AL475" s="99">
        <v>0</v>
      </c>
      <c r="AM475" s="99">
        <v>0</v>
      </c>
      <c r="AN475" s="99">
        <v>0</v>
      </c>
      <c r="AO475" s="99">
        <v>0</v>
      </c>
      <c r="AP475" s="99">
        <v>0</v>
      </c>
      <c r="AQ475" s="99">
        <v>0</v>
      </c>
      <c r="AR475" s="99">
        <f t="shared" si="7"/>
        <v>7.966722693351298</v>
      </c>
    </row>
    <row r="476" spans="1:44" ht="15" x14ac:dyDescent="0.25">
      <c r="A476" s="258">
        <v>469</v>
      </c>
      <c r="B476" s="258" t="s">
        <v>975</v>
      </c>
      <c r="C476" s="258" t="s">
        <v>1845</v>
      </c>
      <c r="D476" s="859" t="s">
        <v>1853</v>
      </c>
      <c r="E476" s="99">
        <v>0</v>
      </c>
      <c r="F476" s="99">
        <v>0</v>
      </c>
      <c r="G476" s="99">
        <v>0</v>
      </c>
      <c r="H476" s="99">
        <v>0</v>
      </c>
      <c r="I476" s="99">
        <v>0</v>
      </c>
      <c r="J476" s="99">
        <v>0</v>
      </c>
      <c r="K476" s="99">
        <v>0</v>
      </c>
      <c r="L476" s="99">
        <v>0</v>
      </c>
      <c r="M476" s="99">
        <v>0</v>
      </c>
      <c r="N476" s="99">
        <v>0</v>
      </c>
      <c r="O476" s="99">
        <v>0</v>
      </c>
      <c r="P476" s="99">
        <v>0</v>
      </c>
      <c r="Q476" s="99">
        <v>0</v>
      </c>
      <c r="R476" s="99">
        <v>0</v>
      </c>
      <c r="S476" s="99">
        <v>0</v>
      </c>
      <c r="T476" s="99">
        <v>0</v>
      </c>
      <c r="U476" s="99">
        <v>0</v>
      </c>
      <c r="V476" s="99">
        <v>0</v>
      </c>
      <c r="W476" s="99">
        <v>0</v>
      </c>
      <c r="X476" s="99">
        <v>0</v>
      </c>
      <c r="Y476" s="99">
        <v>0</v>
      </c>
      <c r="Z476" s="99">
        <v>0</v>
      </c>
      <c r="AA476" s="99">
        <v>0</v>
      </c>
      <c r="AB476" s="99">
        <v>0</v>
      </c>
      <c r="AC476" s="99">
        <v>0</v>
      </c>
      <c r="AD476" s="99">
        <v>0</v>
      </c>
      <c r="AE476" s="99">
        <v>0</v>
      </c>
      <c r="AF476" s="99">
        <v>0</v>
      </c>
      <c r="AG476" s="99">
        <v>0</v>
      </c>
      <c r="AH476" s="99">
        <v>0</v>
      </c>
      <c r="AI476" s="99">
        <v>0</v>
      </c>
      <c r="AJ476" s="99">
        <v>0</v>
      </c>
      <c r="AK476" s="99">
        <v>0</v>
      </c>
      <c r="AL476" s="99">
        <v>0</v>
      </c>
      <c r="AM476" s="99">
        <v>0</v>
      </c>
      <c r="AN476" s="99">
        <v>0</v>
      </c>
      <c r="AO476" s="99">
        <v>0</v>
      </c>
      <c r="AP476" s="99">
        <v>0</v>
      </c>
      <c r="AQ476" s="99">
        <v>0</v>
      </c>
      <c r="AR476" s="99">
        <f t="shared" si="7"/>
        <v>0</v>
      </c>
    </row>
    <row r="477" spans="1:44" ht="15" x14ac:dyDescent="0.25">
      <c r="A477" s="258">
        <v>470</v>
      </c>
      <c r="B477" s="258" t="s">
        <v>975</v>
      </c>
      <c r="C477" s="258" t="s">
        <v>1845</v>
      </c>
      <c r="D477" s="859" t="s">
        <v>1854</v>
      </c>
      <c r="E477" s="99">
        <v>0</v>
      </c>
      <c r="F477" s="99">
        <v>0</v>
      </c>
      <c r="G477" s="99">
        <v>0</v>
      </c>
      <c r="H477" s="99">
        <v>0</v>
      </c>
      <c r="I477" s="99">
        <v>0</v>
      </c>
      <c r="J477" s="99">
        <v>15241.476828039305</v>
      </c>
      <c r="K477" s="99">
        <v>0</v>
      </c>
      <c r="L477" s="99">
        <v>0</v>
      </c>
      <c r="M477" s="99">
        <v>0</v>
      </c>
      <c r="N477" s="99">
        <v>0</v>
      </c>
      <c r="O477" s="99">
        <v>0</v>
      </c>
      <c r="P477" s="99">
        <v>0</v>
      </c>
      <c r="Q477" s="99">
        <v>0</v>
      </c>
      <c r="R477" s="99">
        <v>0</v>
      </c>
      <c r="S477" s="99">
        <v>0</v>
      </c>
      <c r="T477" s="99">
        <v>0</v>
      </c>
      <c r="U477" s="99">
        <v>0</v>
      </c>
      <c r="V477" s="99">
        <v>0</v>
      </c>
      <c r="W477" s="99">
        <v>0</v>
      </c>
      <c r="X477" s="99">
        <v>0</v>
      </c>
      <c r="Y477" s="99">
        <v>0</v>
      </c>
      <c r="Z477" s="99">
        <v>0</v>
      </c>
      <c r="AA477" s="99">
        <v>0</v>
      </c>
      <c r="AB477" s="99">
        <v>0</v>
      </c>
      <c r="AC477" s="99">
        <v>0</v>
      </c>
      <c r="AD477" s="99">
        <v>0</v>
      </c>
      <c r="AE477" s="99">
        <v>0</v>
      </c>
      <c r="AF477" s="99">
        <v>0</v>
      </c>
      <c r="AG477" s="99">
        <v>0</v>
      </c>
      <c r="AH477" s="99">
        <v>0</v>
      </c>
      <c r="AI477" s="99">
        <v>0</v>
      </c>
      <c r="AJ477" s="99">
        <v>0</v>
      </c>
      <c r="AK477" s="99">
        <v>0</v>
      </c>
      <c r="AL477" s="99">
        <v>0</v>
      </c>
      <c r="AM477" s="99">
        <v>0</v>
      </c>
      <c r="AN477" s="99">
        <v>0</v>
      </c>
      <c r="AO477" s="99">
        <v>0</v>
      </c>
      <c r="AP477" s="99">
        <v>0</v>
      </c>
      <c r="AQ477" s="99">
        <v>0</v>
      </c>
      <c r="AR477" s="99">
        <f t="shared" si="7"/>
        <v>15241.476828039305</v>
      </c>
    </row>
    <row r="478" spans="1:44" ht="15" x14ac:dyDescent="0.25">
      <c r="A478" s="258">
        <v>471</v>
      </c>
      <c r="B478" s="258" t="s">
        <v>975</v>
      </c>
      <c r="C478" s="258" t="s">
        <v>1845</v>
      </c>
      <c r="D478" s="859" t="s">
        <v>1855</v>
      </c>
      <c r="E478" s="99">
        <v>0</v>
      </c>
      <c r="F478" s="99">
        <v>0</v>
      </c>
      <c r="G478" s="99">
        <v>0</v>
      </c>
      <c r="H478" s="99">
        <v>0</v>
      </c>
      <c r="I478" s="99">
        <v>0</v>
      </c>
      <c r="J478" s="99">
        <v>4354.7076651540874</v>
      </c>
      <c r="K478" s="99">
        <v>0</v>
      </c>
      <c r="L478" s="99">
        <v>0</v>
      </c>
      <c r="M478" s="99">
        <v>0</v>
      </c>
      <c r="N478" s="99">
        <v>0</v>
      </c>
      <c r="O478" s="99">
        <v>0</v>
      </c>
      <c r="P478" s="99">
        <v>0</v>
      </c>
      <c r="Q478" s="99">
        <v>0</v>
      </c>
      <c r="R478" s="99">
        <v>0</v>
      </c>
      <c r="S478" s="99">
        <v>0</v>
      </c>
      <c r="T478" s="99">
        <v>0</v>
      </c>
      <c r="U478" s="99">
        <v>0</v>
      </c>
      <c r="V478" s="99">
        <v>0</v>
      </c>
      <c r="W478" s="99">
        <v>0</v>
      </c>
      <c r="X478" s="99">
        <v>0</v>
      </c>
      <c r="Y478" s="99">
        <v>0</v>
      </c>
      <c r="Z478" s="99">
        <v>0</v>
      </c>
      <c r="AA478" s="99">
        <v>0</v>
      </c>
      <c r="AB478" s="99">
        <v>0</v>
      </c>
      <c r="AC478" s="99">
        <v>0</v>
      </c>
      <c r="AD478" s="99">
        <v>0</v>
      </c>
      <c r="AE478" s="99">
        <v>0</v>
      </c>
      <c r="AF478" s="99">
        <v>0</v>
      </c>
      <c r="AG478" s="99">
        <v>0</v>
      </c>
      <c r="AH478" s="99">
        <v>0</v>
      </c>
      <c r="AI478" s="99">
        <v>0</v>
      </c>
      <c r="AJ478" s="99">
        <v>0</v>
      </c>
      <c r="AK478" s="99">
        <v>0</v>
      </c>
      <c r="AL478" s="99">
        <v>0</v>
      </c>
      <c r="AM478" s="99">
        <v>0</v>
      </c>
      <c r="AN478" s="99">
        <v>0</v>
      </c>
      <c r="AO478" s="99">
        <v>0</v>
      </c>
      <c r="AP478" s="99">
        <v>0</v>
      </c>
      <c r="AQ478" s="99">
        <v>0</v>
      </c>
      <c r="AR478" s="99">
        <f t="shared" si="7"/>
        <v>4354.7076651540874</v>
      </c>
    </row>
    <row r="479" spans="1:44" ht="15" x14ac:dyDescent="0.25">
      <c r="A479" s="258">
        <v>472</v>
      </c>
      <c r="B479" s="258" t="s">
        <v>975</v>
      </c>
      <c r="C479" s="258" t="s">
        <v>1845</v>
      </c>
      <c r="D479" s="859" t="s">
        <v>1856</v>
      </c>
      <c r="E479" s="99">
        <v>0</v>
      </c>
      <c r="F479" s="99">
        <v>0</v>
      </c>
      <c r="G479" s="99">
        <v>0</v>
      </c>
      <c r="H479" s="99">
        <v>0</v>
      </c>
      <c r="I479" s="99">
        <v>0</v>
      </c>
      <c r="J479" s="99">
        <v>0</v>
      </c>
      <c r="K479" s="99">
        <v>0</v>
      </c>
      <c r="L479" s="99">
        <v>0</v>
      </c>
      <c r="M479" s="99">
        <v>0</v>
      </c>
      <c r="N479" s="99">
        <v>0</v>
      </c>
      <c r="O479" s="99">
        <v>0</v>
      </c>
      <c r="P479" s="99">
        <v>0</v>
      </c>
      <c r="Q479" s="99">
        <v>0</v>
      </c>
      <c r="R479" s="99">
        <v>0</v>
      </c>
      <c r="S479" s="99">
        <v>0</v>
      </c>
      <c r="T479" s="99">
        <v>0</v>
      </c>
      <c r="U479" s="99">
        <v>0</v>
      </c>
      <c r="V479" s="99">
        <v>0</v>
      </c>
      <c r="W479" s="99">
        <v>0</v>
      </c>
      <c r="X479" s="99">
        <v>0</v>
      </c>
      <c r="Y479" s="99">
        <v>0</v>
      </c>
      <c r="Z479" s="99">
        <v>0</v>
      </c>
      <c r="AA479" s="99">
        <v>0</v>
      </c>
      <c r="AB479" s="99">
        <v>0</v>
      </c>
      <c r="AC479" s="99">
        <v>0</v>
      </c>
      <c r="AD479" s="99">
        <v>0</v>
      </c>
      <c r="AE479" s="99">
        <v>0</v>
      </c>
      <c r="AF479" s="99">
        <v>0</v>
      </c>
      <c r="AG479" s="99">
        <v>0</v>
      </c>
      <c r="AH479" s="99">
        <v>0</v>
      </c>
      <c r="AI479" s="99">
        <v>0</v>
      </c>
      <c r="AJ479" s="99">
        <v>0</v>
      </c>
      <c r="AK479" s="99">
        <v>0</v>
      </c>
      <c r="AL479" s="99">
        <v>0</v>
      </c>
      <c r="AM479" s="99">
        <v>0</v>
      </c>
      <c r="AN479" s="99">
        <v>0</v>
      </c>
      <c r="AO479" s="99">
        <v>0</v>
      </c>
      <c r="AP479" s="99">
        <v>0</v>
      </c>
      <c r="AQ479" s="99">
        <v>0</v>
      </c>
      <c r="AR479" s="99">
        <f t="shared" si="7"/>
        <v>0</v>
      </c>
    </row>
    <row r="480" spans="1:44" ht="15" x14ac:dyDescent="0.25">
      <c r="A480" s="258">
        <v>473</v>
      </c>
      <c r="B480" s="258" t="s">
        <v>975</v>
      </c>
      <c r="C480" s="258" t="s">
        <v>1845</v>
      </c>
      <c r="D480" s="859" t="s">
        <v>1857</v>
      </c>
      <c r="E480" s="99">
        <v>0</v>
      </c>
      <c r="F480" s="99">
        <v>0</v>
      </c>
      <c r="G480" s="99">
        <v>0</v>
      </c>
      <c r="H480" s="99">
        <v>0</v>
      </c>
      <c r="I480" s="99">
        <v>0</v>
      </c>
      <c r="J480" s="99">
        <v>0</v>
      </c>
      <c r="K480" s="99">
        <v>0</v>
      </c>
      <c r="L480" s="99">
        <v>0</v>
      </c>
      <c r="M480" s="99">
        <v>0</v>
      </c>
      <c r="N480" s="99">
        <v>0</v>
      </c>
      <c r="O480" s="99">
        <v>0</v>
      </c>
      <c r="P480" s="99">
        <v>0</v>
      </c>
      <c r="Q480" s="99">
        <v>0</v>
      </c>
      <c r="R480" s="99">
        <v>0</v>
      </c>
      <c r="S480" s="99">
        <v>0</v>
      </c>
      <c r="T480" s="99">
        <v>0</v>
      </c>
      <c r="U480" s="99">
        <v>0</v>
      </c>
      <c r="V480" s="99">
        <v>0</v>
      </c>
      <c r="W480" s="99">
        <v>0</v>
      </c>
      <c r="X480" s="99">
        <v>0</v>
      </c>
      <c r="Y480" s="99">
        <v>0</v>
      </c>
      <c r="Z480" s="99">
        <v>0</v>
      </c>
      <c r="AA480" s="99">
        <v>0</v>
      </c>
      <c r="AB480" s="99">
        <v>0</v>
      </c>
      <c r="AC480" s="99">
        <v>0</v>
      </c>
      <c r="AD480" s="99">
        <v>0</v>
      </c>
      <c r="AE480" s="99">
        <v>0</v>
      </c>
      <c r="AF480" s="99">
        <v>0</v>
      </c>
      <c r="AG480" s="99">
        <v>0</v>
      </c>
      <c r="AH480" s="99">
        <v>0</v>
      </c>
      <c r="AI480" s="99">
        <v>0</v>
      </c>
      <c r="AJ480" s="99">
        <v>0</v>
      </c>
      <c r="AK480" s="99">
        <v>0</v>
      </c>
      <c r="AL480" s="99">
        <v>0</v>
      </c>
      <c r="AM480" s="99">
        <v>0</v>
      </c>
      <c r="AN480" s="99">
        <v>0</v>
      </c>
      <c r="AO480" s="99">
        <v>0</v>
      </c>
      <c r="AP480" s="99">
        <v>0</v>
      </c>
      <c r="AQ480" s="99">
        <v>0</v>
      </c>
      <c r="AR480" s="99">
        <f t="shared" si="7"/>
        <v>0</v>
      </c>
    </row>
    <row r="481" spans="1:44" ht="15" x14ac:dyDescent="0.25">
      <c r="A481" s="258">
        <v>474</v>
      </c>
      <c r="B481" s="258" t="s">
        <v>975</v>
      </c>
      <c r="C481" s="258" t="s">
        <v>1845</v>
      </c>
      <c r="D481" s="859" t="s">
        <v>1858</v>
      </c>
      <c r="E481" s="99">
        <v>0</v>
      </c>
      <c r="F481" s="99">
        <v>0</v>
      </c>
      <c r="G481" s="99">
        <v>0</v>
      </c>
      <c r="H481" s="99">
        <v>0</v>
      </c>
      <c r="I481" s="99">
        <v>0</v>
      </c>
      <c r="J481" s="99">
        <v>0</v>
      </c>
      <c r="K481" s="99">
        <v>0</v>
      </c>
      <c r="L481" s="99">
        <v>0</v>
      </c>
      <c r="M481" s="99">
        <v>0</v>
      </c>
      <c r="N481" s="99">
        <v>0</v>
      </c>
      <c r="O481" s="99">
        <v>0</v>
      </c>
      <c r="P481" s="99">
        <v>0</v>
      </c>
      <c r="Q481" s="99">
        <v>0</v>
      </c>
      <c r="R481" s="99">
        <v>0</v>
      </c>
      <c r="S481" s="99">
        <v>0</v>
      </c>
      <c r="T481" s="99">
        <v>0</v>
      </c>
      <c r="U481" s="99">
        <v>0</v>
      </c>
      <c r="V481" s="99">
        <v>0</v>
      </c>
      <c r="W481" s="99">
        <v>0</v>
      </c>
      <c r="X481" s="99">
        <v>0</v>
      </c>
      <c r="Y481" s="99">
        <v>0</v>
      </c>
      <c r="Z481" s="99">
        <v>0</v>
      </c>
      <c r="AA481" s="99">
        <v>0</v>
      </c>
      <c r="AB481" s="99">
        <v>0</v>
      </c>
      <c r="AC481" s="99">
        <v>0</v>
      </c>
      <c r="AD481" s="99">
        <v>0</v>
      </c>
      <c r="AE481" s="99">
        <v>0</v>
      </c>
      <c r="AF481" s="99">
        <v>0</v>
      </c>
      <c r="AG481" s="99">
        <v>0</v>
      </c>
      <c r="AH481" s="99">
        <v>0</v>
      </c>
      <c r="AI481" s="99">
        <v>0</v>
      </c>
      <c r="AJ481" s="99">
        <v>0</v>
      </c>
      <c r="AK481" s="99">
        <v>0</v>
      </c>
      <c r="AL481" s="99">
        <v>0</v>
      </c>
      <c r="AM481" s="99">
        <v>0</v>
      </c>
      <c r="AN481" s="99">
        <v>0</v>
      </c>
      <c r="AO481" s="99">
        <v>0</v>
      </c>
      <c r="AP481" s="99">
        <v>0</v>
      </c>
      <c r="AQ481" s="99">
        <v>0</v>
      </c>
      <c r="AR481" s="99">
        <f t="shared" si="7"/>
        <v>0</v>
      </c>
    </row>
    <row r="482" spans="1:44" ht="15" x14ac:dyDescent="0.25">
      <c r="A482" s="258">
        <v>475</v>
      </c>
      <c r="B482" s="258" t="s">
        <v>975</v>
      </c>
      <c r="C482" s="258" t="s">
        <v>1845</v>
      </c>
      <c r="D482" s="859" t="s">
        <v>1859</v>
      </c>
      <c r="E482" s="99">
        <v>0</v>
      </c>
      <c r="F482" s="99">
        <v>0</v>
      </c>
      <c r="G482" s="99">
        <v>0</v>
      </c>
      <c r="H482" s="99">
        <v>0</v>
      </c>
      <c r="I482" s="99">
        <v>0</v>
      </c>
      <c r="J482" s="99">
        <v>0</v>
      </c>
      <c r="K482" s="99">
        <v>0</v>
      </c>
      <c r="L482" s="99">
        <v>0</v>
      </c>
      <c r="M482" s="99">
        <v>0</v>
      </c>
      <c r="N482" s="99">
        <v>0</v>
      </c>
      <c r="O482" s="99">
        <v>0</v>
      </c>
      <c r="P482" s="99">
        <v>0</v>
      </c>
      <c r="Q482" s="99">
        <v>0</v>
      </c>
      <c r="R482" s="99">
        <v>0</v>
      </c>
      <c r="S482" s="99">
        <v>0</v>
      </c>
      <c r="T482" s="99">
        <v>0</v>
      </c>
      <c r="U482" s="99">
        <v>0</v>
      </c>
      <c r="V482" s="99">
        <v>0</v>
      </c>
      <c r="W482" s="99">
        <v>0</v>
      </c>
      <c r="X482" s="99">
        <v>0</v>
      </c>
      <c r="Y482" s="99">
        <v>0</v>
      </c>
      <c r="Z482" s="99">
        <v>0</v>
      </c>
      <c r="AA482" s="99">
        <v>0</v>
      </c>
      <c r="AB482" s="99">
        <v>0</v>
      </c>
      <c r="AC482" s="99">
        <v>0</v>
      </c>
      <c r="AD482" s="99">
        <v>0</v>
      </c>
      <c r="AE482" s="99">
        <v>0</v>
      </c>
      <c r="AF482" s="99">
        <v>0</v>
      </c>
      <c r="AG482" s="99">
        <v>0</v>
      </c>
      <c r="AH482" s="99">
        <v>0</v>
      </c>
      <c r="AI482" s="99">
        <v>0</v>
      </c>
      <c r="AJ482" s="99">
        <v>0</v>
      </c>
      <c r="AK482" s="99">
        <v>0</v>
      </c>
      <c r="AL482" s="99">
        <v>0</v>
      </c>
      <c r="AM482" s="99">
        <v>0</v>
      </c>
      <c r="AN482" s="99">
        <v>0</v>
      </c>
      <c r="AO482" s="99">
        <v>0</v>
      </c>
      <c r="AP482" s="99">
        <v>0</v>
      </c>
      <c r="AQ482" s="99">
        <v>0</v>
      </c>
      <c r="AR482" s="99">
        <f t="shared" si="7"/>
        <v>0</v>
      </c>
    </row>
    <row r="483" spans="1:44" ht="15" x14ac:dyDescent="0.25">
      <c r="A483" s="258">
        <v>476</v>
      </c>
      <c r="B483" s="258" t="s">
        <v>975</v>
      </c>
      <c r="C483" s="258" t="s">
        <v>1845</v>
      </c>
      <c r="D483" s="859" t="s">
        <v>1860</v>
      </c>
      <c r="E483" s="99">
        <v>0</v>
      </c>
      <c r="F483" s="99">
        <v>0</v>
      </c>
      <c r="G483" s="99">
        <v>0</v>
      </c>
      <c r="H483" s="99">
        <v>0</v>
      </c>
      <c r="I483" s="99">
        <v>0</v>
      </c>
      <c r="J483" s="99">
        <v>0</v>
      </c>
      <c r="K483" s="99">
        <v>0</v>
      </c>
      <c r="L483" s="99">
        <v>0</v>
      </c>
      <c r="M483" s="99">
        <v>0</v>
      </c>
      <c r="N483" s="99">
        <v>0</v>
      </c>
      <c r="O483" s="99">
        <v>0</v>
      </c>
      <c r="P483" s="99">
        <v>0</v>
      </c>
      <c r="Q483" s="99">
        <v>0</v>
      </c>
      <c r="R483" s="99">
        <v>0</v>
      </c>
      <c r="S483" s="99">
        <v>0</v>
      </c>
      <c r="T483" s="99">
        <v>0</v>
      </c>
      <c r="U483" s="99">
        <v>0</v>
      </c>
      <c r="V483" s="99">
        <v>0</v>
      </c>
      <c r="W483" s="99">
        <v>0</v>
      </c>
      <c r="X483" s="99">
        <v>0</v>
      </c>
      <c r="Y483" s="99">
        <v>0</v>
      </c>
      <c r="Z483" s="99">
        <v>0</v>
      </c>
      <c r="AA483" s="99">
        <v>0</v>
      </c>
      <c r="AB483" s="99">
        <v>0</v>
      </c>
      <c r="AC483" s="99">
        <v>0</v>
      </c>
      <c r="AD483" s="99">
        <v>0</v>
      </c>
      <c r="AE483" s="99">
        <v>0</v>
      </c>
      <c r="AF483" s="99">
        <v>0</v>
      </c>
      <c r="AG483" s="99">
        <v>0</v>
      </c>
      <c r="AH483" s="99">
        <v>0</v>
      </c>
      <c r="AI483" s="99">
        <v>0</v>
      </c>
      <c r="AJ483" s="99">
        <v>0</v>
      </c>
      <c r="AK483" s="99">
        <v>0</v>
      </c>
      <c r="AL483" s="99">
        <v>0</v>
      </c>
      <c r="AM483" s="99">
        <v>0</v>
      </c>
      <c r="AN483" s="99">
        <v>0</v>
      </c>
      <c r="AO483" s="99">
        <v>0</v>
      </c>
      <c r="AP483" s="99">
        <v>0</v>
      </c>
      <c r="AQ483" s="99">
        <v>0</v>
      </c>
      <c r="AR483" s="99">
        <f t="shared" si="7"/>
        <v>0</v>
      </c>
    </row>
    <row r="484" spans="1:44" ht="15" x14ac:dyDescent="0.25">
      <c r="A484" s="258">
        <v>477</v>
      </c>
      <c r="B484" s="258" t="s">
        <v>975</v>
      </c>
      <c r="C484" s="258" t="s">
        <v>1845</v>
      </c>
      <c r="D484" s="859" t="s">
        <v>1861</v>
      </c>
      <c r="E484" s="99">
        <v>0</v>
      </c>
      <c r="F484" s="99">
        <v>0</v>
      </c>
      <c r="G484" s="99">
        <v>0</v>
      </c>
      <c r="H484" s="99">
        <v>0</v>
      </c>
      <c r="I484" s="99">
        <v>0</v>
      </c>
      <c r="J484" s="99">
        <v>0</v>
      </c>
      <c r="K484" s="99">
        <v>0</v>
      </c>
      <c r="L484" s="99">
        <v>0</v>
      </c>
      <c r="M484" s="99">
        <v>0</v>
      </c>
      <c r="N484" s="99">
        <v>0</v>
      </c>
      <c r="O484" s="99">
        <v>152.39997106294442</v>
      </c>
      <c r="P484" s="99">
        <v>0</v>
      </c>
      <c r="Q484" s="99">
        <v>0</v>
      </c>
      <c r="R484" s="99">
        <v>0</v>
      </c>
      <c r="S484" s="99">
        <v>0</v>
      </c>
      <c r="T484" s="99">
        <v>0</v>
      </c>
      <c r="U484" s="99">
        <v>0</v>
      </c>
      <c r="V484" s="99">
        <v>0</v>
      </c>
      <c r="W484" s="99">
        <v>0</v>
      </c>
      <c r="X484" s="99">
        <v>0</v>
      </c>
      <c r="Y484" s="99">
        <v>0</v>
      </c>
      <c r="Z484" s="99">
        <v>0</v>
      </c>
      <c r="AA484" s="99">
        <v>0</v>
      </c>
      <c r="AB484" s="99">
        <v>0</v>
      </c>
      <c r="AC484" s="99">
        <v>0</v>
      </c>
      <c r="AD484" s="99">
        <v>0</v>
      </c>
      <c r="AE484" s="99">
        <v>0</v>
      </c>
      <c r="AF484" s="99">
        <v>0</v>
      </c>
      <c r="AG484" s="99">
        <v>0</v>
      </c>
      <c r="AH484" s="99">
        <v>0</v>
      </c>
      <c r="AI484" s="99">
        <v>0</v>
      </c>
      <c r="AJ484" s="99">
        <v>0</v>
      </c>
      <c r="AK484" s="99">
        <v>0</v>
      </c>
      <c r="AL484" s="99">
        <v>0</v>
      </c>
      <c r="AM484" s="99">
        <v>0</v>
      </c>
      <c r="AN484" s="99">
        <v>0</v>
      </c>
      <c r="AO484" s="99">
        <v>0</v>
      </c>
      <c r="AP484" s="99">
        <v>0</v>
      </c>
      <c r="AQ484" s="99">
        <v>0</v>
      </c>
      <c r="AR484" s="99">
        <f t="shared" si="7"/>
        <v>152.39997106294442</v>
      </c>
    </row>
    <row r="485" spans="1:44" ht="15" x14ac:dyDescent="0.25">
      <c r="A485" s="258">
        <v>478</v>
      </c>
      <c r="B485" s="258" t="s">
        <v>975</v>
      </c>
      <c r="C485" s="258" t="s">
        <v>1845</v>
      </c>
      <c r="D485" s="859" t="s">
        <v>1862</v>
      </c>
      <c r="E485" s="99">
        <v>0</v>
      </c>
      <c r="F485" s="99">
        <v>0</v>
      </c>
      <c r="G485" s="99">
        <v>0</v>
      </c>
      <c r="H485" s="99">
        <v>0</v>
      </c>
      <c r="I485" s="99">
        <v>0</v>
      </c>
      <c r="J485" s="99">
        <v>0</v>
      </c>
      <c r="K485" s="99">
        <v>0</v>
      </c>
      <c r="L485" s="99">
        <v>0</v>
      </c>
      <c r="M485" s="99">
        <v>0</v>
      </c>
      <c r="N485" s="99">
        <v>0</v>
      </c>
      <c r="O485" s="99">
        <v>2.7963297442742094</v>
      </c>
      <c r="P485" s="99">
        <v>0</v>
      </c>
      <c r="Q485" s="99">
        <v>0</v>
      </c>
      <c r="R485" s="99">
        <v>0</v>
      </c>
      <c r="S485" s="99">
        <v>0</v>
      </c>
      <c r="T485" s="99">
        <v>0</v>
      </c>
      <c r="U485" s="99">
        <v>0</v>
      </c>
      <c r="V485" s="99">
        <v>0</v>
      </c>
      <c r="W485" s="99">
        <v>0</v>
      </c>
      <c r="X485" s="99">
        <v>0</v>
      </c>
      <c r="Y485" s="99">
        <v>0</v>
      </c>
      <c r="Z485" s="99">
        <v>0</v>
      </c>
      <c r="AA485" s="99">
        <v>0</v>
      </c>
      <c r="AB485" s="99">
        <v>0</v>
      </c>
      <c r="AC485" s="99">
        <v>0</v>
      </c>
      <c r="AD485" s="99">
        <v>0</v>
      </c>
      <c r="AE485" s="99">
        <v>0</v>
      </c>
      <c r="AF485" s="99">
        <v>0</v>
      </c>
      <c r="AG485" s="99">
        <v>0</v>
      </c>
      <c r="AH485" s="99">
        <v>0</v>
      </c>
      <c r="AI485" s="99">
        <v>0</v>
      </c>
      <c r="AJ485" s="99">
        <v>0</v>
      </c>
      <c r="AK485" s="99">
        <v>0</v>
      </c>
      <c r="AL485" s="99">
        <v>0</v>
      </c>
      <c r="AM485" s="99">
        <v>0</v>
      </c>
      <c r="AN485" s="99">
        <v>0</v>
      </c>
      <c r="AO485" s="99">
        <v>0</v>
      </c>
      <c r="AP485" s="99">
        <v>0</v>
      </c>
      <c r="AQ485" s="99">
        <v>0</v>
      </c>
      <c r="AR485" s="99">
        <f t="shared" si="7"/>
        <v>2.7963297442742094</v>
      </c>
    </row>
    <row r="486" spans="1:44" ht="15" x14ac:dyDescent="0.25">
      <c r="A486" s="258">
        <v>479</v>
      </c>
      <c r="B486" s="258" t="s">
        <v>975</v>
      </c>
      <c r="C486" s="258" t="s">
        <v>1845</v>
      </c>
      <c r="D486" s="859" t="s">
        <v>1863</v>
      </c>
      <c r="E486" s="99">
        <v>0</v>
      </c>
      <c r="F486" s="99">
        <v>0</v>
      </c>
      <c r="G486" s="99">
        <v>0</v>
      </c>
      <c r="H486" s="99">
        <v>0</v>
      </c>
      <c r="I486" s="99">
        <v>0</v>
      </c>
      <c r="J486" s="99">
        <v>0</v>
      </c>
      <c r="K486" s="99">
        <v>0</v>
      </c>
      <c r="L486" s="99">
        <v>0</v>
      </c>
      <c r="M486" s="99">
        <v>0</v>
      </c>
      <c r="N486" s="99">
        <v>0</v>
      </c>
      <c r="O486" s="99">
        <v>0</v>
      </c>
      <c r="P486" s="99">
        <v>0</v>
      </c>
      <c r="Q486" s="99">
        <v>0</v>
      </c>
      <c r="R486" s="99">
        <v>0</v>
      </c>
      <c r="S486" s="99">
        <v>0</v>
      </c>
      <c r="T486" s="99">
        <v>0</v>
      </c>
      <c r="U486" s="99">
        <v>0</v>
      </c>
      <c r="V486" s="99">
        <v>0</v>
      </c>
      <c r="W486" s="99">
        <v>0</v>
      </c>
      <c r="X486" s="99">
        <v>0</v>
      </c>
      <c r="Y486" s="99">
        <v>0</v>
      </c>
      <c r="Z486" s="99">
        <v>0</v>
      </c>
      <c r="AA486" s="99">
        <v>0</v>
      </c>
      <c r="AB486" s="99">
        <v>0</v>
      </c>
      <c r="AC486" s="99">
        <v>0</v>
      </c>
      <c r="AD486" s="99">
        <v>0</v>
      </c>
      <c r="AE486" s="99">
        <v>0</v>
      </c>
      <c r="AF486" s="99">
        <v>0</v>
      </c>
      <c r="AG486" s="99">
        <v>0</v>
      </c>
      <c r="AH486" s="99">
        <v>0</v>
      </c>
      <c r="AI486" s="99">
        <v>0</v>
      </c>
      <c r="AJ486" s="99">
        <v>0</v>
      </c>
      <c r="AK486" s="99">
        <v>0</v>
      </c>
      <c r="AL486" s="99">
        <v>0</v>
      </c>
      <c r="AM486" s="99">
        <v>0</v>
      </c>
      <c r="AN486" s="99">
        <v>0</v>
      </c>
      <c r="AO486" s="99">
        <v>0</v>
      </c>
      <c r="AP486" s="99">
        <v>0</v>
      </c>
      <c r="AQ486" s="99">
        <v>0</v>
      </c>
      <c r="AR486" s="99">
        <f t="shared" si="7"/>
        <v>0</v>
      </c>
    </row>
    <row r="487" spans="1:44" ht="15" x14ac:dyDescent="0.25">
      <c r="A487" s="258">
        <v>480</v>
      </c>
      <c r="B487" s="258" t="s">
        <v>976</v>
      </c>
      <c r="C487" s="258" t="s">
        <v>1864</v>
      </c>
      <c r="D487" s="859" t="s">
        <v>1865</v>
      </c>
      <c r="E487" s="99">
        <v>36.442950062584544</v>
      </c>
      <c r="F487" s="99">
        <v>0</v>
      </c>
      <c r="G487" s="99">
        <v>0</v>
      </c>
      <c r="H487" s="99">
        <v>0</v>
      </c>
      <c r="I487" s="99">
        <v>0</v>
      </c>
      <c r="J487" s="99">
        <v>0</v>
      </c>
      <c r="K487" s="99">
        <v>0</v>
      </c>
      <c r="L487" s="99">
        <v>0</v>
      </c>
      <c r="M487" s="99">
        <v>0</v>
      </c>
      <c r="N487" s="99">
        <v>0</v>
      </c>
      <c r="O487" s="99">
        <v>0</v>
      </c>
      <c r="P487" s="99">
        <v>6.82861945144397</v>
      </c>
      <c r="Q487" s="99">
        <v>0</v>
      </c>
      <c r="R487" s="99">
        <v>0</v>
      </c>
      <c r="S487" s="99">
        <v>0</v>
      </c>
      <c r="T487" s="99">
        <v>0</v>
      </c>
      <c r="U487" s="99">
        <v>281.63494685030861</v>
      </c>
      <c r="V487" s="99">
        <v>0</v>
      </c>
      <c r="W487" s="99">
        <v>0</v>
      </c>
      <c r="X487" s="99">
        <v>0</v>
      </c>
      <c r="Y487" s="99">
        <v>0</v>
      </c>
      <c r="Z487" s="99">
        <v>0</v>
      </c>
      <c r="AA487" s="99">
        <v>0</v>
      </c>
      <c r="AB487" s="99">
        <v>0</v>
      </c>
      <c r="AC487" s="99">
        <v>0</v>
      </c>
      <c r="AD487" s="99">
        <v>0</v>
      </c>
      <c r="AE487" s="99">
        <v>0</v>
      </c>
      <c r="AF487" s="99">
        <v>0</v>
      </c>
      <c r="AG487" s="99">
        <v>0</v>
      </c>
      <c r="AH487" s="99">
        <v>0</v>
      </c>
      <c r="AI487" s="99">
        <v>0</v>
      </c>
      <c r="AJ487" s="99">
        <v>0</v>
      </c>
      <c r="AK487" s="99">
        <v>0</v>
      </c>
      <c r="AL487" s="99">
        <v>0</v>
      </c>
      <c r="AM487" s="99">
        <v>0</v>
      </c>
      <c r="AN487" s="99">
        <v>0</v>
      </c>
      <c r="AO487" s="99">
        <v>0</v>
      </c>
      <c r="AP487" s="99">
        <v>0</v>
      </c>
      <c r="AQ487" s="99">
        <v>0</v>
      </c>
      <c r="AR487" s="99">
        <f t="shared" si="7"/>
        <v>324.90651636433711</v>
      </c>
    </row>
    <row r="488" spans="1:44" ht="15" x14ac:dyDescent="0.25">
      <c r="A488" s="258">
        <v>481</v>
      </c>
      <c r="B488" s="258" t="s">
        <v>976</v>
      </c>
      <c r="C488" s="258" t="s">
        <v>1864</v>
      </c>
      <c r="D488" s="859" t="s">
        <v>1866</v>
      </c>
      <c r="E488" s="99">
        <v>0</v>
      </c>
      <c r="F488" s="99">
        <v>0</v>
      </c>
      <c r="G488" s="99">
        <v>0</v>
      </c>
      <c r="H488" s="99">
        <v>0</v>
      </c>
      <c r="I488" s="99">
        <v>0</v>
      </c>
      <c r="J488" s="99">
        <v>74030.030307619498</v>
      </c>
      <c r="K488" s="99">
        <v>0</v>
      </c>
      <c r="L488" s="99">
        <v>0</v>
      </c>
      <c r="M488" s="99">
        <v>0</v>
      </c>
      <c r="N488" s="99">
        <v>0</v>
      </c>
      <c r="O488" s="99">
        <v>1.3981648721371047</v>
      </c>
      <c r="P488" s="99">
        <v>0</v>
      </c>
      <c r="Q488" s="99">
        <v>0</v>
      </c>
      <c r="R488" s="99">
        <v>0</v>
      </c>
      <c r="S488" s="99">
        <v>0</v>
      </c>
      <c r="T488" s="99">
        <v>0</v>
      </c>
      <c r="U488" s="99">
        <v>0</v>
      </c>
      <c r="V488" s="99">
        <v>0</v>
      </c>
      <c r="W488" s="99">
        <v>0</v>
      </c>
      <c r="X488" s="99">
        <v>0</v>
      </c>
      <c r="Y488" s="99">
        <v>0</v>
      </c>
      <c r="Z488" s="99">
        <v>0</v>
      </c>
      <c r="AA488" s="99">
        <v>0</v>
      </c>
      <c r="AB488" s="99">
        <v>0</v>
      </c>
      <c r="AC488" s="99">
        <v>0</v>
      </c>
      <c r="AD488" s="99">
        <v>0</v>
      </c>
      <c r="AE488" s="99">
        <v>0</v>
      </c>
      <c r="AF488" s="99">
        <v>0</v>
      </c>
      <c r="AG488" s="99">
        <v>0</v>
      </c>
      <c r="AH488" s="99">
        <v>0</v>
      </c>
      <c r="AI488" s="99">
        <v>0</v>
      </c>
      <c r="AJ488" s="99">
        <v>0</v>
      </c>
      <c r="AK488" s="99">
        <v>0</v>
      </c>
      <c r="AL488" s="99">
        <v>0</v>
      </c>
      <c r="AM488" s="99">
        <v>0</v>
      </c>
      <c r="AN488" s="99">
        <v>0</v>
      </c>
      <c r="AO488" s="99">
        <v>0</v>
      </c>
      <c r="AP488" s="99">
        <v>0</v>
      </c>
      <c r="AQ488" s="99">
        <v>0</v>
      </c>
      <c r="AR488" s="99">
        <f t="shared" si="7"/>
        <v>74031.428472491636</v>
      </c>
    </row>
    <row r="489" spans="1:44" ht="15" x14ac:dyDescent="0.25">
      <c r="A489" s="258">
        <v>482</v>
      </c>
      <c r="B489" s="258" t="s">
        <v>976</v>
      </c>
      <c r="C489" s="258" t="s">
        <v>1864</v>
      </c>
      <c r="D489" s="859" t="s">
        <v>1867</v>
      </c>
      <c r="E489" s="99">
        <v>0</v>
      </c>
      <c r="F489" s="99">
        <v>0</v>
      </c>
      <c r="G489" s="99">
        <v>0</v>
      </c>
      <c r="H489" s="99">
        <v>0</v>
      </c>
      <c r="I489" s="99">
        <v>0</v>
      </c>
      <c r="J489" s="99">
        <v>108867.69162885219</v>
      </c>
      <c r="K489" s="99">
        <v>0</v>
      </c>
      <c r="L489" s="99">
        <v>0</v>
      </c>
      <c r="M489" s="99">
        <v>0</v>
      </c>
      <c r="N489" s="99">
        <v>0</v>
      </c>
      <c r="O489" s="99">
        <v>359.32837213923591</v>
      </c>
      <c r="P489" s="99">
        <v>0</v>
      </c>
      <c r="Q489" s="99">
        <v>0</v>
      </c>
      <c r="R489" s="99">
        <v>0</v>
      </c>
      <c r="S489" s="99">
        <v>0</v>
      </c>
      <c r="T489" s="99">
        <v>0</v>
      </c>
      <c r="U489" s="99">
        <v>0</v>
      </c>
      <c r="V489" s="99">
        <v>0</v>
      </c>
      <c r="W489" s="99">
        <v>0</v>
      </c>
      <c r="X489" s="99">
        <v>0</v>
      </c>
      <c r="Y489" s="99">
        <v>0</v>
      </c>
      <c r="Z489" s="99">
        <v>0</v>
      </c>
      <c r="AA489" s="99">
        <v>0</v>
      </c>
      <c r="AB489" s="99">
        <v>0</v>
      </c>
      <c r="AC489" s="99">
        <v>0</v>
      </c>
      <c r="AD489" s="99">
        <v>0</v>
      </c>
      <c r="AE489" s="99">
        <v>0</v>
      </c>
      <c r="AF489" s="99">
        <v>0</v>
      </c>
      <c r="AG489" s="99">
        <v>0</v>
      </c>
      <c r="AH489" s="99">
        <v>0</v>
      </c>
      <c r="AI489" s="99">
        <v>0</v>
      </c>
      <c r="AJ489" s="99">
        <v>0</v>
      </c>
      <c r="AK489" s="99">
        <v>0</v>
      </c>
      <c r="AL489" s="99">
        <v>0</v>
      </c>
      <c r="AM489" s="99">
        <v>0</v>
      </c>
      <c r="AN489" s="99">
        <v>0</v>
      </c>
      <c r="AO489" s="99">
        <v>0</v>
      </c>
      <c r="AP489" s="99">
        <v>0</v>
      </c>
      <c r="AQ489" s="99">
        <v>0</v>
      </c>
      <c r="AR489" s="99">
        <f t="shared" si="7"/>
        <v>109227.02000099143</v>
      </c>
    </row>
    <row r="490" spans="1:44" ht="15" x14ac:dyDescent="0.25">
      <c r="A490" s="258">
        <v>483</v>
      </c>
      <c r="B490" s="258" t="s">
        <v>976</v>
      </c>
      <c r="C490" s="258" t="s">
        <v>1864</v>
      </c>
      <c r="D490" s="859" t="s">
        <v>1868</v>
      </c>
      <c r="E490" s="99">
        <v>0</v>
      </c>
      <c r="F490" s="99">
        <v>0</v>
      </c>
      <c r="G490" s="99">
        <v>0</v>
      </c>
      <c r="H490" s="99">
        <v>0</v>
      </c>
      <c r="I490" s="99">
        <v>0</v>
      </c>
      <c r="J490" s="99">
        <v>21773.538325770438</v>
      </c>
      <c r="K490" s="99">
        <v>0</v>
      </c>
      <c r="L490" s="99">
        <v>0</v>
      </c>
      <c r="M490" s="99">
        <v>0</v>
      </c>
      <c r="N490" s="99">
        <v>0</v>
      </c>
      <c r="O490" s="99">
        <v>0</v>
      </c>
      <c r="P490" s="99">
        <v>0</v>
      </c>
      <c r="Q490" s="99">
        <v>0</v>
      </c>
      <c r="R490" s="99">
        <v>0</v>
      </c>
      <c r="S490" s="99">
        <v>0</v>
      </c>
      <c r="T490" s="99">
        <v>0</v>
      </c>
      <c r="U490" s="99">
        <v>0</v>
      </c>
      <c r="V490" s="99">
        <v>0</v>
      </c>
      <c r="W490" s="99">
        <v>0</v>
      </c>
      <c r="X490" s="99">
        <v>0</v>
      </c>
      <c r="Y490" s="99">
        <v>0</v>
      </c>
      <c r="Z490" s="99">
        <v>0</v>
      </c>
      <c r="AA490" s="99">
        <v>0</v>
      </c>
      <c r="AB490" s="99">
        <v>0</v>
      </c>
      <c r="AC490" s="99">
        <v>0</v>
      </c>
      <c r="AD490" s="99">
        <v>0</v>
      </c>
      <c r="AE490" s="99">
        <v>0</v>
      </c>
      <c r="AF490" s="99">
        <v>0</v>
      </c>
      <c r="AG490" s="99">
        <v>0</v>
      </c>
      <c r="AH490" s="99">
        <v>0</v>
      </c>
      <c r="AI490" s="99">
        <v>0</v>
      </c>
      <c r="AJ490" s="99">
        <v>0</v>
      </c>
      <c r="AK490" s="99">
        <v>0</v>
      </c>
      <c r="AL490" s="99">
        <v>0</v>
      </c>
      <c r="AM490" s="99">
        <v>0</v>
      </c>
      <c r="AN490" s="99">
        <v>0</v>
      </c>
      <c r="AO490" s="99">
        <v>0</v>
      </c>
      <c r="AP490" s="99">
        <v>0</v>
      </c>
      <c r="AQ490" s="99">
        <v>0</v>
      </c>
      <c r="AR490" s="99">
        <f t="shared" si="7"/>
        <v>21773.538325770438</v>
      </c>
    </row>
    <row r="491" spans="1:44" ht="15" x14ac:dyDescent="0.25">
      <c r="A491" s="258">
        <v>484</v>
      </c>
      <c r="B491" s="258" t="s">
        <v>976</v>
      </c>
      <c r="C491" s="258" t="s">
        <v>1864</v>
      </c>
      <c r="D491" s="859" t="s">
        <v>1869</v>
      </c>
      <c r="E491" s="99">
        <v>0</v>
      </c>
      <c r="F491" s="99">
        <v>0</v>
      </c>
      <c r="G491" s="99">
        <v>0</v>
      </c>
      <c r="H491" s="99">
        <v>0</v>
      </c>
      <c r="I491" s="99">
        <v>0</v>
      </c>
      <c r="J491" s="99">
        <v>74030.030307619498</v>
      </c>
      <c r="K491" s="99">
        <v>0</v>
      </c>
      <c r="L491" s="99">
        <v>0</v>
      </c>
      <c r="M491" s="99">
        <v>0</v>
      </c>
      <c r="N491" s="99">
        <v>0</v>
      </c>
      <c r="O491" s="99">
        <v>0</v>
      </c>
      <c r="P491" s="99">
        <v>0</v>
      </c>
      <c r="Q491" s="99">
        <v>0</v>
      </c>
      <c r="R491" s="99">
        <v>0</v>
      </c>
      <c r="S491" s="99">
        <v>0</v>
      </c>
      <c r="T491" s="99">
        <v>0</v>
      </c>
      <c r="U491" s="99">
        <v>0</v>
      </c>
      <c r="V491" s="99">
        <v>0</v>
      </c>
      <c r="W491" s="99">
        <v>0</v>
      </c>
      <c r="X491" s="99">
        <v>0</v>
      </c>
      <c r="Y491" s="99">
        <v>0</v>
      </c>
      <c r="Z491" s="99">
        <v>0</v>
      </c>
      <c r="AA491" s="99">
        <v>0</v>
      </c>
      <c r="AB491" s="99">
        <v>0</v>
      </c>
      <c r="AC491" s="99">
        <v>0</v>
      </c>
      <c r="AD491" s="99">
        <v>0</v>
      </c>
      <c r="AE491" s="99">
        <v>0</v>
      </c>
      <c r="AF491" s="99">
        <v>0</v>
      </c>
      <c r="AG491" s="99">
        <v>0</v>
      </c>
      <c r="AH491" s="99">
        <v>0</v>
      </c>
      <c r="AI491" s="99">
        <v>0</v>
      </c>
      <c r="AJ491" s="99">
        <v>0</v>
      </c>
      <c r="AK491" s="99">
        <v>0</v>
      </c>
      <c r="AL491" s="99">
        <v>0</v>
      </c>
      <c r="AM491" s="99">
        <v>0</v>
      </c>
      <c r="AN491" s="99">
        <v>0</v>
      </c>
      <c r="AO491" s="99">
        <v>0</v>
      </c>
      <c r="AP491" s="99">
        <v>0</v>
      </c>
      <c r="AQ491" s="99">
        <v>0</v>
      </c>
      <c r="AR491" s="99">
        <f t="shared" si="7"/>
        <v>74030.030307619498</v>
      </c>
    </row>
    <row r="492" spans="1:44" ht="15" x14ac:dyDescent="0.25">
      <c r="A492" s="258">
        <v>485</v>
      </c>
      <c r="B492" s="258" t="s">
        <v>973</v>
      </c>
      <c r="C492" s="258" t="s">
        <v>1870</v>
      </c>
      <c r="D492" s="859" t="s">
        <v>1871</v>
      </c>
      <c r="E492" s="99">
        <v>0</v>
      </c>
      <c r="F492" s="99">
        <v>0</v>
      </c>
      <c r="G492" s="99">
        <v>0</v>
      </c>
      <c r="H492" s="99">
        <v>0</v>
      </c>
      <c r="I492" s="99">
        <v>0</v>
      </c>
      <c r="J492" s="99">
        <v>0</v>
      </c>
      <c r="K492" s="99">
        <v>0</v>
      </c>
      <c r="L492" s="99">
        <v>0</v>
      </c>
      <c r="M492" s="99">
        <v>0</v>
      </c>
      <c r="N492" s="99">
        <v>0</v>
      </c>
      <c r="O492" s="99">
        <v>0</v>
      </c>
      <c r="P492" s="99">
        <v>0</v>
      </c>
      <c r="Q492" s="99">
        <v>0</v>
      </c>
      <c r="R492" s="99">
        <v>0</v>
      </c>
      <c r="S492" s="99">
        <v>0</v>
      </c>
      <c r="T492" s="99">
        <v>0</v>
      </c>
      <c r="U492" s="99">
        <v>0</v>
      </c>
      <c r="V492" s="99">
        <v>0</v>
      </c>
      <c r="W492" s="99">
        <v>0</v>
      </c>
      <c r="X492" s="99">
        <v>0</v>
      </c>
      <c r="Y492" s="99">
        <v>0</v>
      </c>
      <c r="Z492" s="99">
        <v>0</v>
      </c>
      <c r="AA492" s="99">
        <v>0</v>
      </c>
      <c r="AB492" s="99">
        <v>0</v>
      </c>
      <c r="AC492" s="99">
        <v>0</v>
      </c>
      <c r="AD492" s="99">
        <v>0</v>
      </c>
      <c r="AE492" s="99">
        <v>0</v>
      </c>
      <c r="AF492" s="99">
        <v>0</v>
      </c>
      <c r="AG492" s="99">
        <v>0</v>
      </c>
      <c r="AH492" s="99">
        <v>0</v>
      </c>
      <c r="AI492" s="99">
        <v>0</v>
      </c>
      <c r="AJ492" s="99">
        <v>0</v>
      </c>
      <c r="AK492" s="99">
        <v>0</v>
      </c>
      <c r="AL492" s="99">
        <v>0</v>
      </c>
      <c r="AM492" s="99">
        <v>0</v>
      </c>
      <c r="AN492" s="99">
        <v>0</v>
      </c>
      <c r="AO492" s="99">
        <v>0</v>
      </c>
      <c r="AP492" s="99">
        <v>0</v>
      </c>
      <c r="AQ492" s="99">
        <v>0</v>
      </c>
      <c r="AR492" s="99">
        <f t="shared" si="7"/>
        <v>0</v>
      </c>
    </row>
    <row r="493" spans="1:44" ht="15" x14ac:dyDescent="0.25">
      <c r="A493" s="258">
        <v>486</v>
      </c>
      <c r="B493" s="258" t="s">
        <v>973</v>
      </c>
      <c r="C493" s="258" t="s">
        <v>1870</v>
      </c>
      <c r="D493" s="859" t="s">
        <v>1872</v>
      </c>
      <c r="E493" s="99">
        <v>0</v>
      </c>
      <c r="F493" s="99">
        <v>0</v>
      </c>
      <c r="G493" s="99">
        <v>0</v>
      </c>
      <c r="H493" s="99">
        <v>0</v>
      </c>
      <c r="I493" s="99">
        <v>0</v>
      </c>
      <c r="J493" s="99">
        <v>0</v>
      </c>
      <c r="K493" s="99">
        <v>0</v>
      </c>
      <c r="L493" s="99">
        <v>0</v>
      </c>
      <c r="M493" s="99">
        <v>0</v>
      </c>
      <c r="N493" s="99">
        <v>0</v>
      </c>
      <c r="O493" s="99">
        <v>437.62560497891383</v>
      </c>
      <c r="P493" s="99">
        <v>0</v>
      </c>
      <c r="Q493" s="99">
        <v>0</v>
      </c>
      <c r="R493" s="99">
        <v>0</v>
      </c>
      <c r="S493" s="99">
        <v>0</v>
      </c>
      <c r="T493" s="99">
        <v>0</v>
      </c>
      <c r="U493" s="99">
        <v>0</v>
      </c>
      <c r="V493" s="99">
        <v>0</v>
      </c>
      <c r="W493" s="99">
        <v>0</v>
      </c>
      <c r="X493" s="99">
        <v>0</v>
      </c>
      <c r="Y493" s="99">
        <v>0</v>
      </c>
      <c r="Z493" s="99">
        <v>0</v>
      </c>
      <c r="AA493" s="99">
        <v>0</v>
      </c>
      <c r="AB493" s="99">
        <v>0</v>
      </c>
      <c r="AC493" s="99">
        <v>0</v>
      </c>
      <c r="AD493" s="99">
        <v>0</v>
      </c>
      <c r="AE493" s="99">
        <v>0</v>
      </c>
      <c r="AF493" s="99">
        <v>0</v>
      </c>
      <c r="AG493" s="99">
        <v>0</v>
      </c>
      <c r="AH493" s="99">
        <v>0</v>
      </c>
      <c r="AI493" s="99">
        <v>0</v>
      </c>
      <c r="AJ493" s="99">
        <v>0</v>
      </c>
      <c r="AK493" s="99">
        <v>0</v>
      </c>
      <c r="AL493" s="99">
        <v>0</v>
      </c>
      <c r="AM493" s="99">
        <v>0</v>
      </c>
      <c r="AN493" s="99">
        <v>0</v>
      </c>
      <c r="AO493" s="99">
        <v>0</v>
      </c>
      <c r="AP493" s="99">
        <v>0</v>
      </c>
      <c r="AQ493" s="99">
        <v>0</v>
      </c>
      <c r="AR493" s="99">
        <f t="shared" si="7"/>
        <v>437.62560497891383</v>
      </c>
    </row>
    <row r="494" spans="1:44" ht="15" x14ac:dyDescent="0.25">
      <c r="A494" s="258">
        <v>487</v>
      </c>
      <c r="B494" s="258" t="s">
        <v>973</v>
      </c>
      <c r="C494" s="258" t="s">
        <v>1870</v>
      </c>
      <c r="D494" s="859" t="s">
        <v>1873</v>
      </c>
      <c r="E494" s="99">
        <v>0</v>
      </c>
      <c r="F494" s="99">
        <v>0</v>
      </c>
      <c r="G494" s="99">
        <v>0</v>
      </c>
      <c r="H494" s="99">
        <v>0</v>
      </c>
      <c r="I494" s="99">
        <v>0</v>
      </c>
      <c r="J494" s="99">
        <v>15241.476828039305</v>
      </c>
      <c r="K494" s="99">
        <v>0</v>
      </c>
      <c r="L494" s="99">
        <v>0</v>
      </c>
      <c r="M494" s="99">
        <v>0</v>
      </c>
      <c r="N494" s="99">
        <v>0</v>
      </c>
      <c r="O494" s="99">
        <v>0</v>
      </c>
      <c r="P494" s="99">
        <v>0</v>
      </c>
      <c r="Q494" s="99">
        <v>0</v>
      </c>
      <c r="R494" s="99">
        <v>0</v>
      </c>
      <c r="S494" s="99">
        <v>0</v>
      </c>
      <c r="T494" s="99">
        <v>0</v>
      </c>
      <c r="U494" s="99">
        <v>0</v>
      </c>
      <c r="V494" s="99">
        <v>0</v>
      </c>
      <c r="W494" s="99">
        <v>0</v>
      </c>
      <c r="X494" s="99">
        <v>0</v>
      </c>
      <c r="Y494" s="99">
        <v>0</v>
      </c>
      <c r="Z494" s="99">
        <v>0</v>
      </c>
      <c r="AA494" s="99">
        <v>0</v>
      </c>
      <c r="AB494" s="99">
        <v>0</v>
      </c>
      <c r="AC494" s="99">
        <v>0</v>
      </c>
      <c r="AD494" s="99">
        <v>0</v>
      </c>
      <c r="AE494" s="99">
        <v>0</v>
      </c>
      <c r="AF494" s="99">
        <v>0</v>
      </c>
      <c r="AG494" s="99">
        <v>0</v>
      </c>
      <c r="AH494" s="99">
        <v>0</v>
      </c>
      <c r="AI494" s="99">
        <v>0</v>
      </c>
      <c r="AJ494" s="99">
        <v>0</v>
      </c>
      <c r="AK494" s="99">
        <v>0</v>
      </c>
      <c r="AL494" s="99">
        <v>0</v>
      </c>
      <c r="AM494" s="99">
        <v>0</v>
      </c>
      <c r="AN494" s="99">
        <v>0</v>
      </c>
      <c r="AO494" s="99">
        <v>0</v>
      </c>
      <c r="AP494" s="99">
        <v>0</v>
      </c>
      <c r="AQ494" s="99">
        <v>0</v>
      </c>
      <c r="AR494" s="99">
        <f t="shared" si="7"/>
        <v>15241.476828039305</v>
      </c>
    </row>
    <row r="495" spans="1:44" ht="15" x14ac:dyDescent="0.25">
      <c r="A495" s="258">
        <v>488</v>
      </c>
      <c r="B495" s="258" t="s">
        <v>338</v>
      </c>
      <c r="C495" s="258" t="s">
        <v>1874</v>
      </c>
      <c r="D495" s="859" t="s">
        <v>1875</v>
      </c>
      <c r="E495" s="99">
        <v>66.987619190184319</v>
      </c>
      <c r="F495" s="99">
        <v>0</v>
      </c>
      <c r="G495" s="99">
        <v>0</v>
      </c>
      <c r="H495" s="99">
        <v>0</v>
      </c>
      <c r="I495" s="99">
        <v>0</v>
      </c>
      <c r="J495" s="99">
        <v>2177.3538325770437</v>
      </c>
      <c r="K495" s="99">
        <v>0</v>
      </c>
      <c r="L495" s="99">
        <v>0</v>
      </c>
      <c r="M495" s="99">
        <v>0</v>
      </c>
      <c r="N495" s="99">
        <v>0</v>
      </c>
      <c r="O495" s="99">
        <v>10701.553931337399</v>
      </c>
      <c r="P495" s="99">
        <v>10.242929177165955</v>
      </c>
      <c r="Q495" s="99">
        <v>0</v>
      </c>
      <c r="R495" s="99">
        <v>0</v>
      </c>
      <c r="S495" s="99">
        <v>0</v>
      </c>
      <c r="T495" s="99">
        <v>0</v>
      </c>
      <c r="U495" s="99">
        <v>0</v>
      </c>
      <c r="V495" s="99">
        <v>0</v>
      </c>
      <c r="W495" s="99">
        <v>0</v>
      </c>
      <c r="X495" s="99">
        <v>0</v>
      </c>
      <c r="Y495" s="99">
        <v>0</v>
      </c>
      <c r="Z495" s="99">
        <v>0</v>
      </c>
      <c r="AA495" s="99">
        <v>0</v>
      </c>
      <c r="AB495" s="99">
        <v>0</v>
      </c>
      <c r="AC495" s="99">
        <v>0</v>
      </c>
      <c r="AD495" s="99">
        <v>0</v>
      </c>
      <c r="AE495" s="99">
        <v>0</v>
      </c>
      <c r="AF495" s="99">
        <v>0</v>
      </c>
      <c r="AG495" s="99">
        <v>0</v>
      </c>
      <c r="AH495" s="99">
        <v>0</v>
      </c>
      <c r="AI495" s="99">
        <v>0</v>
      </c>
      <c r="AJ495" s="99">
        <v>0</v>
      </c>
      <c r="AK495" s="99">
        <v>0</v>
      </c>
      <c r="AL495" s="99">
        <v>0</v>
      </c>
      <c r="AM495" s="99">
        <v>0</v>
      </c>
      <c r="AN495" s="99">
        <v>0</v>
      </c>
      <c r="AO495" s="99">
        <v>0</v>
      </c>
      <c r="AP495" s="99">
        <v>0</v>
      </c>
      <c r="AQ495" s="99">
        <v>0</v>
      </c>
      <c r="AR495" s="99">
        <f t="shared" si="7"/>
        <v>12956.138312281793</v>
      </c>
    </row>
    <row r="496" spans="1:44" ht="15" x14ac:dyDescent="0.25">
      <c r="A496" s="258">
        <v>489</v>
      </c>
      <c r="B496" s="258" t="s">
        <v>338</v>
      </c>
      <c r="C496" s="258" t="s">
        <v>1874</v>
      </c>
      <c r="D496" s="859" t="s">
        <v>1876</v>
      </c>
      <c r="E496" s="99">
        <v>4.423710701238587</v>
      </c>
      <c r="F496" s="99">
        <v>0</v>
      </c>
      <c r="G496" s="99">
        <v>0</v>
      </c>
      <c r="H496" s="99">
        <v>0</v>
      </c>
      <c r="I496" s="99">
        <v>0</v>
      </c>
      <c r="J496" s="99">
        <v>0</v>
      </c>
      <c r="K496" s="99">
        <v>0</v>
      </c>
      <c r="L496" s="99">
        <v>0</v>
      </c>
      <c r="M496" s="99">
        <v>0</v>
      </c>
      <c r="N496" s="99">
        <v>0</v>
      </c>
      <c r="O496" s="99">
        <v>247.47518236826753</v>
      </c>
      <c r="P496" s="99">
        <v>0</v>
      </c>
      <c r="Q496" s="99">
        <v>0</v>
      </c>
      <c r="R496" s="99">
        <v>0</v>
      </c>
      <c r="S496" s="99">
        <v>0</v>
      </c>
      <c r="T496" s="99">
        <v>0</v>
      </c>
      <c r="U496" s="99">
        <v>0</v>
      </c>
      <c r="V496" s="99">
        <v>0</v>
      </c>
      <c r="W496" s="99">
        <v>0</v>
      </c>
      <c r="X496" s="99">
        <v>0</v>
      </c>
      <c r="Y496" s="99">
        <v>0</v>
      </c>
      <c r="Z496" s="99">
        <v>0</v>
      </c>
      <c r="AA496" s="99">
        <v>0</v>
      </c>
      <c r="AB496" s="99">
        <v>0</v>
      </c>
      <c r="AC496" s="99">
        <v>0</v>
      </c>
      <c r="AD496" s="99">
        <v>0</v>
      </c>
      <c r="AE496" s="99">
        <v>0</v>
      </c>
      <c r="AF496" s="99">
        <v>0</v>
      </c>
      <c r="AG496" s="99">
        <v>0</v>
      </c>
      <c r="AH496" s="99">
        <v>0</v>
      </c>
      <c r="AI496" s="99">
        <v>0</v>
      </c>
      <c r="AJ496" s="99">
        <v>0</v>
      </c>
      <c r="AK496" s="99">
        <v>0</v>
      </c>
      <c r="AL496" s="99">
        <v>0</v>
      </c>
      <c r="AM496" s="99">
        <v>0</v>
      </c>
      <c r="AN496" s="99">
        <v>0</v>
      </c>
      <c r="AO496" s="99">
        <v>0</v>
      </c>
      <c r="AP496" s="99">
        <v>0</v>
      </c>
      <c r="AQ496" s="99">
        <v>0</v>
      </c>
      <c r="AR496" s="99">
        <f t="shared" si="7"/>
        <v>251.8988930695061</v>
      </c>
    </row>
    <row r="497" spans="1:44" ht="15" x14ac:dyDescent="0.25">
      <c r="A497" s="258">
        <v>490</v>
      </c>
      <c r="B497" s="258" t="s">
        <v>338</v>
      </c>
      <c r="C497" s="258" t="s">
        <v>1874</v>
      </c>
      <c r="D497" s="859" t="s">
        <v>1877</v>
      </c>
      <c r="E497" s="99">
        <v>5.0556693728440978</v>
      </c>
      <c r="F497" s="99">
        <v>0</v>
      </c>
      <c r="G497" s="99">
        <v>0</v>
      </c>
      <c r="H497" s="99">
        <v>0</v>
      </c>
      <c r="I497" s="99">
        <v>0</v>
      </c>
      <c r="J497" s="99">
        <v>0</v>
      </c>
      <c r="K497" s="99">
        <v>0</v>
      </c>
      <c r="L497" s="99">
        <v>0</v>
      </c>
      <c r="M497" s="99">
        <v>0</v>
      </c>
      <c r="N497" s="99">
        <v>0</v>
      </c>
      <c r="O497" s="99">
        <v>3456.2635639229234</v>
      </c>
      <c r="P497" s="99">
        <v>616.85195711377196</v>
      </c>
      <c r="Q497" s="99">
        <v>0</v>
      </c>
      <c r="R497" s="99">
        <v>0</v>
      </c>
      <c r="S497" s="99">
        <v>0</v>
      </c>
      <c r="T497" s="99">
        <v>0</v>
      </c>
      <c r="U497" s="99">
        <v>48.979990756575425</v>
      </c>
      <c r="V497" s="99">
        <v>0</v>
      </c>
      <c r="W497" s="99">
        <v>0</v>
      </c>
      <c r="X497" s="99">
        <v>0</v>
      </c>
      <c r="Y497" s="99">
        <v>0</v>
      </c>
      <c r="Z497" s="99">
        <v>0</v>
      </c>
      <c r="AA497" s="99">
        <v>0</v>
      </c>
      <c r="AB497" s="99">
        <v>0</v>
      </c>
      <c r="AC497" s="99">
        <v>0</v>
      </c>
      <c r="AD497" s="99">
        <v>0</v>
      </c>
      <c r="AE497" s="99">
        <v>0</v>
      </c>
      <c r="AF497" s="99">
        <v>0</v>
      </c>
      <c r="AG497" s="99">
        <v>0</v>
      </c>
      <c r="AH497" s="99">
        <v>0</v>
      </c>
      <c r="AI497" s="99">
        <v>0</v>
      </c>
      <c r="AJ497" s="99">
        <v>0</v>
      </c>
      <c r="AK497" s="99">
        <v>0</v>
      </c>
      <c r="AL497" s="99">
        <v>0</v>
      </c>
      <c r="AM497" s="99">
        <v>0</v>
      </c>
      <c r="AN497" s="99">
        <v>0</v>
      </c>
      <c r="AO497" s="99">
        <v>0</v>
      </c>
      <c r="AP497" s="99">
        <v>0</v>
      </c>
      <c r="AQ497" s="99">
        <v>0</v>
      </c>
      <c r="AR497" s="99">
        <f t="shared" si="7"/>
        <v>4127.1511811661148</v>
      </c>
    </row>
    <row r="498" spans="1:44" ht="15" x14ac:dyDescent="0.25">
      <c r="A498" s="258">
        <v>491</v>
      </c>
      <c r="B498" s="258" t="s">
        <v>338</v>
      </c>
      <c r="C498" s="258" t="s">
        <v>1874</v>
      </c>
      <c r="D498" s="859" t="s">
        <v>1878</v>
      </c>
      <c r="E498" s="99">
        <v>0</v>
      </c>
      <c r="F498" s="99">
        <v>0</v>
      </c>
      <c r="G498" s="99">
        <v>0</v>
      </c>
      <c r="H498" s="99">
        <v>0</v>
      </c>
      <c r="I498" s="99">
        <v>0</v>
      </c>
      <c r="J498" s="99">
        <v>4354.7076651540874</v>
      </c>
      <c r="K498" s="99">
        <v>0</v>
      </c>
      <c r="L498" s="99">
        <v>0</v>
      </c>
      <c r="M498" s="99">
        <v>0</v>
      </c>
      <c r="N498" s="99">
        <v>0</v>
      </c>
      <c r="O498" s="99">
        <v>1455.4896318947262</v>
      </c>
      <c r="P498" s="99">
        <v>0</v>
      </c>
      <c r="Q498" s="99">
        <v>0</v>
      </c>
      <c r="R498" s="99">
        <v>0</v>
      </c>
      <c r="S498" s="99">
        <v>0</v>
      </c>
      <c r="T498" s="99">
        <v>0</v>
      </c>
      <c r="U498" s="99">
        <v>0</v>
      </c>
      <c r="V498" s="99">
        <v>0</v>
      </c>
      <c r="W498" s="99">
        <v>0</v>
      </c>
      <c r="X498" s="99">
        <v>0</v>
      </c>
      <c r="Y498" s="99">
        <v>0</v>
      </c>
      <c r="Z498" s="99">
        <v>0</v>
      </c>
      <c r="AA498" s="99">
        <v>0</v>
      </c>
      <c r="AB498" s="99">
        <v>0</v>
      </c>
      <c r="AC498" s="99">
        <v>0</v>
      </c>
      <c r="AD498" s="99">
        <v>0</v>
      </c>
      <c r="AE498" s="99">
        <v>0</v>
      </c>
      <c r="AF498" s="99">
        <v>0</v>
      </c>
      <c r="AG498" s="99">
        <v>0</v>
      </c>
      <c r="AH498" s="99">
        <v>0</v>
      </c>
      <c r="AI498" s="99">
        <v>0</v>
      </c>
      <c r="AJ498" s="99">
        <v>0</v>
      </c>
      <c r="AK498" s="99">
        <v>0</v>
      </c>
      <c r="AL498" s="99">
        <v>0</v>
      </c>
      <c r="AM498" s="99">
        <v>0</v>
      </c>
      <c r="AN498" s="99">
        <v>0</v>
      </c>
      <c r="AO498" s="99">
        <v>0</v>
      </c>
      <c r="AP498" s="99">
        <v>0</v>
      </c>
      <c r="AQ498" s="99">
        <v>0</v>
      </c>
      <c r="AR498" s="99">
        <f t="shared" si="7"/>
        <v>5810.1972970488132</v>
      </c>
    </row>
    <row r="499" spans="1:44" ht="15" x14ac:dyDescent="0.25">
      <c r="A499" s="258">
        <v>492</v>
      </c>
      <c r="B499" s="258" t="s">
        <v>338</v>
      </c>
      <c r="C499" s="258" t="s">
        <v>1874</v>
      </c>
      <c r="D499" s="859" t="s">
        <v>1879</v>
      </c>
      <c r="E499" s="99">
        <v>7.162198278195806</v>
      </c>
      <c r="F499" s="99">
        <v>0</v>
      </c>
      <c r="G499" s="99">
        <v>0</v>
      </c>
      <c r="H499" s="99">
        <v>0</v>
      </c>
      <c r="I499" s="99">
        <v>0</v>
      </c>
      <c r="J499" s="99">
        <v>0</v>
      </c>
      <c r="K499" s="99">
        <v>0</v>
      </c>
      <c r="L499" s="99">
        <v>0</v>
      </c>
      <c r="M499" s="99">
        <v>0</v>
      </c>
      <c r="N499" s="99">
        <v>0</v>
      </c>
      <c r="O499" s="99">
        <v>113.25135464310549</v>
      </c>
      <c r="P499" s="99">
        <v>0</v>
      </c>
      <c r="Q499" s="99">
        <v>0</v>
      </c>
      <c r="R499" s="99">
        <v>0</v>
      </c>
      <c r="S499" s="99">
        <v>0</v>
      </c>
      <c r="T499" s="99">
        <v>0</v>
      </c>
      <c r="U499" s="99">
        <v>0</v>
      </c>
      <c r="V499" s="99">
        <v>0</v>
      </c>
      <c r="W499" s="99">
        <v>0</v>
      </c>
      <c r="X499" s="99">
        <v>0</v>
      </c>
      <c r="Y499" s="99">
        <v>0</v>
      </c>
      <c r="Z499" s="99">
        <v>0</v>
      </c>
      <c r="AA499" s="99">
        <v>0</v>
      </c>
      <c r="AB499" s="99">
        <v>0</v>
      </c>
      <c r="AC499" s="99">
        <v>0</v>
      </c>
      <c r="AD499" s="99">
        <v>0</v>
      </c>
      <c r="AE499" s="99">
        <v>0</v>
      </c>
      <c r="AF499" s="99">
        <v>0</v>
      </c>
      <c r="AG499" s="99">
        <v>0</v>
      </c>
      <c r="AH499" s="99">
        <v>0</v>
      </c>
      <c r="AI499" s="99">
        <v>0</v>
      </c>
      <c r="AJ499" s="99">
        <v>0</v>
      </c>
      <c r="AK499" s="99">
        <v>0</v>
      </c>
      <c r="AL499" s="99">
        <v>0</v>
      </c>
      <c r="AM499" s="99">
        <v>0</v>
      </c>
      <c r="AN499" s="99">
        <v>0</v>
      </c>
      <c r="AO499" s="99">
        <v>0</v>
      </c>
      <c r="AP499" s="99">
        <v>0</v>
      </c>
      <c r="AQ499" s="99">
        <v>0</v>
      </c>
      <c r="AR499" s="99">
        <f t="shared" si="7"/>
        <v>120.41355292130129</v>
      </c>
    </row>
    <row r="500" spans="1:44" ht="15" x14ac:dyDescent="0.25">
      <c r="A500" s="258">
        <v>493</v>
      </c>
      <c r="B500" s="258" t="s">
        <v>338</v>
      </c>
      <c r="C500" s="258" t="s">
        <v>1874</v>
      </c>
      <c r="D500" s="859" t="s">
        <v>1880</v>
      </c>
      <c r="E500" s="99">
        <v>0</v>
      </c>
      <c r="F500" s="99">
        <v>0</v>
      </c>
      <c r="G500" s="99">
        <v>0</v>
      </c>
      <c r="H500" s="99">
        <v>0</v>
      </c>
      <c r="I500" s="99">
        <v>0</v>
      </c>
      <c r="J500" s="99">
        <v>0</v>
      </c>
      <c r="K500" s="99">
        <v>0</v>
      </c>
      <c r="L500" s="99">
        <v>0</v>
      </c>
      <c r="M500" s="99">
        <v>0</v>
      </c>
      <c r="N500" s="99">
        <v>0</v>
      </c>
      <c r="O500" s="99">
        <v>899.02001278415833</v>
      </c>
      <c r="P500" s="99">
        <v>0</v>
      </c>
      <c r="Q500" s="99">
        <v>0</v>
      </c>
      <c r="R500" s="99">
        <v>0</v>
      </c>
      <c r="S500" s="99">
        <v>0</v>
      </c>
      <c r="T500" s="99">
        <v>0</v>
      </c>
      <c r="U500" s="99">
        <v>0</v>
      </c>
      <c r="V500" s="99">
        <v>0</v>
      </c>
      <c r="W500" s="99">
        <v>0</v>
      </c>
      <c r="X500" s="99">
        <v>0</v>
      </c>
      <c r="Y500" s="99">
        <v>0</v>
      </c>
      <c r="Z500" s="99">
        <v>0</v>
      </c>
      <c r="AA500" s="99">
        <v>0</v>
      </c>
      <c r="AB500" s="99">
        <v>0</v>
      </c>
      <c r="AC500" s="99">
        <v>0</v>
      </c>
      <c r="AD500" s="99">
        <v>0</v>
      </c>
      <c r="AE500" s="99">
        <v>0</v>
      </c>
      <c r="AF500" s="99">
        <v>0</v>
      </c>
      <c r="AG500" s="99">
        <v>0</v>
      </c>
      <c r="AH500" s="99">
        <v>0</v>
      </c>
      <c r="AI500" s="99">
        <v>0</v>
      </c>
      <c r="AJ500" s="99">
        <v>0</v>
      </c>
      <c r="AK500" s="99">
        <v>0</v>
      </c>
      <c r="AL500" s="99">
        <v>0</v>
      </c>
      <c r="AM500" s="99">
        <v>0</v>
      </c>
      <c r="AN500" s="99">
        <v>0</v>
      </c>
      <c r="AO500" s="99">
        <v>0</v>
      </c>
      <c r="AP500" s="99">
        <v>0</v>
      </c>
      <c r="AQ500" s="99">
        <v>0</v>
      </c>
      <c r="AR500" s="99">
        <f t="shared" si="7"/>
        <v>899.02001278415833</v>
      </c>
    </row>
    <row r="501" spans="1:44" ht="15" x14ac:dyDescent="0.25">
      <c r="A501" s="258">
        <v>494</v>
      </c>
      <c r="B501" s="258" t="s">
        <v>338</v>
      </c>
      <c r="C501" s="258" t="s">
        <v>1874</v>
      </c>
      <c r="D501" s="859" t="s">
        <v>1881</v>
      </c>
      <c r="E501" s="99">
        <v>0</v>
      </c>
      <c r="F501" s="99">
        <v>0</v>
      </c>
      <c r="G501" s="99">
        <v>0</v>
      </c>
      <c r="H501" s="99">
        <v>0</v>
      </c>
      <c r="I501" s="99">
        <v>0</v>
      </c>
      <c r="J501" s="99">
        <v>8709.4153303081748</v>
      </c>
      <c r="K501" s="99">
        <v>0</v>
      </c>
      <c r="L501" s="99">
        <v>0</v>
      </c>
      <c r="M501" s="99">
        <v>0</v>
      </c>
      <c r="N501" s="99">
        <v>0</v>
      </c>
      <c r="O501" s="99">
        <v>22.370637954193676</v>
      </c>
      <c r="P501" s="99">
        <v>0</v>
      </c>
      <c r="Q501" s="99">
        <v>0</v>
      </c>
      <c r="R501" s="99">
        <v>0</v>
      </c>
      <c r="S501" s="99">
        <v>0</v>
      </c>
      <c r="T501" s="99">
        <v>0</v>
      </c>
      <c r="U501" s="99">
        <v>0</v>
      </c>
      <c r="V501" s="99">
        <v>0</v>
      </c>
      <c r="W501" s="99">
        <v>0</v>
      </c>
      <c r="X501" s="99">
        <v>0</v>
      </c>
      <c r="Y501" s="99">
        <v>0</v>
      </c>
      <c r="Z501" s="99">
        <v>0</v>
      </c>
      <c r="AA501" s="99">
        <v>0</v>
      </c>
      <c r="AB501" s="99">
        <v>0</v>
      </c>
      <c r="AC501" s="99">
        <v>0</v>
      </c>
      <c r="AD501" s="99">
        <v>0</v>
      </c>
      <c r="AE501" s="99">
        <v>0</v>
      </c>
      <c r="AF501" s="99">
        <v>0</v>
      </c>
      <c r="AG501" s="99">
        <v>0</v>
      </c>
      <c r="AH501" s="99">
        <v>0</v>
      </c>
      <c r="AI501" s="99">
        <v>0</v>
      </c>
      <c r="AJ501" s="99">
        <v>0</v>
      </c>
      <c r="AK501" s="99">
        <v>0</v>
      </c>
      <c r="AL501" s="99">
        <v>0</v>
      </c>
      <c r="AM501" s="99">
        <v>0</v>
      </c>
      <c r="AN501" s="99">
        <v>0</v>
      </c>
      <c r="AO501" s="99">
        <v>0</v>
      </c>
      <c r="AP501" s="99">
        <v>0</v>
      </c>
      <c r="AQ501" s="99">
        <v>0</v>
      </c>
      <c r="AR501" s="99">
        <f t="shared" si="7"/>
        <v>8731.7859682623694</v>
      </c>
    </row>
    <row r="502" spans="1:44" ht="15" x14ac:dyDescent="0.25">
      <c r="A502" s="258">
        <v>495</v>
      </c>
      <c r="B502" s="258" t="s">
        <v>338</v>
      </c>
      <c r="C502" s="258" t="s">
        <v>1874</v>
      </c>
      <c r="D502" s="859" t="s">
        <v>1882</v>
      </c>
      <c r="E502" s="99">
        <v>0</v>
      </c>
      <c r="F502" s="99">
        <v>0</v>
      </c>
      <c r="G502" s="99">
        <v>0</v>
      </c>
      <c r="H502" s="99">
        <v>0</v>
      </c>
      <c r="I502" s="99">
        <v>0</v>
      </c>
      <c r="J502" s="99">
        <v>6532.0614977311307</v>
      </c>
      <c r="K502" s="99">
        <v>0</v>
      </c>
      <c r="L502" s="99">
        <v>0</v>
      </c>
      <c r="M502" s="99">
        <v>0</v>
      </c>
      <c r="N502" s="99">
        <v>0</v>
      </c>
      <c r="O502" s="99">
        <v>177.56693876141233</v>
      </c>
      <c r="P502" s="99">
        <v>0</v>
      </c>
      <c r="Q502" s="99">
        <v>0</v>
      </c>
      <c r="R502" s="99">
        <v>0</v>
      </c>
      <c r="S502" s="99">
        <v>0</v>
      </c>
      <c r="T502" s="99">
        <v>0</v>
      </c>
      <c r="U502" s="99">
        <v>0</v>
      </c>
      <c r="V502" s="99">
        <v>0</v>
      </c>
      <c r="W502" s="99">
        <v>0</v>
      </c>
      <c r="X502" s="99">
        <v>0</v>
      </c>
      <c r="Y502" s="99">
        <v>0</v>
      </c>
      <c r="Z502" s="99">
        <v>0</v>
      </c>
      <c r="AA502" s="99">
        <v>0</v>
      </c>
      <c r="AB502" s="99">
        <v>0</v>
      </c>
      <c r="AC502" s="99">
        <v>0</v>
      </c>
      <c r="AD502" s="99">
        <v>0</v>
      </c>
      <c r="AE502" s="99">
        <v>0</v>
      </c>
      <c r="AF502" s="99">
        <v>0</v>
      </c>
      <c r="AG502" s="99">
        <v>0</v>
      </c>
      <c r="AH502" s="99">
        <v>0</v>
      </c>
      <c r="AI502" s="99">
        <v>0</v>
      </c>
      <c r="AJ502" s="99">
        <v>0</v>
      </c>
      <c r="AK502" s="99">
        <v>0</v>
      </c>
      <c r="AL502" s="99">
        <v>0</v>
      </c>
      <c r="AM502" s="99">
        <v>0</v>
      </c>
      <c r="AN502" s="99">
        <v>0</v>
      </c>
      <c r="AO502" s="99">
        <v>0</v>
      </c>
      <c r="AP502" s="99">
        <v>0</v>
      </c>
      <c r="AQ502" s="99">
        <v>0</v>
      </c>
      <c r="AR502" s="99">
        <f t="shared" si="7"/>
        <v>6709.6284364925432</v>
      </c>
    </row>
    <row r="503" spans="1:44" ht="15" x14ac:dyDescent="0.25">
      <c r="A503" s="258">
        <v>496</v>
      </c>
      <c r="B503" s="258" t="s">
        <v>338</v>
      </c>
      <c r="C503" s="258" t="s">
        <v>1874</v>
      </c>
      <c r="D503" s="859" t="s">
        <v>1883</v>
      </c>
      <c r="E503" s="99">
        <v>0</v>
      </c>
      <c r="F503" s="99">
        <v>0</v>
      </c>
      <c r="G503" s="99">
        <v>0</v>
      </c>
      <c r="H503" s="99">
        <v>0</v>
      </c>
      <c r="I503" s="99">
        <v>0</v>
      </c>
      <c r="J503" s="99">
        <v>0</v>
      </c>
      <c r="K503" s="99">
        <v>0</v>
      </c>
      <c r="L503" s="99">
        <v>0</v>
      </c>
      <c r="M503" s="99">
        <v>0</v>
      </c>
      <c r="N503" s="99">
        <v>0</v>
      </c>
      <c r="O503" s="99">
        <v>738.23105248839136</v>
      </c>
      <c r="P503" s="99">
        <v>0</v>
      </c>
      <c r="Q503" s="99">
        <v>0</v>
      </c>
      <c r="R503" s="99">
        <v>0</v>
      </c>
      <c r="S503" s="99">
        <v>0</v>
      </c>
      <c r="T503" s="99">
        <v>0</v>
      </c>
      <c r="U503" s="99">
        <v>0</v>
      </c>
      <c r="V503" s="99">
        <v>0</v>
      </c>
      <c r="W503" s="99">
        <v>0</v>
      </c>
      <c r="X503" s="99">
        <v>0</v>
      </c>
      <c r="Y503" s="99">
        <v>0</v>
      </c>
      <c r="Z503" s="99">
        <v>0</v>
      </c>
      <c r="AA503" s="99">
        <v>0</v>
      </c>
      <c r="AB503" s="99">
        <v>0</v>
      </c>
      <c r="AC503" s="99">
        <v>0</v>
      </c>
      <c r="AD503" s="99">
        <v>0</v>
      </c>
      <c r="AE503" s="99">
        <v>0</v>
      </c>
      <c r="AF503" s="99">
        <v>0</v>
      </c>
      <c r="AG503" s="99">
        <v>0</v>
      </c>
      <c r="AH503" s="99">
        <v>0</v>
      </c>
      <c r="AI503" s="99">
        <v>0</v>
      </c>
      <c r="AJ503" s="99">
        <v>0</v>
      </c>
      <c r="AK503" s="99">
        <v>0</v>
      </c>
      <c r="AL503" s="99">
        <v>0</v>
      </c>
      <c r="AM503" s="99">
        <v>0</v>
      </c>
      <c r="AN503" s="99">
        <v>0</v>
      </c>
      <c r="AO503" s="99">
        <v>0</v>
      </c>
      <c r="AP503" s="99">
        <v>0</v>
      </c>
      <c r="AQ503" s="99">
        <v>0</v>
      </c>
      <c r="AR503" s="99">
        <f t="shared" si="7"/>
        <v>738.23105248839136</v>
      </c>
    </row>
    <row r="504" spans="1:44" ht="15" x14ac:dyDescent="0.25">
      <c r="A504" s="258">
        <v>497</v>
      </c>
      <c r="B504" s="258" t="s">
        <v>977</v>
      </c>
      <c r="C504" s="258" t="s">
        <v>1884</v>
      </c>
      <c r="D504" s="859" t="s">
        <v>1885</v>
      </c>
      <c r="E504" s="99">
        <v>0</v>
      </c>
      <c r="F504" s="99">
        <v>0</v>
      </c>
      <c r="G504" s="99">
        <v>0</v>
      </c>
      <c r="H504" s="99">
        <v>0</v>
      </c>
      <c r="I504" s="99">
        <v>0</v>
      </c>
      <c r="J504" s="99">
        <v>0</v>
      </c>
      <c r="K504" s="99">
        <v>0</v>
      </c>
      <c r="L504" s="99">
        <v>0</v>
      </c>
      <c r="M504" s="99">
        <v>0</v>
      </c>
      <c r="N504" s="99">
        <v>0</v>
      </c>
      <c r="O504" s="99">
        <v>0</v>
      </c>
      <c r="P504" s="99">
        <v>1349.7904449020914</v>
      </c>
      <c r="Q504" s="99">
        <v>0</v>
      </c>
      <c r="R504" s="99">
        <v>0</v>
      </c>
      <c r="S504" s="99">
        <v>0</v>
      </c>
      <c r="T504" s="99">
        <v>0</v>
      </c>
      <c r="U504" s="99">
        <v>0</v>
      </c>
      <c r="V504" s="99">
        <v>99.838279201301901</v>
      </c>
      <c r="W504" s="99">
        <v>0</v>
      </c>
      <c r="X504" s="99">
        <v>0</v>
      </c>
      <c r="Y504" s="99">
        <v>0</v>
      </c>
      <c r="Z504" s="99">
        <v>0</v>
      </c>
      <c r="AA504" s="99">
        <v>0</v>
      </c>
      <c r="AB504" s="99">
        <v>0</v>
      </c>
      <c r="AC504" s="99">
        <v>0</v>
      </c>
      <c r="AD504" s="99">
        <v>1442.4041269654924</v>
      </c>
      <c r="AE504" s="99">
        <v>0</v>
      </c>
      <c r="AF504" s="99">
        <v>0</v>
      </c>
      <c r="AG504" s="99">
        <v>0</v>
      </c>
      <c r="AH504" s="99">
        <v>0</v>
      </c>
      <c r="AI504" s="99">
        <v>0</v>
      </c>
      <c r="AJ504" s="99">
        <v>0</v>
      </c>
      <c r="AK504" s="99">
        <v>0</v>
      </c>
      <c r="AL504" s="99">
        <v>0</v>
      </c>
      <c r="AM504" s="99">
        <v>0</v>
      </c>
      <c r="AN504" s="99">
        <v>0</v>
      </c>
      <c r="AO504" s="99">
        <v>0</v>
      </c>
      <c r="AP504" s="99">
        <v>0</v>
      </c>
      <c r="AQ504" s="99">
        <v>0</v>
      </c>
      <c r="AR504" s="99">
        <f t="shared" si="7"/>
        <v>2892.032851068886</v>
      </c>
    </row>
    <row r="505" spans="1:44" ht="15" x14ac:dyDescent="0.25">
      <c r="A505" s="258">
        <v>498</v>
      </c>
      <c r="B505" s="258" t="s">
        <v>977</v>
      </c>
      <c r="C505" s="258" t="s">
        <v>1884</v>
      </c>
      <c r="D505" s="859" t="s">
        <v>1886</v>
      </c>
      <c r="E505" s="99">
        <v>0</v>
      </c>
      <c r="F505" s="99">
        <v>0</v>
      </c>
      <c r="G505" s="99">
        <v>0</v>
      </c>
      <c r="H505" s="99">
        <v>0</v>
      </c>
      <c r="I505" s="99">
        <v>0</v>
      </c>
      <c r="J505" s="99">
        <v>0</v>
      </c>
      <c r="K505" s="99">
        <v>0</v>
      </c>
      <c r="L505" s="99">
        <v>0</v>
      </c>
      <c r="M505" s="99">
        <v>0</v>
      </c>
      <c r="N505" s="99">
        <v>0</v>
      </c>
      <c r="O505" s="99">
        <v>0</v>
      </c>
      <c r="P505" s="99">
        <v>377.850276313233</v>
      </c>
      <c r="Q505" s="99">
        <v>0</v>
      </c>
      <c r="R505" s="99">
        <v>0</v>
      </c>
      <c r="S505" s="99">
        <v>0</v>
      </c>
      <c r="T505" s="99">
        <v>0</v>
      </c>
      <c r="U505" s="99">
        <v>0</v>
      </c>
      <c r="V505" s="99">
        <v>773.08635773071614</v>
      </c>
      <c r="W505" s="99">
        <v>0</v>
      </c>
      <c r="X505" s="99">
        <v>0</v>
      </c>
      <c r="Y505" s="99">
        <v>0</v>
      </c>
      <c r="Z505" s="99">
        <v>0</v>
      </c>
      <c r="AA505" s="99">
        <v>0</v>
      </c>
      <c r="AB505" s="99">
        <v>0</v>
      </c>
      <c r="AC505" s="99">
        <v>0</v>
      </c>
      <c r="AD505" s="99">
        <v>237.6949676205611</v>
      </c>
      <c r="AE505" s="99">
        <v>0</v>
      </c>
      <c r="AF505" s="99">
        <v>0</v>
      </c>
      <c r="AG505" s="99">
        <v>0</v>
      </c>
      <c r="AH505" s="99">
        <v>0</v>
      </c>
      <c r="AI505" s="99">
        <v>0</v>
      </c>
      <c r="AJ505" s="99">
        <v>0</v>
      </c>
      <c r="AK505" s="99">
        <v>0</v>
      </c>
      <c r="AL505" s="99">
        <v>0</v>
      </c>
      <c r="AM505" s="99">
        <v>0</v>
      </c>
      <c r="AN505" s="99">
        <v>0</v>
      </c>
      <c r="AO505" s="99">
        <v>0</v>
      </c>
      <c r="AP505" s="99">
        <v>0</v>
      </c>
      <c r="AQ505" s="99">
        <v>0</v>
      </c>
      <c r="AR505" s="99">
        <f t="shared" si="7"/>
        <v>1388.6316016645103</v>
      </c>
    </row>
    <row r="506" spans="1:44" ht="15" x14ac:dyDescent="0.25">
      <c r="A506" s="258">
        <v>499</v>
      </c>
      <c r="B506" s="258" t="s">
        <v>977</v>
      </c>
      <c r="C506" s="258" t="s">
        <v>1884</v>
      </c>
      <c r="D506" s="859" t="s">
        <v>1887</v>
      </c>
      <c r="E506" s="99">
        <v>0</v>
      </c>
      <c r="F506" s="99">
        <v>0</v>
      </c>
      <c r="G506" s="99">
        <v>0</v>
      </c>
      <c r="H506" s="99">
        <v>0</v>
      </c>
      <c r="I506" s="99">
        <v>0</v>
      </c>
      <c r="J506" s="99">
        <v>0</v>
      </c>
      <c r="K506" s="99">
        <v>0</v>
      </c>
      <c r="L506" s="99">
        <v>0</v>
      </c>
      <c r="M506" s="99">
        <v>0</v>
      </c>
      <c r="N506" s="99">
        <v>0</v>
      </c>
      <c r="O506" s="99">
        <v>5318.619173609547</v>
      </c>
      <c r="P506" s="99">
        <v>1445.9601688432606</v>
      </c>
      <c r="Q506" s="99">
        <v>0</v>
      </c>
      <c r="R506" s="99">
        <v>0</v>
      </c>
      <c r="S506" s="99">
        <v>0</v>
      </c>
      <c r="T506" s="99">
        <v>0</v>
      </c>
      <c r="U506" s="99">
        <v>0</v>
      </c>
      <c r="V506" s="99">
        <v>48.59852744190357</v>
      </c>
      <c r="W506" s="99">
        <v>0</v>
      </c>
      <c r="X506" s="99">
        <v>0</v>
      </c>
      <c r="Y506" s="99">
        <v>0</v>
      </c>
      <c r="Z506" s="99">
        <v>0</v>
      </c>
      <c r="AA506" s="99">
        <v>0</v>
      </c>
      <c r="AB506" s="99">
        <v>0</v>
      </c>
      <c r="AC506" s="99">
        <v>0</v>
      </c>
      <c r="AD506" s="99">
        <v>0</v>
      </c>
      <c r="AE506" s="99">
        <v>0</v>
      </c>
      <c r="AF506" s="99">
        <v>0</v>
      </c>
      <c r="AG506" s="99">
        <v>0</v>
      </c>
      <c r="AH506" s="99">
        <v>0</v>
      </c>
      <c r="AI506" s="99">
        <v>0</v>
      </c>
      <c r="AJ506" s="99">
        <v>0</v>
      </c>
      <c r="AK506" s="99">
        <v>0</v>
      </c>
      <c r="AL506" s="99">
        <v>0</v>
      </c>
      <c r="AM506" s="99">
        <v>0</v>
      </c>
      <c r="AN506" s="99">
        <v>0</v>
      </c>
      <c r="AO506" s="99">
        <v>0</v>
      </c>
      <c r="AP506" s="99">
        <v>0</v>
      </c>
      <c r="AQ506" s="99">
        <v>0</v>
      </c>
      <c r="AR506" s="99">
        <f t="shared" si="7"/>
        <v>6813.177869894711</v>
      </c>
    </row>
    <row r="507" spans="1:44" ht="15" x14ac:dyDescent="0.25">
      <c r="A507" s="258">
        <v>500</v>
      </c>
      <c r="B507" s="258" t="s">
        <v>977</v>
      </c>
      <c r="C507" s="258" t="s">
        <v>1884</v>
      </c>
      <c r="D507" s="859" t="s">
        <v>1888</v>
      </c>
      <c r="E507" s="99">
        <v>0</v>
      </c>
      <c r="F507" s="99">
        <v>0</v>
      </c>
      <c r="G507" s="99">
        <v>0</v>
      </c>
      <c r="H507" s="99">
        <v>0</v>
      </c>
      <c r="I507" s="99">
        <v>0</v>
      </c>
      <c r="J507" s="99">
        <v>0</v>
      </c>
      <c r="K507" s="99">
        <v>0</v>
      </c>
      <c r="L507" s="99">
        <v>0</v>
      </c>
      <c r="M507" s="99">
        <v>0</v>
      </c>
      <c r="N507" s="99">
        <v>0</v>
      </c>
      <c r="O507" s="99">
        <v>79.695397711814977</v>
      </c>
      <c r="P507" s="99">
        <v>137.14144064983307</v>
      </c>
      <c r="Q507" s="99">
        <v>0</v>
      </c>
      <c r="R507" s="99">
        <v>0</v>
      </c>
      <c r="S507" s="99">
        <v>0</v>
      </c>
      <c r="T507" s="99">
        <v>0</v>
      </c>
      <c r="U507" s="99">
        <v>0</v>
      </c>
      <c r="V507" s="99">
        <v>0</v>
      </c>
      <c r="W507" s="99">
        <v>0</v>
      </c>
      <c r="X507" s="99">
        <v>0</v>
      </c>
      <c r="Y507" s="99">
        <v>0</v>
      </c>
      <c r="Z507" s="99">
        <v>0</v>
      </c>
      <c r="AA507" s="99">
        <v>0</v>
      </c>
      <c r="AB507" s="99">
        <v>0</v>
      </c>
      <c r="AC507" s="99">
        <v>0</v>
      </c>
      <c r="AD507" s="99">
        <v>0</v>
      </c>
      <c r="AE507" s="99">
        <v>0</v>
      </c>
      <c r="AF507" s="99">
        <v>0</v>
      </c>
      <c r="AG507" s="99">
        <v>0</v>
      </c>
      <c r="AH507" s="99">
        <v>0</v>
      </c>
      <c r="AI507" s="99">
        <v>0</v>
      </c>
      <c r="AJ507" s="99">
        <v>0</v>
      </c>
      <c r="AK507" s="99">
        <v>0</v>
      </c>
      <c r="AL507" s="99">
        <v>0</v>
      </c>
      <c r="AM507" s="99">
        <v>0</v>
      </c>
      <c r="AN507" s="99">
        <v>0</v>
      </c>
      <c r="AO507" s="99">
        <v>0</v>
      </c>
      <c r="AP507" s="99">
        <v>0</v>
      </c>
      <c r="AQ507" s="99">
        <v>0</v>
      </c>
      <c r="AR507" s="99">
        <f t="shared" si="7"/>
        <v>216.83683836164806</v>
      </c>
    </row>
    <row r="508" spans="1:44" ht="15" x14ac:dyDescent="0.25">
      <c r="A508" s="258">
        <v>501</v>
      </c>
      <c r="B508" s="258" t="s">
        <v>977</v>
      </c>
      <c r="C508" s="258" t="s">
        <v>1884</v>
      </c>
      <c r="D508" s="859" t="s">
        <v>1889</v>
      </c>
      <c r="E508" s="99">
        <v>2.3171817958868788</v>
      </c>
      <c r="F508" s="99">
        <v>0</v>
      </c>
      <c r="G508" s="99">
        <v>0</v>
      </c>
      <c r="H508" s="99">
        <v>0</v>
      </c>
      <c r="I508" s="99">
        <v>0</v>
      </c>
      <c r="J508" s="99">
        <v>0</v>
      </c>
      <c r="K508" s="99">
        <v>0</v>
      </c>
      <c r="L508" s="99">
        <v>0</v>
      </c>
      <c r="M508" s="99">
        <v>0</v>
      </c>
      <c r="N508" s="99">
        <v>0</v>
      </c>
      <c r="O508" s="99">
        <v>3481.4305316213909</v>
      </c>
      <c r="P508" s="99">
        <v>12.519135660980613</v>
      </c>
      <c r="Q508" s="99">
        <v>0</v>
      </c>
      <c r="R508" s="99">
        <v>0</v>
      </c>
      <c r="S508" s="99">
        <v>0</v>
      </c>
      <c r="T508" s="99">
        <v>0</v>
      </c>
      <c r="U508" s="99">
        <v>0</v>
      </c>
      <c r="V508" s="99">
        <v>0</v>
      </c>
      <c r="W508" s="99">
        <v>0</v>
      </c>
      <c r="X508" s="99">
        <v>0</v>
      </c>
      <c r="Y508" s="99">
        <v>0</v>
      </c>
      <c r="Z508" s="99">
        <v>0</v>
      </c>
      <c r="AA508" s="99">
        <v>0</v>
      </c>
      <c r="AB508" s="99">
        <v>0</v>
      </c>
      <c r="AC508" s="99">
        <v>0</v>
      </c>
      <c r="AD508" s="99">
        <v>0</v>
      </c>
      <c r="AE508" s="99">
        <v>0</v>
      </c>
      <c r="AF508" s="99">
        <v>0</v>
      </c>
      <c r="AG508" s="99">
        <v>0</v>
      </c>
      <c r="AH508" s="99">
        <v>0</v>
      </c>
      <c r="AI508" s="99">
        <v>0</v>
      </c>
      <c r="AJ508" s="99">
        <v>0</v>
      </c>
      <c r="AK508" s="99">
        <v>0</v>
      </c>
      <c r="AL508" s="99">
        <v>0</v>
      </c>
      <c r="AM508" s="99">
        <v>0</v>
      </c>
      <c r="AN508" s="99">
        <v>0</v>
      </c>
      <c r="AO508" s="99">
        <v>0</v>
      </c>
      <c r="AP508" s="99">
        <v>0</v>
      </c>
      <c r="AQ508" s="99">
        <v>0</v>
      </c>
      <c r="AR508" s="99">
        <f t="shared" si="7"/>
        <v>3496.2668490782585</v>
      </c>
    </row>
    <row r="509" spans="1:44" ht="15" x14ac:dyDescent="0.25">
      <c r="A509" s="258">
        <v>502</v>
      </c>
      <c r="B509" s="258" t="s">
        <v>977</v>
      </c>
      <c r="C509" s="258" t="s">
        <v>1884</v>
      </c>
      <c r="D509" s="859" t="s">
        <v>1890</v>
      </c>
      <c r="E509" s="99">
        <v>0</v>
      </c>
      <c r="F509" s="99">
        <v>0</v>
      </c>
      <c r="G509" s="99">
        <v>0</v>
      </c>
      <c r="H509" s="99">
        <v>0</v>
      </c>
      <c r="I509" s="99">
        <v>0</v>
      </c>
      <c r="J509" s="99">
        <v>0</v>
      </c>
      <c r="K509" s="99">
        <v>0</v>
      </c>
      <c r="L509" s="99">
        <v>0</v>
      </c>
      <c r="M509" s="99">
        <v>0</v>
      </c>
      <c r="N509" s="99">
        <v>0</v>
      </c>
      <c r="O509" s="99">
        <v>13272.779131197536</v>
      </c>
      <c r="P509" s="99">
        <v>158.19635062511864</v>
      </c>
      <c r="Q509" s="99">
        <v>0</v>
      </c>
      <c r="R509" s="99">
        <v>0</v>
      </c>
      <c r="S509" s="99">
        <v>0</v>
      </c>
      <c r="T509" s="99">
        <v>0</v>
      </c>
      <c r="U509" s="99">
        <v>0</v>
      </c>
      <c r="V509" s="99">
        <v>3789.8927731732301</v>
      </c>
      <c r="W509" s="99">
        <v>0</v>
      </c>
      <c r="X509" s="99">
        <v>0</v>
      </c>
      <c r="Y509" s="99">
        <v>0</v>
      </c>
      <c r="Z509" s="99">
        <v>0</v>
      </c>
      <c r="AA509" s="99">
        <v>17.933165470646163</v>
      </c>
      <c r="AB509" s="99">
        <v>0</v>
      </c>
      <c r="AC509" s="99">
        <v>0</v>
      </c>
      <c r="AD509" s="99">
        <v>0</v>
      </c>
      <c r="AE509" s="99">
        <v>0</v>
      </c>
      <c r="AF509" s="99">
        <v>0</v>
      </c>
      <c r="AG509" s="99">
        <v>0</v>
      </c>
      <c r="AH509" s="99">
        <v>0</v>
      </c>
      <c r="AI509" s="99">
        <v>0</v>
      </c>
      <c r="AJ509" s="99">
        <v>0</v>
      </c>
      <c r="AK509" s="99">
        <v>0</v>
      </c>
      <c r="AL509" s="99">
        <v>0</v>
      </c>
      <c r="AM509" s="99">
        <v>0</v>
      </c>
      <c r="AN509" s="99">
        <v>0</v>
      </c>
      <c r="AO509" s="99">
        <v>0</v>
      </c>
      <c r="AP509" s="99">
        <v>0</v>
      </c>
      <c r="AQ509" s="99">
        <v>0</v>
      </c>
      <c r="AR509" s="99">
        <f t="shared" si="7"/>
        <v>17238.801420466534</v>
      </c>
    </row>
    <row r="510" spans="1:44" ht="15" x14ac:dyDescent="0.25">
      <c r="A510" s="258">
        <v>503</v>
      </c>
      <c r="B510" s="258" t="s">
        <v>977</v>
      </c>
      <c r="C510" s="258" t="s">
        <v>1884</v>
      </c>
      <c r="D510" s="859" t="s">
        <v>1891</v>
      </c>
      <c r="E510" s="99">
        <v>0.42130578107034161</v>
      </c>
      <c r="F510" s="99">
        <v>0</v>
      </c>
      <c r="G510" s="99">
        <v>0</v>
      </c>
      <c r="H510" s="99">
        <v>0</v>
      </c>
      <c r="I510" s="99">
        <v>0</v>
      </c>
      <c r="J510" s="99">
        <v>0</v>
      </c>
      <c r="K510" s="99">
        <v>0</v>
      </c>
      <c r="L510" s="99">
        <v>0</v>
      </c>
      <c r="M510" s="99">
        <v>0</v>
      </c>
      <c r="N510" s="99">
        <v>0</v>
      </c>
      <c r="O510" s="99">
        <v>212.5210605648399</v>
      </c>
      <c r="P510" s="99">
        <v>0</v>
      </c>
      <c r="Q510" s="99">
        <v>0</v>
      </c>
      <c r="R510" s="99">
        <v>0</v>
      </c>
      <c r="S510" s="99">
        <v>0</v>
      </c>
      <c r="T510" s="99">
        <v>0</v>
      </c>
      <c r="U510" s="99">
        <v>0</v>
      </c>
      <c r="V510" s="99">
        <v>0</v>
      </c>
      <c r="W510" s="99">
        <v>0</v>
      </c>
      <c r="X510" s="99">
        <v>0</v>
      </c>
      <c r="Y510" s="99">
        <v>0</v>
      </c>
      <c r="Z510" s="99">
        <v>0</v>
      </c>
      <c r="AA510" s="99">
        <v>0</v>
      </c>
      <c r="AB510" s="99">
        <v>0</v>
      </c>
      <c r="AC510" s="99">
        <v>0</v>
      </c>
      <c r="AD510" s="99">
        <v>0</v>
      </c>
      <c r="AE510" s="99">
        <v>0</v>
      </c>
      <c r="AF510" s="99">
        <v>0</v>
      </c>
      <c r="AG510" s="99">
        <v>0</v>
      </c>
      <c r="AH510" s="99">
        <v>0</v>
      </c>
      <c r="AI510" s="99">
        <v>0</v>
      </c>
      <c r="AJ510" s="99">
        <v>0</v>
      </c>
      <c r="AK510" s="99">
        <v>0</v>
      </c>
      <c r="AL510" s="99">
        <v>0</v>
      </c>
      <c r="AM510" s="99">
        <v>0</v>
      </c>
      <c r="AN510" s="99">
        <v>0</v>
      </c>
      <c r="AO510" s="99">
        <v>0</v>
      </c>
      <c r="AP510" s="99">
        <v>0</v>
      </c>
      <c r="AQ510" s="99">
        <v>0</v>
      </c>
      <c r="AR510" s="99">
        <f t="shared" si="7"/>
        <v>212.94236634591024</v>
      </c>
    </row>
    <row r="511" spans="1:44" ht="15" x14ac:dyDescent="0.25">
      <c r="A511" s="258">
        <v>504</v>
      </c>
      <c r="B511" s="258" t="s">
        <v>977</v>
      </c>
      <c r="C511" s="258" t="s">
        <v>1884</v>
      </c>
      <c r="D511" s="859" t="s">
        <v>1892</v>
      </c>
      <c r="E511" s="99">
        <v>0</v>
      </c>
      <c r="F511" s="99">
        <v>0</v>
      </c>
      <c r="G511" s="99">
        <v>0</v>
      </c>
      <c r="H511" s="99">
        <v>0</v>
      </c>
      <c r="I511" s="99">
        <v>0</v>
      </c>
      <c r="J511" s="99">
        <v>0</v>
      </c>
      <c r="K511" s="99">
        <v>0</v>
      </c>
      <c r="L511" s="99">
        <v>0</v>
      </c>
      <c r="M511" s="99">
        <v>0</v>
      </c>
      <c r="N511" s="99">
        <v>0</v>
      </c>
      <c r="O511" s="99">
        <v>1.3981648721371047</v>
      </c>
      <c r="P511" s="99">
        <v>0</v>
      </c>
      <c r="Q511" s="99">
        <v>0</v>
      </c>
      <c r="R511" s="99">
        <v>0</v>
      </c>
      <c r="S511" s="99">
        <v>0</v>
      </c>
      <c r="T511" s="99">
        <v>0</v>
      </c>
      <c r="U511" s="99">
        <v>0</v>
      </c>
      <c r="V511" s="99">
        <v>0</v>
      </c>
      <c r="W511" s="99">
        <v>0</v>
      </c>
      <c r="X511" s="99">
        <v>10.024426601444629</v>
      </c>
      <c r="Y511" s="99">
        <v>0</v>
      </c>
      <c r="Z511" s="99">
        <v>0</v>
      </c>
      <c r="AA511" s="99">
        <v>81.775234546146521</v>
      </c>
      <c r="AB511" s="99">
        <v>0</v>
      </c>
      <c r="AC511" s="99">
        <v>0</v>
      </c>
      <c r="AD511" s="99">
        <v>0</v>
      </c>
      <c r="AE511" s="99">
        <v>0</v>
      </c>
      <c r="AF511" s="99">
        <v>0</v>
      </c>
      <c r="AG511" s="99">
        <v>0</v>
      </c>
      <c r="AH511" s="99">
        <v>0</v>
      </c>
      <c r="AI511" s="99">
        <v>0</v>
      </c>
      <c r="AJ511" s="99">
        <v>0</v>
      </c>
      <c r="AK511" s="99">
        <v>0</v>
      </c>
      <c r="AL511" s="99">
        <v>0</v>
      </c>
      <c r="AM511" s="99">
        <v>0</v>
      </c>
      <c r="AN511" s="99">
        <v>0</v>
      </c>
      <c r="AO511" s="99">
        <v>0</v>
      </c>
      <c r="AP511" s="99">
        <v>0</v>
      </c>
      <c r="AQ511" s="99">
        <v>0</v>
      </c>
      <c r="AR511" s="99">
        <f t="shared" si="7"/>
        <v>93.197826019728254</v>
      </c>
    </row>
    <row r="512" spans="1:44" ht="15" x14ac:dyDescent="0.25">
      <c r="A512" s="258">
        <v>505</v>
      </c>
      <c r="B512" s="258" t="s">
        <v>977</v>
      </c>
      <c r="C512" s="258" t="s">
        <v>1884</v>
      </c>
      <c r="D512" s="859" t="s">
        <v>1893</v>
      </c>
      <c r="E512" s="99">
        <v>0</v>
      </c>
      <c r="F512" s="99">
        <v>0</v>
      </c>
      <c r="G512" s="99">
        <v>0</v>
      </c>
      <c r="H512" s="99">
        <v>0</v>
      </c>
      <c r="I512" s="99">
        <v>0</v>
      </c>
      <c r="J512" s="99">
        <v>0</v>
      </c>
      <c r="K512" s="99">
        <v>0</v>
      </c>
      <c r="L512" s="99">
        <v>0</v>
      </c>
      <c r="M512" s="99">
        <v>0</v>
      </c>
      <c r="N512" s="99">
        <v>0</v>
      </c>
      <c r="O512" s="99">
        <v>188.75225773850912</v>
      </c>
      <c r="P512" s="99">
        <v>0</v>
      </c>
      <c r="Q512" s="99">
        <v>0</v>
      </c>
      <c r="R512" s="99">
        <v>0</v>
      </c>
      <c r="S512" s="99">
        <v>0</v>
      </c>
      <c r="T512" s="99">
        <v>0</v>
      </c>
      <c r="U512" s="99">
        <v>0</v>
      </c>
      <c r="V512" s="99">
        <v>0</v>
      </c>
      <c r="W512" s="99">
        <v>0</v>
      </c>
      <c r="X512" s="99">
        <v>0</v>
      </c>
      <c r="Y512" s="99">
        <v>0</v>
      </c>
      <c r="Z512" s="99">
        <v>0</v>
      </c>
      <c r="AA512" s="99">
        <v>0</v>
      </c>
      <c r="AB512" s="99">
        <v>0</v>
      </c>
      <c r="AC512" s="99">
        <v>0</v>
      </c>
      <c r="AD512" s="99">
        <v>0</v>
      </c>
      <c r="AE512" s="99">
        <v>0</v>
      </c>
      <c r="AF512" s="99">
        <v>0</v>
      </c>
      <c r="AG512" s="99">
        <v>0</v>
      </c>
      <c r="AH512" s="99">
        <v>0</v>
      </c>
      <c r="AI512" s="99">
        <v>0</v>
      </c>
      <c r="AJ512" s="99">
        <v>0</v>
      </c>
      <c r="AK512" s="99">
        <v>0</v>
      </c>
      <c r="AL512" s="99">
        <v>0</v>
      </c>
      <c r="AM512" s="99">
        <v>0</v>
      </c>
      <c r="AN512" s="99">
        <v>0</v>
      </c>
      <c r="AO512" s="99">
        <v>0</v>
      </c>
      <c r="AP512" s="99">
        <v>0</v>
      </c>
      <c r="AQ512" s="99">
        <v>0</v>
      </c>
      <c r="AR512" s="99">
        <f t="shared" si="7"/>
        <v>188.75225773850912</v>
      </c>
    </row>
    <row r="513" spans="1:44" ht="15" x14ac:dyDescent="0.25">
      <c r="A513" s="258">
        <v>506</v>
      </c>
      <c r="B513" s="258" t="s">
        <v>977</v>
      </c>
      <c r="C513" s="258" t="s">
        <v>1884</v>
      </c>
      <c r="D513" s="859" t="s">
        <v>1894</v>
      </c>
      <c r="E513" s="99">
        <v>0</v>
      </c>
      <c r="F513" s="99">
        <v>0</v>
      </c>
      <c r="G513" s="99">
        <v>0</v>
      </c>
      <c r="H513" s="99">
        <v>0</v>
      </c>
      <c r="I513" s="99">
        <v>0</v>
      </c>
      <c r="J513" s="99">
        <v>0</v>
      </c>
      <c r="K513" s="99">
        <v>0</v>
      </c>
      <c r="L513" s="99">
        <v>0</v>
      </c>
      <c r="M513" s="99">
        <v>0</v>
      </c>
      <c r="N513" s="99">
        <v>0</v>
      </c>
      <c r="O513" s="99">
        <v>520.11733243500294</v>
      </c>
      <c r="P513" s="99">
        <v>0</v>
      </c>
      <c r="Q513" s="99">
        <v>0</v>
      </c>
      <c r="R513" s="99">
        <v>0</v>
      </c>
      <c r="S513" s="99">
        <v>0</v>
      </c>
      <c r="T513" s="99">
        <v>0</v>
      </c>
      <c r="U513" s="99">
        <v>0</v>
      </c>
      <c r="V513" s="99">
        <v>0</v>
      </c>
      <c r="W513" s="99">
        <v>0</v>
      </c>
      <c r="X513" s="99">
        <v>0</v>
      </c>
      <c r="Y513" s="99">
        <v>0</v>
      </c>
      <c r="Z513" s="99">
        <v>0</v>
      </c>
      <c r="AA513" s="99">
        <v>0</v>
      </c>
      <c r="AB513" s="99">
        <v>0</v>
      </c>
      <c r="AC513" s="99">
        <v>0</v>
      </c>
      <c r="AD513" s="99">
        <v>0</v>
      </c>
      <c r="AE513" s="99">
        <v>0</v>
      </c>
      <c r="AF513" s="99">
        <v>0</v>
      </c>
      <c r="AG513" s="99">
        <v>0</v>
      </c>
      <c r="AH513" s="99">
        <v>0</v>
      </c>
      <c r="AI513" s="99">
        <v>0</v>
      </c>
      <c r="AJ513" s="99">
        <v>0</v>
      </c>
      <c r="AK513" s="99">
        <v>0</v>
      </c>
      <c r="AL513" s="99">
        <v>0</v>
      </c>
      <c r="AM513" s="99">
        <v>0</v>
      </c>
      <c r="AN513" s="99">
        <v>0</v>
      </c>
      <c r="AO513" s="99">
        <v>0</v>
      </c>
      <c r="AP513" s="99">
        <v>0</v>
      </c>
      <c r="AQ513" s="99">
        <v>0</v>
      </c>
      <c r="AR513" s="99">
        <f t="shared" si="7"/>
        <v>520.11733243500294</v>
      </c>
    </row>
    <row r="514" spans="1:44" ht="15" x14ac:dyDescent="0.25">
      <c r="A514" s="258">
        <v>507</v>
      </c>
      <c r="B514" s="258" t="s">
        <v>982</v>
      </c>
      <c r="C514" s="258" t="s">
        <v>1895</v>
      </c>
      <c r="D514" s="859" t="s">
        <v>1896</v>
      </c>
      <c r="E514" s="99">
        <v>0</v>
      </c>
      <c r="F514" s="99">
        <v>0</v>
      </c>
      <c r="G514" s="99">
        <v>0</v>
      </c>
      <c r="H514" s="99">
        <v>0</v>
      </c>
      <c r="I514" s="99">
        <v>0</v>
      </c>
      <c r="J514" s="99">
        <v>0</v>
      </c>
      <c r="K514" s="99">
        <v>0</v>
      </c>
      <c r="L514" s="99">
        <v>0</v>
      </c>
      <c r="M514" s="99">
        <v>0</v>
      </c>
      <c r="N514" s="99">
        <v>0</v>
      </c>
      <c r="O514" s="99">
        <v>0</v>
      </c>
      <c r="P514" s="99">
        <v>0</v>
      </c>
      <c r="Q514" s="99">
        <v>0</v>
      </c>
      <c r="R514" s="99">
        <v>0</v>
      </c>
      <c r="S514" s="99">
        <v>0</v>
      </c>
      <c r="T514" s="99">
        <v>0</v>
      </c>
      <c r="U514" s="99">
        <v>0</v>
      </c>
      <c r="V514" s="99">
        <v>0</v>
      </c>
      <c r="W514" s="99">
        <v>0</v>
      </c>
      <c r="X514" s="99">
        <v>112.27357793617985</v>
      </c>
      <c r="Y514" s="99">
        <v>0</v>
      </c>
      <c r="Z514" s="99">
        <v>0</v>
      </c>
      <c r="AA514" s="99">
        <v>22.954451802427091</v>
      </c>
      <c r="AB514" s="99">
        <v>0</v>
      </c>
      <c r="AC514" s="99">
        <v>0</v>
      </c>
      <c r="AD514" s="99">
        <v>0</v>
      </c>
      <c r="AE514" s="99">
        <v>0</v>
      </c>
      <c r="AF514" s="99">
        <v>0</v>
      </c>
      <c r="AG514" s="99">
        <v>0</v>
      </c>
      <c r="AH514" s="99">
        <v>0</v>
      </c>
      <c r="AI514" s="99">
        <v>0</v>
      </c>
      <c r="AJ514" s="99">
        <v>0</v>
      </c>
      <c r="AK514" s="99">
        <v>0</v>
      </c>
      <c r="AL514" s="99">
        <v>0</v>
      </c>
      <c r="AM514" s="99">
        <v>0</v>
      </c>
      <c r="AN514" s="99">
        <v>0</v>
      </c>
      <c r="AO514" s="99">
        <v>0</v>
      </c>
      <c r="AP514" s="99">
        <v>0</v>
      </c>
      <c r="AQ514" s="99">
        <v>0</v>
      </c>
      <c r="AR514" s="99">
        <f t="shared" si="7"/>
        <v>135.22802973860695</v>
      </c>
    </row>
    <row r="515" spans="1:44" ht="15" x14ac:dyDescent="0.25">
      <c r="A515" s="258">
        <v>508</v>
      </c>
      <c r="B515" s="258" t="s">
        <v>982</v>
      </c>
      <c r="C515" s="258" t="s">
        <v>1895</v>
      </c>
      <c r="D515" s="859" t="s">
        <v>1897</v>
      </c>
      <c r="E515" s="99">
        <v>0</v>
      </c>
      <c r="F515" s="99">
        <v>0</v>
      </c>
      <c r="G515" s="99">
        <v>0</v>
      </c>
      <c r="H515" s="99">
        <v>0</v>
      </c>
      <c r="I515" s="99">
        <v>0</v>
      </c>
      <c r="J515" s="99">
        <v>0</v>
      </c>
      <c r="K515" s="99">
        <v>0</v>
      </c>
      <c r="L515" s="99">
        <v>0</v>
      </c>
      <c r="M515" s="99">
        <v>0</v>
      </c>
      <c r="N515" s="99">
        <v>0</v>
      </c>
      <c r="O515" s="99">
        <v>5764.6337678212831</v>
      </c>
      <c r="P515" s="99">
        <v>0</v>
      </c>
      <c r="Q515" s="99">
        <v>0</v>
      </c>
      <c r="R515" s="99">
        <v>0</v>
      </c>
      <c r="S515" s="99">
        <v>0</v>
      </c>
      <c r="T515" s="99">
        <v>0</v>
      </c>
      <c r="U515" s="99">
        <v>0</v>
      </c>
      <c r="V515" s="99">
        <v>0</v>
      </c>
      <c r="W515" s="99">
        <v>0</v>
      </c>
      <c r="X515" s="99">
        <v>411.00149065922989</v>
      </c>
      <c r="Y515" s="99">
        <v>0</v>
      </c>
      <c r="Z515" s="99">
        <v>0</v>
      </c>
      <c r="AA515" s="99">
        <v>0</v>
      </c>
      <c r="AB515" s="99">
        <v>0</v>
      </c>
      <c r="AC515" s="99">
        <v>0</v>
      </c>
      <c r="AD515" s="99">
        <v>0</v>
      </c>
      <c r="AE515" s="99">
        <v>0</v>
      </c>
      <c r="AF515" s="99">
        <v>0</v>
      </c>
      <c r="AG515" s="99">
        <v>0</v>
      </c>
      <c r="AH515" s="99">
        <v>0</v>
      </c>
      <c r="AI515" s="99">
        <v>0</v>
      </c>
      <c r="AJ515" s="99">
        <v>0</v>
      </c>
      <c r="AK515" s="99">
        <v>0</v>
      </c>
      <c r="AL515" s="99">
        <v>0</v>
      </c>
      <c r="AM515" s="99">
        <v>0</v>
      </c>
      <c r="AN515" s="99">
        <v>0</v>
      </c>
      <c r="AO515" s="99">
        <v>0</v>
      </c>
      <c r="AP515" s="99">
        <v>0</v>
      </c>
      <c r="AQ515" s="99">
        <v>0</v>
      </c>
      <c r="AR515" s="99">
        <f t="shared" si="7"/>
        <v>6175.6352584805127</v>
      </c>
    </row>
    <row r="516" spans="1:44" ht="15" x14ac:dyDescent="0.25">
      <c r="A516" s="258">
        <v>509</v>
      </c>
      <c r="B516" s="258" t="s">
        <v>982</v>
      </c>
      <c r="C516" s="258" t="s">
        <v>1895</v>
      </c>
      <c r="D516" s="859" t="s">
        <v>1898</v>
      </c>
      <c r="E516" s="99">
        <v>0</v>
      </c>
      <c r="F516" s="99">
        <v>0</v>
      </c>
      <c r="G516" s="99">
        <v>0</v>
      </c>
      <c r="H516" s="99">
        <v>0</v>
      </c>
      <c r="I516" s="99">
        <v>0</v>
      </c>
      <c r="J516" s="99">
        <v>0</v>
      </c>
      <c r="K516" s="99">
        <v>0</v>
      </c>
      <c r="L516" s="99">
        <v>0</v>
      </c>
      <c r="M516" s="99">
        <v>0</v>
      </c>
      <c r="N516" s="99">
        <v>0</v>
      </c>
      <c r="O516" s="99">
        <v>2035.7280538316245</v>
      </c>
      <c r="P516" s="99">
        <v>0</v>
      </c>
      <c r="Q516" s="99">
        <v>0</v>
      </c>
      <c r="R516" s="99">
        <v>0</v>
      </c>
      <c r="S516" s="99">
        <v>0</v>
      </c>
      <c r="T516" s="99">
        <v>0</v>
      </c>
      <c r="U516" s="99">
        <v>0</v>
      </c>
      <c r="V516" s="99">
        <v>0</v>
      </c>
      <c r="W516" s="99">
        <v>0</v>
      </c>
      <c r="X516" s="99">
        <v>164.40059626369191</v>
      </c>
      <c r="Y516" s="99">
        <v>0</v>
      </c>
      <c r="Z516" s="99">
        <v>0</v>
      </c>
      <c r="AA516" s="99">
        <v>0</v>
      </c>
      <c r="AB516" s="99">
        <v>0</v>
      </c>
      <c r="AC516" s="99">
        <v>0</v>
      </c>
      <c r="AD516" s="99">
        <v>0</v>
      </c>
      <c r="AE516" s="99">
        <v>0</v>
      </c>
      <c r="AF516" s="99">
        <v>0</v>
      </c>
      <c r="AG516" s="99">
        <v>0</v>
      </c>
      <c r="AH516" s="99">
        <v>0</v>
      </c>
      <c r="AI516" s="99">
        <v>0</v>
      </c>
      <c r="AJ516" s="99">
        <v>0</v>
      </c>
      <c r="AK516" s="99">
        <v>0</v>
      </c>
      <c r="AL516" s="99">
        <v>0</v>
      </c>
      <c r="AM516" s="99">
        <v>0</v>
      </c>
      <c r="AN516" s="99">
        <v>0</v>
      </c>
      <c r="AO516" s="99">
        <v>0</v>
      </c>
      <c r="AP516" s="99">
        <v>0</v>
      </c>
      <c r="AQ516" s="99">
        <v>0</v>
      </c>
      <c r="AR516" s="99">
        <f t="shared" si="7"/>
        <v>2200.1286500953165</v>
      </c>
    </row>
    <row r="517" spans="1:44" ht="15" x14ac:dyDescent="0.25">
      <c r="A517" s="258">
        <v>510</v>
      </c>
      <c r="B517" s="258" t="s">
        <v>982</v>
      </c>
      <c r="C517" s="258" t="s">
        <v>1895</v>
      </c>
      <c r="D517" s="859" t="s">
        <v>1899</v>
      </c>
      <c r="E517" s="99">
        <v>0</v>
      </c>
      <c r="F517" s="99">
        <v>0</v>
      </c>
      <c r="G517" s="99">
        <v>0</v>
      </c>
      <c r="H517" s="99">
        <v>0</v>
      </c>
      <c r="I517" s="99">
        <v>0</v>
      </c>
      <c r="J517" s="99">
        <v>0</v>
      </c>
      <c r="K517" s="99">
        <v>0</v>
      </c>
      <c r="L517" s="99">
        <v>0</v>
      </c>
      <c r="M517" s="99">
        <v>0</v>
      </c>
      <c r="N517" s="99">
        <v>0</v>
      </c>
      <c r="O517" s="99">
        <v>3305.2617577321157</v>
      </c>
      <c r="P517" s="99">
        <v>0</v>
      </c>
      <c r="Q517" s="99">
        <v>0</v>
      </c>
      <c r="R517" s="99">
        <v>0</v>
      </c>
      <c r="S517" s="99">
        <v>0</v>
      </c>
      <c r="T517" s="99">
        <v>0</v>
      </c>
      <c r="U517" s="99">
        <v>0</v>
      </c>
      <c r="V517" s="99">
        <v>0</v>
      </c>
      <c r="W517" s="99">
        <v>0</v>
      </c>
      <c r="X517" s="99">
        <v>2010.8999762497924</v>
      </c>
      <c r="Y517" s="99">
        <v>0</v>
      </c>
      <c r="Z517" s="99">
        <v>0</v>
      </c>
      <c r="AA517" s="99">
        <v>0</v>
      </c>
      <c r="AB517" s="99">
        <v>0</v>
      </c>
      <c r="AC517" s="99">
        <v>0</v>
      </c>
      <c r="AD517" s="99">
        <v>0</v>
      </c>
      <c r="AE517" s="99">
        <v>0</v>
      </c>
      <c r="AF517" s="99">
        <v>0</v>
      </c>
      <c r="AG517" s="99">
        <v>0</v>
      </c>
      <c r="AH517" s="99">
        <v>0</v>
      </c>
      <c r="AI517" s="99">
        <v>0</v>
      </c>
      <c r="AJ517" s="99">
        <v>0</v>
      </c>
      <c r="AK517" s="99">
        <v>0</v>
      </c>
      <c r="AL517" s="99">
        <v>0</v>
      </c>
      <c r="AM517" s="99">
        <v>0</v>
      </c>
      <c r="AN517" s="99">
        <v>0</v>
      </c>
      <c r="AO517" s="99">
        <v>0</v>
      </c>
      <c r="AP517" s="99">
        <v>0</v>
      </c>
      <c r="AQ517" s="99">
        <v>0</v>
      </c>
      <c r="AR517" s="99">
        <f t="shared" si="7"/>
        <v>5316.1617339819077</v>
      </c>
    </row>
    <row r="518" spans="1:44" ht="15" x14ac:dyDescent="0.25">
      <c r="A518" s="258">
        <v>511</v>
      </c>
      <c r="B518" s="258" t="s">
        <v>982</v>
      </c>
      <c r="C518" s="258" t="s">
        <v>1895</v>
      </c>
      <c r="D518" s="859" t="s">
        <v>1900</v>
      </c>
      <c r="E518" s="99">
        <v>0</v>
      </c>
      <c r="F518" s="99">
        <v>0</v>
      </c>
      <c r="G518" s="99">
        <v>0</v>
      </c>
      <c r="H518" s="99">
        <v>0</v>
      </c>
      <c r="I518" s="99">
        <v>0</v>
      </c>
      <c r="J518" s="99">
        <v>0</v>
      </c>
      <c r="K518" s="99">
        <v>0</v>
      </c>
      <c r="L518" s="99">
        <v>0</v>
      </c>
      <c r="M518" s="99">
        <v>0</v>
      </c>
      <c r="N518" s="99">
        <v>0</v>
      </c>
      <c r="O518" s="99">
        <v>15786.679571300048</v>
      </c>
      <c r="P518" s="99">
        <v>0</v>
      </c>
      <c r="Q518" s="99">
        <v>0</v>
      </c>
      <c r="R518" s="99">
        <v>0</v>
      </c>
      <c r="S518" s="99">
        <v>0</v>
      </c>
      <c r="T518" s="99">
        <v>0</v>
      </c>
      <c r="U518" s="99">
        <v>0</v>
      </c>
      <c r="V518" s="99">
        <v>0</v>
      </c>
      <c r="W518" s="99">
        <v>0</v>
      </c>
      <c r="X518" s="99">
        <v>1319.2145407501134</v>
      </c>
      <c r="Y518" s="99">
        <v>0</v>
      </c>
      <c r="Z518" s="99">
        <v>0</v>
      </c>
      <c r="AA518" s="99">
        <v>0</v>
      </c>
      <c r="AB518" s="99">
        <v>0</v>
      </c>
      <c r="AC518" s="99">
        <v>0</v>
      </c>
      <c r="AD518" s="99">
        <v>0</v>
      </c>
      <c r="AE518" s="99">
        <v>0</v>
      </c>
      <c r="AF518" s="99">
        <v>0</v>
      </c>
      <c r="AG518" s="99">
        <v>0</v>
      </c>
      <c r="AH518" s="99">
        <v>0</v>
      </c>
      <c r="AI518" s="99">
        <v>0</v>
      </c>
      <c r="AJ518" s="99">
        <v>0</v>
      </c>
      <c r="AK518" s="99">
        <v>0</v>
      </c>
      <c r="AL518" s="99">
        <v>0</v>
      </c>
      <c r="AM518" s="99">
        <v>0</v>
      </c>
      <c r="AN518" s="99">
        <v>0</v>
      </c>
      <c r="AO518" s="99">
        <v>0</v>
      </c>
      <c r="AP518" s="99">
        <v>0</v>
      </c>
      <c r="AQ518" s="99">
        <v>0</v>
      </c>
      <c r="AR518" s="99">
        <f t="shared" si="7"/>
        <v>17105.894112050162</v>
      </c>
    </row>
    <row r="519" spans="1:44" ht="15" x14ac:dyDescent="0.25">
      <c r="A519" s="258">
        <v>512</v>
      </c>
      <c r="B519" s="258" t="s">
        <v>980</v>
      </c>
      <c r="C519" s="258" t="s">
        <v>1901</v>
      </c>
      <c r="D519" s="859" t="s">
        <v>1902</v>
      </c>
      <c r="E519" s="99">
        <v>0</v>
      </c>
      <c r="F519" s="99">
        <v>0</v>
      </c>
      <c r="G519" s="99">
        <v>0</v>
      </c>
      <c r="H519" s="99">
        <v>0</v>
      </c>
      <c r="I519" s="99">
        <v>0</v>
      </c>
      <c r="J519" s="99">
        <v>0</v>
      </c>
      <c r="K519" s="99">
        <v>0</v>
      </c>
      <c r="L519" s="99">
        <v>0</v>
      </c>
      <c r="M519" s="99">
        <v>0</v>
      </c>
      <c r="N519" s="99">
        <v>0</v>
      </c>
      <c r="O519" s="99">
        <v>0</v>
      </c>
      <c r="P519" s="99">
        <v>0</v>
      </c>
      <c r="Q519" s="99">
        <v>0</v>
      </c>
      <c r="R519" s="99">
        <v>0</v>
      </c>
      <c r="S519" s="99">
        <v>0</v>
      </c>
      <c r="T519" s="99">
        <v>0</v>
      </c>
      <c r="U519" s="99">
        <v>0</v>
      </c>
      <c r="V519" s="99">
        <v>0</v>
      </c>
      <c r="W519" s="99">
        <v>0</v>
      </c>
      <c r="X519" s="99">
        <v>0</v>
      </c>
      <c r="Y519" s="99">
        <v>0</v>
      </c>
      <c r="Z519" s="99">
        <v>0</v>
      </c>
      <c r="AA519" s="99">
        <v>0</v>
      </c>
      <c r="AB519" s="99">
        <v>0</v>
      </c>
      <c r="AC519" s="99">
        <v>0</v>
      </c>
      <c r="AD519" s="99">
        <v>0</v>
      </c>
      <c r="AE519" s="99">
        <v>0</v>
      </c>
      <c r="AF519" s="99">
        <v>0</v>
      </c>
      <c r="AG519" s="99">
        <v>0</v>
      </c>
      <c r="AH519" s="99">
        <v>0</v>
      </c>
      <c r="AI519" s="99">
        <v>0</v>
      </c>
      <c r="AJ519" s="99">
        <v>0</v>
      </c>
      <c r="AK519" s="99">
        <v>0</v>
      </c>
      <c r="AL519" s="99">
        <v>0</v>
      </c>
      <c r="AM519" s="99">
        <v>0</v>
      </c>
      <c r="AN519" s="99">
        <v>0</v>
      </c>
      <c r="AO519" s="99">
        <v>0</v>
      </c>
      <c r="AP519" s="99">
        <v>0</v>
      </c>
      <c r="AQ519" s="99">
        <v>0</v>
      </c>
      <c r="AR519" s="99">
        <f t="shared" si="7"/>
        <v>0</v>
      </c>
    </row>
    <row r="520" spans="1:44" ht="15" x14ac:dyDescent="0.25">
      <c r="A520" s="258">
        <v>513</v>
      </c>
      <c r="B520" s="258" t="s">
        <v>980</v>
      </c>
      <c r="C520" s="258" t="s">
        <v>1901</v>
      </c>
      <c r="D520" s="859" t="s">
        <v>1903</v>
      </c>
      <c r="E520" s="99">
        <v>0</v>
      </c>
      <c r="F520" s="99">
        <v>0</v>
      </c>
      <c r="G520" s="99">
        <v>0</v>
      </c>
      <c r="H520" s="99">
        <v>0</v>
      </c>
      <c r="I520" s="99">
        <v>0</v>
      </c>
      <c r="J520" s="99">
        <v>0</v>
      </c>
      <c r="K520" s="99">
        <v>0</v>
      </c>
      <c r="L520" s="99">
        <v>0</v>
      </c>
      <c r="M520" s="99">
        <v>0</v>
      </c>
      <c r="N520" s="99">
        <v>0</v>
      </c>
      <c r="O520" s="99">
        <v>1897.3097314900513</v>
      </c>
      <c r="P520" s="99">
        <v>0</v>
      </c>
      <c r="Q520" s="99">
        <v>0</v>
      </c>
      <c r="R520" s="99">
        <v>0</v>
      </c>
      <c r="S520" s="99">
        <v>0</v>
      </c>
      <c r="T520" s="99">
        <v>0</v>
      </c>
      <c r="U520" s="99">
        <v>0</v>
      </c>
      <c r="V520" s="99">
        <v>0</v>
      </c>
      <c r="W520" s="99">
        <v>0</v>
      </c>
      <c r="X520" s="99">
        <v>473.15293558818649</v>
      </c>
      <c r="Y520" s="99">
        <v>0</v>
      </c>
      <c r="Z520" s="99">
        <v>0</v>
      </c>
      <c r="AA520" s="99">
        <v>0</v>
      </c>
      <c r="AB520" s="99">
        <v>0</v>
      </c>
      <c r="AC520" s="99">
        <v>0</v>
      </c>
      <c r="AD520" s="99">
        <v>0</v>
      </c>
      <c r="AE520" s="99">
        <v>0</v>
      </c>
      <c r="AF520" s="99">
        <v>0</v>
      </c>
      <c r="AG520" s="99">
        <v>0</v>
      </c>
      <c r="AH520" s="99">
        <v>0</v>
      </c>
      <c r="AI520" s="99">
        <v>0</v>
      </c>
      <c r="AJ520" s="99">
        <v>0</v>
      </c>
      <c r="AK520" s="99">
        <v>0</v>
      </c>
      <c r="AL520" s="99">
        <v>0</v>
      </c>
      <c r="AM520" s="99">
        <v>0</v>
      </c>
      <c r="AN520" s="99">
        <v>0</v>
      </c>
      <c r="AO520" s="99">
        <v>0</v>
      </c>
      <c r="AP520" s="99">
        <v>0</v>
      </c>
      <c r="AQ520" s="99">
        <v>0</v>
      </c>
      <c r="AR520" s="99">
        <f t="shared" si="7"/>
        <v>2370.4626670782377</v>
      </c>
    </row>
    <row r="521" spans="1:44" ht="15" x14ac:dyDescent="0.25">
      <c r="A521" s="258">
        <v>514</v>
      </c>
      <c r="B521" s="258" t="s">
        <v>980</v>
      </c>
      <c r="C521" s="258" t="s">
        <v>1901</v>
      </c>
      <c r="D521" s="859" t="s">
        <v>1904</v>
      </c>
      <c r="E521" s="99">
        <v>0</v>
      </c>
      <c r="F521" s="99">
        <v>0</v>
      </c>
      <c r="G521" s="99">
        <v>0</v>
      </c>
      <c r="H521" s="99">
        <v>0</v>
      </c>
      <c r="I521" s="99">
        <v>0</v>
      </c>
      <c r="J521" s="99">
        <v>0</v>
      </c>
      <c r="K521" s="99">
        <v>0</v>
      </c>
      <c r="L521" s="99">
        <v>0</v>
      </c>
      <c r="M521" s="99">
        <v>0</v>
      </c>
      <c r="N521" s="99">
        <v>0</v>
      </c>
      <c r="O521" s="99">
        <v>1591.1116244920254</v>
      </c>
      <c r="P521" s="99">
        <v>0</v>
      </c>
      <c r="Q521" s="99">
        <v>0</v>
      </c>
      <c r="R521" s="99">
        <v>0</v>
      </c>
      <c r="S521" s="99">
        <v>0</v>
      </c>
      <c r="T521" s="99">
        <v>0</v>
      </c>
      <c r="U521" s="99">
        <v>0</v>
      </c>
      <c r="V521" s="99">
        <v>0</v>
      </c>
      <c r="W521" s="99">
        <v>0</v>
      </c>
      <c r="X521" s="99">
        <v>146.35662838109158</v>
      </c>
      <c r="Y521" s="99">
        <v>0</v>
      </c>
      <c r="Z521" s="99">
        <v>0</v>
      </c>
      <c r="AA521" s="99">
        <v>0</v>
      </c>
      <c r="AB521" s="99">
        <v>0</v>
      </c>
      <c r="AC521" s="99">
        <v>0</v>
      </c>
      <c r="AD521" s="99">
        <v>0</v>
      </c>
      <c r="AE521" s="99">
        <v>0</v>
      </c>
      <c r="AF521" s="99">
        <v>0</v>
      </c>
      <c r="AG521" s="99">
        <v>0</v>
      </c>
      <c r="AH521" s="99">
        <v>0</v>
      </c>
      <c r="AI521" s="99">
        <v>0</v>
      </c>
      <c r="AJ521" s="99">
        <v>0</v>
      </c>
      <c r="AK521" s="99">
        <v>0</v>
      </c>
      <c r="AL521" s="99">
        <v>0</v>
      </c>
      <c r="AM521" s="99">
        <v>0</v>
      </c>
      <c r="AN521" s="99">
        <v>0</v>
      </c>
      <c r="AO521" s="99">
        <v>0</v>
      </c>
      <c r="AP521" s="99">
        <v>0</v>
      </c>
      <c r="AQ521" s="99">
        <v>0</v>
      </c>
      <c r="AR521" s="99">
        <f t="shared" ref="AR521:AR552" si="8">SUM(E521:AQ521)</f>
        <v>1737.4682528731169</v>
      </c>
    </row>
    <row r="522" spans="1:44" ht="15" x14ac:dyDescent="0.25">
      <c r="A522" s="258">
        <v>515</v>
      </c>
      <c r="B522" s="258" t="s">
        <v>980</v>
      </c>
      <c r="C522" s="258" t="s">
        <v>1901</v>
      </c>
      <c r="D522" s="859" t="s">
        <v>1905</v>
      </c>
      <c r="E522" s="99">
        <v>0</v>
      </c>
      <c r="F522" s="99">
        <v>0</v>
      </c>
      <c r="G522" s="99">
        <v>0</v>
      </c>
      <c r="H522" s="99">
        <v>0</v>
      </c>
      <c r="I522" s="99">
        <v>0</v>
      </c>
      <c r="J522" s="99">
        <v>0</v>
      </c>
      <c r="K522" s="99">
        <v>0</v>
      </c>
      <c r="L522" s="99">
        <v>0</v>
      </c>
      <c r="M522" s="99">
        <v>0</v>
      </c>
      <c r="N522" s="99">
        <v>0</v>
      </c>
      <c r="O522" s="99">
        <v>34801.721832364674</v>
      </c>
      <c r="P522" s="99">
        <v>0</v>
      </c>
      <c r="Q522" s="99">
        <v>0</v>
      </c>
      <c r="R522" s="99">
        <v>0</v>
      </c>
      <c r="S522" s="99">
        <v>0</v>
      </c>
      <c r="T522" s="99">
        <v>0</v>
      </c>
      <c r="U522" s="99">
        <v>0</v>
      </c>
      <c r="V522" s="99">
        <v>0</v>
      </c>
      <c r="W522" s="99">
        <v>0</v>
      </c>
      <c r="X522" s="99">
        <v>1585.8642883485404</v>
      </c>
      <c r="Y522" s="99">
        <v>0</v>
      </c>
      <c r="Z522" s="99">
        <v>0</v>
      </c>
      <c r="AA522" s="99">
        <v>0</v>
      </c>
      <c r="AB522" s="99">
        <v>0</v>
      </c>
      <c r="AC522" s="99">
        <v>0</v>
      </c>
      <c r="AD522" s="99">
        <v>0</v>
      </c>
      <c r="AE522" s="99">
        <v>0</v>
      </c>
      <c r="AF522" s="99">
        <v>0</v>
      </c>
      <c r="AG522" s="99">
        <v>0</v>
      </c>
      <c r="AH522" s="99">
        <v>0</v>
      </c>
      <c r="AI522" s="99">
        <v>0</v>
      </c>
      <c r="AJ522" s="99">
        <v>0</v>
      </c>
      <c r="AK522" s="99">
        <v>0</v>
      </c>
      <c r="AL522" s="99">
        <v>0</v>
      </c>
      <c r="AM522" s="99">
        <v>0</v>
      </c>
      <c r="AN522" s="99">
        <v>0</v>
      </c>
      <c r="AO522" s="99">
        <v>0</v>
      </c>
      <c r="AP522" s="99">
        <v>0</v>
      </c>
      <c r="AQ522" s="99">
        <v>0</v>
      </c>
      <c r="AR522" s="99">
        <f t="shared" si="8"/>
        <v>36387.586120713211</v>
      </c>
    </row>
    <row r="523" spans="1:44" ht="15" x14ac:dyDescent="0.25">
      <c r="A523" s="258">
        <v>516</v>
      </c>
      <c r="B523" s="258" t="s">
        <v>980</v>
      </c>
      <c r="C523" s="258" t="s">
        <v>1901</v>
      </c>
      <c r="D523" s="859" t="s">
        <v>1906</v>
      </c>
      <c r="E523" s="99">
        <v>0</v>
      </c>
      <c r="F523" s="99">
        <v>0</v>
      </c>
      <c r="G523" s="99">
        <v>0</v>
      </c>
      <c r="H523" s="99">
        <v>0</v>
      </c>
      <c r="I523" s="99">
        <v>0</v>
      </c>
      <c r="J523" s="99">
        <v>0</v>
      </c>
      <c r="K523" s="99">
        <v>0</v>
      </c>
      <c r="L523" s="99">
        <v>0</v>
      </c>
      <c r="M523" s="99">
        <v>0</v>
      </c>
      <c r="N523" s="99">
        <v>0</v>
      </c>
      <c r="O523" s="99">
        <v>23243.092834407227</v>
      </c>
      <c r="P523" s="99">
        <v>0</v>
      </c>
      <c r="Q523" s="99">
        <v>0</v>
      </c>
      <c r="R523" s="99">
        <v>0</v>
      </c>
      <c r="S523" s="99">
        <v>0</v>
      </c>
      <c r="T523" s="99">
        <v>0</v>
      </c>
      <c r="U523" s="99">
        <v>0</v>
      </c>
      <c r="V523" s="99">
        <v>0</v>
      </c>
      <c r="W523" s="99">
        <v>0</v>
      </c>
      <c r="X523" s="99">
        <v>4182.1907781227001</v>
      </c>
      <c r="Y523" s="99">
        <v>0</v>
      </c>
      <c r="Z523" s="99">
        <v>0</v>
      </c>
      <c r="AA523" s="99">
        <v>0</v>
      </c>
      <c r="AB523" s="99">
        <v>0</v>
      </c>
      <c r="AC523" s="99">
        <v>0</v>
      </c>
      <c r="AD523" s="99">
        <v>0</v>
      </c>
      <c r="AE523" s="99">
        <v>0</v>
      </c>
      <c r="AF523" s="99">
        <v>0</v>
      </c>
      <c r="AG523" s="99">
        <v>0</v>
      </c>
      <c r="AH523" s="99">
        <v>0</v>
      </c>
      <c r="AI523" s="99">
        <v>0</v>
      </c>
      <c r="AJ523" s="99">
        <v>0</v>
      </c>
      <c r="AK523" s="99">
        <v>0</v>
      </c>
      <c r="AL523" s="99">
        <v>0</v>
      </c>
      <c r="AM523" s="99">
        <v>0</v>
      </c>
      <c r="AN523" s="99">
        <v>0</v>
      </c>
      <c r="AO523" s="99">
        <v>0</v>
      </c>
      <c r="AP523" s="99">
        <v>0</v>
      </c>
      <c r="AQ523" s="99">
        <v>0</v>
      </c>
      <c r="AR523" s="99">
        <f t="shared" si="8"/>
        <v>27425.283612529929</v>
      </c>
    </row>
    <row r="524" spans="1:44" ht="15" x14ac:dyDescent="0.25">
      <c r="A524" s="258">
        <v>517</v>
      </c>
      <c r="B524" s="258" t="s">
        <v>980</v>
      </c>
      <c r="C524" s="258" t="s">
        <v>1901</v>
      </c>
      <c r="D524" s="859" t="s">
        <v>1907</v>
      </c>
      <c r="E524" s="99">
        <v>0</v>
      </c>
      <c r="F524" s="99">
        <v>0</v>
      </c>
      <c r="G524" s="99">
        <v>0</v>
      </c>
      <c r="H524" s="99">
        <v>0</v>
      </c>
      <c r="I524" s="99">
        <v>0</v>
      </c>
      <c r="J524" s="99">
        <v>0</v>
      </c>
      <c r="K524" s="99">
        <v>0</v>
      </c>
      <c r="L524" s="99">
        <v>0</v>
      </c>
      <c r="M524" s="99">
        <v>0</v>
      </c>
      <c r="N524" s="99">
        <v>0</v>
      </c>
      <c r="O524" s="99">
        <v>68890.379579939428</v>
      </c>
      <c r="P524" s="99">
        <v>0</v>
      </c>
      <c r="Q524" s="99">
        <v>0</v>
      </c>
      <c r="R524" s="99">
        <v>0</v>
      </c>
      <c r="S524" s="99">
        <v>0</v>
      </c>
      <c r="T524" s="99">
        <v>0</v>
      </c>
      <c r="U524" s="99">
        <v>0</v>
      </c>
      <c r="V524" s="99">
        <v>0</v>
      </c>
      <c r="W524" s="99">
        <v>0</v>
      </c>
      <c r="X524" s="99">
        <v>1259.0679811414454</v>
      </c>
      <c r="Y524" s="99">
        <v>0</v>
      </c>
      <c r="Z524" s="99">
        <v>0</v>
      </c>
      <c r="AA524" s="99">
        <v>0</v>
      </c>
      <c r="AB524" s="99">
        <v>0</v>
      </c>
      <c r="AC524" s="99">
        <v>0</v>
      </c>
      <c r="AD524" s="99">
        <v>0</v>
      </c>
      <c r="AE524" s="99">
        <v>0</v>
      </c>
      <c r="AF524" s="99">
        <v>0</v>
      </c>
      <c r="AG524" s="99">
        <v>0</v>
      </c>
      <c r="AH524" s="99">
        <v>0</v>
      </c>
      <c r="AI524" s="99">
        <v>0</v>
      </c>
      <c r="AJ524" s="99">
        <v>0</v>
      </c>
      <c r="AK524" s="99">
        <v>0</v>
      </c>
      <c r="AL524" s="99">
        <v>0</v>
      </c>
      <c r="AM524" s="99">
        <v>0</v>
      </c>
      <c r="AN524" s="99">
        <v>0</v>
      </c>
      <c r="AO524" s="99">
        <v>0</v>
      </c>
      <c r="AP524" s="99">
        <v>0</v>
      </c>
      <c r="AQ524" s="99">
        <v>0</v>
      </c>
      <c r="AR524" s="99">
        <f t="shared" si="8"/>
        <v>70149.447561080873</v>
      </c>
    </row>
    <row r="525" spans="1:44" ht="15" x14ac:dyDescent="0.25">
      <c r="A525" s="258">
        <v>518</v>
      </c>
      <c r="B525" s="258" t="s">
        <v>978</v>
      </c>
      <c r="C525" s="258" t="s">
        <v>1908</v>
      </c>
      <c r="D525" s="859" t="s">
        <v>1909</v>
      </c>
      <c r="E525" s="99">
        <v>0</v>
      </c>
      <c r="F525" s="99">
        <v>0</v>
      </c>
      <c r="G525" s="99">
        <v>0</v>
      </c>
      <c r="H525" s="99">
        <v>0</v>
      </c>
      <c r="I525" s="99">
        <v>0</v>
      </c>
      <c r="J525" s="99">
        <v>0</v>
      </c>
      <c r="K525" s="99">
        <v>0</v>
      </c>
      <c r="L525" s="99">
        <v>0</v>
      </c>
      <c r="M525" s="99">
        <v>0</v>
      </c>
      <c r="N525" s="99">
        <v>0</v>
      </c>
      <c r="O525" s="99">
        <v>0</v>
      </c>
      <c r="P525" s="99">
        <v>0</v>
      </c>
      <c r="Q525" s="99">
        <v>0</v>
      </c>
      <c r="R525" s="99">
        <v>0</v>
      </c>
      <c r="S525" s="99">
        <v>0</v>
      </c>
      <c r="T525" s="99">
        <v>0</v>
      </c>
      <c r="U525" s="99">
        <v>0</v>
      </c>
      <c r="V525" s="99">
        <v>0</v>
      </c>
      <c r="W525" s="99">
        <v>0</v>
      </c>
      <c r="X525" s="99">
        <v>0</v>
      </c>
      <c r="Y525" s="99">
        <v>0</v>
      </c>
      <c r="Z525" s="99">
        <v>0</v>
      </c>
      <c r="AA525" s="99">
        <v>0</v>
      </c>
      <c r="AB525" s="99">
        <v>0</v>
      </c>
      <c r="AC525" s="99">
        <v>0</v>
      </c>
      <c r="AD525" s="99">
        <v>0</v>
      </c>
      <c r="AE525" s="99">
        <v>0</v>
      </c>
      <c r="AF525" s="99">
        <v>0</v>
      </c>
      <c r="AG525" s="99">
        <v>0</v>
      </c>
      <c r="AH525" s="99">
        <v>0</v>
      </c>
      <c r="AI525" s="99">
        <v>0</v>
      </c>
      <c r="AJ525" s="99">
        <v>0</v>
      </c>
      <c r="AK525" s="99">
        <v>0</v>
      </c>
      <c r="AL525" s="99">
        <v>0</v>
      </c>
      <c r="AM525" s="99">
        <v>0</v>
      </c>
      <c r="AN525" s="99">
        <v>0</v>
      </c>
      <c r="AO525" s="99">
        <v>0</v>
      </c>
      <c r="AP525" s="99">
        <v>0</v>
      </c>
      <c r="AQ525" s="99">
        <v>0</v>
      </c>
      <c r="AR525" s="99">
        <f t="shared" si="8"/>
        <v>0</v>
      </c>
    </row>
    <row r="526" spans="1:44" ht="15" x14ac:dyDescent="0.25">
      <c r="A526" s="258">
        <v>519</v>
      </c>
      <c r="B526" s="258" t="s">
        <v>978</v>
      </c>
      <c r="C526" s="258" t="s">
        <v>1908</v>
      </c>
      <c r="D526" s="859" t="s">
        <v>1910</v>
      </c>
      <c r="E526" s="99">
        <v>0</v>
      </c>
      <c r="F526" s="99">
        <v>0</v>
      </c>
      <c r="G526" s="99">
        <v>0</v>
      </c>
      <c r="H526" s="99">
        <v>0</v>
      </c>
      <c r="I526" s="99">
        <v>0</v>
      </c>
      <c r="J526" s="99">
        <v>0</v>
      </c>
      <c r="K526" s="99">
        <v>0</v>
      </c>
      <c r="L526" s="99">
        <v>0</v>
      </c>
      <c r="M526" s="99">
        <v>0</v>
      </c>
      <c r="N526" s="99">
        <v>0</v>
      </c>
      <c r="O526" s="99">
        <v>21229.735418529795</v>
      </c>
      <c r="P526" s="99">
        <v>0</v>
      </c>
      <c r="Q526" s="99">
        <v>0</v>
      </c>
      <c r="R526" s="99">
        <v>0</v>
      </c>
      <c r="S526" s="99">
        <v>0</v>
      </c>
      <c r="T526" s="99">
        <v>0</v>
      </c>
      <c r="U526" s="99">
        <v>0</v>
      </c>
      <c r="V526" s="99">
        <v>0</v>
      </c>
      <c r="W526" s="99">
        <v>0</v>
      </c>
      <c r="X526" s="99">
        <v>9647.5081612303111</v>
      </c>
      <c r="Y526" s="99">
        <v>0</v>
      </c>
      <c r="Z526" s="99">
        <v>0</v>
      </c>
      <c r="AA526" s="99">
        <v>0</v>
      </c>
      <c r="AB526" s="99">
        <v>0</v>
      </c>
      <c r="AC526" s="99">
        <v>0</v>
      </c>
      <c r="AD526" s="99">
        <v>0</v>
      </c>
      <c r="AE526" s="99">
        <v>0</v>
      </c>
      <c r="AF526" s="99">
        <v>0</v>
      </c>
      <c r="AG526" s="99">
        <v>0</v>
      </c>
      <c r="AH526" s="99">
        <v>0</v>
      </c>
      <c r="AI526" s="99">
        <v>0</v>
      </c>
      <c r="AJ526" s="99">
        <v>0</v>
      </c>
      <c r="AK526" s="99">
        <v>0</v>
      </c>
      <c r="AL526" s="99">
        <v>0</v>
      </c>
      <c r="AM526" s="99">
        <v>0</v>
      </c>
      <c r="AN526" s="99">
        <v>0</v>
      </c>
      <c r="AO526" s="99">
        <v>0</v>
      </c>
      <c r="AP526" s="99">
        <v>0</v>
      </c>
      <c r="AQ526" s="99">
        <v>0</v>
      </c>
      <c r="AR526" s="99">
        <f t="shared" si="8"/>
        <v>30877.243579760107</v>
      </c>
    </row>
    <row r="527" spans="1:44" ht="15" x14ac:dyDescent="0.25">
      <c r="A527" s="258">
        <v>520</v>
      </c>
      <c r="B527" s="258" t="s">
        <v>978</v>
      </c>
      <c r="C527" s="258" t="s">
        <v>1908</v>
      </c>
      <c r="D527" s="859" t="s">
        <v>1911</v>
      </c>
      <c r="E527" s="99">
        <v>0</v>
      </c>
      <c r="F527" s="99">
        <v>0</v>
      </c>
      <c r="G527" s="99">
        <v>0</v>
      </c>
      <c r="H527" s="99">
        <v>0</v>
      </c>
      <c r="I527" s="99">
        <v>0</v>
      </c>
      <c r="J527" s="99">
        <v>0</v>
      </c>
      <c r="K527" s="99">
        <v>0</v>
      </c>
      <c r="L527" s="99">
        <v>0</v>
      </c>
      <c r="M527" s="99">
        <v>0</v>
      </c>
      <c r="N527" s="99">
        <v>0</v>
      </c>
      <c r="O527" s="99">
        <v>73146.393450724776</v>
      </c>
      <c r="P527" s="99">
        <v>0</v>
      </c>
      <c r="Q527" s="99">
        <v>0</v>
      </c>
      <c r="R527" s="99">
        <v>0</v>
      </c>
      <c r="S527" s="99">
        <v>0</v>
      </c>
      <c r="T527" s="99">
        <v>0</v>
      </c>
      <c r="U527" s="99">
        <v>0</v>
      </c>
      <c r="V527" s="99">
        <v>0</v>
      </c>
      <c r="W527" s="99">
        <v>0</v>
      </c>
      <c r="X527" s="99">
        <v>2977.2547006290552</v>
      </c>
      <c r="Y527" s="99">
        <v>0</v>
      </c>
      <c r="Z527" s="99">
        <v>0</v>
      </c>
      <c r="AA527" s="99">
        <v>0</v>
      </c>
      <c r="AB527" s="99">
        <v>0</v>
      </c>
      <c r="AC527" s="99">
        <v>0</v>
      </c>
      <c r="AD527" s="99">
        <v>0</v>
      </c>
      <c r="AE527" s="99">
        <v>0</v>
      </c>
      <c r="AF527" s="99">
        <v>0</v>
      </c>
      <c r="AG527" s="99">
        <v>0</v>
      </c>
      <c r="AH527" s="99">
        <v>0</v>
      </c>
      <c r="AI527" s="99">
        <v>0</v>
      </c>
      <c r="AJ527" s="99">
        <v>0</v>
      </c>
      <c r="AK527" s="99">
        <v>0</v>
      </c>
      <c r="AL527" s="99">
        <v>0</v>
      </c>
      <c r="AM527" s="99">
        <v>0</v>
      </c>
      <c r="AN527" s="99">
        <v>0</v>
      </c>
      <c r="AO527" s="99">
        <v>0</v>
      </c>
      <c r="AP527" s="99">
        <v>0</v>
      </c>
      <c r="AQ527" s="99">
        <v>0</v>
      </c>
      <c r="AR527" s="99">
        <f t="shared" si="8"/>
        <v>76123.648151353831</v>
      </c>
    </row>
    <row r="528" spans="1:44" ht="15" x14ac:dyDescent="0.25">
      <c r="A528" s="258">
        <v>521</v>
      </c>
      <c r="B528" s="258" t="s">
        <v>978</v>
      </c>
      <c r="C528" s="258" t="s">
        <v>1908</v>
      </c>
      <c r="D528" s="859" t="s">
        <v>1912</v>
      </c>
      <c r="E528" s="99">
        <v>0</v>
      </c>
      <c r="F528" s="99">
        <v>0</v>
      </c>
      <c r="G528" s="99">
        <v>0</v>
      </c>
      <c r="H528" s="99">
        <v>0</v>
      </c>
      <c r="I528" s="99">
        <v>0</v>
      </c>
      <c r="J528" s="99">
        <v>0</v>
      </c>
      <c r="K528" s="99">
        <v>0</v>
      </c>
      <c r="L528" s="99">
        <v>0</v>
      </c>
      <c r="M528" s="99">
        <v>0</v>
      </c>
      <c r="N528" s="99">
        <v>0</v>
      </c>
      <c r="O528" s="99">
        <v>0</v>
      </c>
      <c r="P528" s="99">
        <v>0</v>
      </c>
      <c r="Q528" s="99">
        <v>0</v>
      </c>
      <c r="R528" s="99">
        <v>0</v>
      </c>
      <c r="S528" s="99">
        <v>0</v>
      </c>
      <c r="T528" s="99">
        <v>0</v>
      </c>
      <c r="U528" s="99">
        <v>0</v>
      </c>
      <c r="V528" s="99">
        <v>0</v>
      </c>
      <c r="W528" s="99">
        <v>0</v>
      </c>
      <c r="X528" s="99">
        <v>7231.6213502821547</v>
      </c>
      <c r="Y528" s="99">
        <v>0</v>
      </c>
      <c r="Z528" s="99">
        <v>0</v>
      </c>
      <c r="AA528" s="99">
        <v>0</v>
      </c>
      <c r="AB528" s="99">
        <v>0</v>
      </c>
      <c r="AC528" s="99">
        <v>0</v>
      </c>
      <c r="AD528" s="99">
        <v>20141.585426362904</v>
      </c>
      <c r="AE528" s="99">
        <v>0</v>
      </c>
      <c r="AF528" s="99">
        <v>0</v>
      </c>
      <c r="AG528" s="99">
        <v>0</v>
      </c>
      <c r="AH528" s="99">
        <v>0</v>
      </c>
      <c r="AI528" s="99">
        <v>0</v>
      </c>
      <c r="AJ528" s="99">
        <v>0</v>
      </c>
      <c r="AK528" s="99">
        <v>0</v>
      </c>
      <c r="AL528" s="99">
        <v>0</v>
      </c>
      <c r="AM528" s="99">
        <v>0</v>
      </c>
      <c r="AN528" s="99">
        <v>0</v>
      </c>
      <c r="AO528" s="99">
        <v>0</v>
      </c>
      <c r="AP528" s="99">
        <v>0</v>
      </c>
      <c r="AQ528" s="99">
        <v>0</v>
      </c>
      <c r="AR528" s="99">
        <f t="shared" si="8"/>
        <v>27373.20677664506</v>
      </c>
    </row>
    <row r="529" spans="1:44" ht="15" x14ac:dyDescent="0.25">
      <c r="A529" s="258">
        <v>522</v>
      </c>
      <c r="B529" s="258" t="s">
        <v>978</v>
      </c>
      <c r="C529" s="258" t="s">
        <v>1908</v>
      </c>
      <c r="D529" s="859" t="s">
        <v>1913</v>
      </c>
      <c r="E529" s="99">
        <v>0</v>
      </c>
      <c r="F529" s="99">
        <v>0</v>
      </c>
      <c r="G529" s="99">
        <v>0</v>
      </c>
      <c r="H529" s="99">
        <v>0</v>
      </c>
      <c r="I529" s="99">
        <v>0</v>
      </c>
      <c r="J529" s="99">
        <v>0</v>
      </c>
      <c r="K529" s="99">
        <v>0</v>
      </c>
      <c r="L529" s="99">
        <v>0</v>
      </c>
      <c r="M529" s="99">
        <v>0</v>
      </c>
      <c r="N529" s="99">
        <v>0</v>
      </c>
      <c r="O529" s="99">
        <v>51033.017833004327</v>
      </c>
      <c r="P529" s="99">
        <v>0</v>
      </c>
      <c r="Q529" s="99">
        <v>0</v>
      </c>
      <c r="R529" s="99">
        <v>0</v>
      </c>
      <c r="S529" s="99">
        <v>0</v>
      </c>
      <c r="T529" s="99">
        <v>0</v>
      </c>
      <c r="U529" s="99">
        <v>0</v>
      </c>
      <c r="V529" s="99">
        <v>0</v>
      </c>
      <c r="W529" s="99">
        <v>0</v>
      </c>
      <c r="X529" s="99">
        <v>14102.363342912306</v>
      </c>
      <c r="Y529" s="99">
        <v>0</v>
      </c>
      <c r="Z529" s="99">
        <v>0</v>
      </c>
      <c r="AA529" s="99">
        <v>0</v>
      </c>
      <c r="AB529" s="99">
        <v>0</v>
      </c>
      <c r="AC529" s="99">
        <v>0</v>
      </c>
      <c r="AD529" s="99">
        <v>11621.323545778463</v>
      </c>
      <c r="AE529" s="99">
        <v>0</v>
      </c>
      <c r="AF529" s="99">
        <v>0</v>
      </c>
      <c r="AG529" s="99">
        <v>0</v>
      </c>
      <c r="AH529" s="99">
        <v>0</v>
      </c>
      <c r="AI529" s="99">
        <v>0</v>
      </c>
      <c r="AJ529" s="99">
        <v>0</v>
      </c>
      <c r="AK529" s="99">
        <v>0</v>
      </c>
      <c r="AL529" s="99">
        <v>0</v>
      </c>
      <c r="AM529" s="99">
        <v>0</v>
      </c>
      <c r="AN529" s="99">
        <v>0</v>
      </c>
      <c r="AO529" s="99">
        <v>0</v>
      </c>
      <c r="AP529" s="99">
        <v>0</v>
      </c>
      <c r="AQ529" s="99">
        <v>0</v>
      </c>
      <c r="AR529" s="99">
        <f t="shared" si="8"/>
        <v>76756.704721695103</v>
      </c>
    </row>
    <row r="530" spans="1:44" ht="15" x14ac:dyDescent="0.25">
      <c r="A530" s="258">
        <v>523</v>
      </c>
      <c r="B530" s="258" t="s">
        <v>978</v>
      </c>
      <c r="C530" s="258" t="s">
        <v>1908</v>
      </c>
      <c r="D530" s="859" t="s">
        <v>1914</v>
      </c>
      <c r="E530" s="99">
        <v>0</v>
      </c>
      <c r="F530" s="99">
        <v>0</v>
      </c>
      <c r="G530" s="99">
        <v>0</v>
      </c>
      <c r="H530" s="99">
        <v>0</v>
      </c>
      <c r="I530" s="99">
        <v>0</v>
      </c>
      <c r="J530" s="99">
        <v>0</v>
      </c>
      <c r="K530" s="99">
        <v>0</v>
      </c>
      <c r="L530" s="99">
        <v>0</v>
      </c>
      <c r="M530" s="99">
        <v>0</v>
      </c>
      <c r="N530" s="99">
        <v>0</v>
      </c>
      <c r="O530" s="99">
        <v>0</v>
      </c>
      <c r="P530" s="99">
        <v>0</v>
      </c>
      <c r="Q530" s="99">
        <v>0</v>
      </c>
      <c r="R530" s="99">
        <v>0</v>
      </c>
      <c r="S530" s="99">
        <v>0</v>
      </c>
      <c r="T530" s="99">
        <v>0</v>
      </c>
      <c r="U530" s="99">
        <v>0</v>
      </c>
      <c r="V530" s="99">
        <v>0</v>
      </c>
      <c r="W530" s="99">
        <v>0</v>
      </c>
      <c r="X530" s="99">
        <v>0</v>
      </c>
      <c r="Y530" s="99">
        <v>0</v>
      </c>
      <c r="Z530" s="99">
        <v>0</v>
      </c>
      <c r="AA530" s="99">
        <v>0</v>
      </c>
      <c r="AB530" s="99">
        <v>0</v>
      </c>
      <c r="AC530" s="99">
        <v>0</v>
      </c>
      <c r="AD530" s="99">
        <v>56.360662425493864</v>
      </c>
      <c r="AE530" s="99">
        <v>0</v>
      </c>
      <c r="AF530" s="99">
        <v>0</v>
      </c>
      <c r="AG530" s="99">
        <v>0</v>
      </c>
      <c r="AH530" s="99">
        <v>0</v>
      </c>
      <c r="AI530" s="99">
        <v>0</v>
      </c>
      <c r="AJ530" s="99">
        <v>0</v>
      </c>
      <c r="AK530" s="99">
        <v>0</v>
      </c>
      <c r="AL530" s="99">
        <v>0</v>
      </c>
      <c r="AM530" s="99">
        <v>0</v>
      </c>
      <c r="AN530" s="99">
        <v>0</v>
      </c>
      <c r="AO530" s="99">
        <v>0</v>
      </c>
      <c r="AP530" s="99">
        <v>0</v>
      </c>
      <c r="AQ530" s="99">
        <v>0</v>
      </c>
      <c r="AR530" s="99">
        <f t="shared" si="8"/>
        <v>56.360662425493864</v>
      </c>
    </row>
    <row r="531" spans="1:44" ht="15" x14ac:dyDescent="0.25">
      <c r="A531" s="258">
        <v>524</v>
      </c>
      <c r="B531" s="258" t="s">
        <v>978</v>
      </c>
      <c r="C531" s="258" t="s">
        <v>1908</v>
      </c>
      <c r="D531" s="859" t="s">
        <v>1915</v>
      </c>
      <c r="E531" s="99">
        <v>0</v>
      </c>
      <c r="F531" s="99">
        <v>0</v>
      </c>
      <c r="G531" s="99">
        <v>0</v>
      </c>
      <c r="H531" s="99">
        <v>0</v>
      </c>
      <c r="I531" s="99">
        <v>0</v>
      </c>
      <c r="J531" s="99">
        <v>0</v>
      </c>
      <c r="K531" s="99">
        <v>0</v>
      </c>
      <c r="L531" s="99">
        <v>0</v>
      </c>
      <c r="M531" s="99">
        <v>0</v>
      </c>
      <c r="N531" s="99">
        <v>0</v>
      </c>
      <c r="O531" s="99">
        <v>267.04949057818698</v>
      </c>
      <c r="P531" s="99">
        <v>0</v>
      </c>
      <c r="Q531" s="99">
        <v>0</v>
      </c>
      <c r="R531" s="99">
        <v>0</v>
      </c>
      <c r="S531" s="99">
        <v>0</v>
      </c>
      <c r="T531" s="99">
        <v>0</v>
      </c>
      <c r="U531" s="99">
        <v>0</v>
      </c>
      <c r="V531" s="99">
        <v>0</v>
      </c>
      <c r="W531" s="99">
        <v>0</v>
      </c>
      <c r="X531" s="99">
        <v>38.092821085489589</v>
      </c>
      <c r="Y531" s="99">
        <v>0</v>
      </c>
      <c r="Z531" s="99">
        <v>0</v>
      </c>
      <c r="AA531" s="99">
        <v>0</v>
      </c>
      <c r="AB531" s="99">
        <v>0</v>
      </c>
      <c r="AC531" s="99">
        <v>0</v>
      </c>
      <c r="AD531" s="99">
        <v>47.784039882483931</v>
      </c>
      <c r="AE531" s="99">
        <v>0</v>
      </c>
      <c r="AF531" s="99">
        <v>0</v>
      </c>
      <c r="AG531" s="99">
        <v>0</v>
      </c>
      <c r="AH531" s="99">
        <v>0</v>
      </c>
      <c r="AI531" s="99">
        <v>0</v>
      </c>
      <c r="AJ531" s="99">
        <v>0</v>
      </c>
      <c r="AK531" s="99">
        <v>0</v>
      </c>
      <c r="AL531" s="99">
        <v>0</v>
      </c>
      <c r="AM531" s="99">
        <v>0</v>
      </c>
      <c r="AN531" s="99">
        <v>0</v>
      </c>
      <c r="AO531" s="99">
        <v>0</v>
      </c>
      <c r="AP531" s="99">
        <v>0</v>
      </c>
      <c r="AQ531" s="99">
        <v>0</v>
      </c>
      <c r="AR531" s="99">
        <f t="shared" si="8"/>
        <v>352.92635154616045</v>
      </c>
    </row>
    <row r="532" spans="1:44" ht="15" x14ac:dyDescent="0.25">
      <c r="A532" s="258">
        <v>525</v>
      </c>
      <c r="B532" s="258" t="s">
        <v>296</v>
      </c>
      <c r="C532" s="258" t="s">
        <v>1916</v>
      </c>
      <c r="D532" s="859" t="s">
        <v>1917</v>
      </c>
      <c r="E532" s="99">
        <v>0</v>
      </c>
      <c r="F532" s="99">
        <v>0</v>
      </c>
      <c r="G532" s="99">
        <v>0</v>
      </c>
      <c r="H532" s="99">
        <v>0</v>
      </c>
      <c r="I532" s="99">
        <v>32.349320147796675</v>
      </c>
      <c r="J532" s="99">
        <v>0</v>
      </c>
      <c r="K532" s="99">
        <v>0</v>
      </c>
      <c r="L532" s="99">
        <v>0</v>
      </c>
      <c r="M532" s="99">
        <v>0</v>
      </c>
      <c r="N532" s="99">
        <v>0</v>
      </c>
      <c r="O532" s="99">
        <v>0</v>
      </c>
      <c r="P532" s="99">
        <v>0</v>
      </c>
      <c r="Q532" s="99">
        <v>2959.8395267259893</v>
      </c>
      <c r="R532" s="99">
        <v>0</v>
      </c>
      <c r="S532" s="99">
        <v>0</v>
      </c>
      <c r="T532" s="99">
        <v>0</v>
      </c>
      <c r="U532" s="99">
        <v>0</v>
      </c>
      <c r="V532" s="99">
        <v>0</v>
      </c>
      <c r="W532" s="99">
        <v>0</v>
      </c>
      <c r="X532" s="99">
        <v>0</v>
      </c>
      <c r="Y532" s="99">
        <v>0</v>
      </c>
      <c r="Z532" s="99">
        <v>0</v>
      </c>
      <c r="AA532" s="99">
        <v>0</v>
      </c>
      <c r="AB532" s="99">
        <v>0</v>
      </c>
      <c r="AC532" s="99">
        <v>0</v>
      </c>
      <c r="AD532" s="99">
        <v>0</v>
      </c>
      <c r="AE532" s="99">
        <v>0</v>
      </c>
      <c r="AF532" s="99">
        <v>0</v>
      </c>
      <c r="AG532" s="99">
        <v>0</v>
      </c>
      <c r="AH532" s="99">
        <v>0</v>
      </c>
      <c r="AI532" s="99">
        <v>0</v>
      </c>
      <c r="AJ532" s="99">
        <v>0</v>
      </c>
      <c r="AK532" s="99">
        <v>0</v>
      </c>
      <c r="AL532" s="99">
        <v>0</v>
      </c>
      <c r="AM532" s="99">
        <v>0</v>
      </c>
      <c r="AN532" s="99">
        <v>0</v>
      </c>
      <c r="AO532" s="99">
        <v>0</v>
      </c>
      <c r="AP532" s="99">
        <v>0</v>
      </c>
      <c r="AQ532" s="99">
        <v>0</v>
      </c>
      <c r="AR532" s="99">
        <f t="shared" si="8"/>
        <v>2992.1888468737861</v>
      </c>
    </row>
    <row r="533" spans="1:44" ht="15" x14ac:dyDescent="0.25">
      <c r="A533" s="258">
        <v>526</v>
      </c>
      <c r="B533" s="258" t="s">
        <v>296</v>
      </c>
      <c r="C533" s="258" t="s">
        <v>1916</v>
      </c>
      <c r="D533" s="859" t="s">
        <v>1918</v>
      </c>
      <c r="E533" s="99">
        <v>0</v>
      </c>
      <c r="F533" s="99">
        <v>0</v>
      </c>
      <c r="G533" s="99">
        <v>0</v>
      </c>
      <c r="H533" s="99">
        <v>0</v>
      </c>
      <c r="I533" s="99">
        <v>92.105703198587776</v>
      </c>
      <c r="J533" s="99">
        <v>0</v>
      </c>
      <c r="K533" s="99">
        <v>0</v>
      </c>
      <c r="L533" s="99">
        <v>0</v>
      </c>
      <c r="M533" s="99">
        <v>0</v>
      </c>
      <c r="N533" s="99">
        <v>0</v>
      </c>
      <c r="O533" s="99">
        <v>0</v>
      </c>
      <c r="P533" s="99">
        <v>0</v>
      </c>
      <c r="Q533" s="99">
        <v>14651.650351574957</v>
      </c>
      <c r="R533" s="99">
        <v>0</v>
      </c>
      <c r="S533" s="99">
        <v>0</v>
      </c>
      <c r="T533" s="99">
        <v>0</v>
      </c>
      <c r="U533" s="99">
        <v>0</v>
      </c>
      <c r="V533" s="99">
        <v>0</v>
      </c>
      <c r="W533" s="99">
        <v>0</v>
      </c>
      <c r="X533" s="99">
        <v>0</v>
      </c>
      <c r="Y533" s="99">
        <v>0</v>
      </c>
      <c r="Z533" s="99">
        <v>0</v>
      </c>
      <c r="AA533" s="99">
        <v>0</v>
      </c>
      <c r="AB533" s="99">
        <v>0</v>
      </c>
      <c r="AC533" s="99">
        <v>0</v>
      </c>
      <c r="AD533" s="99">
        <v>0</v>
      </c>
      <c r="AE533" s="99">
        <v>0</v>
      </c>
      <c r="AF533" s="99">
        <v>0</v>
      </c>
      <c r="AG533" s="99">
        <v>0</v>
      </c>
      <c r="AH533" s="99">
        <v>0</v>
      </c>
      <c r="AI533" s="99">
        <v>0</v>
      </c>
      <c r="AJ533" s="99">
        <v>0</v>
      </c>
      <c r="AK533" s="99">
        <v>0</v>
      </c>
      <c r="AL533" s="99">
        <v>0</v>
      </c>
      <c r="AM533" s="99">
        <v>0</v>
      </c>
      <c r="AN533" s="99">
        <v>0</v>
      </c>
      <c r="AO533" s="99">
        <v>0</v>
      </c>
      <c r="AP533" s="99">
        <v>0</v>
      </c>
      <c r="AQ533" s="99">
        <v>0</v>
      </c>
      <c r="AR533" s="99">
        <f t="shared" si="8"/>
        <v>14743.756054773545</v>
      </c>
    </row>
    <row r="534" spans="1:44" ht="15" x14ac:dyDescent="0.25">
      <c r="A534" s="258">
        <v>527</v>
      </c>
      <c r="B534" s="258" t="s">
        <v>335</v>
      </c>
      <c r="C534" s="258" t="s">
        <v>1919</v>
      </c>
      <c r="D534" s="859" t="s">
        <v>1920</v>
      </c>
      <c r="E534" s="99">
        <v>0</v>
      </c>
      <c r="F534" s="99">
        <v>0</v>
      </c>
      <c r="G534" s="99">
        <v>0</v>
      </c>
      <c r="H534" s="99">
        <v>0</v>
      </c>
      <c r="I534" s="99">
        <v>21.116917318700612</v>
      </c>
      <c r="J534" s="99">
        <v>0</v>
      </c>
      <c r="K534" s="99">
        <v>0</v>
      </c>
      <c r="L534" s="99">
        <v>0</v>
      </c>
      <c r="M534" s="99">
        <v>0</v>
      </c>
      <c r="N534" s="99">
        <v>0</v>
      </c>
      <c r="O534" s="99">
        <v>0</v>
      </c>
      <c r="P534" s="99">
        <v>0</v>
      </c>
      <c r="Q534" s="99">
        <v>6955.4746563789722</v>
      </c>
      <c r="R534" s="99">
        <v>0</v>
      </c>
      <c r="S534" s="99">
        <v>0</v>
      </c>
      <c r="T534" s="99">
        <v>0</v>
      </c>
      <c r="U534" s="99">
        <v>0</v>
      </c>
      <c r="V534" s="99">
        <v>0</v>
      </c>
      <c r="W534" s="99">
        <v>0</v>
      </c>
      <c r="X534" s="99">
        <v>0</v>
      </c>
      <c r="Y534" s="99">
        <v>0</v>
      </c>
      <c r="Z534" s="99">
        <v>0</v>
      </c>
      <c r="AA534" s="99">
        <v>0</v>
      </c>
      <c r="AB534" s="99">
        <v>0</v>
      </c>
      <c r="AC534" s="99">
        <v>0</v>
      </c>
      <c r="AD534" s="99">
        <v>0</v>
      </c>
      <c r="AE534" s="99">
        <v>0</v>
      </c>
      <c r="AF534" s="99">
        <v>0</v>
      </c>
      <c r="AG534" s="99">
        <v>0</v>
      </c>
      <c r="AH534" s="99">
        <v>0</v>
      </c>
      <c r="AI534" s="99">
        <v>0</v>
      </c>
      <c r="AJ534" s="99">
        <v>0</v>
      </c>
      <c r="AK534" s="99">
        <v>0</v>
      </c>
      <c r="AL534" s="99">
        <v>0</v>
      </c>
      <c r="AM534" s="99">
        <v>0</v>
      </c>
      <c r="AN534" s="99">
        <v>0</v>
      </c>
      <c r="AO534" s="99">
        <v>0</v>
      </c>
      <c r="AP534" s="99">
        <v>0</v>
      </c>
      <c r="AQ534" s="99">
        <v>0</v>
      </c>
      <c r="AR534" s="99">
        <f t="shared" si="8"/>
        <v>6976.5915736976731</v>
      </c>
    </row>
    <row r="535" spans="1:44" ht="15" x14ac:dyDescent="0.25">
      <c r="A535" s="258">
        <v>528</v>
      </c>
      <c r="B535" s="258" t="s">
        <v>335</v>
      </c>
      <c r="C535" s="258" t="s">
        <v>1919</v>
      </c>
      <c r="D535" s="859" t="s">
        <v>1921</v>
      </c>
      <c r="E535" s="99">
        <v>0</v>
      </c>
      <c r="F535" s="99">
        <v>0</v>
      </c>
      <c r="G535" s="99">
        <v>0</v>
      </c>
      <c r="H535" s="99">
        <v>0</v>
      </c>
      <c r="I535" s="99">
        <v>188.25507141565012</v>
      </c>
      <c r="J535" s="99">
        <v>0</v>
      </c>
      <c r="K535" s="99">
        <v>0</v>
      </c>
      <c r="L535" s="99">
        <v>0</v>
      </c>
      <c r="M535" s="99">
        <v>0</v>
      </c>
      <c r="N535" s="99">
        <v>0</v>
      </c>
      <c r="O535" s="99">
        <v>0</v>
      </c>
      <c r="P535" s="99">
        <v>0</v>
      </c>
      <c r="Q535" s="99">
        <v>39778.929680704816</v>
      </c>
      <c r="R535" s="99">
        <v>0</v>
      </c>
      <c r="S535" s="99">
        <v>0</v>
      </c>
      <c r="T535" s="99">
        <v>0</v>
      </c>
      <c r="U535" s="99">
        <v>0</v>
      </c>
      <c r="V535" s="99">
        <v>0</v>
      </c>
      <c r="W535" s="99">
        <v>0</v>
      </c>
      <c r="X535" s="99">
        <v>0</v>
      </c>
      <c r="Y535" s="99">
        <v>0</v>
      </c>
      <c r="Z535" s="99">
        <v>0</v>
      </c>
      <c r="AA535" s="99">
        <v>0</v>
      </c>
      <c r="AB535" s="99">
        <v>0</v>
      </c>
      <c r="AC535" s="99">
        <v>0</v>
      </c>
      <c r="AD535" s="99">
        <v>0</v>
      </c>
      <c r="AE535" s="99">
        <v>0</v>
      </c>
      <c r="AF535" s="99">
        <v>0</v>
      </c>
      <c r="AG535" s="99">
        <v>0</v>
      </c>
      <c r="AH535" s="99">
        <v>0</v>
      </c>
      <c r="AI535" s="99">
        <v>0</v>
      </c>
      <c r="AJ535" s="99">
        <v>0</v>
      </c>
      <c r="AK535" s="99">
        <v>0</v>
      </c>
      <c r="AL535" s="99">
        <v>0</v>
      </c>
      <c r="AM535" s="99">
        <v>0</v>
      </c>
      <c r="AN535" s="99">
        <v>0</v>
      </c>
      <c r="AO535" s="99">
        <v>0</v>
      </c>
      <c r="AP535" s="99">
        <v>0</v>
      </c>
      <c r="AQ535" s="99">
        <v>0</v>
      </c>
      <c r="AR535" s="99">
        <f t="shared" si="8"/>
        <v>39967.184752120469</v>
      </c>
    </row>
    <row r="536" spans="1:44" ht="15" x14ac:dyDescent="0.25">
      <c r="A536" s="258">
        <v>529</v>
      </c>
      <c r="B536" s="258" t="s">
        <v>335</v>
      </c>
      <c r="C536" s="258" t="s">
        <v>1919</v>
      </c>
      <c r="D536" s="859" t="s">
        <v>1922</v>
      </c>
      <c r="E536" s="99">
        <v>0</v>
      </c>
      <c r="F536" s="99">
        <v>0</v>
      </c>
      <c r="G536" s="99">
        <v>0</v>
      </c>
      <c r="H536" s="99">
        <v>0</v>
      </c>
      <c r="I536" s="99">
        <v>3745.5570473903754</v>
      </c>
      <c r="J536" s="99">
        <v>0</v>
      </c>
      <c r="K536" s="99">
        <v>0</v>
      </c>
      <c r="L536" s="99">
        <v>0</v>
      </c>
      <c r="M536" s="99">
        <v>0</v>
      </c>
      <c r="N536" s="99">
        <v>0</v>
      </c>
      <c r="O536" s="99">
        <v>0</v>
      </c>
      <c r="P536" s="99">
        <v>0</v>
      </c>
      <c r="Q536" s="99">
        <v>74901.112066876565</v>
      </c>
      <c r="R536" s="99">
        <v>0</v>
      </c>
      <c r="S536" s="99">
        <v>0</v>
      </c>
      <c r="T536" s="99">
        <v>0</v>
      </c>
      <c r="U536" s="99">
        <v>0</v>
      </c>
      <c r="V536" s="99">
        <v>0</v>
      </c>
      <c r="W536" s="99">
        <v>0</v>
      </c>
      <c r="X536" s="99">
        <v>0</v>
      </c>
      <c r="Y536" s="99">
        <v>0</v>
      </c>
      <c r="Z536" s="99">
        <v>0</v>
      </c>
      <c r="AA536" s="99">
        <v>0</v>
      </c>
      <c r="AB536" s="99">
        <v>0</v>
      </c>
      <c r="AC536" s="99">
        <v>0</v>
      </c>
      <c r="AD536" s="99">
        <v>0</v>
      </c>
      <c r="AE536" s="99">
        <v>0</v>
      </c>
      <c r="AF536" s="99">
        <v>0</v>
      </c>
      <c r="AG536" s="99">
        <v>0</v>
      </c>
      <c r="AH536" s="99">
        <v>0</v>
      </c>
      <c r="AI536" s="99">
        <v>0</v>
      </c>
      <c r="AJ536" s="99">
        <v>0</v>
      </c>
      <c r="AK536" s="99">
        <v>0</v>
      </c>
      <c r="AL536" s="99">
        <v>0</v>
      </c>
      <c r="AM536" s="99">
        <v>0</v>
      </c>
      <c r="AN536" s="99">
        <v>0</v>
      </c>
      <c r="AO536" s="99">
        <v>0</v>
      </c>
      <c r="AP536" s="99">
        <v>0</v>
      </c>
      <c r="AQ536" s="99">
        <v>0</v>
      </c>
      <c r="AR536" s="99">
        <f t="shared" si="8"/>
        <v>78646.669114266944</v>
      </c>
    </row>
    <row r="537" spans="1:44" ht="15" x14ac:dyDescent="0.25">
      <c r="A537" s="258">
        <v>530</v>
      </c>
      <c r="B537" s="258" t="s">
        <v>335</v>
      </c>
      <c r="C537" s="258" t="s">
        <v>1919</v>
      </c>
      <c r="D537" s="859" t="s">
        <v>1923</v>
      </c>
      <c r="E537" s="99">
        <v>0</v>
      </c>
      <c r="F537" s="99">
        <v>0</v>
      </c>
      <c r="G537" s="99">
        <v>0</v>
      </c>
      <c r="H537" s="99">
        <v>0</v>
      </c>
      <c r="I537" s="99">
        <v>0</v>
      </c>
      <c r="J537" s="99">
        <v>0</v>
      </c>
      <c r="K537" s="99">
        <v>0</v>
      </c>
      <c r="L537" s="99">
        <v>0</v>
      </c>
      <c r="M537" s="99">
        <v>0</v>
      </c>
      <c r="N537" s="99">
        <v>0</v>
      </c>
      <c r="O537" s="99">
        <v>0</v>
      </c>
      <c r="P537" s="99">
        <v>0</v>
      </c>
      <c r="Q537" s="99">
        <v>60090.512015777138</v>
      </c>
      <c r="R537" s="99">
        <v>0</v>
      </c>
      <c r="S537" s="99">
        <v>0</v>
      </c>
      <c r="T537" s="99">
        <v>0</v>
      </c>
      <c r="U537" s="99">
        <v>0</v>
      </c>
      <c r="V537" s="99">
        <v>0</v>
      </c>
      <c r="W537" s="99">
        <v>0</v>
      </c>
      <c r="X537" s="99">
        <v>0</v>
      </c>
      <c r="Y537" s="99">
        <v>0</v>
      </c>
      <c r="Z537" s="99">
        <v>0</v>
      </c>
      <c r="AA537" s="99">
        <v>0</v>
      </c>
      <c r="AB537" s="99">
        <v>0</v>
      </c>
      <c r="AC537" s="99">
        <v>0</v>
      </c>
      <c r="AD537" s="99">
        <v>0</v>
      </c>
      <c r="AE537" s="99">
        <v>0</v>
      </c>
      <c r="AF537" s="99">
        <v>0</v>
      </c>
      <c r="AG537" s="99">
        <v>0</v>
      </c>
      <c r="AH537" s="99">
        <v>0</v>
      </c>
      <c r="AI537" s="99">
        <v>0</v>
      </c>
      <c r="AJ537" s="99">
        <v>0</v>
      </c>
      <c r="AK537" s="99">
        <v>0</v>
      </c>
      <c r="AL537" s="99">
        <v>0</v>
      </c>
      <c r="AM537" s="99">
        <v>0</v>
      </c>
      <c r="AN537" s="99">
        <v>0</v>
      </c>
      <c r="AO537" s="99">
        <v>0</v>
      </c>
      <c r="AP537" s="99">
        <v>0</v>
      </c>
      <c r="AQ537" s="99">
        <v>0</v>
      </c>
      <c r="AR537" s="99">
        <f t="shared" si="8"/>
        <v>60090.512015777138</v>
      </c>
    </row>
    <row r="538" spans="1:44" ht="15" x14ac:dyDescent="0.25">
      <c r="A538" s="258">
        <v>531</v>
      </c>
      <c r="B538" s="258" t="s">
        <v>335</v>
      </c>
      <c r="C538" s="258" t="s">
        <v>1919</v>
      </c>
      <c r="D538" s="859" t="s">
        <v>1924</v>
      </c>
      <c r="E538" s="99">
        <v>0</v>
      </c>
      <c r="F538" s="99">
        <v>0</v>
      </c>
      <c r="G538" s="99">
        <v>0</v>
      </c>
      <c r="H538" s="99">
        <v>0</v>
      </c>
      <c r="I538" s="99">
        <v>0</v>
      </c>
      <c r="J538" s="99">
        <v>0</v>
      </c>
      <c r="K538" s="99">
        <v>0</v>
      </c>
      <c r="L538" s="99">
        <v>0</v>
      </c>
      <c r="M538" s="99">
        <v>0</v>
      </c>
      <c r="N538" s="99">
        <v>0</v>
      </c>
      <c r="O538" s="99">
        <v>0</v>
      </c>
      <c r="P538" s="99">
        <v>0</v>
      </c>
      <c r="Q538" s="99">
        <v>64200.171320124857</v>
      </c>
      <c r="R538" s="99">
        <v>0</v>
      </c>
      <c r="S538" s="99">
        <v>0</v>
      </c>
      <c r="T538" s="99">
        <v>0</v>
      </c>
      <c r="U538" s="99">
        <v>0</v>
      </c>
      <c r="V538" s="99">
        <v>0</v>
      </c>
      <c r="W538" s="99">
        <v>0</v>
      </c>
      <c r="X538" s="99">
        <v>0</v>
      </c>
      <c r="Y538" s="99">
        <v>0</v>
      </c>
      <c r="Z538" s="99">
        <v>0</v>
      </c>
      <c r="AA538" s="99">
        <v>0</v>
      </c>
      <c r="AB538" s="99">
        <v>0</v>
      </c>
      <c r="AC538" s="99">
        <v>0</v>
      </c>
      <c r="AD538" s="99">
        <v>0</v>
      </c>
      <c r="AE538" s="99">
        <v>0</v>
      </c>
      <c r="AF538" s="99">
        <v>0</v>
      </c>
      <c r="AG538" s="99">
        <v>0</v>
      </c>
      <c r="AH538" s="99">
        <v>0</v>
      </c>
      <c r="AI538" s="99">
        <v>0</v>
      </c>
      <c r="AJ538" s="99">
        <v>0</v>
      </c>
      <c r="AK538" s="99">
        <v>0</v>
      </c>
      <c r="AL538" s="99">
        <v>0</v>
      </c>
      <c r="AM538" s="99">
        <v>0</v>
      </c>
      <c r="AN538" s="99">
        <v>0</v>
      </c>
      <c r="AO538" s="99">
        <v>0</v>
      </c>
      <c r="AP538" s="99">
        <v>0</v>
      </c>
      <c r="AQ538" s="99">
        <v>0</v>
      </c>
      <c r="AR538" s="99">
        <f t="shared" si="8"/>
        <v>64200.171320124857</v>
      </c>
    </row>
    <row r="539" spans="1:44" ht="15" x14ac:dyDescent="0.25">
      <c r="A539" s="258">
        <v>532</v>
      </c>
      <c r="B539" s="258" t="s">
        <v>335</v>
      </c>
      <c r="C539" s="258" t="s">
        <v>1919</v>
      </c>
      <c r="D539" s="859" t="s">
        <v>1925</v>
      </c>
      <c r="E539" s="99">
        <v>0</v>
      </c>
      <c r="F539" s="99">
        <v>0</v>
      </c>
      <c r="G539" s="99">
        <v>0</v>
      </c>
      <c r="H539" s="99">
        <v>0</v>
      </c>
      <c r="I539" s="99">
        <v>0</v>
      </c>
      <c r="J539" s="99">
        <v>0</v>
      </c>
      <c r="K539" s="99">
        <v>0</v>
      </c>
      <c r="L539" s="99">
        <v>0</v>
      </c>
      <c r="M539" s="99">
        <v>0</v>
      </c>
      <c r="N539" s="99">
        <v>0</v>
      </c>
      <c r="O539" s="99">
        <v>0</v>
      </c>
      <c r="P539" s="99">
        <v>0</v>
      </c>
      <c r="Q539" s="99">
        <v>4375.7917280852371</v>
      </c>
      <c r="R539" s="99">
        <v>0</v>
      </c>
      <c r="S539" s="99">
        <v>0</v>
      </c>
      <c r="T539" s="99">
        <v>0</v>
      </c>
      <c r="U539" s="99">
        <v>0</v>
      </c>
      <c r="V539" s="99">
        <v>0</v>
      </c>
      <c r="W539" s="99">
        <v>0</v>
      </c>
      <c r="X539" s="99">
        <v>0</v>
      </c>
      <c r="Y539" s="99">
        <v>0</v>
      </c>
      <c r="Z539" s="99">
        <v>0</v>
      </c>
      <c r="AA539" s="99">
        <v>0</v>
      </c>
      <c r="AB539" s="99">
        <v>0</v>
      </c>
      <c r="AC539" s="99">
        <v>0</v>
      </c>
      <c r="AD539" s="99">
        <v>0</v>
      </c>
      <c r="AE539" s="99">
        <v>0</v>
      </c>
      <c r="AF539" s="99">
        <v>0</v>
      </c>
      <c r="AG539" s="99">
        <v>0</v>
      </c>
      <c r="AH539" s="99">
        <v>0</v>
      </c>
      <c r="AI539" s="99">
        <v>0</v>
      </c>
      <c r="AJ539" s="99">
        <v>0</v>
      </c>
      <c r="AK539" s="99">
        <v>0</v>
      </c>
      <c r="AL539" s="99">
        <v>0</v>
      </c>
      <c r="AM539" s="99">
        <v>0</v>
      </c>
      <c r="AN539" s="99">
        <v>0</v>
      </c>
      <c r="AO539" s="99">
        <v>0</v>
      </c>
      <c r="AP539" s="99">
        <v>0</v>
      </c>
      <c r="AQ539" s="99">
        <v>0</v>
      </c>
      <c r="AR539" s="99">
        <f t="shared" si="8"/>
        <v>4375.7917280852371</v>
      </c>
    </row>
    <row r="540" spans="1:44" ht="15" x14ac:dyDescent="0.25">
      <c r="A540" s="258">
        <v>533</v>
      </c>
      <c r="B540" s="258" t="s">
        <v>305</v>
      </c>
      <c r="C540" s="258" t="s">
        <v>1926</v>
      </c>
      <c r="D540" s="859" t="s">
        <v>1927</v>
      </c>
      <c r="E540" s="99">
        <v>0</v>
      </c>
      <c r="F540" s="99">
        <v>0</v>
      </c>
      <c r="G540" s="99">
        <v>0</v>
      </c>
      <c r="H540" s="99">
        <v>0</v>
      </c>
      <c r="I540" s="99">
        <v>4364.9117393867327</v>
      </c>
      <c r="J540" s="99">
        <v>0</v>
      </c>
      <c r="K540" s="99">
        <v>0</v>
      </c>
      <c r="L540" s="99">
        <v>0</v>
      </c>
      <c r="M540" s="99">
        <v>0</v>
      </c>
      <c r="N540" s="99">
        <v>0</v>
      </c>
      <c r="O540" s="99">
        <v>0</v>
      </c>
      <c r="P540" s="99">
        <v>0</v>
      </c>
      <c r="Q540" s="99">
        <v>148141.57605349895</v>
      </c>
      <c r="R540" s="99">
        <v>0</v>
      </c>
      <c r="S540" s="99">
        <v>0</v>
      </c>
      <c r="T540" s="99">
        <v>0</v>
      </c>
      <c r="U540" s="99">
        <v>0</v>
      </c>
      <c r="V540" s="99">
        <v>0</v>
      </c>
      <c r="W540" s="99">
        <v>0</v>
      </c>
      <c r="X540" s="99">
        <v>0</v>
      </c>
      <c r="Y540" s="99">
        <v>0</v>
      </c>
      <c r="Z540" s="99">
        <v>0</v>
      </c>
      <c r="AA540" s="99">
        <v>0</v>
      </c>
      <c r="AB540" s="99">
        <v>0</v>
      </c>
      <c r="AC540" s="99">
        <v>0</v>
      </c>
      <c r="AD540" s="99">
        <v>0</v>
      </c>
      <c r="AE540" s="99">
        <v>0</v>
      </c>
      <c r="AF540" s="99">
        <v>0</v>
      </c>
      <c r="AG540" s="99">
        <v>0</v>
      </c>
      <c r="AH540" s="99">
        <v>0</v>
      </c>
      <c r="AI540" s="99">
        <v>0</v>
      </c>
      <c r="AJ540" s="99">
        <v>0</v>
      </c>
      <c r="AK540" s="99">
        <v>0</v>
      </c>
      <c r="AL540" s="99">
        <v>0</v>
      </c>
      <c r="AM540" s="99">
        <v>0</v>
      </c>
      <c r="AN540" s="99">
        <v>0</v>
      </c>
      <c r="AO540" s="99">
        <v>0</v>
      </c>
      <c r="AP540" s="99">
        <v>0</v>
      </c>
      <c r="AQ540" s="99">
        <v>0</v>
      </c>
      <c r="AR540" s="99">
        <f t="shared" si="8"/>
        <v>152506.48779288569</v>
      </c>
    </row>
    <row r="541" spans="1:44" ht="15" x14ac:dyDescent="0.25">
      <c r="A541" s="258">
        <v>534</v>
      </c>
      <c r="B541" s="258" t="s">
        <v>305</v>
      </c>
      <c r="C541" s="258" t="s">
        <v>1926</v>
      </c>
      <c r="D541" s="859" t="s">
        <v>1928</v>
      </c>
      <c r="E541" s="99">
        <v>0</v>
      </c>
      <c r="F541" s="99">
        <v>0</v>
      </c>
      <c r="G541" s="99">
        <v>0</v>
      </c>
      <c r="H541" s="99">
        <v>0</v>
      </c>
      <c r="I541" s="99">
        <v>570.60606371808035</v>
      </c>
      <c r="J541" s="99">
        <v>0</v>
      </c>
      <c r="K541" s="99">
        <v>0</v>
      </c>
      <c r="L541" s="99">
        <v>0</v>
      </c>
      <c r="M541" s="99">
        <v>0</v>
      </c>
      <c r="N541" s="99">
        <v>0</v>
      </c>
      <c r="O541" s="99">
        <v>0</v>
      </c>
      <c r="P541" s="99">
        <v>0</v>
      </c>
      <c r="Q541" s="99">
        <v>103354.02047515313</v>
      </c>
      <c r="R541" s="99">
        <v>0</v>
      </c>
      <c r="S541" s="99">
        <v>0</v>
      </c>
      <c r="T541" s="99">
        <v>0</v>
      </c>
      <c r="U541" s="99">
        <v>0</v>
      </c>
      <c r="V541" s="99">
        <v>0</v>
      </c>
      <c r="W541" s="99">
        <v>0</v>
      </c>
      <c r="X541" s="99">
        <v>0</v>
      </c>
      <c r="Y541" s="99">
        <v>0</v>
      </c>
      <c r="Z541" s="99">
        <v>0</v>
      </c>
      <c r="AA541" s="99">
        <v>0</v>
      </c>
      <c r="AB541" s="99">
        <v>0</v>
      </c>
      <c r="AC541" s="99">
        <v>0</v>
      </c>
      <c r="AD541" s="99">
        <v>0</v>
      </c>
      <c r="AE541" s="99">
        <v>0</v>
      </c>
      <c r="AF541" s="99">
        <v>0</v>
      </c>
      <c r="AG541" s="99">
        <v>0</v>
      </c>
      <c r="AH541" s="99">
        <v>0</v>
      </c>
      <c r="AI541" s="99">
        <v>0</v>
      </c>
      <c r="AJ541" s="99">
        <v>0</v>
      </c>
      <c r="AK541" s="99">
        <v>0</v>
      </c>
      <c r="AL541" s="99">
        <v>0</v>
      </c>
      <c r="AM541" s="99">
        <v>0</v>
      </c>
      <c r="AN541" s="99">
        <v>0</v>
      </c>
      <c r="AO541" s="99">
        <v>0</v>
      </c>
      <c r="AP541" s="99">
        <v>0</v>
      </c>
      <c r="AQ541" s="99">
        <v>0</v>
      </c>
      <c r="AR541" s="99">
        <f t="shared" si="8"/>
        <v>103924.62653887121</v>
      </c>
    </row>
    <row r="542" spans="1:44" ht="15" x14ac:dyDescent="0.25">
      <c r="A542" s="258">
        <v>535</v>
      </c>
      <c r="B542" s="258" t="s">
        <v>305</v>
      </c>
      <c r="C542" s="258" t="s">
        <v>1926</v>
      </c>
      <c r="D542" s="859" t="s">
        <v>1929</v>
      </c>
      <c r="E542" s="99">
        <v>0</v>
      </c>
      <c r="F542" s="99">
        <v>0</v>
      </c>
      <c r="G542" s="99">
        <v>0</v>
      </c>
      <c r="H542" s="99">
        <v>0</v>
      </c>
      <c r="I542" s="99">
        <v>0</v>
      </c>
      <c r="J542" s="99">
        <v>0</v>
      </c>
      <c r="K542" s="99">
        <v>0</v>
      </c>
      <c r="L542" s="99">
        <v>0</v>
      </c>
      <c r="M542" s="99">
        <v>0</v>
      </c>
      <c r="N542" s="99">
        <v>0</v>
      </c>
      <c r="O542" s="99">
        <v>0</v>
      </c>
      <c r="P542" s="99">
        <v>0</v>
      </c>
      <c r="Q542" s="99">
        <v>122753.63746101694</v>
      </c>
      <c r="R542" s="99">
        <v>0</v>
      </c>
      <c r="S542" s="99">
        <v>0</v>
      </c>
      <c r="T542" s="99">
        <v>0</v>
      </c>
      <c r="U542" s="99">
        <v>0</v>
      </c>
      <c r="V542" s="99">
        <v>0</v>
      </c>
      <c r="W542" s="99">
        <v>0</v>
      </c>
      <c r="X542" s="99">
        <v>0</v>
      </c>
      <c r="Y542" s="99">
        <v>0</v>
      </c>
      <c r="Z542" s="99">
        <v>0</v>
      </c>
      <c r="AA542" s="99">
        <v>0</v>
      </c>
      <c r="AB542" s="99">
        <v>0</v>
      </c>
      <c r="AC542" s="99">
        <v>0</v>
      </c>
      <c r="AD542" s="99">
        <v>0</v>
      </c>
      <c r="AE542" s="99">
        <v>0</v>
      </c>
      <c r="AF542" s="99">
        <v>0</v>
      </c>
      <c r="AG542" s="99">
        <v>0</v>
      </c>
      <c r="AH542" s="99">
        <v>0</v>
      </c>
      <c r="AI542" s="99">
        <v>0</v>
      </c>
      <c r="AJ542" s="99">
        <v>0</v>
      </c>
      <c r="AK542" s="99">
        <v>0</v>
      </c>
      <c r="AL542" s="99">
        <v>0</v>
      </c>
      <c r="AM542" s="99">
        <v>0</v>
      </c>
      <c r="AN542" s="99">
        <v>0</v>
      </c>
      <c r="AO542" s="99">
        <v>0</v>
      </c>
      <c r="AP542" s="99">
        <v>0</v>
      </c>
      <c r="AQ542" s="99">
        <v>0</v>
      </c>
      <c r="AR542" s="99">
        <f t="shared" si="8"/>
        <v>122753.63746101694</v>
      </c>
    </row>
    <row r="543" spans="1:44" ht="15" x14ac:dyDescent="0.25">
      <c r="A543" s="258">
        <v>536</v>
      </c>
      <c r="B543" s="258" t="s">
        <v>305</v>
      </c>
      <c r="C543" s="258" t="s">
        <v>1926</v>
      </c>
      <c r="D543" s="859" t="s">
        <v>1930</v>
      </c>
      <c r="E543" s="99">
        <v>0</v>
      </c>
      <c r="F543" s="99">
        <v>0</v>
      </c>
      <c r="G543" s="99">
        <v>0</v>
      </c>
      <c r="H543" s="99">
        <v>0</v>
      </c>
      <c r="I543" s="99">
        <v>0</v>
      </c>
      <c r="J543" s="99">
        <v>0</v>
      </c>
      <c r="K543" s="99">
        <v>0</v>
      </c>
      <c r="L543" s="99">
        <v>0</v>
      </c>
      <c r="M543" s="99">
        <v>0</v>
      </c>
      <c r="N543" s="99">
        <v>0</v>
      </c>
      <c r="O543" s="99">
        <v>0</v>
      </c>
      <c r="P543" s="99">
        <v>0</v>
      </c>
      <c r="Q543" s="99">
        <v>22787.275216044462</v>
      </c>
      <c r="R543" s="99">
        <v>0</v>
      </c>
      <c r="S543" s="99">
        <v>0</v>
      </c>
      <c r="T543" s="99">
        <v>0</v>
      </c>
      <c r="U543" s="99">
        <v>0</v>
      </c>
      <c r="V543" s="99">
        <v>0</v>
      </c>
      <c r="W543" s="99">
        <v>0</v>
      </c>
      <c r="X543" s="99">
        <v>0</v>
      </c>
      <c r="Y543" s="99">
        <v>0</v>
      </c>
      <c r="Z543" s="99">
        <v>0</v>
      </c>
      <c r="AA543" s="99">
        <v>0</v>
      </c>
      <c r="AB543" s="99">
        <v>0</v>
      </c>
      <c r="AC543" s="99">
        <v>0</v>
      </c>
      <c r="AD543" s="99">
        <v>0</v>
      </c>
      <c r="AE543" s="99">
        <v>0</v>
      </c>
      <c r="AF543" s="99">
        <v>0</v>
      </c>
      <c r="AG543" s="99">
        <v>0</v>
      </c>
      <c r="AH543" s="99">
        <v>0</v>
      </c>
      <c r="AI543" s="99">
        <v>0</v>
      </c>
      <c r="AJ543" s="99">
        <v>0</v>
      </c>
      <c r="AK543" s="99">
        <v>0</v>
      </c>
      <c r="AL543" s="99">
        <v>0</v>
      </c>
      <c r="AM543" s="99">
        <v>0</v>
      </c>
      <c r="AN543" s="99">
        <v>0</v>
      </c>
      <c r="AO543" s="99">
        <v>0</v>
      </c>
      <c r="AP543" s="99">
        <v>0</v>
      </c>
      <c r="AQ543" s="99">
        <v>0</v>
      </c>
      <c r="AR543" s="99">
        <f t="shared" si="8"/>
        <v>22787.275216044462</v>
      </c>
    </row>
    <row r="544" spans="1:44" ht="15" x14ac:dyDescent="0.25">
      <c r="A544" s="258">
        <v>537</v>
      </c>
      <c r="B544" s="258" t="s">
        <v>305</v>
      </c>
      <c r="C544" s="258" t="s">
        <v>1926</v>
      </c>
      <c r="D544" s="859" t="s">
        <v>1931</v>
      </c>
      <c r="E544" s="99">
        <v>0</v>
      </c>
      <c r="F544" s="99">
        <v>0</v>
      </c>
      <c r="G544" s="99">
        <v>0</v>
      </c>
      <c r="H544" s="99">
        <v>0</v>
      </c>
      <c r="I544" s="99">
        <v>0</v>
      </c>
      <c r="J544" s="99">
        <v>0</v>
      </c>
      <c r="K544" s="99">
        <v>0</v>
      </c>
      <c r="L544" s="99">
        <v>0</v>
      </c>
      <c r="M544" s="99">
        <v>0</v>
      </c>
      <c r="N544" s="99">
        <v>0</v>
      </c>
      <c r="O544" s="99">
        <v>0</v>
      </c>
      <c r="P544" s="99">
        <v>0</v>
      </c>
      <c r="Q544" s="99">
        <v>4212.2810615729841</v>
      </c>
      <c r="R544" s="99">
        <v>0</v>
      </c>
      <c r="S544" s="99">
        <v>0</v>
      </c>
      <c r="T544" s="99">
        <v>0</v>
      </c>
      <c r="U544" s="99">
        <v>0</v>
      </c>
      <c r="V544" s="99">
        <v>0</v>
      </c>
      <c r="W544" s="99">
        <v>0</v>
      </c>
      <c r="X544" s="99">
        <v>0</v>
      </c>
      <c r="Y544" s="99">
        <v>0</v>
      </c>
      <c r="Z544" s="99">
        <v>0</v>
      </c>
      <c r="AA544" s="99">
        <v>0</v>
      </c>
      <c r="AB544" s="99">
        <v>0</v>
      </c>
      <c r="AC544" s="99">
        <v>0</v>
      </c>
      <c r="AD544" s="99">
        <v>0</v>
      </c>
      <c r="AE544" s="99">
        <v>0</v>
      </c>
      <c r="AF544" s="99">
        <v>0</v>
      </c>
      <c r="AG544" s="99">
        <v>0</v>
      </c>
      <c r="AH544" s="99">
        <v>0</v>
      </c>
      <c r="AI544" s="99">
        <v>0</v>
      </c>
      <c r="AJ544" s="99">
        <v>0</v>
      </c>
      <c r="AK544" s="99">
        <v>0</v>
      </c>
      <c r="AL544" s="99">
        <v>0</v>
      </c>
      <c r="AM544" s="99">
        <v>0</v>
      </c>
      <c r="AN544" s="99">
        <v>0</v>
      </c>
      <c r="AO544" s="99">
        <v>0</v>
      </c>
      <c r="AP544" s="99">
        <v>0</v>
      </c>
      <c r="AQ544" s="99">
        <v>0</v>
      </c>
      <c r="AR544" s="99">
        <f t="shared" si="8"/>
        <v>4212.2810615729841</v>
      </c>
    </row>
    <row r="545" spans="1:44" ht="15" x14ac:dyDescent="0.25">
      <c r="A545" s="258">
        <v>538</v>
      </c>
      <c r="B545" s="258" t="s">
        <v>305</v>
      </c>
      <c r="C545" s="258" t="s">
        <v>1926</v>
      </c>
      <c r="D545" s="859" t="s">
        <v>1932</v>
      </c>
      <c r="E545" s="99">
        <v>0</v>
      </c>
      <c r="F545" s="99">
        <v>0</v>
      </c>
      <c r="G545" s="99">
        <v>0</v>
      </c>
      <c r="H545" s="99">
        <v>0</v>
      </c>
      <c r="I545" s="99">
        <v>2220.1967431991293</v>
      </c>
      <c r="J545" s="99">
        <v>0</v>
      </c>
      <c r="K545" s="99">
        <v>0</v>
      </c>
      <c r="L545" s="99">
        <v>0</v>
      </c>
      <c r="M545" s="99">
        <v>0</v>
      </c>
      <c r="N545" s="99">
        <v>0</v>
      </c>
      <c r="O545" s="99">
        <v>0</v>
      </c>
      <c r="P545" s="99">
        <v>0</v>
      </c>
      <c r="Q545" s="99">
        <v>52638.804151126678</v>
      </c>
      <c r="R545" s="99">
        <v>0</v>
      </c>
      <c r="S545" s="99">
        <v>0</v>
      </c>
      <c r="T545" s="99">
        <v>0</v>
      </c>
      <c r="U545" s="99">
        <v>0</v>
      </c>
      <c r="V545" s="99">
        <v>0</v>
      </c>
      <c r="W545" s="99">
        <v>0</v>
      </c>
      <c r="X545" s="99">
        <v>0</v>
      </c>
      <c r="Y545" s="99">
        <v>0</v>
      </c>
      <c r="Z545" s="99">
        <v>0</v>
      </c>
      <c r="AA545" s="99">
        <v>0</v>
      </c>
      <c r="AB545" s="99">
        <v>0</v>
      </c>
      <c r="AC545" s="99">
        <v>0</v>
      </c>
      <c r="AD545" s="99">
        <v>0</v>
      </c>
      <c r="AE545" s="99">
        <v>0</v>
      </c>
      <c r="AF545" s="99">
        <v>0</v>
      </c>
      <c r="AG545" s="99">
        <v>0</v>
      </c>
      <c r="AH545" s="99">
        <v>0</v>
      </c>
      <c r="AI545" s="99">
        <v>0</v>
      </c>
      <c r="AJ545" s="99">
        <v>0</v>
      </c>
      <c r="AK545" s="99">
        <v>0</v>
      </c>
      <c r="AL545" s="99">
        <v>0</v>
      </c>
      <c r="AM545" s="99">
        <v>0</v>
      </c>
      <c r="AN545" s="99">
        <v>0</v>
      </c>
      <c r="AO545" s="99">
        <v>0</v>
      </c>
      <c r="AP545" s="99">
        <v>0</v>
      </c>
      <c r="AQ545" s="99">
        <v>0</v>
      </c>
      <c r="AR545" s="99">
        <f t="shared" si="8"/>
        <v>54859.000894325807</v>
      </c>
    </row>
    <row r="546" spans="1:44" ht="15" x14ac:dyDescent="0.25">
      <c r="A546" s="258">
        <v>539</v>
      </c>
      <c r="B546" s="258" t="s">
        <v>305</v>
      </c>
      <c r="C546" s="258" t="s">
        <v>1926</v>
      </c>
      <c r="D546" s="859" t="s">
        <v>1933</v>
      </c>
      <c r="E546" s="99">
        <v>0</v>
      </c>
      <c r="F546" s="99">
        <v>0</v>
      </c>
      <c r="G546" s="99">
        <v>0</v>
      </c>
      <c r="H546" s="99">
        <v>0</v>
      </c>
      <c r="I546" s="99">
        <v>0</v>
      </c>
      <c r="J546" s="99">
        <v>0</v>
      </c>
      <c r="K546" s="99">
        <v>0</v>
      </c>
      <c r="L546" s="99">
        <v>0</v>
      </c>
      <c r="M546" s="99">
        <v>0</v>
      </c>
      <c r="N546" s="99">
        <v>0</v>
      </c>
      <c r="O546" s="99">
        <v>0</v>
      </c>
      <c r="P546" s="99">
        <v>0</v>
      </c>
      <c r="Q546" s="99">
        <v>5449.6714053602718</v>
      </c>
      <c r="R546" s="99">
        <v>0</v>
      </c>
      <c r="S546" s="99">
        <v>0</v>
      </c>
      <c r="T546" s="99">
        <v>0</v>
      </c>
      <c r="U546" s="99">
        <v>0</v>
      </c>
      <c r="V546" s="99">
        <v>0</v>
      </c>
      <c r="W546" s="99">
        <v>0</v>
      </c>
      <c r="X546" s="99">
        <v>0</v>
      </c>
      <c r="Y546" s="99">
        <v>0</v>
      </c>
      <c r="Z546" s="99">
        <v>0</v>
      </c>
      <c r="AA546" s="99">
        <v>0</v>
      </c>
      <c r="AB546" s="99">
        <v>0</v>
      </c>
      <c r="AC546" s="99">
        <v>0</v>
      </c>
      <c r="AD546" s="99">
        <v>0</v>
      </c>
      <c r="AE546" s="99">
        <v>0</v>
      </c>
      <c r="AF546" s="99">
        <v>0</v>
      </c>
      <c r="AG546" s="99">
        <v>0</v>
      </c>
      <c r="AH546" s="99">
        <v>0</v>
      </c>
      <c r="AI546" s="99">
        <v>0</v>
      </c>
      <c r="AJ546" s="99">
        <v>0</v>
      </c>
      <c r="AK546" s="99">
        <v>0</v>
      </c>
      <c r="AL546" s="99">
        <v>0</v>
      </c>
      <c r="AM546" s="99">
        <v>0</v>
      </c>
      <c r="AN546" s="99">
        <v>0</v>
      </c>
      <c r="AO546" s="99">
        <v>0</v>
      </c>
      <c r="AP546" s="99">
        <v>0</v>
      </c>
      <c r="AQ546" s="99">
        <v>0</v>
      </c>
      <c r="AR546" s="99">
        <f t="shared" si="8"/>
        <v>5449.6714053602718</v>
      </c>
    </row>
    <row r="547" spans="1:44" ht="15" x14ac:dyDescent="0.25">
      <c r="A547" s="258">
        <v>540</v>
      </c>
      <c r="B547" s="258" t="s">
        <v>1934</v>
      </c>
      <c r="C547" s="258" t="s">
        <v>1935</v>
      </c>
      <c r="D547" s="859" t="s">
        <v>1936</v>
      </c>
      <c r="E547" s="99">
        <v>0</v>
      </c>
      <c r="F547" s="99">
        <v>0</v>
      </c>
      <c r="G547" s="99">
        <v>0</v>
      </c>
      <c r="H547" s="99">
        <v>0</v>
      </c>
      <c r="I547" s="99">
        <v>55087.971786962182</v>
      </c>
      <c r="J547" s="99">
        <v>0</v>
      </c>
      <c r="K547" s="99">
        <v>0</v>
      </c>
      <c r="L547" s="99">
        <v>0</v>
      </c>
      <c r="M547" s="99">
        <v>0</v>
      </c>
      <c r="N547" s="99">
        <v>0</v>
      </c>
      <c r="O547" s="99">
        <v>0</v>
      </c>
      <c r="P547" s="99">
        <v>0</v>
      </c>
      <c r="Q547" s="99">
        <v>0</v>
      </c>
      <c r="R547" s="99">
        <v>0</v>
      </c>
      <c r="S547" s="99">
        <v>0</v>
      </c>
      <c r="T547" s="99">
        <v>0</v>
      </c>
      <c r="U547" s="99">
        <v>0</v>
      </c>
      <c r="V547" s="99">
        <v>0</v>
      </c>
      <c r="W547" s="99">
        <v>0</v>
      </c>
      <c r="X547" s="99">
        <v>0</v>
      </c>
      <c r="Y547" s="99">
        <v>0</v>
      </c>
      <c r="Z547" s="99">
        <v>0</v>
      </c>
      <c r="AA547" s="99">
        <v>0</v>
      </c>
      <c r="AB547" s="99">
        <v>0</v>
      </c>
      <c r="AC547" s="99">
        <v>0</v>
      </c>
      <c r="AD547" s="99">
        <v>0</v>
      </c>
      <c r="AE547" s="99">
        <v>0</v>
      </c>
      <c r="AF547" s="99">
        <v>0</v>
      </c>
      <c r="AG547" s="99">
        <v>0</v>
      </c>
      <c r="AH547" s="99">
        <v>0</v>
      </c>
      <c r="AI547" s="99">
        <v>0</v>
      </c>
      <c r="AJ547" s="99">
        <v>0</v>
      </c>
      <c r="AK547" s="99">
        <v>0</v>
      </c>
      <c r="AL547" s="99">
        <v>0</v>
      </c>
      <c r="AM547" s="99">
        <v>0</v>
      </c>
      <c r="AN547" s="99">
        <v>0</v>
      </c>
      <c r="AO547" s="99">
        <v>0</v>
      </c>
      <c r="AP547" s="99">
        <v>0</v>
      </c>
      <c r="AQ547" s="99">
        <v>0</v>
      </c>
      <c r="AR547" s="99">
        <f t="shared" si="8"/>
        <v>55087.971786962182</v>
      </c>
    </row>
    <row r="548" spans="1:44" ht="15" x14ac:dyDescent="0.25">
      <c r="A548" s="258">
        <v>541</v>
      </c>
      <c r="B548" s="258" t="s">
        <v>1934</v>
      </c>
      <c r="C548" s="258" t="s">
        <v>1935</v>
      </c>
      <c r="D548" s="859" t="s">
        <v>1937</v>
      </c>
      <c r="E548" s="99">
        <v>0</v>
      </c>
      <c r="F548" s="99">
        <v>0</v>
      </c>
      <c r="G548" s="99">
        <v>0</v>
      </c>
      <c r="H548" s="99">
        <v>0</v>
      </c>
      <c r="I548" s="99">
        <v>0</v>
      </c>
      <c r="J548" s="99">
        <v>0</v>
      </c>
      <c r="K548" s="99">
        <v>0</v>
      </c>
      <c r="L548" s="99">
        <v>19319.761725385648</v>
      </c>
      <c r="M548" s="99">
        <v>0</v>
      </c>
      <c r="N548" s="99">
        <v>0</v>
      </c>
      <c r="O548" s="99">
        <v>0</v>
      </c>
      <c r="P548" s="99">
        <v>0</v>
      </c>
      <c r="Q548" s="99">
        <v>0</v>
      </c>
      <c r="R548" s="99">
        <v>0</v>
      </c>
      <c r="S548" s="99">
        <v>0</v>
      </c>
      <c r="T548" s="99">
        <v>0</v>
      </c>
      <c r="U548" s="99">
        <v>0</v>
      </c>
      <c r="V548" s="99">
        <v>0</v>
      </c>
      <c r="W548" s="99">
        <v>0</v>
      </c>
      <c r="X548" s="99">
        <v>0</v>
      </c>
      <c r="Y548" s="99">
        <v>0</v>
      </c>
      <c r="Z548" s="99">
        <v>0</v>
      </c>
      <c r="AA548" s="99">
        <v>0</v>
      </c>
      <c r="AB548" s="99">
        <v>0</v>
      </c>
      <c r="AC548" s="99">
        <v>0</v>
      </c>
      <c r="AD548" s="99">
        <v>0</v>
      </c>
      <c r="AE548" s="99">
        <v>0</v>
      </c>
      <c r="AF548" s="99">
        <v>0</v>
      </c>
      <c r="AG548" s="99">
        <v>0</v>
      </c>
      <c r="AH548" s="99">
        <v>0</v>
      </c>
      <c r="AI548" s="99">
        <v>0</v>
      </c>
      <c r="AJ548" s="99">
        <v>0</v>
      </c>
      <c r="AK548" s="99">
        <v>0</v>
      </c>
      <c r="AL548" s="99">
        <v>0</v>
      </c>
      <c r="AM548" s="99">
        <v>0</v>
      </c>
      <c r="AN548" s="99">
        <v>0</v>
      </c>
      <c r="AO548" s="99">
        <v>0</v>
      </c>
      <c r="AP548" s="99">
        <v>0</v>
      </c>
      <c r="AQ548" s="99">
        <v>0</v>
      </c>
      <c r="AR548" s="99">
        <f t="shared" si="8"/>
        <v>19319.761725385648</v>
      </c>
    </row>
    <row r="549" spans="1:44" ht="15" x14ac:dyDescent="0.25">
      <c r="A549" s="258">
        <v>542</v>
      </c>
      <c r="B549" s="258" t="s">
        <v>1934</v>
      </c>
      <c r="C549" s="258" t="s">
        <v>1935</v>
      </c>
      <c r="D549" s="859" t="s">
        <v>1938</v>
      </c>
      <c r="E549" s="99">
        <v>0</v>
      </c>
      <c r="F549" s="99">
        <v>0</v>
      </c>
      <c r="G549" s="99">
        <v>0</v>
      </c>
      <c r="H549" s="99">
        <v>0</v>
      </c>
      <c r="I549" s="99">
        <v>27890.954816871868</v>
      </c>
      <c r="J549" s="99">
        <v>0</v>
      </c>
      <c r="K549" s="99">
        <v>0</v>
      </c>
      <c r="L549" s="99">
        <v>28232.115268618516</v>
      </c>
      <c r="M549" s="99">
        <v>0</v>
      </c>
      <c r="N549" s="99">
        <v>0</v>
      </c>
      <c r="O549" s="99">
        <v>0</v>
      </c>
      <c r="P549" s="99">
        <v>0</v>
      </c>
      <c r="Q549" s="99">
        <v>0</v>
      </c>
      <c r="R549" s="99">
        <v>0</v>
      </c>
      <c r="S549" s="99">
        <v>0</v>
      </c>
      <c r="T549" s="99">
        <v>0</v>
      </c>
      <c r="U549" s="99">
        <v>0</v>
      </c>
      <c r="V549" s="99">
        <v>0</v>
      </c>
      <c r="W549" s="99">
        <v>0</v>
      </c>
      <c r="X549" s="99">
        <v>0</v>
      </c>
      <c r="Y549" s="99">
        <v>1142.7971046078626</v>
      </c>
      <c r="Z549" s="99">
        <v>0</v>
      </c>
      <c r="AA549" s="99">
        <v>0</v>
      </c>
      <c r="AB549" s="99">
        <v>0</v>
      </c>
      <c r="AC549" s="99">
        <v>0</v>
      </c>
      <c r="AD549" s="99">
        <v>0</v>
      </c>
      <c r="AE549" s="99">
        <v>0</v>
      </c>
      <c r="AF549" s="99">
        <v>0</v>
      </c>
      <c r="AG549" s="99">
        <v>0</v>
      </c>
      <c r="AH549" s="99">
        <v>0</v>
      </c>
      <c r="AI549" s="99">
        <v>0</v>
      </c>
      <c r="AJ549" s="99">
        <v>0</v>
      </c>
      <c r="AK549" s="99">
        <v>0</v>
      </c>
      <c r="AL549" s="99">
        <v>0</v>
      </c>
      <c r="AM549" s="99">
        <v>0</v>
      </c>
      <c r="AN549" s="99">
        <v>0</v>
      </c>
      <c r="AO549" s="99">
        <v>0</v>
      </c>
      <c r="AP549" s="99">
        <v>0</v>
      </c>
      <c r="AQ549" s="99">
        <v>0</v>
      </c>
      <c r="AR549" s="99">
        <f t="shared" si="8"/>
        <v>57265.867190098244</v>
      </c>
    </row>
    <row r="550" spans="1:44" ht="15" x14ac:dyDescent="0.25">
      <c r="A550" s="258">
        <v>543</v>
      </c>
      <c r="B550" s="258" t="s">
        <v>1934</v>
      </c>
      <c r="C550" s="258" t="s">
        <v>1935</v>
      </c>
      <c r="D550" s="859" t="s">
        <v>1939</v>
      </c>
      <c r="E550" s="99">
        <v>0</v>
      </c>
      <c r="F550" s="99">
        <v>0</v>
      </c>
      <c r="G550" s="99">
        <v>0</v>
      </c>
      <c r="H550" s="99">
        <v>0</v>
      </c>
      <c r="I550" s="99">
        <v>26527.790409532772</v>
      </c>
      <c r="J550" s="99">
        <v>0</v>
      </c>
      <c r="K550" s="99">
        <v>0</v>
      </c>
      <c r="L550" s="99">
        <v>0</v>
      </c>
      <c r="M550" s="99">
        <v>0</v>
      </c>
      <c r="N550" s="99">
        <v>0</v>
      </c>
      <c r="O550" s="99">
        <v>0</v>
      </c>
      <c r="P550" s="99">
        <v>0</v>
      </c>
      <c r="Q550" s="99">
        <v>6480.6779929500854</v>
      </c>
      <c r="R550" s="99">
        <v>0</v>
      </c>
      <c r="S550" s="99">
        <v>0</v>
      </c>
      <c r="T550" s="99">
        <v>0</v>
      </c>
      <c r="U550" s="99">
        <v>0</v>
      </c>
      <c r="V550" s="99">
        <v>0</v>
      </c>
      <c r="W550" s="99">
        <v>0</v>
      </c>
      <c r="X550" s="99">
        <v>0</v>
      </c>
      <c r="Y550" s="99">
        <v>0</v>
      </c>
      <c r="Z550" s="99">
        <v>0</v>
      </c>
      <c r="AA550" s="99">
        <v>0</v>
      </c>
      <c r="AB550" s="99">
        <v>0</v>
      </c>
      <c r="AC550" s="99">
        <v>0</v>
      </c>
      <c r="AD550" s="99">
        <v>0</v>
      </c>
      <c r="AE550" s="99">
        <v>0</v>
      </c>
      <c r="AF550" s="99">
        <v>0</v>
      </c>
      <c r="AG550" s="99">
        <v>0</v>
      </c>
      <c r="AH550" s="99">
        <v>0</v>
      </c>
      <c r="AI550" s="99">
        <v>0</v>
      </c>
      <c r="AJ550" s="99">
        <v>0</v>
      </c>
      <c r="AK550" s="99">
        <v>0</v>
      </c>
      <c r="AL550" s="99">
        <v>0</v>
      </c>
      <c r="AM550" s="99">
        <v>0</v>
      </c>
      <c r="AN550" s="99">
        <v>0</v>
      </c>
      <c r="AO550" s="99">
        <v>0</v>
      </c>
      <c r="AP550" s="99">
        <v>0</v>
      </c>
      <c r="AQ550" s="99">
        <v>0</v>
      </c>
      <c r="AR550" s="99">
        <f t="shared" si="8"/>
        <v>33008.46840248286</v>
      </c>
    </row>
    <row r="551" spans="1:44" ht="15" x14ac:dyDescent="0.25">
      <c r="A551" s="258">
        <v>544</v>
      </c>
      <c r="B551" s="258" t="s">
        <v>983</v>
      </c>
      <c r="C551" s="258" t="s">
        <v>1835</v>
      </c>
      <c r="D551" s="859" t="s">
        <v>1940</v>
      </c>
      <c r="E551" s="99">
        <v>0</v>
      </c>
      <c r="F551" s="99">
        <v>0</v>
      </c>
      <c r="G551" s="99">
        <v>0</v>
      </c>
      <c r="H551" s="99">
        <v>0</v>
      </c>
      <c r="I551" s="99">
        <v>0</v>
      </c>
      <c r="J551" s="99">
        <v>0</v>
      </c>
      <c r="K551" s="99">
        <v>0</v>
      </c>
      <c r="L551" s="99">
        <v>0</v>
      </c>
      <c r="M551" s="99">
        <v>0</v>
      </c>
      <c r="N551" s="99">
        <v>0</v>
      </c>
      <c r="O551" s="99">
        <v>0</v>
      </c>
      <c r="P551" s="99">
        <v>0</v>
      </c>
      <c r="Q551" s="99">
        <v>0</v>
      </c>
      <c r="R551" s="99">
        <v>0</v>
      </c>
      <c r="S551" s="99">
        <v>0</v>
      </c>
      <c r="T551" s="99">
        <v>0</v>
      </c>
      <c r="U551" s="99">
        <v>0</v>
      </c>
      <c r="V551" s="99">
        <v>0</v>
      </c>
      <c r="W551" s="99">
        <v>0</v>
      </c>
      <c r="X551" s="99">
        <v>0</v>
      </c>
      <c r="Y551" s="99">
        <v>0</v>
      </c>
      <c r="Z551" s="99">
        <v>0</v>
      </c>
      <c r="AA551" s="99">
        <v>0</v>
      </c>
      <c r="AB551" s="99">
        <v>0</v>
      </c>
      <c r="AC551" s="99">
        <v>0</v>
      </c>
      <c r="AD551" s="99">
        <v>0</v>
      </c>
      <c r="AE551" s="99">
        <v>0</v>
      </c>
      <c r="AF551" s="99">
        <v>0</v>
      </c>
      <c r="AG551" s="99">
        <v>0</v>
      </c>
      <c r="AH551" s="99">
        <v>0</v>
      </c>
      <c r="AI551" s="99">
        <v>0</v>
      </c>
      <c r="AJ551" s="99">
        <v>0</v>
      </c>
      <c r="AK551" s="99">
        <v>0</v>
      </c>
      <c r="AL551" s="99">
        <v>0</v>
      </c>
      <c r="AM551" s="99">
        <v>0</v>
      </c>
      <c r="AN551" s="99">
        <v>0</v>
      </c>
      <c r="AO551" s="99">
        <v>9.4831379856041647</v>
      </c>
      <c r="AP551" s="99">
        <v>0</v>
      </c>
      <c r="AQ551" s="99">
        <v>0</v>
      </c>
      <c r="AR551" s="99">
        <f t="shared" si="8"/>
        <v>9.4831379856041647</v>
      </c>
    </row>
    <row r="552" spans="1:44" ht="15" x14ac:dyDescent="0.25">
      <c r="A552" s="258">
        <v>545</v>
      </c>
      <c r="B552" s="258" t="s">
        <v>308</v>
      </c>
      <c r="C552" s="258" t="s">
        <v>1818</v>
      </c>
      <c r="D552" s="859" t="s">
        <v>1941</v>
      </c>
      <c r="E552" s="99">
        <v>0</v>
      </c>
      <c r="F552" s="99">
        <v>0</v>
      </c>
      <c r="G552" s="99">
        <v>0</v>
      </c>
      <c r="H552" s="99">
        <v>0</v>
      </c>
      <c r="I552" s="99">
        <v>0</v>
      </c>
      <c r="J552" s="99">
        <v>0</v>
      </c>
      <c r="K552" s="99">
        <v>0</v>
      </c>
      <c r="L552" s="99">
        <v>0</v>
      </c>
      <c r="M552" s="99">
        <v>0</v>
      </c>
      <c r="N552" s="99">
        <v>0</v>
      </c>
      <c r="O552" s="99">
        <v>0</v>
      </c>
      <c r="P552" s="99">
        <v>0</v>
      </c>
      <c r="Q552" s="99">
        <v>0</v>
      </c>
      <c r="R552" s="99">
        <v>0</v>
      </c>
      <c r="S552" s="99">
        <v>0</v>
      </c>
      <c r="T552" s="99">
        <v>0</v>
      </c>
      <c r="U552" s="99">
        <v>0</v>
      </c>
      <c r="V552" s="99">
        <v>0</v>
      </c>
      <c r="W552" s="99">
        <v>0</v>
      </c>
      <c r="X552" s="99">
        <v>0</v>
      </c>
      <c r="Y552" s="99">
        <v>0</v>
      </c>
      <c r="Z552" s="99">
        <v>0</v>
      </c>
      <c r="AA552" s="99">
        <v>0</v>
      </c>
      <c r="AB552" s="99">
        <v>0</v>
      </c>
      <c r="AC552" s="99">
        <v>0</v>
      </c>
      <c r="AD552" s="99">
        <v>0</v>
      </c>
      <c r="AE552" s="99">
        <v>0</v>
      </c>
      <c r="AF552" s="99">
        <v>0</v>
      </c>
      <c r="AG552" s="99">
        <v>0</v>
      </c>
      <c r="AH552" s="99">
        <v>0</v>
      </c>
      <c r="AI552" s="99">
        <v>0</v>
      </c>
      <c r="AJ552" s="99">
        <v>0</v>
      </c>
      <c r="AK552" s="99">
        <v>0</v>
      </c>
      <c r="AL552" s="99">
        <v>0</v>
      </c>
      <c r="AM552" s="99">
        <v>0</v>
      </c>
      <c r="AN552" s="99">
        <v>0</v>
      </c>
      <c r="AO552" s="99">
        <v>4.362243473377915</v>
      </c>
      <c r="AP552" s="99">
        <v>0</v>
      </c>
      <c r="AQ552" s="99">
        <v>0</v>
      </c>
      <c r="AR552" s="99">
        <f t="shared" si="8"/>
        <v>4.362243473377915</v>
      </c>
    </row>
    <row r="553" spans="1:44" ht="15" x14ac:dyDescent="0.25">
      <c r="D553" s="859"/>
      <c r="E553" s="99"/>
      <c r="F553" s="99"/>
      <c r="G553" s="99"/>
      <c r="H553" s="99"/>
      <c r="I553" s="99"/>
      <c r="J553" s="99"/>
      <c r="K553" s="99"/>
      <c r="L553" s="99"/>
      <c r="M553" s="99"/>
      <c r="N553" s="99"/>
      <c r="O553" s="99"/>
      <c r="P553" s="99"/>
      <c r="Q553" s="99"/>
      <c r="R553" s="99"/>
      <c r="S553" s="99"/>
      <c r="T553" s="99"/>
      <c r="U553" s="99"/>
      <c r="V553" s="99"/>
      <c r="W553" s="99"/>
      <c r="X553" s="99"/>
      <c r="Y553" s="99"/>
      <c r="Z553" s="99"/>
      <c r="AA553" s="99"/>
      <c r="AB553" s="99"/>
      <c r="AC553" s="99"/>
      <c r="AD553" s="99"/>
      <c r="AE553" s="99"/>
      <c r="AF553" s="99"/>
      <c r="AG553" s="99"/>
      <c r="AH553" s="99"/>
      <c r="AI553" s="99"/>
      <c r="AJ553" s="99"/>
      <c r="AK553" s="99"/>
      <c r="AL553" s="99"/>
      <c r="AM553" s="99"/>
      <c r="AN553" s="99"/>
      <c r="AO553" s="99"/>
      <c r="AP553" s="99"/>
      <c r="AQ553" s="99"/>
      <c r="AR553" s="99"/>
    </row>
    <row r="554" spans="1:44" ht="15" x14ac:dyDescent="0.25">
      <c r="D554" s="859"/>
      <c r="E554" s="99"/>
      <c r="F554" s="99"/>
      <c r="G554" s="99"/>
      <c r="H554" s="99"/>
      <c r="I554" s="99"/>
      <c r="J554" s="99"/>
      <c r="K554" s="99"/>
      <c r="L554" s="99"/>
      <c r="M554" s="99"/>
      <c r="N554" s="99"/>
      <c r="O554" s="99"/>
      <c r="P554" s="99"/>
      <c r="Q554" s="99"/>
      <c r="R554" s="99"/>
      <c r="S554" s="99"/>
      <c r="T554" s="99"/>
      <c r="U554" s="99"/>
      <c r="V554" s="99"/>
      <c r="W554" s="99"/>
      <c r="X554" s="99"/>
      <c r="Y554" s="99"/>
      <c r="Z554" s="99"/>
      <c r="AA554" s="99"/>
      <c r="AB554" s="99"/>
      <c r="AC554" s="99"/>
      <c r="AD554" s="99"/>
      <c r="AE554" s="99"/>
      <c r="AF554" s="99"/>
      <c r="AG554" s="99"/>
      <c r="AH554" s="99"/>
      <c r="AI554" s="99"/>
      <c r="AJ554" s="99"/>
      <c r="AK554" s="99"/>
      <c r="AL554" s="99"/>
      <c r="AM554" s="99"/>
      <c r="AN554" s="99"/>
      <c r="AO554" s="99"/>
      <c r="AP554" s="99"/>
      <c r="AQ554" s="99"/>
      <c r="AR554" s="99"/>
    </row>
    <row r="555" spans="1:44" ht="15" x14ac:dyDescent="0.25">
      <c r="A555" s="258" t="s">
        <v>1942</v>
      </c>
      <c r="D555" s="859"/>
      <c r="E555" s="99"/>
      <c r="F555" s="99"/>
      <c r="G555" s="99"/>
      <c r="H555" s="99"/>
      <c r="I555" s="99"/>
      <c r="J555" s="99"/>
      <c r="K555" s="99"/>
      <c r="L555" s="99"/>
      <c r="M555" s="99"/>
      <c r="N555" s="99"/>
      <c r="O555" s="99"/>
      <c r="P555" s="99"/>
      <c r="Q555" s="99"/>
      <c r="R555" s="99"/>
      <c r="S555" s="99"/>
      <c r="T555" s="99"/>
      <c r="U555" s="99"/>
      <c r="V555" s="99"/>
      <c r="W555" s="99"/>
      <c r="X555" s="99"/>
      <c r="Y555" s="99"/>
      <c r="Z555" s="99"/>
      <c r="AA555" s="99"/>
      <c r="AB555" s="99"/>
      <c r="AC555" s="99"/>
      <c r="AD555" s="99"/>
      <c r="AE555" s="99"/>
      <c r="AF555" s="99"/>
      <c r="AG555" s="99"/>
      <c r="AH555" s="99"/>
      <c r="AI555" s="99"/>
      <c r="AJ555" s="99"/>
      <c r="AK555" s="99"/>
      <c r="AL555" s="99"/>
      <c r="AM555" s="99"/>
      <c r="AN555" s="99"/>
      <c r="AO555" s="99"/>
      <c r="AP555" s="99"/>
      <c r="AQ555" s="99"/>
      <c r="AR555" s="99"/>
    </row>
    <row r="556" spans="1:44" ht="15" x14ac:dyDescent="0.25">
      <c r="B556" s="860">
        <v>1</v>
      </c>
      <c r="D556" s="859">
        <f>INDEX(D560:D601,B556)</f>
        <v>0</v>
      </c>
      <c r="E556" s="99">
        <f t="shared" ref="E556:AQ556" si="9">INDEX(E559:E600,huc10selected)</f>
        <v>0</v>
      </c>
      <c r="F556" s="99">
        <f t="shared" si="9"/>
        <v>0</v>
      </c>
      <c r="G556" s="99">
        <f t="shared" si="9"/>
        <v>0</v>
      </c>
      <c r="H556" s="99">
        <f t="shared" si="9"/>
        <v>0</v>
      </c>
      <c r="I556" s="99">
        <f t="shared" si="9"/>
        <v>0</v>
      </c>
      <c r="J556" s="99">
        <f t="shared" si="9"/>
        <v>0</v>
      </c>
      <c r="K556" s="99">
        <f t="shared" si="9"/>
        <v>0</v>
      </c>
      <c r="L556" s="99">
        <f t="shared" si="9"/>
        <v>0</v>
      </c>
      <c r="M556" s="99">
        <f t="shared" si="9"/>
        <v>0</v>
      </c>
      <c r="N556" s="99">
        <f t="shared" si="9"/>
        <v>0</v>
      </c>
      <c r="O556" s="99">
        <f t="shared" si="9"/>
        <v>0</v>
      </c>
      <c r="P556" s="99">
        <f t="shared" si="9"/>
        <v>0</v>
      </c>
      <c r="Q556" s="99">
        <f t="shared" si="9"/>
        <v>0</v>
      </c>
      <c r="R556" s="99">
        <f t="shared" si="9"/>
        <v>0</v>
      </c>
      <c r="S556" s="99">
        <f t="shared" si="9"/>
        <v>0</v>
      </c>
      <c r="T556" s="99">
        <f t="shared" si="9"/>
        <v>0</v>
      </c>
      <c r="U556" s="99">
        <f t="shared" si="9"/>
        <v>0</v>
      </c>
      <c r="V556" s="99">
        <f t="shared" si="9"/>
        <v>0</v>
      </c>
      <c r="W556" s="99">
        <f t="shared" si="9"/>
        <v>0</v>
      </c>
      <c r="X556" s="99">
        <f t="shared" si="9"/>
        <v>0</v>
      </c>
      <c r="Y556" s="99">
        <f t="shared" si="9"/>
        <v>0</v>
      </c>
      <c r="Z556" s="99">
        <f t="shared" si="9"/>
        <v>0</v>
      </c>
      <c r="AA556" s="99">
        <f t="shared" si="9"/>
        <v>0</v>
      </c>
      <c r="AB556" s="99">
        <f t="shared" si="9"/>
        <v>0</v>
      </c>
      <c r="AC556" s="99">
        <f t="shared" si="9"/>
        <v>0</v>
      </c>
      <c r="AD556" s="99">
        <f t="shared" si="9"/>
        <v>0</v>
      </c>
      <c r="AE556" s="99">
        <f t="shared" si="9"/>
        <v>0</v>
      </c>
      <c r="AF556" s="99">
        <f t="shared" si="9"/>
        <v>0</v>
      </c>
      <c r="AG556" s="99">
        <f t="shared" si="9"/>
        <v>0</v>
      </c>
      <c r="AH556" s="99">
        <f t="shared" si="9"/>
        <v>0</v>
      </c>
      <c r="AI556" s="99">
        <f t="shared" si="9"/>
        <v>0</v>
      </c>
      <c r="AJ556" s="99">
        <f t="shared" si="9"/>
        <v>0</v>
      </c>
      <c r="AK556" s="99">
        <f t="shared" si="9"/>
        <v>0</v>
      </c>
      <c r="AL556" s="99">
        <f t="shared" si="9"/>
        <v>0</v>
      </c>
      <c r="AM556" s="99">
        <f t="shared" si="9"/>
        <v>0</v>
      </c>
      <c r="AN556" s="99">
        <f t="shared" si="9"/>
        <v>0</v>
      </c>
      <c r="AO556" s="99">
        <f t="shared" si="9"/>
        <v>0</v>
      </c>
      <c r="AP556" s="99">
        <f t="shared" si="9"/>
        <v>0</v>
      </c>
      <c r="AQ556" s="99">
        <f t="shared" si="9"/>
        <v>0</v>
      </c>
      <c r="AR556" s="99">
        <f>SUM(E556:AQ556)</f>
        <v>0</v>
      </c>
    </row>
    <row r="557" spans="1:44" ht="15" x14ac:dyDescent="0.25">
      <c r="D557" s="859"/>
      <c r="E557" s="99"/>
      <c r="F557" s="99"/>
      <c r="G557" s="99"/>
      <c r="H557" s="99"/>
      <c r="I557" s="99"/>
      <c r="J557" s="99"/>
      <c r="K557" s="99"/>
      <c r="L557" s="99"/>
      <c r="M557" s="99"/>
      <c r="N557" s="99"/>
      <c r="O557" s="99"/>
      <c r="P557" s="99"/>
      <c r="Q557" s="99"/>
      <c r="R557" s="99"/>
      <c r="S557" s="99"/>
      <c r="T557" s="99"/>
      <c r="U557" s="99"/>
      <c r="V557" s="99"/>
      <c r="W557" s="99"/>
      <c r="X557" s="99"/>
      <c r="Y557" s="99"/>
      <c r="Z557" s="99"/>
      <c r="AA557" s="99"/>
      <c r="AB557" s="99"/>
      <c r="AC557" s="99"/>
      <c r="AD557" s="99"/>
      <c r="AE557" s="99"/>
      <c r="AF557" s="99"/>
      <c r="AG557" s="99"/>
      <c r="AH557" s="99"/>
      <c r="AI557" s="99"/>
      <c r="AJ557" s="99"/>
      <c r="AK557" s="99"/>
      <c r="AL557" s="99"/>
      <c r="AM557" s="99"/>
      <c r="AN557" s="99"/>
      <c r="AO557" s="99"/>
      <c r="AP557" s="99"/>
      <c r="AQ557" s="99"/>
      <c r="AR557" s="99"/>
    </row>
    <row r="558" spans="1:44" ht="15" x14ac:dyDescent="0.25">
      <c r="D558" s="859">
        <f>COUNTA(D560:D624)</f>
        <v>0</v>
      </c>
      <c r="E558" s="99"/>
      <c r="F558" s="99"/>
      <c r="G558" s="99"/>
      <c r="H558" s="99"/>
      <c r="I558" s="99"/>
      <c r="J558" s="99"/>
      <c r="K558" s="99"/>
      <c r="L558" s="99"/>
      <c r="M558" s="99"/>
      <c r="N558" s="99"/>
      <c r="O558" s="99"/>
      <c r="P558" s="99"/>
      <c r="Q558" s="99"/>
      <c r="R558" s="99"/>
      <c r="S558" s="99"/>
      <c r="T558" s="99"/>
      <c r="U558" s="99"/>
      <c r="V558" s="99"/>
      <c r="W558" s="99"/>
      <c r="X558" s="99"/>
      <c r="Y558" s="99"/>
      <c r="Z558" s="99"/>
      <c r="AA558" s="99"/>
      <c r="AB558" s="99"/>
      <c r="AC558" s="99"/>
      <c r="AD558" s="99"/>
      <c r="AE558" s="99"/>
      <c r="AF558" s="99"/>
      <c r="AG558" s="99"/>
      <c r="AH558" s="99"/>
      <c r="AI558" s="99"/>
      <c r="AJ558" s="99"/>
      <c r="AK558" s="99"/>
      <c r="AL558" s="99"/>
      <c r="AM558" s="99"/>
      <c r="AN558" s="99"/>
      <c r="AO558" s="99"/>
      <c r="AP558" s="99"/>
      <c r="AQ558" s="99"/>
      <c r="AR558" s="99"/>
    </row>
    <row r="559" spans="1:44" ht="44.25" customHeight="1" x14ac:dyDescent="0.25">
      <c r="B559" s="853" t="s">
        <v>1306</v>
      </c>
      <c r="C559" s="856" t="s">
        <v>1308</v>
      </c>
      <c r="D559" s="856" t="s">
        <v>1309</v>
      </c>
      <c r="E559" s="99">
        <f>SUM(E560:E600)</f>
        <v>0</v>
      </c>
      <c r="F559" s="99">
        <f t="shared" ref="F559:AR559" si="10">SUM(F560:F600)</f>
        <v>0</v>
      </c>
      <c r="G559" s="99">
        <f t="shared" si="10"/>
        <v>0</v>
      </c>
      <c r="H559" s="99">
        <f t="shared" si="10"/>
        <v>0</v>
      </c>
      <c r="I559" s="99">
        <f t="shared" si="10"/>
        <v>0</v>
      </c>
      <c r="J559" s="99">
        <f t="shared" si="10"/>
        <v>0</v>
      </c>
      <c r="K559" s="99">
        <f t="shared" si="10"/>
        <v>0</v>
      </c>
      <c r="L559" s="99">
        <f t="shared" si="10"/>
        <v>0</v>
      </c>
      <c r="M559" s="99">
        <f t="shared" si="10"/>
        <v>0</v>
      </c>
      <c r="N559" s="99">
        <f t="shared" si="10"/>
        <v>0</v>
      </c>
      <c r="O559" s="99">
        <f t="shared" si="10"/>
        <v>0</v>
      </c>
      <c r="P559" s="99">
        <f t="shared" si="10"/>
        <v>0</v>
      </c>
      <c r="Q559" s="99">
        <f t="shared" si="10"/>
        <v>0</v>
      </c>
      <c r="R559" s="99">
        <f t="shared" si="10"/>
        <v>0</v>
      </c>
      <c r="S559" s="99">
        <f t="shared" si="10"/>
        <v>0</v>
      </c>
      <c r="T559" s="99">
        <f t="shared" si="10"/>
        <v>0</v>
      </c>
      <c r="U559" s="99">
        <f t="shared" si="10"/>
        <v>0</v>
      </c>
      <c r="V559" s="99">
        <f t="shared" si="10"/>
        <v>0</v>
      </c>
      <c r="W559" s="99">
        <f t="shared" si="10"/>
        <v>0</v>
      </c>
      <c r="X559" s="99">
        <f t="shared" si="10"/>
        <v>0</v>
      </c>
      <c r="Y559" s="99">
        <f t="shared" si="10"/>
        <v>0</v>
      </c>
      <c r="Z559" s="99">
        <f t="shared" si="10"/>
        <v>0</v>
      </c>
      <c r="AA559" s="99">
        <f t="shared" si="10"/>
        <v>0</v>
      </c>
      <c r="AB559" s="99">
        <f t="shared" si="10"/>
        <v>0</v>
      </c>
      <c r="AC559" s="99">
        <f t="shared" si="10"/>
        <v>0</v>
      </c>
      <c r="AD559" s="99">
        <f t="shared" si="10"/>
        <v>0</v>
      </c>
      <c r="AE559" s="99">
        <f t="shared" si="10"/>
        <v>0</v>
      </c>
      <c r="AF559" s="99">
        <f t="shared" si="10"/>
        <v>0</v>
      </c>
      <c r="AG559" s="99">
        <f t="shared" si="10"/>
        <v>0</v>
      </c>
      <c r="AH559" s="99">
        <f t="shared" si="10"/>
        <v>0</v>
      </c>
      <c r="AI559" s="99">
        <f t="shared" si="10"/>
        <v>0</v>
      </c>
      <c r="AJ559" s="99">
        <f t="shared" si="10"/>
        <v>0</v>
      </c>
      <c r="AK559" s="99">
        <f t="shared" si="10"/>
        <v>0</v>
      </c>
      <c r="AL559" s="99">
        <f t="shared" si="10"/>
        <v>0</v>
      </c>
      <c r="AM559" s="99">
        <f t="shared" si="10"/>
        <v>0</v>
      </c>
      <c r="AN559" s="99">
        <f t="shared" si="10"/>
        <v>0</v>
      </c>
      <c r="AO559" s="99">
        <f t="shared" si="10"/>
        <v>0</v>
      </c>
      <c r="AP559" s="99">
        <f t="shared" si="10"/>
        <v>0</v>
      </c>
      <c r="AQ559" s="99">
        <f t="shared" si="10"/>
        <v>0</v>
      </c>
      <c r="AR559" s="99">
        <f t="shared" si="10"/>
        <v>0</v>
      </c>
    </row>
    <row r="560" spans="1:44" ht="15" x14ac:dyDescent="0.25">
      <c r="A560" s="258" t="e">
        <f>MATCH(D560,$D$8:$D$552,0)</f>
        <v>#N/A</v>
      </c>
      <c r="B560" s="854"/>
      <c r="C560" s="854"/>
      <c r="D560" s="861"/>
      <c r="E560" s="99">
        <f>IFERROR(INDEX(E$8:E$552,$A560),0)</f>
        <v>0</v>
      </c>
      <c r="F560" s="99">
        <f t="shared" ref="F560:AR566" si="11">IFERROR(INDEX(F$8:F$552,$A560),0)</f>
        <v>0</v>
      </c>
      <c r="G560" s="99">
        <f t="shared" si="11"/>
        <v>0</v>
      </c>
      <c r="H560" s="99">
        <f t="shared" si="11"/>
        <v>0</v>
      </c>
      <c r="I560" s="99">
        <f t="shared" si="11"/>
        <v>0</v>
      </c>
      <c r="J560" s="99">
        <f t="shared" si="11"/>
        <v>0</v>
      </c>
      <c r="K560" s="99">
        <f t="shared" si="11"/>
        <v>0</v>
      </c>
      <c r="L560" s="99">
        <f t="shared" si="11"/>
        <v>0</v>
      </c>
      <c r="M560" s="99">
        <f t="shared" si="11"/>
        <v>0</v>
      </c>
      <c r="N560" s="99">
        <f t="shared" si="11"/>
        <v>0</v>
      </c>
      <c r="O560" s="99">
        <f t="shared" si="11"/>
        <v>0</v>
      </c>
      <c r="P560" s="99">
        <f t="shared" si="11"/>
        <v>0</v>
      </c>
      <c r="Q560" s="99">
        <f t="shared" si="11"/>
        <v>0</v>
      </c>
      <c r="R560" s="99">
        <f t="shared" si="11"/>
        <v>0</v>
      </c>
      <c r="S560" s="99">
        <f t="shared" si="11"/>
        <v>0</v>
      </c>
      <c r="T560" s="99">
        <f t="shared" si="11"/>
        <v>0</v>
      </c>
      <c r="U560" s="99">
        <f t="shared" si="11"/>
        <v>0</v>
      </c>
      <c r="V560" s="99">
        <f t="shared" si="11"/>
        <v>0</v>
      </c>
      <c r="W560" s="99">
        <f t="shared" si="11"/>
        <v>0</v>
      </c>
      <c r="X560" s="99">
        <f t="shared" si="11"/>
        <v>0</v>
      </c>
      <c r="Y560" s="99">
        <f t="shared" si="11"/>
        <v>0</v>
      </c>
      <c r="Z560" s="99">
        <f t="shared" si="11"/>
        <v>0</v>
      </c>
      <c r="AA560" s="99">
        <f t="shared" si="11"/>
        <v>0</v>
      </c>
      <c r="AB560" s="99">
        <f t="shared" si="11"/>
        <v>0</v>
      </c>
      <c r="AC560" s="99">
        <f t="shared" si="11"/>
        <v>0</v>
      </c>
      <c r="AD560" s="99">
        <f t="shared" si="11"/>
        <v>0</v>
      </c>
      <c r="AE560" s="99">
        <f t="shared" si="11"/>
        <v>0</v>
      </c>
      <c r="AF560" s="99">
        <f t="shared" si="11"/>
        <v>0</v>
      </c>
      <c r="AG560" s="99">
        <f t="shared" si="11"/>
        <v>0</v>
      </c>
      <c r="AH560" s="99">
        <f t="shared" si="11"/>
        <v>0</v>
      </c>
      <c r="AI560" s="99">
        <f t="shared" si="11"/>
        <v>0</v>
      </c>
      <c r="AJ560" s="99">
        <f t="shared" si="11"/>
        <v>0</v>
      </c>
      <c r="AK560" s="99">
        <f t="shared" si="11"/>
        <v>0</v>
      </c>
      <c r="AL560" s="99">
        <f t="shared" si="11"/>
        <v>0</v>
      </c>
      <c r="AM560" s="99">
        <f t="shared" si="11"/>
        <v>0</v>
      </c>
      <c r="AN560" s="99">
        <f t="shared" si="11"/>
        <v>0</v>
      </c>
      <c r="AO560" s="99">
        <f t="shared" si="11"/>
        <v>0</v>
      </c>
      <c r="AP560" s="99">
        <f t="shared" si="11"/>
        <v>0</v>
      </c>
      <c r="AQ560" s="99">
        <f t="shared" si="11"/>
        <v>0</v>
      </c>
      <c r="AR560" s="99">
        <f t="shared" si="11"/>
        <v>0</v>
      </c>
    </row>
    <row r="561" spans="1:44" ht="15" x14ac:dyDescent="0.25">
      <c r="A561" s="258" t="e">
        <f t="shared" ref="A561:A600" si="12">MATCH(D561,$D$8:$D$552,0)</f>
        <v>#N/A</v>
      </c>
      <c r="B561" s="854"/>
      <c r="C561" s="854"/>
      <c r="D561" s="861"/>
      <c r="E561" s="99">
        <f t="shared" ref="E561:T581" si="13">IFERROR(INDEX(E$8:E$552,$A561),0)</f>
        <v>0</v>
      </c>
      <c r="F561" s="99">
        <f t="shared" si="13"/>
        <v>0</v>
      </c>
      <c r="G561" s="99">
        <f t="shared" si="13"/>
        <v>0</v>
      </c>
      <c r="H561" s="99">
        <f t="shared" si="13"/>
        <v>0</v>
      </c>
      <c r="I561" s="99">
        <f t="shared" si="13"/>
        <v>0</v>
      </c>
      <c r="J561" s="99">
        <f t="shared" si="13"/>
        <v>0</v>
      </c>
      <c r="K561" s="99">
        <f t="shared" si="13"/>
        <v>0</v>
      </c>
      <c r="L561" s="99">
        <f t="shared" si="13"/>
        <v>0</v>
      </c>
      <c r="M561" s="99">
        <f t="shared" si="13"/>
        <v>0</v>
      </c>
      <c r="N561" s="99">
        <f t="shared" si="13"/>
        <v>0</v>
      </c>
      <c r="O561" s="99">
        <f t="shared" si="13"/>
        <v>0</v>
      </c>
      <c r="P561" s="99">
        <f t="shared" si="13"/>
        <v>0</v>
      </c>
      <c r="Q561" s="99">
        <f t="shared" si="13"/>
        <v>0</v>
      </c>
      <c r="R561" s="99">
        <f t="shared" si="13"/>
        <v>0</v>
      </c>
      <c r="S561" s="99">
        <f t="shared" si="13"/>
        <v>0</v>
      </c>
      <c r="T561" s="99">
        <f t="shared" si="13"/>
        <v>0</v>
      </c>
      <c r="U561" s="99">
        <f t="shared" si="11"/>
        <v>0</v>
      </c>
      <c r="V561" s="99">
        <f t="shared" si="11"/>
        <v>0</v>
      </c>
      <c r="W561" s="99">
        <f t="shared" si="11"/>
        <v>0</v>
      </c>
      <c r="X561" s="99">
        <f t="shared" si="11"/>
        <v>0</v>
      </c>
      <c r="Y561" s="99">
        <f t="shared" si="11"/>
        <v>0</v>
      </c>
      <c r="Z561" s="99">
        <f t="shared" si="11"/>
        <v>0</v>
      </c>
      <c r="AA561" s="99">
        <f t="shared" si="11"/>
        <v>0</v>
      </c>
      <c r="AB561" s="99">
        <f t="shared" si="11"/>
        <v>0</v>
      </c>
      <c r="AC561" s="99">
        <f t="shared" si="11"/>
        <v>0</v>
      </c>
      <c r="AD561" s="99">
        <f t="shared" si="11"/>
        <v>0</v>
      </c>
      <c r="AE561" s="99">
        <f t="shared" si="11"/>
        <v>0</v>
      </c>
      <c r="AF561" s="99">
        <f t="shared" si="11"/>
        <v>0</v>
      </c>
      <c r="AG561" s="99">
        <f t="shared" si="11"/>
        <v>0</v>
      </c>
      <c r="AH561" s="99">
        <f t="shared" si="11"/>
        <v>0</v>
      </c>
      <c r="AI561" s="99">
        <f t="shared" si="11"/>
        <v>0</v>
      </c>
      <c r="AJ561" s="99">
        <f t="shared" si="11"/>
        <v>0</v>
      </c>
      <c r="AK561" s="99">
        <f t="shared" si="11"/>
        <v>0</v>
      </c>
      <c r="AL561" s="99">
        <f t="shared" si="11"/>
        <v>0</v>
      </c>
      <c r="AM561" s="99">
        <f t="shared" si="11"/>
        <v>0</v>
      </c>
      <c r="AN561" s="99">
        <f t="shared" si="11"/>
        <v>0</v>
      </c>
      <c r="AO561" s="99">
        <f t="shared" si="11"/>
        <v>0</v>
      </c>
      <c r="AP561" s="99">
        <f t="shared" si="11"/>
        <v>0</v>
      </c>
      <c r="AQ561" s="99">
        <f t="shared" si="11"/>
        <v>0</v>
      </c>
      <c r="AR561" s="99">
        <f t="shared" si="11"/>
        <v>0</v>
      </c>
    </row>
    <row r="562" spans="1:44" ht="15" x14ac:dyDescent="0.25">
      <c r="A562" s="258" t="e">
        <f t="shared" si="12"/>
        <v>#N/A</v>
      </c>
      <c r="B562" s="854"/>
      <c r="C562" s="854"/>
      <c r="D562" s="861"/>
      <c r="E562" s="99">
        <f t="shared" si="13"/>
        <v>0</v>
      </c>
      <c r="F562" s="99">
        <f t="shared" si="11"/>
        <v>0</v>
      </c>
      <c r="G562" s="99">
        <f t="shared" si="11"/>
        <v>0</v>
      </c>
      <c r="H562" s="99">
        <f t="shared" si="11"/>
        <v>0</v>
      </c>
      <c r="I562" s="99">
        <f t="shared" si="11"/>
        <v>0</v>
      </c>
      <c r="J562" s="99">
        <f t="shared" si="11"/>
        <v>0</v>
      </c>
      <c r="K562" s="99">
        <f t="shared" si="11"/>
        <v>0</v>
      </c>
      <c r="L562" s="99">
        <f t="shared" si="11"/>
        <v>0</v>
      </c>
      <c r="M562" s="99">
        <f t="shared" si="11"/>
        <v>0</v>
      </c>
      <c r="N562" s="99">
        <f t="shared" si="11"/>
        <v>0</v>
      </c>
      <c r="O562" s="99">
        <f t="shared" si="11"/>
        <v>0</v>
      </c>
      <c r="P562" s="99">
        <f t="shared" si="11"/>
        <v>0</v>
      </c>
      <c r="Q562" s="99">
        <f t="shared" si="11"/>
        <v>0</v>
      </c>
      <c r="R562" s="99">
        <f t="shared" si="11"/>
        <v>0</v>
      </c>
      <c r="S562" s="99">
        <f t="shared" si="11"/>
        <v>0</v>
      </c>
      <c r="T562" s="99">
        <f t="shared" si="11"/>
        <v>0</v>
      </c>
      <c r="U562" s="99">
        <f t="shared" si="11"/>
        <v>0</v>
      </c>
      <c r="V562" s="99">
        <f t="shared" si="11"/>
        <v>0</v>
      </c>
      <c r="W562" s="99">
        <f t="shared" si="11"/>
        <v>0</v>
      </c>
      <c r="X562" s="99">
        <f t="shared" si="11"/>
        <v>0</v>
      </c>
      <c r="Y562" s="99">
        <f t="shared" si="11"/>
        <v>0</v>
      </c>
      <c r="Z562" s="99">
        <f t="shared" si="11"/>
        <v>0</v>
      </c>
      <c r="AA562" s="99">
        <f t="shared" si="11"/>
        <v>0</v>
      </c>
      <c r="AB562" s="99">
        <f t="shared" si="11"/>
        <v>0</v>
      </c>
      <c r="AC562" s="99">
        <f t="shared" si="11"/>
        <v>0</v>
      </c>
      <c r="AD562" s="99">
        <f t="shared" si="11"/>
        <v>0</v>
      </c>
      <c r="AE562" s="99">
        <f t="shared" si="11"/>
        <v>0</v>
      </c>
      <c r="AF562" s="99">
        <f t="shared" si="11"/>
        <v>0</v>
      </c>
      <c r="AG562" s="99">
        <f t="shared" si="11"/>
        <v>0</v>
      </c>
      <c r="AH562" s="99">
        <f t="shared" si="11"/>
        <v>0</v>
      </c>
      <c r="AI562" s="99">
        <f t="shared" si="11"/>
        <v>0</v>
      </c>
      <c r="AJ562" s="99">
        <f t="shared" si="11"/>
        <v>0</v>
      </c>
      <c r="AK562" s="99">
        <f t="shared" si="11"/>
        <v>0</v>
      </c>
      <c r="AL562" s="99">
        <f t="shared" si="11"/>
        <v>0</v>
      </c>
      <c r="AM562" s="99">
        <f t="shared" si="11"/>
        <v>0</v>
      </c>
      <c r="AN562" s="99">
        <f t="shared" si="11"/>
        <v>0</v>
      </c>
      <c r="AO562" s="99">
        <f t="shared" si="11"/>
        <v>0</v>
      </c>
      <c r="AP562" s="99">
        <f t="shared" si="11"/>
        <v>0</v>
      </c>
      <c r="AQ562" s="99">
        <f t="shared" si="11"/>
        <v>0</v>
      </c>
      <c r="AR562" s="99">
        <f t="shared" si="11"/>
        <v>0</v>
      </c>
    </row>
    <row r="563" spans="1:44" ht="15" x14ac:dyDescent="0.25">
      <c r="A563" s="258" t="e">
        <f t="shared" si="12"/>
        <v>#N/A</v>
      </c>
      <c r="B563" s="854"/>
      <c r="C563" s="854"/>
      <c r="D563" s="861"/>
      <c r="E563" s="99">
        <f t="shared" si="13"/>
        <v>0</v>
      </c>
      <c r="F563" s="99">
        <f t="shared" si="11"/>
        <v>0</v>
      </c>
      <c r="G563" s="99">
        <f t="shared" si="11"/>
        <v>0</v>
      </c>
      <c r="H563" s="99">
        <f t="shared" si="11"/>
        <v>0</v>
      </c>
      <c r="I563" s="99">
        <f t="shared" si="11"/>
        <v>0</v>
      </c>
      <c r="J563" s="99">
        <f t="shared" si="11"/>
        <v>0</v>
      </c>
      <c r="K563" s="99">
        <f t="shared" si="11"/>
        <v>0</v>
      </c>
      <c r="L563" s="99">
        <f t="shared" si="11"/>
        <v>0</v>
      </c>
      <c r="M563" s="99">
        <f t="shared" si="11"/>
        <v>0</v>
      </c>
      <c r="N563" s="99">
        <f t="shared" si="11"/>
        <v>0</v>
      </c>
      <c r="O563" s="99">
        <f t="shared" si="11"/>
        <v>0</v>
      </c>
      <c r="P563" s="99">
        <f t="shared" si="11"/>
        <v>0</v>
      </c>
      <c r="Q563" s="99">
        <f t="shared" si="11"/>
        <v>0</v>
      </c>
      <c r="R563" s="99">
        <f t="shared" si="11"/>
        <v>0</v>
      </c>
      <c r="S563" s="99">
        <f t="shared" si="11"/>
        <v>0</v>
      </c>
      <c r="T563" s="99">
        <f t="shared" si="11"/>
        <v>0</v>
      </c>
      <c r="U563" s="99">
        <f t="shared" si="11"/>
        <v>0</v>
      </c>
      <c r="V563" s="99">
        <f t="shared" si="11"/>
        <v>0</v>
      </c>
      <c r="W563" s="99">
        <f t="shared" si="11"/>
        <v>0</v>
      </c>
      <c r="X563" s="99">
        <f t="shared" si="11"/>
        <v>0</v>
      </c>
      <c r="Y563" s="99">
        <f t="shared" si="11"/>
        <v>0</v>
      </c>
      <c r="Z563" s="99">
        <f t="shared" si="11"/>
        <v>0</v>
      </c>
      <c r="AA563" s="99">
        <f t="shared" si="11"/>
        <v>0</v>
      </c>
      <c r="AB563" s="99">
        <f t="shared" si="11"/>
        <v>0</v>
      </c>
      <c r="AC563" s="99">
        <f t="shared" si="11"/>
        <v>0</v>
      </c>
      <c r="AD563" s="99">
        <f t="shared" si="11"/>
        <v>0</v>
      </c>
      <c r="AE563" s="99">
        <f t="shared" si="11"/>
        <v>0</v>
      </c>
      <c r="AF563" s="99">
        <f t="shared" si="11"/>
        <v>0</v>
      </c>
      <c r="AG563" s="99">
        <f t="shared" si="11"/>
        <v>0</v>
      </c>
      <c r="AH563" s="99">
        <f t="shared" si="11"/>
        <v>0</v>
      </c>
      <c r="AI563" s="99">
        <f t="shared" si="11"/>
        <v>0</v>
      </c>
      <c r="AJ563" s="99">
        <f t="shared" si="11"/>
        <v>0</v>
      </c>
      <c r="AK563" s="99">
        <f t="shared" si="11"/>
        <v>0</v>
      </c>
      <c r="AL563" s="99">
        <f t="shared" si="11"/>
        <v>0</v>
      </c>
      <c r="AM563" s="99">
        <f t="shared" si="11"/>
        <v>0</v>
      </c>
      <c r="AN563" s="99">
        <f t="shared" si="11"/>
        <v>0</v>
      </c>
      <c r="AO563" s="99">
        <f t="shared" si="11"/>
        <v>0</v>
      </c>
      <c r="AP563" s="99">
        <f t="shared" si="11"/>
        <v>0</v>
      </c>
      <c r="AQ563" s="99">
        <f t="shared" si="11"/>
        <v>0</v>
      </c>
      <c r="AR563" s="99">
        <f t="shared" si="11"/>
        <v>0</v>
      </c>
    </row>
    <row r="564" spans="1:44" ht="15" x14ac:dyDescent="0.25">
      <c r="A564" s="258" t="e">
        <f t="shared" si="12"/>
        <v>#N/A</v>
      </c>
      <c r="B564" s="854"/>
      <c r="C564" s="854"/>
      <c r="D564" s="861"/>
      <c r="E564" s="99">
        <f t="shared" si="13"/>
        <v>0</v>
      </c>
      <c r="F564" s="99">
        <f t="shared" si="11"/>
        <v>0</v>
      </c>
      <c r="G564" s="99">
        <f t="shared" si="11"/>
        <v>0</v>
      </c>
      <c r="H564" s="99">
        <f t="shared" si="11"/>
        <v>0</v>
      </c>
      <c r="I564" s="99">
        <f t="shared" si="11"/>
        <v>0</v>
      </c>
      <c r="J564" s="99">
        <f t="shared" si="11"/>
        <v>0</v>
      </c>
      <c r="K564" s="99">
        <f t="shared" si="11"/>
        <v>0</v>
      </c>
      <c r="L564" s="99">
        <f t="shared" si="11"/>
        <v>0</v>
      </c>
      <c r="M564" s="99">
        <f t="shared" si="11"/>
        <v>0</v>
      </c>
      <c r="N564" s="99">
        <f t="shared" si="11"/>
        <v>0</v>
      </c>
      <c r="O564" s="99">
        <f t="shared" si="11"/>
        <v>0</v>
      </c>
      <c r="P564" s="99">
        <f t="shared" si="11"/>
        <v>0</v>
      </c>
      <c r="Q564" s="99">
        <f t="shared" si="11"/>
        <v>0</v>
      </c>
      <c r="R564" s="99">
        <f t="shared" si="11"/>
        <v>0</v>
      </c>
      <c r="S564" s="99">
        <f t="shared" si="11"/>
        <v>0</v>
      </c>
      <c r="T564" s="99">
        <f t="shared" si="11"/>
        <v>0</v>
      </c>
      <c r="U564" s="99">
        <f t="shared" si="11"/>
        <v>0</v>
      </c>
      <c r="V564" s="99">
        <f t="shared" si="11"/>
        <v>0</v>
      </c>
      <c r="W564" s="99">
        <f t="shared" si="11"/>
        <v>0</v>
      </c>
      <c r="X564" s="99">
        <f t="shared" si="11"/>
        <v>0</v>
      </c>
      <c r="Y564" s="99">
        <f t="shared" si="11"/>
        <v>0</v>
      </c>
      <c r="Z564" s="99">
        <f t="shared" si="11"/>
        <v>0</v>
      </c>
      <c r="AA564" s="99">
        <f t="shared" si="11"/>
        <v>0</v>
      </c>
      <c r="AB564" s="99">
        <f t="shared" si="11"/>
        <v>0</v>
      </c>
      <c r="AC564" s="99">
        <f t="shared" si="11"/>
        <v>0</v>
      </c>
      <c r="AD564" s="99">
        <f t="shared" si="11"/>
        <v>0</v>
      </c>
      <c r="AE564" s="99">
        <f t="shared" si="11"/>
        <v>0</v>
      </c>
      <c r="AF564" s="99">
        <f t="shared" si="11"/>
        <v>0</v>
      </c>
      <c r="AG564" s="99">
        <f t="shared" si="11"/>
        <v>0</v>
      </c>
      <c r="AH564" s="99">
        <f t="shared" si="11"/>
        <v>0</v>
      </c>
      <c r="AI564" s="99">
        <f t="shared" si="11"/>
        <v>0</v>
      </c>
      <c r="AJ564" s="99">
        <f t="shared" si="11"/>
        <v>0</v>
      </c>
      <c r="AK564" s="99">
        <f t="shared" si="11"/>
        <v>0</v>
      </c>
      <c r="AL564" s="99">
        <f t="shared" si="11"/>
        <v>0</v>
      </c>
      <c r="AM564" s="99">
        <f t="shared" si="11"/>
        <v>0</v>
      </c>
      <c r="AN564" s="99">
        <f t="shared" si="11"/>
        <v>0</v>
      </c>
      <c r="AO564" s="99">
        <f t="shared" si="11"/>
        <v>0</v>
      </c>
      <c r="AP564" s="99">
        <f t="shared" si="11"/>
        <v>0</v>
      </c>
      <c r="AQ564" s="99">
        <f t="shared" si="11"/>
        <v>0</v>
      </c>
      <c r="AR564" s="99">
        <f t="shared" si="11"/>
        <v>0</v>
      </c>
    </row>
    <row r="565" spans="1:44" ht="15" x14ac:dyDescent="0.25">
      <c r="A565" s="258" t="e">
        <f t="shared" si="12"/>
        <v>#N/A</v>
      </c>
      <c r="B565" s="854"/>
      <c r="C565" s="854"/>
      <c r="D565" s="861"/>
      <c r="E565" s="99">
        <f t="shared" si="13"/>
        <v>0</v>
      </c>
      <c r="F565" s="99">
        <f t="shared" si="11"/>
        <v>0</v>
      </c>
      <c r="G565" s="99">
        <f t="shared" si="11"/>
        <v>0</v>
      </c>
      <c r="H565" s="99">
        <f t="shared" si="11"/>
        <v>0</v>
      </c>
      <c r="I565" s="99">
        <f t="shared" si="11"/>
        <v>0</v>
      </c>
      <c r="J565" s="99">
        <f t="shared" si="11"/>
        <v>0</v>
      </c>
      <c r="K565" s="99">
        <f t="shared" si="11"/>
        <v>0</v>
      </c>
      <c r="L565" s="99">
        <f t="shared" si="11"/>
        <v>0</v>
      </c>
      <c r="M565" s="99">
        <f t="shared" si="11"/>
        <v>0</v>
      </c>
      <c r="N565" s="99">
        <f t="shared" si="11"/>
        <v>0</v>
      </c>
      <c r="O565" s="99">
        <f t="shared" si="11"/>
        <v>0</v>
      </c>
      <c r="P565" s="99">
        <f t="shared" si="11"/>
        <v>0</v>
      </c>
      <c r="Q565" s="99">
        <f t="shared" si="11"/>
        <v>0</v>
      </c>
      <c r="R565" s="99">
        <f t="shared" si="11"/>
        <v>0</v>
      </c>
      <c r="S565" s="99">
        <f t="shared" si="11"/>
        <v>0</v>
      </c>
      <c r="T565" s="99">
        <f t="shared" si="11"/>
        <v>0</v>
      </c>
      <c r="U565" s="99">
        <f t="shared" si="11"/>
        <v>0</v>
      </c>
      <c r="V565" s="99">
        <f t="shared" si="11"/>
        <v>0</v>
      </c>
      <c r="W565" s="99">
        <f t="shared" si="11"/>
        <v>0</v>
      </c>
      <c r="X565" s="99">
        <f t="shared" si="11"/>
        <v>0</v>
      </c>
      <c r="Y565" s="99">
        <f t="shared" si="11"/>
        <v>0</v>
      </c>
      <c r="Z565" s="99">
        <f t="shared" si="11"/>
        <v>0</v>
      </c>
      <c r="AA565" s="99">
        <f t="shared" si="11"/>
        <v>0</v>
      </c>
      <c r="AB565" s="99">
        <f t="shared" si="11"/>
        <v>0</v>
      </c>
      <c r="AC565" s="99">
        <f t="shared" si="11"/>
        <v>0</v>
      </c>
      <c r="AD565" s="99">
        <f t="shared" si="11"/>
        <v>0</v>
      </c>
      <c r="AE565" s="99">
        <f t="shared" si="11"/>
        <v>0</v>
      </c>
      <c r="AF565" s="99">
        <f t="shared" si="11"/>
        <v>0</v>
      </c>
      <c r="AG565" s="99">
        <f t="shared" si="11"/>
        <v>0</v>
      </c>
      <c r="AH565" s="99">
        <f t="shared" si="11"/>
        <v>0</v>
      </c>
      <c r="AI565" s="99">
        <f t="shared" si="11"/>
        <v>0</v>
      </c>
      <c r="AJ565" s="99">
        <f t="shared" si="11"/>
        <v>0</v>
      </c>
      <c r="AK565" s="99">
        <f t="shared" si="11"/>
        <v>0</v>
      </c>
      <c r="AL565" s="99">
        <f t="shared" si="11"/>
        <v>0</v>
      </c>
      <c r="AM565" s="99">
        <f t="shared" si="11"/>
        <v>0</v>
      </c>
      <c r="AN565" s="99">
        <f t="shared" si="11"/>
        <v>0</v>
      </c>
      <c r="AO565" s="99">
        <f t="shared" si="11"/>
        <v>0</v>
      </c>
      <c r="AP565" s="99">
        <f t="shared" si="11"/>
        <v>0</v>
      </c>
      <c r="AQ565" s="99">
        <f t="shared" si="11"/>
        <v>0</v>
      </c>
      <c r="AR565" s="99">
        <f t="shared" si="11"/>
        <v>0</v>
      </c>
    </row>
    <row r="566" spans="1:44" ht="15" x14ac:dyDescent="0.25">
      <c r="A566" s="258" t="e">
        <f t="shared" si="12"/>
        <v>#N/A</v>
      </c>
      <c r="B566" s="854"/>
      <c r="C566" s="854"/>
      <c r="D566" s="861"/>
      <c r="E566" s="99">
        <f t="shared" si="13"/>
        <v>0</v>
      </c>
      <c r="F566" s="99">
        <f t="shared" si="11"/>
        <v>0</v>
      </c>
      <c r="G566" s="99">
        <f t="shared" si="11"/>
        <v>0</v>
      </c>
      <c r="H566" s="99">
        <f t="shared" si="11"/>
        <v>0</v>
      </c>
      <c r="I566" s="99">
        <f t="shared" si="11"/>
        <v>0</v>
      </c>
      <c r="J566" s="99">
        <f t="shared" si="11"/>
        <v>0</v>
      </c>
      <c r="K566" s="99">
        <f t="shared" si="11"/>
        <v>0</v>
      </c>
      <c r="L566" s="99">
        <f t="shared" si="11"/>
        <v>0</v>
      </c>
      <c r="M566" s="99">
        <f t="shared" si="11"/>
        <v>0</v>
      </c>
      <c r="N566" s="99">
        <f t="shared" si="11"/>
        <v>0</v>
      </c>
      <c r="O566" s="99">
        <f t="shared" si="11"/>
        <v>0</v>
      </c>
      <c r="P566" s="99">
        <f t="shared" si="11"/>
        <v>0</v>
      </c>
      <c r="Q566" s="99">
        <f t="shared" si="11"/>
        <v>0</v>
      </c>
      <c r="R566" s="99">
        <f t="shared" si="11"/>
        <v>0</v>
      </c>
      <c r="S566" s="99">
        <f t="shared" si="11"/>
        <v>0</v>
      </c>
      <c r="T566" s="99">
        <f t="shared" si="11"/>
        <v>0</v>
      </c>
      <c r="U566" s="99">
        <f t="shared" si="11"/>
        <v>0</v>
      </c>
      <c r="V566" s="99">
        <f t="shared" si="11"/>
        <v>0</v>
      </c>
      <c r="W566" s="99">
        <f t="shared" si="11"/>
        <v>0</v>
      </c>
      <c r="X566" s="99">
        <f t="shared" si="11"/>
        <v>0</v>
      </c>
      <c r="Y566" s="99">
        <f t="shared" si="11"/>
        <v>0</v>
      </c>
      <c r="Z566" s="99">
        <f t="shared" si="11"/>
        <v>0</v>
      </c>
      <c r="AA566" s="99">
        <f t="shared" si="11"/>
        <v>0</v>
      </c>
      <c r="AB566" s="99">
        <f t="shared" si="11"/>
        <v>0</v>
      </c>
      <c r="AC566" s="99">
        <f t="shared" si="11"/>
        <v>0</v>
      </c>
      <c r="AD566" s="99">
        <f t="shared" si="11"/>
        <v>0</v>
      </c>
      <c r="AE566" s="99">
        <f t="shared" si="11"/>
        <v>0</v>
      </c>
      <c r="AF566" s="99">
        <f t="shared" si="11"/>
        <v>0</v>
      </c>
      <c r="AG566" s="99">
        <f t="shared" si="11"/>
        <v>0</v>
      </c>
      <c r="AH566" s="99">
        <f t="shared" si="11"/>
        <v>0</v>
      </c>
      <c r="AI566" s="99">
        <f t="shared" si="11"/>
        <v>0</v>
      </c>
      <c r="AJ566" s="99">
        <f t="shared" si="11"/>
        <v>0</v>
      </c>
      <c r="AK566" s="99">
        <f t="shared" si="11"/>
        <v>0</v>
      </c>
      <c r="AL566" s="99">
        <f t="shared" si="11"/>
        <v>0</v>
      </c>
      <c r="AM566" s="99">
        <f t="shared" si="11"/>
        <v>0</v>
      </c>
      <c r="AN566" s="99">
        <f t="shared" si="11"/>
        <v>0</v>
      </c>
      <c r="AO566" s="99">
        <f t="shared" si="11"/>
        <v>0</v>
      </c>
      <c r="AP566" s="99">
        <f t="shared" ref="AP566:AR566" si="14">IFERROR(INDEX(AP$8:AP$552,$A566),0)</f>
        <v>0</v>
      </c>
      <c r="AQ566" s="99">
        <f t="shared" si="14"/>
        <v>0</v>
      </c>
      <c r="AR566" s="99">
        <f t="shared" si="14"/>
        <v>0</v>
      </c>
    </row>
    <row r="567" spans="1:44" ht="15" x14ac:dyDescent="0.25">
      <c r="A567" s="258" t="e">
        <f t="shared" si="12"/>
        <v>#N/A</v>
      </c>
      <c r="B567" s="854"/>
      <c r="C567" s="854"/>
      <c r="D567" s="861"/>
      <c r="E567" s="99">
        <f t="shared" si="13"/>
        <v>0</v>
      </c>
      <c r="F567" s="99">
        <f t="shared" si="13"/>
        <v>0</v>
      </c>
      <c r="G567" s="99">
        <f t="shared" si="13"/>
        <v>0</v>
      </c>
      <c r="H567" s="99">
        <f t="shared" si="13"/>
        <v>0</v>
      </c>
      <c r="I567" s="99">
        <f t="shared" si="13"/>
        <v>0</v>
      </c>
      <c r="J567" s="99">
        <f t="shared" si="13"/>
        <v>0</v>
      </c>
      <c r="K567" s="99">
        <f t="shared" si="13"/>
        <v>0</v>
      </c>
      <c r="L567" s="99">
        <f t="shared" si="13"/>
        <v>0</v>
      </c>
      <c r="M567" s="99">
        <f t="shared" si="13"/>
        <v>0</v>
      </c>
      <c r="N567" s="99">
        <f t="shared" si="13"/>
        <v>0</v>
      </c>
      <c r="O567" s="99">
        <f t="shared" si="13"/>
        <v>0</v>
      </c>
      <c r="P567" s="99">
        <f t="shared" si="13"/>
        <v>0</v>
      </c>
      <c r="Q567" s="99">
        <f t="shared" si="13"/>
        <v>0</v>
      </c>
      <c r="R567" s="99">
        <f t="shared" si="13"/>
        <v>0</v>
      </c>
      <c r="S567" s="99">
        <f t="shared" si="13"/>
        <v>0</v>
      </c>
      <c r="T567" s="99">
        <f t="shared" si="13"/>
        <v>0</v>
      </c>
      <c r="U567" s="99">
        <f t="shared" ref="U567:AR577" si="15">IFERROR(INDEX(U$8:U$552,$A567),0)</f>
        <v>0</v>
      </c>
      <c r="V567" s="99">
        <f t="shared" si="15"/>
        <v>0</v>
      </c>
      <c r="W567" s="99">
        <f t="shared" si="15"/>
        <v>0</v>
      </c>
      <c r="X567" s="99">
        <f t="shared" si="15"/>
        <v>0</v>
      </c>
      <c r="Y567" s="99">
        <f t="shared" si="15"/>
        <v>0</v>
      </c>
      <c r="Z567" s="99">
        <f t="shared" si="15"/>
        <v>0</v>
      </c>
      <c r="AA567" s="99">
        <f t="shared" si="15"/>
        <v>0</v>
      </c>
      <c r="AB567" s="99">
        <f t="shared" si="15"/>
        <v>0</v>
      </c>
      <c r="AC567" s="99">
        <f t="shared" si="15"/>
        <v>0</v>
      </c>
      <c r="AD567" s="99">
        <f t="shared" si="15"/>
        <v>0</v>
      </c>
      <c r="AE567" s="99">
        <f t="shared" si="15"/>
        <v>0</v>
      </c>
      <c r="AF567" s="99">
        <f t="shared" si="15"/>
        <v>0</v>
      </c>
      <c r="AG567" s="99">
        <f t="shared" si="15"/>
        <v>0</v>
      </c>
      <c r="AH567" s="99">
        <f t="shared" si="15"/>
        <v>0</v>
      </c>
      <c r="AI567" s="99">
        <f t="shared" si="15"/>
        <v>0</v>
      </c>
      <c r="AJ567" s="99">
        <f t="shared" si="15"/>
        <v>0</v>
      </c>
      <c r="AK567" s="99">
        <f t="shared" si="15"/>
        <v>0</v>
      </c>
      <c r="AL567" s="99">
        <f t="shared" si="15"/>
        <v>0</v>
      </c>
      <c r="AM567" s="99">
        <f t="shared" si="15"/>
        <v>0</v>
      </c>
      <c r="AN567" s="99">
        <f t="shared" si="15"/>
        <v>0</v>
      </c>
      <c r="AO567" s="99">
        <f t="shared" si="15"/>
        <v>0</v>
      </c>
      <c r="AP567" s="99">
        <f t="shared" si="15"/>
        <v>0</v>
      </c>
      <c r="AQ567" s="99">
        <f t="shared" si="15"/>
        <v>0</v>
      </c>
      <c r="AR567" s="99">
        <f t="shared" si="15"/>
        <v>0</v>
      </c>
    </row>
    <row r="568" spans="1:44" ht="15" x14ac:dyDescent="0.25">
      <c r="A568" s="258" t="e">
        <f t="shared" si="12"/>
        <v>#N/A</v>
      </c>
      <c r="B568" s="854"/>
      <c r="C568" s="854"/>
      <c r="D568" s="861"/>
      <c r="E568" s="99">
        <f t="shared" si="13"/>
        <v>0</v>
      </c>
      <c r="F568" s="99">
        <f t="shared" si="13"/>
        <v>0</v>
      </c>
      <c r="G568" s="99">
        <f t="shared" si="13"/>
        <v>0</v>
      </c>
      <c r="H568" s="99">
        <f t="shared" si="13"/>
        <v>0</v>
      </c>
      <c r="I568" s="99">
        <f t="shared" si="13"/>
        <v>0</v>
      </c>
      <c r="J568" s="99">
        <f t="shared" si="13"/>
        <v>0</v>
      </c>
      <c r="K568" s="99">
        <f t="shared" si="13"/>
        <v>0</v>
      </c>
      <c r="L568" s="99">
        <f t="shared" si="13"/>
        <v>0</v>
      </c>
      <c r="M568" s="99">
        <f t="shared" si="13"/>
        <v>0</v>
      </c>
      <c r="N568" s="99">
        <f t="shared" si="13"/>
        <v>0</v>
      </c>
      <c r="O568" s="99">
        <f t="shared" si="13"/>
        <v>0</v>
      </c>
      <c r="P568" s="99">
        <f t="shared" si="13"/>
        <v>0</v>
      </c>
      <c r="Q568" s="99">
        <f t="shared" si="13"/>
        <v>0</v>
      </c>
      <c r="R568" s="99">
        <f t="shared" si="13"/>
        <v>0</v>
      </c>
      <c r="S568" s="99">
        <f t="shared" si="13"/>
        <v>0</v>
      </c>
      <c r="T568" s="99">
        <f t="shared" si="13"/>
        <v>0</v>
      </c>
      <c r="U568" s="99">
        <f t="shared" si="15"/>
        <v>0</v>
      </c>
      <c r="V568" s="99">
        <f t="shared" si="15"/>
        <v>0</v>
      </c>
      <c r="W568" s="99">
        <f t="shared" si="15"/>
        <v>0</v>
      </c>
      <c r="X568" s="99">
        <f t="shared" si="15"/>
        <v>0</v>
      </c>
      <c r="Y568" s="99">
        <f t="shared" si="15"/>
        <v>0</v>
      </c>
      <c r="Z568" s="99">
        <f t="shared" si="15"/>
        <v>0</v>
      </c>
      <c r="AA568" s="99">
        <f t="shared" si="15"/>
        <v>0</v>
      </c>
      <c r="AB568" s="99">
        <f t="shared" si="15"/>
        <v>0</v>
      </c>
      <c r="AC568" s="99">
        <f t="shared" si="15"/>
        <v>0</v>
      </c>
      <c r="AD568" s="99">
        <f t="shared" si="15"/>
        <v>0</v>
      </c>
      <c r="AE568" s="99">
        <f t="shared" si="15"/>
        <v>0</v>
      </c>
      <c r="AF568" s="99">
        <f t="shared" si="15"/>
        <v>0</v>
      </c>
      <c r="AG568" s="99">
        <f t="shared" si="15"/>
        <v>0</v>
      </c>
      <c r="AH568" s="99">
        <f t="shared" si="15"/>
        <v>0</v>
      </c>
      <c r="AI568" s="99">
        <f t="shared" si="15"/>
        <v>0</v>
      </c>
      <c r="AJ568" s="99">
        <f t="shared" si="15"/>
        <v>0</v>
      </c>
      <c r="AK568" s="99">
        <f t="shared" si="15"/>
        <v>0</v>
      </c>
      <c r="AL568" s="99">
        <f t="shared" si="15"/>
        <v>0</v>
      </c>
      <c r="AM568" s="99">
        <f t="shared" si="15"/>
        <v>0</v>
      </c>
      <c r="AN568" s="99">
        <f t="shared" si="15"/>
        <v>0</v>
      </c>
      <c r="AO568" s="99">
        <f t="shared" si="15"/>
        <v>0</v>
      </c>
      <c r="AP568" s="99">
        <f t="shared" si="15"/>
        <v>0</v>
      </c>
      <c r="AQ568" s="99">
        <f t="shared" si="15"/>
        <v>0</v>
      </c>
      <c r="AR568" s="99">
        <f t="shared" si="15"/>
        <v>0</v>
      </c>
    </row>
    <row r="569" spans="1:44" ht="15" x14ac:dyDescent="0.25">
      <c r="A569" s="258" t="e">
        <f t="shared" si="12"/>
        <v>#N/A</v>
      </c>
      <c r="B569" s="854"/>
      <c r="C569" s="854"/>
      <c r="D569" s="861"/>
      <c r="E569" s="99">
        <f t="shared" si="13"/>
        <v>0</v>
      </c>
      <c r="F569" s="99">
        <f t="shared" si="13"/>
        <v>0</v>
      </c>
      <c r="G569" s="99">
        <f t="shared" si="13"/>
        <v>0</v>
      </c>
      <c r="H569" s="99">
        <f t="shared" si="13"/>
        <v>0</v>
      </c>
      <c r="I569" s="99">
        <f t="shared" si="13"/>
        <v>0</v>
      </c>
      <c r="J569" s="99">
        <f t="shared" si="13"/>
        <v>0</v>
      </c>
      <c r="K569" s="99">
        <f t="shared" si="13"/>
        <v>0</v>
      </c>
      <c r="L569" s="99">
        <f t="shared" si="13"/>
        <v>0</v>
      </c>
      <c r="M569" s="99">
        <f t="shared" si="13"/>
        <v>0</v>
      </c>
      <c r="N569" s="99">
        <f t="shared" si="13"/>
        <v>0</v>
      </c>
      <c r="O569" s="99">
        <f t="shared" si="13"/>
        <v>0</v>
      </c>
      <c r="P569" s="99">
        <f t="shared" si="13"/>
        <v>0</v>
      </c>
      <c r="Q569" s="99">
        <f t="shared" si="13"/>
        <v>0</v>
      </c>
      <c r="R569" s="99">
        <f t="shared" si="13"/>
        <v>0</v>
      </c>
      <c r="S569" s="99">
        <f t="shared" si="13"/>
        <v>0</v>
      </c>
      <c r="T569" s="99">
        <f t="shared" si="13"/>
        <v>0</v>
      </c>
      <c r="U569" s="99">
        <f t="shared" si="15"/>
        <v>0</v>
      </c>
      <c r="V569" s="99">
        <f t="shared" si="15"/>
        <v>0</v>
      </c>
      <c r="W569" s="99">
        <f t="shared" si="15"/>
        <v>0</v>
      </c>
      <c r="X569" s="99">
        <f t="shared" si="15"/>
        <v>0</v>
      </c>
      <c r="Y569" s="99">
        <f t="shared" si="15"/>
        <v>0</v>
      </c>
      <c r="Z569" s="99">
        <f t="shared" si="15"/>
        <v>0</v>
      </c>
      <c r="AA569" s="99">
        <f t="shared" si="15"/>
        <v>0</v>
      </c>
      <c r="AB569" s="99">
        <f t="shared" si="15"/>
        <v>0</v>
      </c>
      <c r="AC569" s="99">
        <f t="shared" si="15"/>
        <v>0</v>
      </c>
      <c r="AD569" s="99">
        <f t="shared" si="15"/>
        <v>0</v>
      </c>
      <c r="AE569" s="99">
        <f t="shared" si="15"/>
        <v>0</v>
      </c>
      <c r="AF569" s="99">
        <f t="shared" si="15"/>
        <v>0</v>
      </c>
      <c r="AG569" s="99">
        <f t="shared" si="15"/>
        <v>0</v>
      </c>
      <c r="AH569" s="99">
        <f t="shared" si="15"/>
        <v>0</v>
      </c>
      <c r="AI569" s="99">
        <f t="shared" si="15"/>
        <v>0</v>
      </c>
      <c r="AJ569" s="99">
        <f t="shared" si="15"/>
        <v>0</v>
      </c>
      <c r="AK569" s="99">
        <f t="shared" si="15"/>
        <v>0</v>
      </c>
      <c r="AL569" s="99">
        <f t="shared" si="15"/>
        <v>0</v>
      </c>
      <c r="AM569" s="99">
        <f t="shared" si="15"/>
        <v>0</v>
      </c>
      <c r="AN569" s="99">
        <f t="shared" si="15"/>
        <v>0</v>
      </c>
      <c r="AO569" s="99">
        <f t="shared" si="15"/>
        <v>0</v>
      </c>
      <c r="AP569" s="99">
        <f t="shared" si="15"/>
        <v>0</v>
      </c>
      <c r="AQ569" s="99">
        <f t="shared" si="15"/>
        <v>0</v>
      </c>
      <c r="AR569" s="99">
        <f t="shared" si="15"/>
        <v>0</v>
      </c>
    </row>
    <row r="570" spans="1:44" ht="15" x14ac:dyDescent="0.25">
      <c r="A570" s="258" t="e">
        <f t="shared" si="12"/>
        <v>#N/A</v>
      </c>
      <c r="B570" s="854"/>
      <c r="C570" s="854"/>
      <c r="D570" s="862"/>
      <c r="E570" s="99">
        <f t="shared" si="13"/>
        <v>0</v>
      </c>
      <c r="F570" s="99">
        <f t="shared" si="13"/>
        <v>0</v>
      </c>
      <c r="G570" s="99">
        <f t="shared" si="13"/>
        <v>0</v>
      </c>
      <c r="H570" s="99">
        <f t="shared" si="13"/>
        <v>0</v>
      </c>
      <c r="I570" s="99">
        <f t="shared" si="13"/>
        <v>0</v>
      </c>
      <c r="J570" s="99">
        <f t="shared" si="13"/>
        <v>0</v>
      </c>
      <c r="K570" s="99">
        <f t="shared" si="13"/>
        <v>0</v>
      </c>
      <c r="L570" s="99">
        <f t="shared" si="13"/>
        <v>0</v>
      </c>
      <c r="M570" s="99">
        <f t="shared" si="13"/>
        <v>0</v>
      </c>
      <c r="N570" s="99">
        <f t="shared" si="13"/>
        <v>0</v>
      </c>
      <c r="O570" s="99">
        <f t="shared" si="13"/>
        <v>0</v>
      </c>
      <c r="P570" s="99">
        <f t="shared" si="13"/>
        <v>0</v>
      </c>
      <c r="Q570" s="99">
        <f t="shared" si="13"/>
        <v>0</v>
      </c>
      <c r="R570" s="99">
        <f t="shared" si="13"/>
        <v>0</v>
      </c>
      <c r="S570" s="99">
        <f t="shared" si="13"/>
        <v>0</v>
      </c>
      <c r="T570" s="99">
        <f t="shared" si="13"/>
        <v>0</v>
      </c>
      <c r="U570" s="99">
        <f t="shared" si="15"/>
        <v>0</v>
      </c>
      <c r="V570" s="99">
        <f t="shared" si="15"/>
        <v>0</v>
      </c>
      <c r="W570" s="99">
        <f t="shared" si="15"/>
        <v>0</v>
      </c>
      <c r="X570" s="99">
        <f t="shared" si="15"/>
        <v>0</v>
      </c>
      <c r="Y570" s="99">
        <f t="shared" si="15"/>
        <v>0</v>
      </c>
      <c r="Z570" s="99">
        <f t="shared" si="15"/>
        <v>0</v>
      </c>
      <c r="AA570" s="99">
        <f t="shared" si="15"/>
        <v>0</v>
      </c>
      <c r="AB570" s="99">
        <f t="shared" si="15"/>
        <v>0</v>
      </c>
      <c r="AC570" s="99">
        <f t="shared" si="15"/>
        <v>0</v>
      </c>
      <c r="AD570" s="99">
        <f t="shared" si="15"/>
        <v>0</v>
      </c>
      <c r="AE570" s="99">
        <f t="shared" si="15"/>
        <v>0</v>
      </c>
      <c r="AF570" s="99">
        <f t="shared" si="15"/>
        <v>0</v>
      </c>
      <c r="AG570" s="99">
        <f t="shared" si="15"/>
        <v>0</v>
      </c>
      <c r="AH570" s="99">
        <f t="shared" si="15"/>
        <v>0</v>
      </c>
      <c r="AI570" s="99">
        <f t="shared" si="15"/>
        <v>0</v>
      </c>
      <c r="AJ570" s="99">
        <f t="shared" si="15"/>
        <v>0</v>
      </c>
      <c r="AK570" s="99">
        <f t="shared" si="15"/>
        <v>0</v>
      </c>
      <c r="AL570" s="99">
        <f t="shared" si="15"/>
        <v>0</v>
      </c>
      <c r="AM570" s="99">
        <f t="shared" si="15"/>
        <v>0</v>
      </c>
      <c r="AN570" s="99">
        <f t="shared" si="15"/>
        <v>0</v>
      </c>
      <c r="AO570" s="99">
        <f t="shared" si="15"/>
        <v>0</v>
      </c>
      <c r="AP570" s="99">
        <f t="shared" si="15"/>
        <v>0</v>
      </c>
      <c r="AQ570" s="99">
        <f t="shared" si="15"/>
        <v>0</v>
      </c>
      <c r="AR570" s="99">
        <f t="shared" si="15"/>
        <v>0</v>
      </c>
    </row>
    <row r="571" spans="1:44" ht="15" x14ac:dyDescent="0.25">
      <c r="A571" s="258" t="e">
        <f t="shared" si="12"/>
        <v>#N/A</v>
      </c>
      <c r="B571" s="854"/>
      <c r="C571" s="854"/>
      <c r="D571" s="862"/>
      <c r="E571" s="99">
        <f t="shared" si="13"/>
        <v>0</v>
      </c>
      <c r="F571" s="99">
        <f t="shared" si="13"/>
        <v>0</v>
      </c>
      <c r="G571" s="99">
        <f t="shared" si="13"/>
        <v>0</v>
      </c>
      <c r="H571" s="99">
        <f t="shared" si="13"/>
        <v>0</v>
      </c>
      <c r="I571" s="99">
        <f t="shared" si="13"/>
        <v>0</v>
      </c>
      <c r="J571" s="99">
        <f t="shared" si="13"/>
        <v>0</v>
      </c>
      <c r="K571" s="99">
        <f t="shared" si="13"/>
        <v>0</v>
      </c>
      <c r="L571" s="99">
        <f t="shared" si="13"/>
        <v>0</v>
      </c>
      <c r="M571" s="99">
        <f t="shared" si="13"/>
        <v>0</v>
      </c>
      <c r="N571" s="99">
        <f t="shared" si="13"/>
        <v>0</v>
      </c>
      <c r="O571" s="99">
        <f t="shared" si="13"/>
        <v>0</v>
      </c>
      <c r="P571" s="99">
        <f t="shared" si="13"/>
        <v>0</v>
      </c>
      <c r="Q571" s="99">
        <f t="shared" si="13"/>
        <v>0</v>
      </c>
      <c r="R571" s="99">
        <f t="shared" si="13"/>
        <v>0</v>
      </c>
      <c r="S571" s="99">
        <f t="shared" si="13"/>
        <v>0</v>
      </c>
      <c r="T571" s="99">
        <f t="shared" si="13"/>
        <v>0</v>
      </c>
      <c r="U571" s="99">
        <f t="shared" si="15"/>
        <v>0</v>
      </c>
      <c r="V571" s="99">
        <f t="shared" si="15"/>
        <v>0</v>
      </c>
      <c r="W571" s="99">
        <f t="shared" si="15"/>
        <v>0</v>
      </c>
      <c r="X571" s="99">
        <f t="shared" si="15"/>
        <v>0</v>
      </c>
      <c r="Y571" s="99">
        <f t="shared" si="15"/>
        <v>0</v>
      </c>
      <c r="Z571" s="99">
        <f t="shared" si="15"/>
        <v>0</v>
      </c>
      <c r="AA571" s="99">
        <f t="shared" si="15"/>
        <v>0</v>
      </c>
      <c r="AB571" s="99">
        <f t="shared" si="15"/>
        <v>0</v>
      </c>
      <c r="AC571" s="99">
        <f t="shared" si="15"/>
        <v>0</v>
      </c>
      <c r="AD571" s="99">
        <f t="shared" si="15"/>
        <v>0</v>
      </c>
      <c r="AE571" s="99">
        <f t="shared" si="15"/>
        <v>0</v>
      </c>
      <c r="AF571" s="99">
        <f t="shared" si="15"/>
        <v>0</v>
      </c>
      <c r="AG571" s="99">
        <f t="shared" si="15"/>
        <v>0</v>
      </c>
      <c r="AH571" s="99">
        <f t="shared" si="15"/>
        <v>0</v>
      </c>
      <c r="AI571" s="99">
        <f t="shared" si="15"/>
        <v>0</v>
      </c>
      <c r="AJ571" s="99">
        <f t="shared" si="15"/>
        <v>0</v>
      </c>
      <c r="AK571" s="99">
        <f t="shared" si="15"/>
        <v>0</v>
      </c>
      <c r="AL571" s="99">
        <f t="shared" si="15"/>
        <v>0</v>
      </c>
      <c r="AM571" s="99">
        <f t="shared" si="15"/>
        <v>0</v>
      </c>
      <c r="AN571" s="99">
        <f t="shared" si="15"/>
        <v>0</v>
      </c>
      <c r="AO571" s="99">
        <f t="shared" si="15"/>
        <v>0</v>
      </c>
      <c r="AP571" s="99">
        <f t="shared" si="15"/>
        <v>0</v>
      </c>
      <c r="AQ571" s="99">
        <f t="shared" si="15"/>
        <v>0</v>
      </c>
      <c r="AR571" s="99">
        <f t="shared" si="15"/>
        <v>0</v>
      </c>
    </row>
    <row r="572" spans="1:44" ht="15" x14ac:dyDescent="0.25">
      <c r="A572" s="258" t="e">
        <f t="shared" si="12"/>
        <v>#N/A</v>
      </c>
      <c r="B572" s="854"/>
      <c r="C572" s="854"/>
      <c r="D572" s="862"/>
      <c r="E572" s="99">
        <f t="shared" si="13"/>
        <v>0</v>
      </c>
      <c r="F572" s="99">
        <f t="shared" si="13"/>
        <v>0</v>
      </c>
      <c r="G572" s="99">
        <f t="shared" si="13"/>
        <v>0</v>
      </c>
      <c r="H572" s="99">
        <f t="shared" si="13"/>
        <v>0</v>
      </c>
      <c r="I572" s="99">
        <f t="shared" si="13"/>
        <v>0</v>
      </c>
      <c r="J572" s="99">
        <f t="shared" si="13"/>
        <v>0</v>
      </c>
      <c r="K572" s="99">
        <f t="shared" si="13"/>
        <v>0</v>
      </c>
      <c r="L572" s="99">
        <f t="shared" si="13"/>
        <v>0</v>
      </c>
      <c r="M572" s="99">
        <f t="shared" si="13"/>
        <v>0</v>
      </c>
      <c r="N572" s="99">
        <f t="shared" si="13"/>
        <v>0</v>
      </c>
      <c r="O572" s="99">
        <f t="shared" si="13"/>
        <v>0</v>
      </c>
      <c r="P572" s="99">
        <f t="shared" si="13"/>
        <v>0</v>
      </c>
      <c r="Q572" s="99">
        <f t="shared" si="13"/>
        <v>0</v>
      </c>
      <c r="R572" s="99">
        <f t="shared" si="13"/>
        <v>0</v>
      </c>
      <c r="S572" s="99">
        <f t="shared" si="13"/>
        <v>0</v>
      </c>
      <c r="T572" s="99">
        <f t="shared" si="13"/>
        <v>0</v>
      </c>
      <c r="U572" s="99">
        <f t="shared" si="15"/>
        <v>0</v>
      </c>
      <c r="V572" s="99">
        <f t="shared" si="15"/>
        <v>0</v>
      </c>
      <c r="W572" s="99">
        <f t="shared" si="15"/>
        <v>0</v>
      </c>
      <c r="X572" s="99">
        <f t="shared" si="15"/>
        <v>0</v>
      </c>
      <c r="Y572" s="99">
        <f t="shared" si="15"/>
        <v>0</v>
      </c>
      <c r="Z572" s="99">
        <f t="shared" si="15"/>
        <v>0</v>
      </c>
      <c r="AA572" s="99">
        <f t="shared" si="15"/>
        <v>0</v>
      </c>
      <c r="AB572" s="99">
        <f t="shared" si="15"/>
        <v>0</v>
      </c>
      <c r="AC572" s="99">
        <f t="shared" si="15"/>
        <v>0</v>
      </c>
      <c r="AD572" s="99">
        <f t="shared" si="15"/>
        <v>0</v>
      </c>
      <c r="AE572" s="99">
        <f t="shared" si="15"/>
        <v>0</v>
      </c>
      <c r="AF572" s="99">
        <f t="shared" si="15"/>
        <v>0</v>
      </c>
      <c r="AG572" s="99">
        <f t="shared" si="15"/>
        <v>0</v>
      </c>
      <c r="AH572" s="99">
        <f t="shared" si="15"/>
        <v>0</v>
      </c>
      <c r="AI572" s="99">
        <f t="shared" si="15"/>
        <v>0</v>
      </c>
      <c r="AJ572" s="99">
        <f t="shared" si="15"/>
        <v>0</v>
      </c>
      <c r="AK572" s="99">
        <f t="shared" si="15"/>
        <v>0</v>
      </c>
      <c r="AL572" s="99">
        <f t="shared" si="15"/>
        <v>0</v>
      </c>
      <c r="AM572" s="99">
        <f t="shared" si="15"/>
        <v>0</v>
      </c>
      <c r="AN572" s="99">
        <f t="shared" si="15"/>
        <v>0</v>
      </c>
      <c r="AO572" s="99">
        <f t="shared" si="15"/>
        <v>0</v>
      </c>
      <c r="AP572" s="99">
        <f t="shared" si="15"/>
        <v>0</v>
      </c>
      <c r="AQ572" s="99">
        <f t="shared" si="15"/>
        <v>0</v>
      </c>
      <c r="AR572" s="99">
        <f t="shared" si="15"/>
        <v>0</v>
      </c>
    </row>
    <row r="573" spans="1:44" ht="15" x14ac:dyDescent="0.25">
      <c r="A573" s="258" t="e">
        <f t="shared" si="12"/>
        <v>#N/A</v>
      </c>
      <c r="B573" s="854"/>
      <c r="C573" s="854"/>
      <c r="D573" s="862"/>
      <c r="E573" s="99">
        <f t="shared" si="13"/>
        <v>0</v>
      </c>
      <c r="F573" s="99">
        <f t="shared" si="13"/>
        <v>0</v>
      </c>
      <c r="G573" s="99">
        <f t="shared" si="13"/>
        <v>0</v>
      </c>
      <c r="H573" s="99">
        <f t="shared" si="13"/>
        <v>0</v>
      </c>
      <c r="I573" s="99">
        <f t="shared" si="13"/>
        <v>0</v>
      </c>
      <c r="J573" s="99">
        <f t="shared" si="13"/>
        <v>0</v>
      </c>
      <c r="K573" s="99">
        <f t="shared" si="13"/>
        <v>0</v>
      </c>
      <c r="L573" s="99">
        <f t="shared" si="13"/>
        <v>0</v>
      </c>
      <c r="M573" s="99">
        <f t="shared" si="13"/>
        <v>0</v>
      </c>
      <c r="N573" s="99">
        <f t="shared" si="13"/>
        <v>0</v>
      </c>
      <c r="O573" s="99">
        <f t="shared" si="13"/>
        <v>0</v>
      </c>
      <c r="P573" s="99">
        <f t="shared" si="13"/>
        <v>0</v>
      </c>
      <c r="Q573" s="99">
        <f t="shared" si="13"/>
        <v>0</v>
      </c>
      <c r="R573" s="99">
        <f t="shared" si="13"/>
        <v>0</v>
      </c>
      <c r="S573" s="99">
        <f t="shared" si="13"/>
        <v>0</v>
      </c>
      <c r="T573" s="99">
        <f t="shared" si="13"/>
        <v>0</v>
      </c>
      <c r="U573" s="99">
        <f t="shared" si="15"/>
        <v>0</v>
      </c>
      <c r="V573" s="99">
        <f t="shared" si="15"/>
        <v>0</v>
      </c>
      <c r="W573" s="99">
        <f t="shared" si="15"/>
        <v>0</v>
      </c>
      <c r="X573" s="99">
        <f t="shared" si="15"/>
        <v>0</v>
      </c>
      <c r="Y573" s="99">
        <f t="shared" si="15"/>
        <v>0</v>
      </c>
      <c r="Z573" s="99">
        <f t="shared" si="15"/>
        <v>0</v>
      </c>
      <c r="AA573" s="99">
        <f t="shared" si="15"/>
        <v>0</v>
      </c>
      <c r="AB573" s="99">
        <f t="shared" si="15"/>
        <v>0</v>
      </c>
      <c r="AC573" s="99">
        <f t="shared" si="15"/>
        <v>0</v>
      </c>
      <c r="AD573" s="99">
        <f t="shared" si="15"/>
        <v>0</v>
      </c>
      <c r="AE573" s="99">
        <f t="shared" si="15"/>
        <v>0</v>
      </c>
      <c r="AF573" s="99">
        <f t="shared" si="15"/>
        <v>0</v>
      </c>
      <c r="AG573" s="99">
        <f t="shared" si="15"/>
        <v>0</v>
      </c>
      <c r="AH573" s="99">
        <f t="shared" si="15"/>
        <v>0</v>
      </c>
      <c r="AI573" s="99">
        <f t="shared" si="15"/>
        <v>0</v>
      </c>
      <c r="AJ573" s="99">
        <f t="shared" si="15"/>
        <v>0</v>
      </c>
      <c r="AK573" s="99">
        <f t="shared" si="15"/>
        <v>0</v>
      </c>
      <c r="AL573" s="99">
        <f t="shared" si="15"/>
        <v>0</v>
      </c>
      <c r="AM573" s="99">
        <f t="shared" si="15"/>
        <v>0</v>
      </c>
      <c r="AN573" s="99">
        <f t="shared" si="15"/>
        <v>0</v>
      </c>
      <c r="AO573" s="99">
        <f t="shared" si="15"/>
        <v>0</v>
      </c>
      <c r="AP573" s="99">
        <f t="shared" si="15"/>
        <v>0</v>
      </c>
      <c r="AQ573" s="99">
        <f t="shared" si="15"/>
        <v>0</v>
      </c>
      <c r="AR573" s="99">
        <f t="shared" si="15"/>
        <v>0</v>
      </c>
    </row>
    <row r="574" spans="1:44" ht="15" x14ac:dyDescent="0.25">
      <c r="A574" s="258" t="e">
        <f t="shared" si="12"/>
        <v>#N/A</v>
      </c>
      <c r="B574" s="854"/>
      <c r="C574" s="854"/>
      <c r="D574" s="862"/>
      <c r="E574" s="99">
        <f t="shared" si="13"/>
        <v>0</v>
      </c>
      <c r="F574" s="99">
        <f t="shared" si="13"/>
        <v>0</v>
      </c>
      <c r="G574" s="99">
        <f t="shared" si="13"/>
        <v>0</v>
      </c>
      <c r="H574" s="99">
        <f t="shared" si="13"/>
        <v>0</v>
      </c>
      <c r="I574" s="99">
        <f t="shared" si="13"/>
        <v>0</v>
      </c>
      <c r="J574" s="99">
        <f t="shared" si="13"/>
        <v>0</v>
      </c>
      <c r="K574" s="99">
        <f t="shared" si="13"/>
        <v>0</v>
      </c>
      <c r="L574" s="99">
        <f t="shared" si="13"/>
        <v>0</v>
      </c>
      <c r="M574" s="99">
        <f t="shared" si="13"/>
        <v>0</v>
      </c>
      <c r="N574" s="99">
        <f t="shared" si="13"/>
        <v>0</v>
      </c>
      <c r="O574" s="99">
        <f t="shared" si="13"/>
        <v>0</v>
      </c>
      <c r="P574" s="99">
        <f t="shared" si="13"/>
        <v>0</v>
      </c>
      <c r="Q574" s="99">
        <f t="shared" si="13"/>
        <v>0</v>
      </c>
      <c r="R574" s="99">
        <f t="shared" si="13"/>
        <v>0</v>
      </c>
      <c r="S574" s="99">
        <f t="shared" si="13"/>
        <v>0</v>
      </c>
      <c r="T574" s="99">
        <f t="shared" si="13"/>
        <v>0</v>
      </c>
      <c r="U574" s="99">
        <f t="shared" si="15"/>
        <v>0</v>
      </c>
      <c r="V574" s="99">
        <f t="shared" si="15"/>
        <v>0</v>
      </c>
      <c r="W574" s="99">
        <f t="shared" si="15"/>
        <v>0</v>
      </c>
      <c r="X574" s="99">
        <f t="shared" si="15"/>
        <v>0</v>
      </c>
      <c r="Y574" s="99">
        <f t="shared" si="15"/>
        <v>0</v>
      </c>
      <c r="Z574" s="99">
        <f t="shared" si="15"/>
        <v>0</v>
      </c>
      <c r="AA574" s="99">
        <f t="shared" si="15"/>
        <v>0</v>
      </c>
      <c r="AB574" s="99">
        <f t="shared" si="15"/>
        <v>0</v>
      </c>
      <c r="AC574" s="99">
        <f t="shared" si="15"/>
        <v>0</v>
      </c>
      <c r="AD574" s="99">
        <f t="shared" si="15"/>
        <v>0</v>
      </c>
      <c r="AE574" s="99">
        <f t="shared" si="15"/>
        <v>0</v>
      </c>
      <c r="AF574" s="99">
        <f t="shared" si="15"/>
        <v>0</v>
      </c>
      <c r="AG574" s="99">
        <f t="shared" si="15"/>
        <v>0</v>
      </c>
      <c r="AH574" s="99">
        <f t="shared" si="15"/>
        <v>0</v>
      </c>
      <c r="AI574" s="99">
        <f t="shared" si="15"/>
        <v>0</v>
      </c>
      <c r="AJ574" s="99">
        <f t="shared" si="15"/>
        <v>0</v>
      </c>
      <c r="AK574" s="99">
        <f t="shared" si="15"/>
        <v>0</v>
      </c>
      <c r="AL574" s="99">
        <f t="shared" si="15"/>
        <v>0</v>
      </c>
      <c r="AM574" s="99">
        <f t="shared" si="15"/>
        <v>0</v>
      </c>
      <c r="AN574" s="99">
        <f t="shared" si="15"/>
        <v>0</v>
      </c>
      <c r="AO574" s="99">
        <f t="shared" si="15"/>
        <v>0</v>
      </c>
      <c r="AP574" s="99">
        <f t="shared" si="15"/>
        <v>0</v>
      </c>
      <c r="AQ574" s="99">
        <f t="shared" si="15"/>
        <v>0</v>
      </c>
      <c r="AR574" s="99">
        <f t="shared" si="15"/>
        <v>0</v>
      </c>
    </row>
    <row r="575" spans="1:44" ht="15" x14ac:dyDescent="0.25">
      <c r="A575" s="258" t="e">
        <f t="shared" si="12"/>
        <v>#N/A</v>
      </c>
      <c r="B575" s="854"/>
      <c r="C575" s="854"/>
      <c r="D575" s="862"/>
      <c r="E575" s="99">
        <f t="shared" si="13"/>
        <v>0</v>
      </c>
      <c r="F575" s="99">
        <f t="shared" si="13"/>
        <v>0</v>
      </c>
      <c r="G575" s="99">
        <f t="shared" si="13"/>
        <v>0</v>
      </c>
      <c r="H575" s="99">
        <f t="shared" si="13"/>
        <v>0</v>
      </c>
      <c r="I575" s="99">
        <f t="shared" si="13"/>
        <v>0</v>
      </c>
      <c r="J575" s="99">
        <f t="shared" si="13"/>
        <v>0</v>
      </c>
      <c r="K575" s="99">
        <f t="shared" si="13"/>
        <v>0</v>
      </c>
      <c r="L575" s="99">
        <f t="shared" si="13"/>
        <v>0</v>
      </c>
      <c r="M575" s="99">
        <f t="shared" si="13"/>
        <v>0</v>
      </c>
      <c r="N575" s="99">
        <f t="shared" si="13"/>
        <v>0</v>
      </c>
      <c r="O575" s="99">
        <f t="shared" si="13"/>
        <v>0</v>
      </c>
      <c r="P575" s="99">
        <f t="shared" si="13"/>
        <v>0</v>
      </c>
      <c r="Q575" s="99">
        <f t="shared" si="13"/>
        <v>0</v>
      </c>
      <c r="R575" s="99">
        <f t="shared" si="13"/>
        <v>0</v>
      </c>
      <c r="S575" s="99">
        <f t="shared" si="13"/>
        <v>0</v>
      </c>
      <c r="T575" s="99">
        <f t="shared" si="13"/>
        <v>0</v>
      </c>
      <c r="U575" s="99">
        <f t="shared" si="15"/>
        <v>0</v>
      </c>
      <c r="V575" s="99">
        <f t="shared" si="15"/>
        <v>0</v>
      </c>
      <c r="W575" s="99">
        <f t="shared" si="15"/>
        <v>0</v>
      </c>
      <c r="X575" s="99">
        <f t="shared" si="15"/>
        <v>0</v>
      </c>
      <c r="Y575" s="99">
        <f t="shared" si="15"/>
        <v>0</v>
      </c>
      <c r="Z575" s="99">
        <f t="shared" si="15"/>
        <v>0</v>
      </c>
      <c r="AA575" s="99">
        <f t="shared" si="15"/>
        <v>0</v>
      </c>
      <c r="AB575" s="99">
        <f t="shared" si="15"/>
        <v>0</v>
      </c>
      <c r="AC575" s="99">
        <f t="shared" si="15"/>
        <v>0</v>
      </c>
      <c r="AD575" s="99">
        <f t="shared" si="15"/>
        <v>0</v>
      </c>
      <c r="AE575" s="99">
        <f t="shared" si="15"/>
        <v>0</v>
      </c>
      <c r="AF575" s="99">
        <f t="shared" si="15"/>
        <v>0</v>
      </c>
      <c r="AG575" s="99">
        <f t="shared" si="15"/>
        <v>0</v>
      </c>
      <c r="AH575" s="99">
        <f t="shared" si="15"/>
        <v>0</v>
      </c>
      <c r="AI575" s="99">
        <f t="shared" si="15"/>
        <v>0</v>
      </c>
      <c r="AJ575" s="99">
        <f t="shared" si="15"/>
        <v>0</v>
      </c>
      <c r="AK575" s="99">
        <f t="shared" si="15"/>
        <v>0</v>
      </c>
      <c r="AL575" s="99">
        <f t="shared" si="15"/>
        <v>0</v>
      </c>
      <c r="AM575" s="99">
        <f t="shared" si="15"/>
        <v>0</v>
      </c>
      <c r="AN575" s="99">
        <f t="shared" si="15"/>
        <v>0</v>
      </c>
      <c r="AO575" s="99">
        <f t="shared" si="15"/>
        <v>0</v>
      </c>
      <c r="AP575" s="99">
        <f t="shared" si="15"/>
        <v>0</v>
      </c>
      <c r="AQ575" s="99">
        <f t="shared" si="15"/>
        <v>0</v>
      </c>
      <c r="AR575" s="99">
        <f t="shared" si="15"/>
        <v>0</v>
      </c>
    </row>
    <row r="576" spans="1:44" ht="15" x14ac:dyDescent="0.25">
      <c r="A576" s="258" t="e">
        <f t="shared" si="12"/>
        <v>#N/A</v>
      </c>
      <c r="B576" s="854"/>
      <c r="C576" s="854"/>
      <c r="D576" s="862"/>
      <c r="E576" s="99">
        <f t="shared" si="13"/>
        <v>0</v>
      </c>
      <c r="F576" s="99">
        <f t="shared" si="13"/>
        <v>0</v>
      </c>
      <c r="G576" s="99">
        <f t="shared" si="13"/>
        <v>0</v>
      </c>
      <c r="H576" s="99">
        <f t="shared" si="13"/>
        <v>0</v>
      </c>
      <c r="I576" s="99">
        <f t="shared" si="13"/>
        <v>0</v>
      </c>
      <c r="J576" s="99">
        <f t="shared" si="13"/>
        <v>0</v>
      </c>
      <c r="K576" s="99">
        <f t="shared" si="13"/>
        <v>0</v>
      </c>
      <c r="L576" s="99">
        <f t="shared" si="13"/>
        <v>0</v>
      </c>
      <c r="M576" s="99">
        <f t="shared" si="13"/>
        <v>0</v>
      </c>
      <c r="N576" s="99">
        <f t="shared" si="13"/>
        <v>0</v>
      </c>
      <c r="O576" s="99">
        <f t="shared" si="13"/>
        <v>0</v>
      </c>
      <c r="P576" s="99">
        <f t="shared" si="13"/>
        <v>0</v>
      </c>
      <c r="Q576" s="99">
        <f t="shared" si="13"/>
        <v>0</v>
      </c>
      <c r="R576" s="99">
        <f t="shared" si="13"/>
        <v>0</v>
      </c>
      <c r="S576" s="99">
        <f t="shared" si="13"/>
        <v>0</v>
      </c>
      <c r="T576" s="99">
        <f t="shared" si="13"/>
        <v>0</v>
      </c>
      <c r="U576" s="99">
        <f t="shared" si="15"/>
        <v>0</v>
      </c>
      <c r="V576" s="99">
        <f t="shared" si="15"/>
        <v>0</v>
      </c>
      <c r="W576" s="99">
        <f t="shared" si="15"/>
        <v>0</v>
      </c>
      <c r="X576" s="99">
        <f t="shared" si="15"/>
        <v>0</v>
      </c>
      <c r="Y576" s="99">
        <f t="shared" si="15"/>
        <v>0</v>
      </c>
      <c r="Z576" s="99">
        <f t="shared" si="15"/>
        <v>0</v>
      </c>
      <c r="AA576" s="99">
        <f t="shared" si="15"/>
        <v>0</v>
      </c>
      <c r="AB576" s="99">
        <f t="shared" si="15"/>
        <v>0</v>
      </c>
      <c r="AC576" s="99">
        <f t="shared" si="15"/>
        <v>0</v>
      </c>
      <c r="AD576" s="99">
        <f t="shared" si="15"/>
        <v>0</v>
      </c>
      <c r="AE576" s="99">
        <f t="shared" si="15"/>
        <v>0</v>
      </c>
      <c r="AF576" s="99">
        <f t="shared" si="15"/>
        <v>0</v>
      </c>
      <c r="AG576" s="99">
        <f t="shared" si="15"/>
        <v>0</v>
      </c>
      <c r="AH576" s="99">
        <f t="shared" si="15"/>
        <v>0</v>
      </c>
      <c r="AI576" s="99">
        <f t="shared" si="15"/>
        <v>0</v>
      </c>
      <c r="AJ576" s="99">
        <f t="shared" si="15"/>
        <v>0</v>
      </c>
      <c r="AK576" s="99">
        <f t="shared" si="15"/>
        <v>0</v>
      </c>
      <c r="AL576" s="99">
        <f t="shared" si="15"/>
        <v>0</v>
      </c>
      <c r="AM576" s="99">
        <f t="shared" si="15"/>
        <v>0</v>
      </c>
      <c r="AN576" s="99">
        <f t="shared" si="15"/>
        <v>0</v>
      </c>
      <c r="AO576" s="99">
        <f t="shared" si="15"/>
        <v>0</v>
      </c>
      <c r="AP576" s="99">
        <f t="shared" si="15"/>
        <v>0</v>
      </c>
      <c r="AQ576" s="99">
        <f t="shared" si="15"/>
        <v>0</v>
      </c>
      <c r="AR576" s="99">
        <f t="shared" si="15"/>
        <v>0</v>
      </c>
    </row>
    <row r="577" spans="1:44" ht="15" x14ac:dyDescent="0.25">
      <c r="A577" s="258" t="e">
        <f t="shared" si="12"/>
        <v>#N/A</v>
      </c>
      <c r="B577" s="854"/>
      <c r="C577" s="854"/>
      <c r="D577" s="862"/>
      <c r="E577" s="99">
        <f t="shared" si="13"/>
        <v>0</v>
      </c>
      <c r="F577" s="99">
        <f t="shared" si="13"/>
        <v>0</v>
      </c>
      <c r="G577" s="99">
        <f t="shared" si="13"/>
        <v>0</v>
      </c>
      <c r="H577" s="99">
        <f t="shared" si="13"/>
        <v>0</v>
      </c>
      <c r="I577" s="99">
        <f t="shared" si="13"/>
        <v>0</v>
      </c>
      <c r="J577" s="99">
        <f t="shared" si="13"/>
        <v>0</v>
      </c>
      <c r="K577" s="99">
        <f t="shared" si="13"/>
        <v>0</v>
      </c>
      <c r="L577" s="99">
        <f t="shared" si="13"/>
        <v>0</v>
      </c>
      <c r="M577" s="99">
        <f t="shared" si="13"/>
        <v>0</v>
      </c>
      <c r="N577" s="99">
        <f t="shared" si="13"/>
        <v>0</v>
      </c>
      <c r="O577" s="99">
        <f t="shared" si="13"/>
        <v>0</v>
      </c>
      <c r="P577" s="99">
        <f t="shared" si="13"/>
        <v>0</v>
      </c>
      <c r="Q577" s="99">
        <f t="shared" si="13"/>
        <v>0</v>
      </c>
      <c r="R577" s="99">
        <f t="shared" si="13"/>
        <v>0</v>
      </c>
      <c r="S577" s="99">
        <f t="shared" si="13"/>
        <v>0</v>
      </c>
      <c r="T577" s="99">
        <f t="shared" si="13"/>
        <v>0</v>
      </c>
      <c r="U577" s="99">
        <f t="shared" si="15"/>
        <v>0</v>
      </c>
      <c r="V577" s="99">
        <f t="shared" si="15"/>
        <v>0</v>
      </c>
      <c r="W577" s="99">
        <f t="shared" si="15"/>
        <v>0</v>
      </c>
      <c r="X577" s="99">
        <f t="shared" si="15"/>
        <v>0</v>
      </c>
      <c r="Y577" s="99">
        <f t="shared" si="15"/>
        <v>0</v>
      </c>
      <c r="Z577" s="99">
        <f t="shared" si="15"/>
        <v>0</v>
      </c>
      <c r="AA577" s="99">
        <f t="shared" si="15"/>
        <v>0</v>
      </c>
      <c r="AB577" s="99">
        <f t="shared" si="15"/>
        <v>0</v>
      </c>
      <c r="AC577" s="99">
        <f t="shared" si="15"/>
        <v>0</v>
      </c>
      <c r="AD577" s="99">
        <f t="shared" si="15"/>
        <v>0</v>
      </c>
      <c r="AE577" s="99">
        <f t="shared" si="15"/>
        <v>0</v>
      </c>
      <c r="AF577" s="99">
        <f t="shared" si="15"/>
        <v>0</v>
      </c>
      <c r="AG577" s="99">
        <f t="shared" si="15"/>
        <v>0</v>
      </c>
      <c r="AH577" s="99">
        <f t="shared" si="15"/>
        <v>0</v>
      </c>
      <c r="AI577" s="99">
        <f t="shared" si="15"/>
        <v>0</v>
      </c>
      <c r="AJ577" s="99">
        <f t="shared" ref="AJ577:AR577" si="16">IFERROR(INDEX(AJ$8:AJ$552,$A577),0)</f>
        <v>0</v>
      </c>
      <c r="AK577" s="99">
        <f t="shared" si="16"/>
        <v>0</v>
      </c>
      <c r="AL577" s="99">
        <f t="shared" si="16"/>
        <v>0</v>
      </c>
      <c r="AM577" s="99">
        <f t="shared" si="16"/>
        <v>0</v>
      </c>
      <c r="AN577" s="99">
        <f t="shared" si="16"/>
        <v>0</v>
      </c>
      <c r="AO577" s="99">
        <f t="shared" si="16"/>
        <v>0</v>
      </c>
      <c r="AP577" s="99">
        <f t="shared" si="16"/>
        <v>0</v>
      </c>
      <c r="AQ577" s="99">
        <f t="shared" si="16"/>
        <v>0</v>
      </c>
      <c r="AR577" s="99">
        <f t="shared" si="16"/>
        <v>0</v>
      </c>
    </row>
    <row r="578" spans="1:44" ht="15" x14ac:dyDescent="0.25">
      <c r="A578" s="258" t="e">
        <f t="shared" si="12"/>
        <v>#N/A</v>
      </c>
      <c r="B578" s="854"/>
      <c r="C578" s="854"/>
      <c r="D578" s="862"/>
      <c r="E578" s="99">
        <f t="shared" si="13"/>
        <v>0</v>
      </c>
      <c r="F578" s="99">
        <f t="shared" si="13"/>
        <v>0</v>
      </c>
      <c r="G578" s="99">
        <f t="shared" si="13"/>
        <v>0</v>
      </c>
      <c r="H578" s="99">
        <f t="shared" si="13"/>
        <v>0</v>
      </c>
      <c r="I578" s="99">
        <f t="shared" si="13"/>
        <v>0</v>
      </c>
      <c r="J578" s="99">
        <f t="shared" si="13"/>
        <v>0</v>
      </c>
      <c r="K578" s="99">
        <f t="shared" si="13"/>
        <v>0</v>
      </c>
      <c r="L578" s="99">
        <f t="shared" si="13"/>
        <v>0</v>
      </c>
      <c r="M578" s="99">
        <f t="shared" si="13"/>
        <v>0</v>
      </c>
      <c r="N578" s="99">
        <f t="shared" si="13"/>
        <v>0</v>
      </c>
      <c r="O578" s="99">
        <f t="shared" si="13"/>
        <v>0</v>
      </c>
      <c r="P578" s="99">
        <f t="shared" si="13"/>
        <v>0</v>
      </c>
      <c r="Q578" s="99">
        <f t="shared" si="13"/>
        <v>0</v>
      </c>
      <c r="R578" s="99">
        <f t="shared" si="13"/>
        <v>0</v>
      </c>
      <c r="S578" s="99">
        <f t="shared" si="13"/>
        <v>0</v>
      </c>
      <c r="T578" s="99">
        <f t="shared" si="13"/>
        <v>0</v>
      </c>
      <c r="U578" s="99">
        <f t="shared" ref="U578:AR580" si="17">IFERROR(INDEX(U$8:U$552,$A578),0)</f>
        <v>0</v>
      </c>
      <c r="V578" s="99">
        <f t="shared" si="17"/>
        <v>0</v>
      </c>
      <c r="W578" s="99">
        <f t="shared" si="17"/>
        <v>0</v>
      </c>
      <c r="X578" s="99">
        <f t="shared" si="17"/>
        <v>0</v>
      </c>
      <c r="Y578" s="99">
        <f t="shared" si="17"/>
        <v>0</v>
      </c>
      <c r="Z578" s="99">
        <f t="shared" si="17"/>
        <v>0</v>
      </c>
      <c r="AA578" s="99">
        <f t="shared" si="17"/>
        <v>0</v>
      </c>
      <c r="AB578" s="99">
        <f t="shared" si="17"/>
        <v>0</v>
      </c>
      <c r="AC578" s="99">
        <f t="shared" si="17"/>
        <v>0</v>
      </c>
      <c r="AD578" s="99">
        <f t="shared" si="17"/>
        <v>0</v>
      </c>
      <c r="AE578" s="99">
        <f t="shared" si="17"/>
        <v>0</v>
      </c>
      <c r="AF578" s="99">
        <f t="shared" si="17"/>
        <v>0</v>
      </c>
      <c r="AG578" s="99">
        <f t="shared" si="17"/>
        <v>0</v>
      </c>
      <c r="AH578" s="99">
        <f t="shared" si="17"/>
        <v>0</v>
      </c>
      <c r="AI578" s="99">
        <f t="shared" si="17"/>
        <v>0</v>
      </c>
      <c r="AJ578" s="99">
        <f t="shared" si="17"/>
        <v>0</v>
      </c>
      <c r="AK578" s="99">
        <f t="shared" si="17"/>
        <v>0</v>
      </c>
      <c r="AL578" s="99">
        <f t="shared" si="17"/>
        <v>0</v>
      </c>
      <c r="AM578" s="99">
        <f t="shared" si="17"/>
        <v>0</v>
      </c>
      <c r="AN578" s="99">
        <f t="shared" si="17"/>
        <v>0</v>
      </c>
      <c r="AO578" s="99">
        <f t="shared" si="17"/>
        <v>0</v>
      </c>
      <c r="AP578" s="99">
        <f t="shared" si="17"/>
        <v>0</v>
      </c>
      <c r="AQ578" s="99">
        <f t="shared" si="17"/>
        <v>0</v>
      </c>
      <c r="AR578" s="99">
        <f t="shared" si="17"/>
        <v>0</v>
      </c>
    </row>
    <row r="579" spans="1:44" ht="15" x14ac:dyDescent="0.25">
      <c r="A579" s="258" t="e">
        <f t="shared" si="12"/>
        <v>#N/A</v>
      </c>
      <c r="B579" s="854"/>
      <c r="C579" s="854"/>
      <c r="D579" s="862"/>
      <c r="E579" s="99">
        <f t="shared" si="13"/>
        <v>0</v>
      </c>
      <c r="F579" s="99">
        <f t="shared" si="13"/>
        <v>0</v>
      </c>
      <c r="G579" s="99">
        <f t="shared" si="13"/>
        <v>0</v>
      </c>
      <c r="H579" s="99">
        <f t="shared" si="13"/>
        <v>0</v>
      </c>
      <c r="I579" s="99">
        <f t="shared" si="13"/>
        <v>0</v>
      </c>
      <c r="J579" s="99">
        <f t="shared" si="13"/>
        <v>0</v>
      </c>
      <c r="K579" s="99">
        <f t="shared" si="13"/>
        <v>0</v>
      </c>
      <c r="L579" s="99">
        <f t="shared" si="13"/>
        <v>0</v>
      </c>
      <c r="M579" s="99">
        <f t="shared" si="13"/>
        <v>0</v>
      </c>
      <c r="N579" s="99">
        <f t="shared" si="13"/>
        <v>0</v>
      </c>
      <c r="O579" s="99">
        <f t="shared" si="13"/>
        <v>0</v>
      </c>
      <c r="P579" s="99">
        <f t="shared" si="13"/>
        <v>0</v>
      </c>
      <c r="Q579" s="99">
        <f t="shared" si="13"/>
        <v>0</v>
      </c>
      <c r="R579" s="99">
        <f t="shared" si="13"/>
        <v>0</v>
      </c>
      <c r="S579" s="99">
        <f t="shared" si="13"/>
        <v>0</v>
      </c>
      <c r="T579" s="99">
        <f t="shared" si="13"/>
        <v>0</v>
      </c>
      <c r="U579" s="99">
        <f t="shared" si="17"/>
        <v>0</v>
      </c>
      <c r="V579" s="99">
        <f t="shared" si="17"/>
        <v>0</v>
      </c>
      <c r="W579" s="99">
        <f t="shared" si="17"/>
        <v>0</v>
      </c>
      <c r="X579" s="99">
        <f t="shared" si="17"/>
        <v>0</v>
      </c>
      <c r="Y579" s="99">
        <f t="shared" si="17"/>
        <v>0</v>
      </c>
      <c r="Z579" s="99">
        <f t="shared" si="17"/>
        <v>0</v>
      </c>
      <c r="AA579" s="99">
        <f t="shared" si="17"/>
        <v>0</v>
      </c>
      <c r="AB579" s="99">
        <f t="shared" si="17"/>
        <v>0</v>
      </c>
      <c r="AC579" s="99">
        <f t="shared" si="17"/>
        <v>0</v>
      </c>
      <c r="AD579" s="99">
        <f t="shared" si="17"/>
        <v>0</v>
      </c>
      <c r="AE579" s="99">
        <f t="shared" si="17"/>
        <v>0</v>
      </c>
      <c r="AF579" s="99">
        <f t="shared" si="17"/>
        <v>0</v>
      </c>
      <c r="AG579" s="99">
        <f t="shared" si="17"/>
        <v>0</v>
      </c>
      <c r="AH579" s="99">
        <f t="shared" si="17"/>
        <v>0</v>
      </c>
      <c r="AI579" s="99">
        <f t="shared" si="17"/>
        <v>0</v>
      </c>
      <c r="AJ579" s="99">
        <f t="shared" si="17"/>
        <v>0</v>
      </c>
      <c r="AK579" s="99">
        <f t="shared" si="17"/>
        <v>0</v>
      </c>
      <c r="AL579" s="99">
        <f t="shared" si="17"/>
        <v>0</v>
      </c>
      <c r="AM579" s="99">
        <f t="shared" si="17"/>
        <v>0</v>
      </c>
      <c r="AN579" s="99">
        <f t="shared" si="17"/>
        <v>0</v>
      </c>
      <c r="AO579" s="99">
        <f t="shared" si="17"/>
        <v>0</v>
      </c>
      <c r="AP579" s="99">
        <f t="shared" si="17"/>
        <v>0</v>
      </c>
      <c r="AQ579" s="99">
        <f t="shared" si="17"/>
        <v>0</v>
      </c>
      <c r="AR579" s="99">
        <f t="shared" si="17"/>
        <v>0</v>
      </c>
    </row>
    <row r="580" spans="1:44" ht="15" x14ac:dyDescent="0.25">
      <c r="A580" s="258" t="e">
        <f t="shared" si="12"/>
        <v>#N/A</v>
      </c>
      <c r="B580" s="854"/>
      <c r="C580" s="854"/>
      <c r="D580" s="862"/>
      <c r="E580" s="99">
        <f t="shared" si="13"/>
        <v>0</v>
      </c>
      <c r="F580" s="99">
        <f t="shared" si="13"/>
        <v>0</v>
      </c>
      <c r="G580" s="99">
        <f t="shared" si="13"/>
        <v>0</v>
      </c>
      <c r="H580" s="99">
        <f t="shared" si="13"/>
        <v>0</v>
      </c>
      <c r="I580" s="99">
        <f t="shared" si="13"/>
        <v>0</v>
      </c>
      <c r="J580" s="99">
        <f t="shared" si="13"/>
        <v>0</v>
      </c>
      <c r="K580" s="99">
        <f t="shared" si="13"/>
        <v>0</v>
      </c>
      <c r="L580" s="99">
        <f t="shared" si="13"/>
        <v>0</v>
      </c>
      <c r="M580" s="99">
        <f t="shared" si="13"/>
        <v>0</v>
      </c>
      <c r="N580" s="99">
        <f t="shared" si="13"/>
        <v>0</v>
      </c>
      <c r="O580" s="99">
        <f t="shared" si="13"/>
        <v>0</v>
      </c>
      <c r="P580" s="99">
        <f t="shared" si="13"/>
        <v>0</v>
      </c>
      <c r="Q580" s="99">
        <f t="shared" si="13"/>
        <v>0</v>
      </c>
      <c r="R580" s="99">
        <f t="shared" si="13"/>
        <v>0</v>
      </c>
      <c r="S580" s="99">
        <f t="shared" si="13"/>
        <v>0</v>
      </c>
      <c r="T580" s="99">
        <f t="shared" si="13"/>
        <v>0</v>
      </c>
      <c r="U580" s="99">
        <f t="shared" si="17"/>
        <v>0</v>
      </c>
      <c r="V580" s="99">
        <f t="shared" si="17"/>
        <v>0</v>
      </c>
      <c r="W580" s="99">
        <f t="shared" si="17"/>
        <v>0</v>
      </c>
      <c r="X580" s="99">
        <f t="shared" si="17"/>
        <v>0</v>
      </c>
      <c r="Y580" s="99">
        <f t="shared" si="17"/>
        <v>0</v>
      </c>
      <c r="Z580" s="99">
        <f t="shared" si="17"/>
        <v>0</v>
      </c>
      <c r="AA580" s="99">
        <f t="shared" si="17"/>
        <v>0</v>
      </c>
      <c r="AB580" s="99">
        <f t="shared" si="17"/>
        <v>0</v>
      </c>
      <c r="AC580" s="99">
        <f t="shared" si="17"/>
        <v>0</v>
      </c>
      <c r="AD580" s="99">
        <f t="shared" si="17"/>
        <v>0</v>
      </c>
      <c r="AE580" s="99">
        <f t="shared" si="17"/>
        <v>0</v>
      </c>
      <c r="AF580" s="99">
        <f t="shared" si="17"/>
        <v>0</v>
      </c>
      <c r="AG580" s="99">
        <f t="shared" si="17"/>
        <v>0</v>
      </c>
      <c r="AH580" s="99">
        <f t="shared" si="17"/>
        <v>0</v>
      </c>
      <c r="AI580" s="99">
        <f t="shared" si="17"/>
        <v>0</v>
      </c>
      <c r="AJ580" s="99">
        <f t="shared" si="17"/>
        <v>0</v>
      </c>
      <c r="AK580" s="99">
        <f t="shared" si="17"/>
        <v>0</v>
      </c>
      <c r="AL580" s="99">
        <f t="shared" si="17"/>
        <v>0</v>
      </c>
      <c r="AM580" s="99">
        <f t="shared" si="17"/>
        <v>0</v>
      </c>
      <c r="AN580" s="99">
        <f t="shared" si="17"/>
        <v>0</v>
      </c>
      <c r="AO580" s="99">
        <f t="shared" si="17"/>
        <v>0</v>
      </c>
      <c r="AP580" s="99">
        <f t="shared" si="17"/>
        <v>0</v>
      </c>
      <c r="AQ580" s="99">
        <f t="shared" si="17"/>
        <v>0</v>
      </c>
      <c r="AR580" s="99">
        <f t="shared" si="17"/>
        <v>0</v>
      </c>
    </row>
    <row r="581" spans="1:44" ht="15" x14ac:dyDescent="0.25">
      <c r="A581" s="258" t="e">
        <f t="shared" si="12"/>
        <v>#N/A</v>
      </c>
      <c r="B581" s="854"/>
      <c r="C581" s="854"/>
      <c r="D581" s="862"/>
      <c r="E581" s="99">
        <f t="shared" si="13"/>
        <v>0</v>
      </c>
      <c r="F581" s="99">
        <f t="shared" si="13"/>
        <v>0</v>
      </c>
      <c r="G581" s="99">
        <f t="shared" si="13"/>
        <v>0</v>
      </c>
      <c r="H581" s="99">
        <f t="shared" si="13"/>
        <v>0</v>
      </c>
      <c r="I581" s="99">
        <f t="shared" si="13"/>
        <v>0</v>
      </c>
      <c r="J581" s="99">
        <f t="shared" si="13"/>
        <v>0</v>
      </c>
      <c r="K581" s="99">
        <f t="shared" si="13"/>
        <v>0</v>
      </c>
      <c r="L581" s="99">
        <f t="shared" si="13"/>
        <v>0</v>
      </c>
      <c r="M581" s="99">
        <f t="shared" si="13"/>
        <v>0</v>
      </c>
      <c r="N581" s="99">
        <f t="shared" si="13"/>
        <v>0</v>
      </c>
      <c r="O581" s="99">
        <f t="shared" ref="O581:AR591" si="18">IFERROR(INDEX(O$8:O$552,$A581),0)</f>
        <v>0</v>
      </c>
      <c r="P581" s="99">
        <f t="shared" si="18"/>
        <v>0</v>
      </c>
      <c r="Q581" s="99">
        <f t="shared" si="18"/>
        <v>0</v>
      </c>
      <c r="R581" s="99">
        <f t="shared" si="18"/>
        <v>0</v>
      </c>
      <c r="S581" s="99">
        <f t="shared" si="18"/>
        <v>0</v>
      </c>
      <c r="T581" s="99">
        <f t="shared" si="18"/>
        <v>0</v>
      </c>
      <c r="U581" s="99">
        <f t="shared" si="18"/>
        <v>0</v>
      </c>
      <c r="V581" s="99">
        <f t="shared" si="18"/>
        <v>0</v>
      </c>
      <c r="W581" s="99">
        <f t="shared" si="18"/>
        <v>0</v>
      </c>
      <c r="X581" s="99">
        <f t="shared" si="18"/>
        <v>0</v>
      </c>
      <c r="Y581" s="99">
        <f t="shared" si="18"/>
        <v>0</v>
      </c>
      <c r="Z581" s="99">
        <f t="shared" si="18"/>
        <v>0</v>
      </c>
      <c r="AA581" s="99">
        <f t="shared" si="18"/>
        <v>0</v>
      </c>
      <c r="AB581" s="99">
        <f t="shared" si="18"/>
        <v>0</v>
      </c>
      <c r="AC581" s="99">
        <f t="shared" si="18"/>
        <v>0</v>
      </c>
      <c r="AD581" s="99">
        <f t="shared" si="18"/>
        <v>0</v>
      </c>
      <c r="AE581" s="99">
        <f t="shared" si="18"/>
        <v>0</v>
      </c>
      <c r="AF581" s="99">
        <f t="shared" si="18"/>
        <v>0</v>
      </c>
      <c r="AG581" s="99">
        <f t="shared" si="18"/>
        <v>0</v>
      </c>
      <c r="AH581" s="99">
        <f t="shared" si="18"/>
        <v>0</v>
      </c>
      <c r="AI581" s="99">
        <f t="shared" si="18"/>
        <v>0</v>
      </c>
      <c r="AJ581" s="99">
        <f t="shared" si="18"/>
        <v>0</v>
      </c>
      <c r="AK581" s="99">
        <f t="shared" si="18"/>
        <v>0</v>
      </c>
      <c r="AL581" s="99">
        <f t="shared" si="18"/>
        <v>0</v>
      </c>
      <c r="AM581" s="99">
        <f t="shared" si="18"/>
        <v>0</v>
      </c>
      <c r="AN581" s="99">
        <f t="shared" si="18"/>
        <v>0</v>
      </c>
      <c r="AO581" s="99">
        <f t="shared" si="18"/>
        <v>0</v>
      </c>
      <c r="AP581" s="99">
        <f t="shared" si="18"/>
        <v>0</v>
      </c>
      <c r="AQ581" s="99">
        <f t="shared" si="18"/>
        <v>0</v>
      </c>
      <c r="AR581" s="99">
        <f t="shared" si="18"/>
        <v>0</v>
      </c>
    </row>
    <row r="582" spans="1:44" ht="15" x14ac:dyDescent="0.25">
      <c r="A582" s="258" t="e">
        <f t="shared" si="12"/>
        <v>#N/A</v>
      </c>
      <c r="B582" s="854"/>
      <c r="C582" s="854"/>
      <c r="D582" s="862"/>
      <c r="E582" s="99">
        <f t="shared" ref="E582:T597" si="19">IFERROR(INDEX(E$8:E$552,$A582),0)</f>
        <v>0</v>
      </c>
      <c r="F582" s="99">
        <f t="shared" si="19"/>
        <v>0</v>
      </c>
      <c r="G582" s="99">
        <f t="shared" si="19"/>
        <v>0</v>
      </c>
      <c r="H582" s="99">
        <f t="shared" si="19"/>
        <v>0</v>
      </c>
      <c r="I582" s="99">
        <f t="shared" si="19"/>
        <v>0</v>
      </c>
      <c r="J582" s="99">
        <f t="shared" si="19"/>
        <v>0</v>
      </c>
      <c r="K582" s="99">
        <f t="shared" si="19"/>
        <v>0</v>
      </c>
      <c r="L582" s="99">
        <f t="shared" si="19"/>
        <v>0</v>
      </c>
      <c r="M582" s="99">
        <f t="shared" si="19"/>
        <v>0</v>
      </c>
      <c r="N582" s="99">
        <f t="shared" si="19"/>
        <v>0</v>
      </c>
      <c r="O582" s="99">
        <f t="shared" si="19"/>
        <v>0</v>
      </c>
      <c r="P582" s="99">
        <f t="shared" si="19"/>
        <v>0</v>
      </c>
      <c r="Q582" s="99">
        <f t="shared" si="19"/>
        <v>0</v>
      </c>
      <c r="R582" s="99">
        <f t="shared" si="19"/>
        <v>0</v>
      </c>
      <c r="S582" s="99">
        <f t="shared" si="19"/>
        <v>0</v>
      </c>
      <c r="T582" s="99">
        <f t="shared" si="19"/>
        <v>0</v>
      </c>
      <c r="U582" s="99">
        <f t="shared" si="18"/>
        <v>0</v>
      </c>
      <c r="V582" s="99">
        <f t="shared" si="18"/>
        <v>0</v>
      </c>
      <c r="W582" s="99">
        <f t="shared" si="18"/>
        <v>0</v>
      </c>
      <c r="X582" s="99">
        <f t="shared" si="18"/>
        <v>0</v>
      </c>
      <c r="Y582" s="99">
        <f t="shared" si="18"/>
        <v>0</v>
      </c>
      <c r="Z582" s="99">
        <f t="shared" si="18"/>
        <v>0</v>
      </c>
      <c r="AA582" s="99">
        <f t="shared" si="18"/>
        <v>0</v>
      </c>
      <c r="AB582" s="99">
        <f t="shared" si="18"/>
        <v>0</v>
      </c>
      <c r="AC582" s="99">
        <f t="shared" si="18"/>
        <v>0</v>
      </c>
      <c r="AD582" s="99">
        <f t="shared" si="18"/>
        <v>0</v>
      </c>
      <c r="AE582" s="99">
        <f t="shared" si="18"/>
        <v>0</v>
      </c>
      <c r="AF582" s="99">
        <f t="shared" si="18"/>
        <v>0</v>
      </c>
      <c r="AG582" s="99">
        <f t="shared" si="18"/>
        <v>0</v>
      </c>
      <c r="AH582" s="99">
        <f t="shared" si="18"/>
        <v>0</v>
      </c>
      <c r="AI582" s="99">
        <f t="shared" si="18"/>
        <v>0</v>
      </c>
      <c r="AJ582" s="99">
        <f t="shared" si="18"/>
        <v>0</v>
      </c>
      <c r="AK582" s="99">
        <f t="shared" si="18"/>
        <v>0</v>
      </c>
      <c r="AL582" s="99">
        <f t="shared" si="18"/>
        <v>0</v>
      </c>
      <c r="AM582" s="99">
        <f t="shared" si="18"/>
        <v>0</v>
      </c>
      <c r="AN582" s="99">
        <f t="shared" si="18"/>
        <v>0</v>
      </c>
      <c r="AO582" s="99">
        <f t="shared" si="18"/>
        <v>0</v>
      </c>
      <c r="AP582" s="99">
        <f t="shared" si="18"/>
        <v>0</v>
      </c>
      <c r="AQ582" s="99">
        <f t="shared" si="18"/>
        <v>0</v>
      </c>
      <c r="AR582" s="99">
        <f t="shared" si="18"/>
        <v>0</v>
      </c>
    </row>
    <row r="583" spans="1:44" ht="15" x14ac:dyDescent="0.25">
      <c r="A583" s="258" t="e">
        <f t="shared" si="12"/>
        <v>#N/A</v>
      </c>
      <c r="B583" s="854"/>
      <c r="C583" s="854"/>
      <c r="D583" s="862"/>
      <c r="E583" s="99">
        <f t="shared" si="19"/>
        <v>0</v>
      </c>
      <c r="F583" s="99">
        <f t="shared" si="19"/>
        <v>0</v>
      </c>
      <c r="G583" s="99">
        <f t="shared" si="19"/>
        <v>0</v>
      </c>
      <c r="H583" s="99">
        <f t="shared" si="19"/>
        <v>0</v>
      </c>
      <c r="I583" s="99">
        <f t="shared" si="19"/>
        <v>0</v>
      </c>
      <c r="J583" s="99">
        <f t="shared" si="19"/>
        <v>0</v>
      </c>
      <c r="K583" s="99">
        <f t="shared" si="19"/>
        <v>0</v>
      </c>
      <c r="L583" s="99">
        <f t="shared" si="19"/>
        <v>0</v>
      </c>
      <c r="M583" s="99">
        <f t="shared" si="19"/>
        <v>0</v>
      </c>
      <c r="N583" s="99">
        <f t="shared" si="19"/>
        <v>0</v>
      </c>
      <c r="O583" s="99">
        <f t="shared" si="19"/>
        <v>0</v>
      </c>
      <c r="P583" s="99">
        <f t="shared" si="19"/>
        <v>0</v>
      </c>
      <c r="Q583" s="99">
        <f t="shared" si="19"/>
        <v>0</v>
      </c>
      <c r="R583" s="99">
        <f t="shared" si="19"/>
        <v>0</v>
      </c>
      <c r="S583" s="99">
        <f t="shared" si="19"/>
        <v>0</v>
      </c>
      <c r="T583" s="99">
        <f t="shared" si="19"/>
        <v>0</v>
      </c>
      <c r="U583" s="99">
        <f t="shared" si="18"/>
        <v>0</v>
      </c>
      <c r="V583" s="99">
        <f t="shared" si="18"/>
        <v>0</v>
      </c>
      <c r="W583" s="99">
        <f t="shared" si="18"/>
        <v>0</v>
      </c>
      <c r="X583" s="99">
        <f t="shared" si="18"/>
        <v>0</v>
      </c>
      <c r="Y583" s="99">
        <f t="shared" si="18"/>
        <v>0</v>
      </c>
      <c r="Z583" s="99">
        <f t="shared" si="18"/>
        <v>0</v>
      </c>
      <c r="AA583" s="99">
        <f t="shared" si="18"/>
        <v>0</v>
      </c>
      <c r="AB583" s="99">
        <f t="shared" si="18"/>
        <v>0</v>
      </c>
      <c r="AC583" s="99">
        <f t="shared" si="18"/>
        <v>0</v>
      </c>
      <c r="AD583" s="99">
        <f t="shared" si="18"/>
        <v>0</v>
      </c>
      <c r="AE583" s="99">
        <f t="shared" si="18"/>
        <v>0</v>
      </c>
      <c r="AF583" s="99">
        <f t="shared" si="18"/>
        <v>0</v>
      </c>
      <c r="AG583" s="99">
        <f t="shared" si="18"/>
        <v>0</v>
      </c>
      <c r="AH583" s="99">
        <f t="shared" si="18"/>
        <v>0</v>
      </c>
      <c r="AI583" s="99">
        <f t="shared" si="18"/>
        <v>0</v>
      </c>
      <c r="AJ583" s="99">
        <f t="shared" si="18"/>
        <v>0</v>
      </c>
      <c r="AK583" s="99">
        <f t="shared" si="18"/>
        <v>0</v>
      </c>
      <c r="AL583" s="99">
        <f t="shared" si="18"/>
        <v>0</v>
      </c>
      <c r="AM583" s="99">
        <f t="shared" si="18"/>
        <v>0</v>
      </c>
      <c r="AN583" s="99">
        <f t="shared" si="18"/>
        <v>0</v>
      </c>
      <c r="AO583" s="99">
        <f t="shared" si="18"/>
        <v>0</v>
      </c>
      <c r="AP583" s="99">
        <f t="shared" si="18"/>
        <v>0</v>
      </c>
      <c r="AQ583" s="99">
        <f t="shared" si="18"/>
        <v>0</v>
      </c>
      <c r="AR583" s="99">
        <f t="shared" si="18"/>
        <v>0</v>
      </c>
    </row>
    <row r="584" spans="1:44" ht="15" x14ac:dyDescent="0.25">
      <c r="A584" s="258" t="e">
        <f t="shared" si="12"/>
        <v>#N/A</v>
      </c>
      <c r="B584" s="854"/>
      <c r="C584" s="854"/>
      <c r="D584" s="862"/>
      <c r="E584" s="99">
        <f t="shared" si="19"/>
        <v>0</v>
      </c>
      <c r="F584" s="99">
        <f t="shared" si="19"/>
        <v>0</v>
      </c>
      <c r="G584" s="99">
        <f t="shared" si="19"/>
        <v>0</v>
      </c>
      <c r="H584" s="99">
        <f t="shared" si="19"/>
        <v>0</v>
      </c>
      <c r="I584" s="99">
        <f t="shared" si="19"/>
        <v>0</v>
      </c>
      <c r="J584" s="99">
        <f t="shared" si="19"/>
        <v>0</v>
      </c>
      <c r="K584" s="99">
        <f t="shared" si="19"/>
        <v>0</v>
      </c>
      <c r="L584" s="99">
        <f t="shared" si="19"/>
        <v>0</v>
      </c>
      <c r="M584" s="99">
        <f t="shared" si="19"/>
        <v>0</v>
      </c>
      <c r="N584" s="99">
        <f t="shared" si="19"/>
        <v>0</v>
      </c>
      <c r="O584" s="99">
        <f t="shared" si="19"/>
        <v>0</v>
      </c>
      <c r="P584" s="99">
        <f t="shared" si="19"/>
        <v>0</v>
      </c>
      <c r="Q584" s="99">
        <f t="shared" si="19"/>
        <v>0</v>
      </c>
      <c r="R584" s="99">
        <f t="shared" si="19"/>
        <v>0</v>
      </c>
      <c r="S584" s="99">
        <f t="shared" si="19"/>
        <v>0</v>
      </c>
      <c r="T584" s="99">
        <f t="shared" si="19"/>
        <v>0</v>
      </c>
      <c r="U584" s="99">
        <f t="shared" si="18"/>
        <v>0</v>
      </c>
      <c r="V584" s="99">
        <f t="shared" si="18"/>
        <v>0</v>
      </c>
      <c r="W584" s="99">
        <f t="shared" si="18"/>
        <v>0</v>
      </c>
      <c r="X584" s="99">
        <f t="shared" si="18"/>
        <v>0</v>
      </c>
      <c r="Y584" s="99">
        <f t="shared" si="18"/>
        <v>0</v>
      </c>
      <c r="Z584" s="99">
        <f t="shared" si="18"/>
        <v>0</v>
      </c>
      <c r="AA584" s="99">
        <f t="shared" si="18"/>
        <v>0</v>
      </c>
      <c r="AB584" s="99">
        <f t="shared" si="18"/>
        <v>0</v>
      </c>
      <c r="AC584" s="99">
        <f t="shared" si="18"/>
        <v>0</v>
      </c>
      <c r="AD584" s="99">
        <f t="shared" si="18"/>
        <v>0</v>
      </c>
      <c r="AE584" s="99">
        <f t="shared" si="18"/>
        <v>0</v>
      </c>
      <c r="AF584" s="99">
        <f t="shared" si="18"/>
        <v>0</v>
      </c>
      <c r="AG584" s="99">
        <f t="shared" si="18"/>
        <v>0</v>
      </c>
      <c r="AH584" s="99">
        <f t="shared" si="18"/>
        <v>0</v>
      </c>
      <c r="AI584" s="99">
        <f t="shared" si="18"/>
        <v>0</v>
      </c>
      <c r="AJ584" s="99">
        <f t="shared" si="18"/>
        <v>0</v>
      </c>
      <c r="AK584" s="99">
        <f t="shared" si="18"/>
        <v>0</v>
      </c>
      <c r="AL584" s="99">
        <f t="shared" si="18"/>
        <v>0</v>
      </c>
      <c r="AM584" s="99">
        <f t="shared" si="18"/>
        <v>0</v>
      </c>
      <c r="AN584" s="99">
        <f t="shared" si="18"/>
        <v>0</v>
      </c>
      <c r="AO584" s="99">
        <f t="shared" si="18"/>
        <v>0</v>
      </c>
      <c r="AP584" s="99">
        <f t="shared" si="18"/>
        <v>0</v>
      </c>
      <c r="AQ584" s="99">
        <f t="shared" si="18"/>
        <v>0</v>
      </c>
      <c r="AR584" s="99">
        <f t="shared" si="18"/>
        <v>0</v>
      </c>
    </row>
    <row r="585" spans="1:44" ht="15" x14ac:dyDescent="0.25">
      <c r="A585" s="258" t="e">
        <f t="shared" si="12"/>
        <v>#N/A</v>
      </c>
      <c r="B585" s="854"/>
      <c r="C585" s="854"/>
      <c r="D585" s="862"/>
      <c r="E585" s="99">
        <f t="shared" si="19"/>
        <v>0</v>
      </c>
      <c r="F585" s="99">
        <f t="shared" si="19"/>
        <v>0</v>
      </c>
      <c r="G585" s="99">
        <f t="shared" si="19"/>
        <v>0</v>
      </c>
      <c r="H585" s="99">
        <f t="shared" si="19"/>
        <v>0</v>
      </c>
      <c r="I585" s="99">
        <f t="shared" si="19"/>
        <v>0</v>
      </c>
      <c r="J585" s="99">
        <f t="shared" si="19"/>
        <v>0</v>
      </c>
      <c r="K585" s="99">
        <f t="shared" si="19"/>
        <v>0</v>
      </c>
      <c r="L585" s="99">
        <f t="shared" si="19"/>
        <v>0</v>
      </c>
      <c r="M585" s="99">
        <f t="shared" si="19"/>
        <v>0</v>
      </c>
      <c r="N585" s="99">
        <f t="shared" si="19"/>
        <v>0</v>
      </c>
      <c r="O585" s="99">
        <f t="shared" si="19"/>
        <v>0</v>
      </c>
      <c r="P585" s="99">
        <f t="shared" si="19"/>
        <v>0</v>
      </c>
      <c r="Q585" s="99">
        <f t="shared" si="19"/>
        <v>0</v>
      </c>
      <c r="R585" s="99">
        <f t="shared" si="19"/>
        <v>0</v>
      </c>
      <c r="S585" s="99">
        <f t="shared" si="19"/>
        <v>0</v>
      </c>
      <c r="T585" s="99">
        <f t="shared" si="19"/>
        <v>0</v>
      </c>
      <c r="U585" s="99">
        <f t="shared" si="18"/>
        <v>0</v>
      </c>
      <c r="V585" s="99">
        <f t="shared" si="18"/>
        <v>0</v>
      </c>
      <c r="W585" s="99">
        <f t="shared" si="18"/>
        <v>0</v>
      </c>
      <c r="X585" s="99">
        <f t="shared" si="18"/>
        <v>0</v>
      </c>
      <c r="Y585" s="99">
        <f t="shared" si="18"/>
        <v>0</v>
      </c>
      <c r="Z585" s="99">
        <f t="shared" si="18"/>
        <v>0</v>
      </c>
      <c r="AA585" s="99">
        <f t="shared" si="18"/>
        <v>0</v>
      </c>
      <c r="AB585" s="99">
        <f t="shared" si="18"/>
        <v>0</v>
      </c>
      <c r="AC585" s="99">
        <f t="shared" si="18"/>
        <v>0</v>
      </c>
      <c r="AD585" s="99">
        <f t="shared" si="18"/>
        <v>0</v>
      </c>
      <c r="AE585" s="99">
        <f t="shared" si="18"/>
        <v>0</v>
      </c>
      <c r="AF585" s="99">
        <f t="shared" si="18"/>
        <v>0</v>
      </c>
      <c r="AG585" s="99">
        <f t="shared" si="18"/>
        <v>0</v>
      </c>
      <c r="AH585" s="99">
        <f t="shared" si="18"/>
        <v>0</v>
      </c>
      <c r="AI585" s="99">
        <f t="shared" si="18"/>
        <v>0</v>
      </c>
      <c r="AJ585" s="99">
        <f t="shared" si="18"/>
        <v>0</v>
      </c>
      <c r="AK585" s="99">
        <f t="shared" si="18"/>
        <v>0</v>
      </c>
      <c r="AL585" s="99">
        <f t="shared" si="18"/>
        <v>0</v>
      </c>
      <c r="AM585" s="99">
        <f t="shared" si="18"/>
        <v>0</v>
      </c>
      <c r="AN585" s="99">
        <f t="shared" si="18"/>
        <v>0</v>
      </c>
      <c r="AO585" s="99">
        <f t="shared" si="18"/>
        <v>0</v>
      </c>
      <c r="AP585" s="99">
        <f t="shared" si="18"/>
        <v>0</v>
      </c>
      <c r="AQ585" s="99">
        <f t="shared" si="18"/>
        <v>0</v>
      </c>
      <c r="AR585" s="99">
        <f t="shared" si="18"/>
        <v>0</v>
      </c>
    </row>
    <row r="586" spans="1:44" ht="15" x14ac:dyDescent="0.25">
      <c r="A586" s="258" t="e">
        <f t="shared" si="12"/>
        <v>#N/A</v>
      </c>
      <c r="B586" s="854"/>
      <c r="C586" s="854"/>
      <c r="D586" s="862"/>
      <c r="E586" s="99">
        <f t="shared" si="19"/>
        <v>0</v>
      </c>
      <c r="F586" s="99">
        <f t="shared" si="19"/>
        <v>0</v>
      </c>
      <c r="G586" s="99">
        <f t="shared" si="19"/>
        <v>0</v>
      </c>
      <c r="H586" s="99">
        <f t="shared" si="19"/>
        <v>0</v>
      </c>
      <c r="I586" s="99">
        <f t="shared" si="19"/>
        <v>0</v>
      </c>
      <c r="J586" s="99">
        <f t="shared" si="19"/>
        <v>0</v>
      </c>
      <c r="K586" s="99">
        <f t="shared" si="19"/>
        <v>0</v>
      </c>
      <c r="L586" s="99">
        <f t="shared" si="19"/>
        <v>0</v>
      </c>
      <c r="M586" s="99">
        <f t="shared" si="19"/>
        <v>0</v>
      </c>
      <c r="N586" s="99">
        <f t="shared" si="19"/>
        <v>0</v>
      </c>
      <c r="O586" s="99">
        <f t="shared" si="19"/>
        <v>0</v>
      </c>
      <c r="P586" s="99">
        <f t="shared" si="19"/>
        <v>0</v>
      </c>
      <c r="Q586" s="99">
        <f t="shared" si="19"/>
        <v>0</v>
      </c>
      <c r="R586" s="99">
        <f t="shared" si="19"/>
        <v>0</v>
      </c>
      <c r="S586" s="99">
        <f t="shared" si="19"/>
        <v>0</v>
      </c>
      <c r="T586" s="99">
        <f t="shared" si="19"/>
        <v>0</v>
      </c>
      <c r="U586" s="99">
        <f t="shared" si="18"/>
        <v>0</v>
      </c>
      <c r="V586" s="99">
        <f t="shared" si="18"/>
        <v>0</v>
      </c>
      <c r="W586" s="99">
        <f t="shared" si="18"/>
        <v>0</v>
      </c>
      <c r="X586" s="99">
        <f t="shared" si="18"/>
        <v>0</v>
      </c>
      <c r="Y586" s="99">
        <f t="shared" si="18"/>
        <v>0</v>
      </c>
      <c r="Z586" s="99">
        <f t="shared" si="18"/>
        <v>0</v>
      </c>
      <c r="AA586" s="99">
        <f t="shared" si="18"/>
        <v>0</v>
      </c>
      <c r="AB586" s="99">
        <f t="shared" si="18"/>
        <v>0</v>
      </c>
      <c r="AC586" s="99">
        <f t="shared" si="18"/>
        <v>0</v>
      </c>
      <c r="AD586" s="99">
        <f t="shared" si="18"/>
        <v>0</v>
      </c>
      <c r="AE586" s="99">
        <f t="shared" si="18"/>
        <v>0</v>
      </c>
      <c r="AF586" s="99">
        <f t="shared" si="18"/>
        <v>0</v>
      </c>
      <c r="AG586" s="99">
        <f t="shared" si="18"/>
        <v>0</v>
      </c>
      <c r="AH586" s="99">
        <f t="shared" si="18"/>
        <v>0</v>
      </c>
      <c r="AI586" s="99">
        <f t="shared" si="18"/>
        <v>0</v>
      </c>
      <c r="AJ586" s="99">
        <f t="shared" si="18"/>
        <v>0</v>
      </c>
      <c r="AK586" s="99">
        <f t="shared" si="18"/>
        <v>0</v>
      </c>
      <c r="AL586" s="99">
        <f t="shared" si="18"/>
        <v>0</v>
      </c>
      <c r="AM586" s="99">
        <f t="shared" si="18"/>
        <v>0</v>
      </c>
      <c r="AN586" s="99">
        <f t="shared" si="18"/>
        <v>0</v>
      </c>
      <c r="AO586" s="99">
        <f t="shared" si="18"/>
        <v>0</v>
      </c>
      <c r="AP586" s="99">
        <f t="shared" si="18"/>
        <v>0</v>
      </c>
      <c r="AQ586" s="99">
        <f t="shared" si="18"/>
        <v>0</v>
      </c>
      <c r="AR586" s="99">
        <f t="shared" si="18"/>
        <v>0</v>
      </c>
    </row>
    <row r="587" spans="1:44" ht="15" x14ac:dyDescent="0.25">
      <c r="A587" s="258" t="e">
        <f t="shared" si="12"/>
        <v>#N/A</v>
      </c>
      <c r="B587" s="854"/>
      <c r="C587" s="854"/>
      <c r="D587" s="862"/>
      <c r="E587" s="99">
        <f t="shared" si="19"/>
        <v>0</v>
      </c>
      <c r="F587" s="99">
        <f t="shared" si="19"/>
        <v>0</v>
      </c>
      <c r="G587" s="99">
        <f t="shared" si="19"/>
        <v>0</v>
      </c>
      <c r="H587" s="99">
        <f t="shared" si="19"/>
        <v>0</v>
      </c>
      <c r="I587" s="99">
        <f t="shared" si="19"/>
        <v>0</v>
      </c>
      <c r="J587" s="99">
        <f t="shared" si="19"/>
        <v>0</v>
      </c>
      <c r="K587" s="99">
        <f t="shared" si="19"/>
        <v>0</v>
      </c>
      <c r="L587" s="99">
        <f t="shared" si="19"/>
        <v>0</v>
      </c>
      <c r="M587" s="99">
        <f t="shared" si="19"/>
        <v>0</v>
      </c>
      <c r="N587" s="99">
        <f t="shared" si="19"/>
        <v>0</v>
      </c>
      <c r="O587" s="99">
        <f t="shared" si="19"/>
        <v>0</v>
      </c>
      <c r="P587" s="99">
        <f t="shared" si="19"/>
        <v>0</v>
      </c>
      <c r="Q587" s="99">
        <f t="shared" si="19"/>
        <v>0</v>
      </c>
      <c r="R587" s="99">
        <f t="shared" si="19"/>
        <v>0</v>
      </c>
      <c r="S587" s="99">
        <f t="shared" si="19"/>
        <v>0</v>
      </c>
      <c r="T587" s="99">
        <f t="shared" si="19"/>
        <v>0</v>
      </c>
      <c r="U587" s="99">
        <f t="shared" si="18"/>
        <v>0</v>
      </c>
      <c r="V587" s="99">
        <f t="shared" si="18"/>
        <v>0</v>
      </c>
      <c r="W587" s="99">
        <f t="shared" si="18"/>
        <v>0</v>
      </c>
      <c r="X587" s="99">
        <f t="shared" si="18"/>
        <v>0</v>
      </c>
      <c r="Y587" s="99">
        <f t="shared" si="18"/>
        <v>0</v>
      </c>
      <c r="Z587" s="99">
        <f t="shared" si="18"/>
        <v>0</v>
      </c>
      <c r="AA587" s="99">
        <f t="shared" si="18"/>
        <v>0</v>
      </c>
      <c r="AB587" s="99">
        <f t="shared" si="18"/>
        <v>0</v>
      </c>
      <c r="AC587" s="99">
        <f t="shared" si="18"/>
        <v>0</v>
      </c>
      <c r="AD587" s="99">
        <f t="shared" si="18"/>
        <v>0</v>
      </c>
      <c r="AE587" s="99">
        <f t="shared" si="18"/>
        <v>0</v>
      </c>
      <c r="AF587" s="99">
        <f t="shared" si="18"/>
        <v>0</v>
      </c>
      <c r="AG587" s="99">
        <f t="shared" si="18"/>
        <v>0</v>
      </c>
      <c r="AH587" s="99">
        <f t="shared" si="18"/>
        <v>0</v>
      </c>
      <c r="AI587" s="99">
        <f t="shared" si="18"/>
        <v>0</v>
      </c>
      <c r="AJ587" s="99">
        <f t="shared" si="18"/>
        <v>0</v>
      </c>
      <c r="AK587" s="99">
        <f t="shared" si="18"/>
        <v>0</v>
      </c>
      <c r="AL587" s="99">
        <f t="shared" si="18"/>
        <v>0</v>
      </c>
      <c r="AM587" s="99">
        <f t="shared" si="18"/>
        <v>0</v>
      </c>
      <c r="AN587" s="99">
        <f t="shared" si="18"/>
        <v>0</v>
      </c>
      <c r="AO587" s="99">
        <f t="shared" si="18"/>
        <v>0</v>
      </c>
      <c r="AP587" s="99">
        <f t="shared" si="18"/>
        <v>0</v>
      </c>
      <c r="AQ587" s="99">
        <f t="shared" si="18"/>
        <v>0</v>
      </c>
      <c r="AR587" s="99">
        <f t="shared" si="18"/>
        <v>0</v>
      </c>
    </row>
    <row r="588" spans="1:44" ht="15" x14ac:dyDescent="0.25">
      <c r="A588" s="258" t="e">
        <f t="shared" si="12"/>
        <v>#N/A</v>
      </c>
      <c r="B588" s="854"/>
      <c r="C588" s="854"/>
      <c r="D588" s="862"/>
      <c r="E588" s="99">
        <f t="shared" si="19"/>
        <v>0</v>
      </c>
      <c r="F588" s="99">
        <f t="shared" si="19"/>
        <v>0</v>
      </c>
      <c r="G588" s="99">
        <f t="shared" si="19"/>
        <v>0</v>
      </c>
      <c r="H588" s="99">
        <f t="shared" si="19"/>
        <v>0</v>
      </c>
      <c r="I588" s="99">
        <f t="shared" si="19"/>
        <v>0</v>
      </c>
      <c r="J588" s="99">
        <f t="shared" si="19"/>
        <v>0</v>
      </c>
      <c r="K588" s="99">
        <f t="shared" si="19"/>
        <v>0</v>
      </c>
      <c r="L588" s="99">
        <f t="shared" si="19"/>
        <v>0</v>
      </c>
      <c r="M588" s="99">
        <f t="shared" si="19"/>
        <v>0</v>
      </c>
      <c r="N588" s="99">
        <f t="shared" si="19"/>
        <v>0</v>
      </c>
      <c r="O588" s="99">
        <f t="shared" si="19"/>
        <v>0</v>
      </c>
      <c r="P588" s="99">
        <f t="shared" si="19"/>
        <v>0</v>
      </c>
      <c r="Q588" s="99">
        <f t="shared" si="19"/>
        <v>0</v>
      </c>
      <c r="R588" s="99">
        <f t="shared" si="19"/>
        <v>0</v>
      </c>
      <c r="S588" s="99">
        <f t="shared" si="19"/>
        <v>0</v>
      </c>
      <c r="T588" s="99">
        <f t="shared" si="19"/>
        <v>0</v>
      </c>
      <c r="U588" s="99">
        <f t="shared" si="18"/>
        <v>0</v>
      </c>
      <c r="V588" s="99">
        <f t="shared" si="18"/>
        <v>0</v>
      </c>
      <c r="W588" s="99">
        <f t="shared" si="18"/>
        <v>0</v>
      </c>
      <c r="X588" s="99">
        <f t="shared" si="18"/>
        <v>0</v>
      </c>
      <c r="Y588" s="99">
        <f t="shared" si="18"/>
        <v>0</v>
      </c>
      <c r="Z588" s="99">
        <f t="shared" si="18"/>
        <v>0</v>
      </c>
      <c r="AA588" s="99">
        <f t="shared" si="18"/>
        <v>0</v>
      </c>
      <c r="AB588" s="99">
        <f t="shared" si="18"/>
        <v>0</v>
      </c>
      <c r="AC588" s="99">
        <f t="shared" si="18"/>
        <v>0</v>
      </c>
      <c r="AD588" s="99">
        <f t="shared" si="18"/>
        <v>0</v>
      </c>
      <c r="AE588" s="99">
        <f t="shared" si="18"/>
        <v>0</v>
      </c>
      <c r="AF588" s="99">
        <f t="shared" si="18"/>
        <v>0</v>
      </c>
      <c r="AG588" s="99">
        <f t="shared" si="18"/>
        <v>0</v>
      </c>
      <c r="AH588" s="99">
        <f t="shared" si="18"/>
        <v>0</v>
      </c>
      <c r="AI588" s="99">
        <f t="shared" si="18"/>
        <v>0</v>
      </c>
      <c r="AJ588" s="99">
        <f t="shared" si="18"/>
        <v>0</v>
      </c>
      <c r="AK588" s="99">
        <f t="shared" si="18"/>
        <v>0</v>
      </c>
      <c r="AL588" s="99">
        <f t="shared" si="18"/>
        <v>0</v>
      </c>
      <c r="AM588" s="99">
        <f t="shared" si="18"/>
        <v>0</v>
      </c>
      <c r="AN588" s="99">
        <f t="shared" si="18"/>
        <v>0</v>
      </c>
      <c r="AO588" s="99">
        <f t="shared" si="18"/>
        <v>0</v>
      </c>
      <c r="AP588" s="99">
        <f t="shared" si="18"/>
        <v>0</v>
      </c>
      <c r="AQ588" s="99">
        <f t="shared" si="18"/>
        <v>0</v>
      </c>
      <c r="AR588" s="99">
        <f t="shared" si="18"/>
        <v>0</v>
      </c>
    </row>
    <row r="589" spans="1:44" ht="15" x14ac:dyDescent="0.25">
      <c r="A589" s="258" t="e">
        <f t="shared" si="12"/>
        <v>#N/A</v>
      </c>
      <c r="B589" s="854"/>
      <c r="C589" s="854"/>
      <c r="D589" s="862"/>
      <c r="E589" s="99">
        <f t="shared" si="19"/>
        <v>0</v>
      </c>
      <c r="F589" s="99">
        <f t="shared" si="19"/>
        <v>0</v>
      </c>
      <c r="G589" s="99">
        <f t="shared" si="19"/>
        <v>0</v>
      </c>
      <c r="H589" s="99">
        <f t="shared" si="19"/>
        <v>0</v>
      </c>
      <c r="I589" s="99">
        <f t="shared" si="19"/>
        <v>0</v>
      </c>
      <c r="J589" s="99">
        <f t="shared" si="19"/>
        <v>0</v>
      </c>
      <c r="K589" s="99">
        <f t="shared" si="19"/>
        <v>0</v>
      </c>
      <c r="L589" s="99">
        <f t="shared" si="19"/>
        <v>0</v>
      </c>
      <c r="M589" s="99">
        <f t="shared" si="19"/>
        <v>0</v>
      </c>
      <c r="N589" s="99">
        <f t="shared" si="19"/>
        <v>0</v>
      </c>
      <c r="O589" s="99">
        <f t="shared" si="19"/>
        <v>0</v>
      </c>
      <c r="P589" s="99">
        <f t="shared" si="19"/>
        <v>0</v>
      </c>
      <c r="Q589" s="99">
        <f t="shared" si="19"/>
        <v>0</v>
      </c>
      <c r="R589" s="99">
        <f t="shared" si="19"/>
        <v>0</v>
      </c>
      <c r="S589" s="99">
        <f t="shared" si="19"/>
        <v>0</v>
      </c>
      <c r="T589" s="99">
        <f t="shared" si="19"/>
        <v>0</v>
      </c>
      <c r="U589" s="99">
        <f t="shared" si="18"/>
        <v>0</v>
      </c>
      <c r="V589" s="99">
        <f t="shared" si="18"/>
        <v>0</v>
      </c>
      <c r="W589" s="99">
        <f t="shared" si="18"/>
        <v>0</v>
      </c>
      <c r="X589" s="99">
        <f t="shared" si="18"/>
        <v>0</v>
      </c>
      <c r="Y589" s="99">
        <f t="shared" si="18"/>
        <v>0</v>
      </c>
      <c r="Z589" s="99">
        <f t="shared" si="18"/>
        <v>0</v>
      </c>
      <c r="AA589" s="99">
        <f t="shared" si="18"/>
        <v>0</v>
      </c>
      <c r="AB589" s="99">
        <f t="shared" si="18"/>
        <v>0</v>
      </c>
      <c r="AC589" s="99">
        <f t="shared" si="18"/>
        <v>0</v>
      </c>
      <c r="AD589" s="99">
        <f t="shared" si="18"/>
        <v>0</v>
      </c>
      <c r="AE589" s="99">
        <f t="shared" si="18"/>
        <v>0</v>
      </c>
      <c r="AF589" s="99">
        <f t="shared" si="18"/>
        <v>0</v>
      </c>
      <c r="AG589" s="99">
        <f t="shared" si="18"/>
        <v>0</v>
      </c>
      <c r="AH589" s="99">
        <f t="shared" si="18"/>
        <v>0</v>
      </c>
      <c r="AI589" s="99">
        <f t="shared" si="18"/>
        <v>0</v>
      </c>
      <c r="AJ589" s="99">
        <f t="shared" si="18"/>
        <v>0</v>
      </c>
      <c r="AK589" s="99">
        <f t="shared" si="18"/>
        <v>0</v>
      </c>
      <c r="AL589" s="99">
        <f t="shared" si="18"/>
        <v>0</v>
      </c>
      <c r="AM589" s="99">
        <f t="shared" si="18"/>
        <v>0</v>
      </c>
      <c r="AN589" s="99">
        <f t="shared" si="18"/>
        <v>0</v>
      </c>
      <c r="AO589" s="99">
        <f t="shared" si="18"/>
        <v>0</v>
      </c>
      <c r="AP589" s="99">
        <f t="shared" si="18"/>
        <v>0</v>
      </c>
      <c r="AQ589" s="99">
        <f t="shared" si="18"/>
        <v>0</v>
      </c>
      <c r="AR589" s="99">
        <f t="shared" si="18"/>
        <v>0</v>
      </c>
    </row>
    <row r="590" spans="1:44" ht="15" x14ac:dyDescent="0.25">
      <c r="A590" s="258" t="e">
        <f t="shared" si="12"/>
        <v>#N/A</v>
      </c>
      <c r="B590" s="854"/>
      <c r="C590" s="854"/>
      <c r="D590" s="862"/>
      <c r="E590" s="99">
        <f t="shared" si="19"/>
        <v>0</v>
      </c>
      <c r="F590" s="99">
        <f t="shared" si="19"/>
        <v>0</v>
      </c>
      <c r="G590" s="99">
        <f t="shared" si="19"/>
        <v>0</v>
      </c>
      <c r="H590" s="99">
        <f t="shared" si="19"/>
        <v>0</v>
      </c>
      <c r="I590" s="99">
        <f t="shared" si="19"/>
        <v>0</v>
      </c>
      <c r="J590" s="99">
        <f t="shared" si="19"/>
        <v>0</v>
      </c>
      <c r="K590" s="99">
        <f t="shared" si="19"/>
        <v>0</v>
      </c>
      <c r="L590" s="99">
        <f t="shared" si="19"/>
        <v>0</v>
      </c>
      <c r="M590" s="99">
        <f t="shared" si="19"/>
        <v>0</v>
      </c>
      <c r="N590" s="99">
        <f t="shared" si="19"/>
        <v>0</v>
      </c>
      <c r="O590" s="99">
        <f t="shared" si="19"/>
        <v>0</v>
      </c>
      <c r="P590" s="99">
        <f t="shared" si="19"/>
        <v>0</v>
      </c>
      <c r="Q590" s="99">
        <f t="shared" si="19"/>
        <v>0</v>
      </c>
      <c r="R590" s="99">
        <f t="shared" si="19"/>
        <v>0</v>
      </c>
      <c r="S590" s="99">
        <f t="shared" si="19"/>
        <v>0</v>
      </c>
      <c r="T590" s="99">
        <f t="shared" si="19"/>
        <v>0</v>
      </c>
      <c r="U590" s="99">
        <f t="shared" si="18"/>
        <v>0</v>
      </c>
      <c r="V590" s="99">
        <f t="shared" si="18"/>
        <v>0</v>
      </c>
      <c r="W590" s="99">
        <f t="shared" si="18"/>
        <v>0</v>
      </c>
      <c r="X590" s="99">
        <f t="shared" si="18"/>
        <v>0</v>
      </c>
      <c r="Y590" s="99">
        <f t="shared" si="18"/>
        <v>0</v>
      </c>
      <c r="Z590" s="99">
        <f t="shared" si="18"/>
        <v>0</v>
      </c>
      <c r="AA590" s="99">
        <f t="shared" si="18"/>
        <v>0</v>
      </c>
      <c r="AB590" s="99">
        <f t="shared" si="18"/>
        <v>0</v>
      </c>
      <c r="AC590" s="99">
        <f t="shared" si="18"/>
        <v>0</v>
      </c>
      <c r="AD590" s="99">
        <f t="shared" si="18"/>
        <v>0</v>
      </c>
      <c r="AE590" s="99">
        <f t="shared" si="18"/>
        <v>0</v>
      </c>
      <c r="AF590" s="99">
        <f t="shared" si="18"/>
        <v>0</v>
      </c>
      <c r="AG590" s="99">
        <f t="shared" si="18"/>
        <v>0</v>
      </c>
      <c r="AH590" s="99">
        <f t="shared" si="18"/>
        <v>0</v>
      </c>
      <c r="AI590" s="99">
        <f t="shared" si="18"/>
        <v>0</v>
      </c>
      <c r="AJ590" s="99">
        <f t="shared" si="18"/>
        <v>0</v>
      </c>
      <c r="AK590" s="99">
        <f t="shared" si="18"/>
        <v>0</v>
      </c>
      <c r="AL590" s="99">
        <f t="shared" si="18"/>
        <v>0</v>
      </c>
      <c r="AM590" s="99">
        <f t="shared" si="18"/>
        <v>0</v>
      </c>
      <c r="AN590" s="99">
        <f t="shared" si="18"/>
        <v>0</v>
      </c>
      <c r="AO590" s="99">
        <f t="shared" si="18"/>
        <v>0</v>
      </c>
      <c r="AP590" s="99">
        <f t="shared" si="18"/>
        <v>0</v>
      </c>
      <c r="AQ590" s="99">
        <f t="shared" si="18"/>
        <v>0</v>
      </c>
      <c r="AR590" s="99">
        <f t="shared" si="18"/>
        <v>0</v>
      </c>
    </row>
    <row r="591" spans="1:44" ht="15" x14ac:dyDescent="0.25">
      <c r="A591" s="258" t="e">
        <f t="shared" si="12"/>
        <v>#N/A</v>
      </c>
      <c r="B591" s="854"/>
      <c r="C591" s="854"/>
      <c r="D591" s="862"/>
      <c r="E591" s="99">
        <f t="shared" si="19"/>
        <v>0</v>
      </c>
      <c r="F591" s="99">
        <f t="shared" si="19"/>
        <v>0</v>
      </c>
      <c r="G591" s="99">
        <f t="shared" si="19"/>
        <v>0</v>
      </c>
      <c r="H591" s="99">
        <f t="shared" si="19"/>
        <v>0</v>
      </c>
      <c r="I591" s="99">
        <f t="shared" si="19"/>
        <v>0</v>
      </c>
      <c r="J591" s="99">
        <f t="shared" si="19"/>
        <v>0</v>
      </c>
      <c r="K591" s="99">
        <f t="shared" si="19"/>
        <v>0</v>
      </c>
      <c r="L591" s="99">
        <f t="shared" si="19"/>
        <v>0</v>
      </c>
      <c r="M591" s="99">
        <f t="shared" si="19"/>
        <v>0</v>
      </c>
      <c r="N591" s="99">
        <f t="shared" si="19"/>
        <v>0</v>
      </c>
      <c r="O591" s="99">
        <f t="shared" si="19"/>
        <v>0</v>
      </c>
      <c r="P591" s="99">
        <f t="shared" si="19"/>
        <v>0</v>
      </c>
      <c r="Q591" s="99">
        <f t="shared" si="19"/>
        <v>0</v>
      </c>
      <c r="R591" s="99">
        <f t="shared" si="19"/>
        <v>0</v>
      </c>
      <c r="S591" s="99">
        <f t="shared" si="19"/>
        <v>0</v>
      </c>
      <c r="T591" s="99">
        <f t="shared" si="19"/>
        <v>0</v>
      </c>
      <c r="U591" s="99">
        <f t="shared" si="18"/>
        <v>0</v>
      </c>
      <c r="V591" s="99">
        <f t="shared" si="18"/>
        <v>0</v>
      </c>
      <c r="W591" s="99">
        <f t="shared" si="18"/>
        <v>0</v>
      </c>
      <c r="X591" s="99">
        <f t="shared" si="18"/>
        <v>0</v>
      </c>
      <c r="Y591" s="99">
        <f t="shared" si="18"/>
        <v>0</v>
      </c>
      <c r="Z591" s="99">
        <f t="shared" si="18"/>
        <v>0</v>
      </c>
      <c r="AA591" s="99">
        <f t="shared" si="18"/>
        <v>0</v>
      </c>
      <c r="AB591" s="99">
        <f t="shared" si="18"/>
        <v>0</v>
      </c>
      <c r="AC591" s="99">
        <f t="shared" si="18"/>
        <v>0</v>
      </c>
      <c r="AD591" s="99">
        <f t="shared" ref="AD591:AR591" si="20">IFERROR(INDEX(AD$8:AD$552,$A591),0)</f>
        <v>0</v>
      </c>
      <c r="AE591" s="99">
        <f t="shared" si="20"/>
        <v>0</v>
      </c>
      <c r="AF591" s="99">
        <f t="shared" si="20"/>
        <v>0</v>
      </c>
      <c r="AG591" s="99">
        <f t="shared" si="20"/>
        <v>0</v>
      </c>
      <c r="AH591" s="99">
        <f t="shared" si="20"/>
        <v>0</v>
      </c>
      <c r="AI591" s="99">
        <f t="shared" si="20"/>
        <v>0</v>
      </c>
      <c r="AJ591" s="99">
        <f t="shared" si="20"/>
        <v>0</v>
      </c>
      <c r="AK591" s="99">
        <f t="shared" si="20"/>
        <v>0</v>
      </c>
      <c r="AL591" s="99">
        <f t="shared" si="20"/>
        <v>0</v>
      </c>
      <c r="AM591" s="99">
        <f t="shared" si="20"/>
        <v>0</v>
      </c>
      <c r="AN591" s="99">
        <f t="shared" si="20"/>
        <v>0</v>
      </c>
      <c r="AO591" s="99">
        <f t="shared" si="20"/>
        <v>0</v>
      </c>
      <c r="AP591" s="99">
        <f t="shared" si="20"/>
        <v>0</v>
      </c>
      <c r="AQ591" s="99">
        <f t="shared" si="20"/>
        <v>0</v>
      </c>
      <c r="AR591" s="99">
        <f t="shared" si="20"/>
        <v>0</v>
      </c>
    </row>
    <row r="592" spans="1:44" ht="15" x14ac:dyDescent="0.25">
      <c r="A592" s="258" t="e">
        <f t="shared" si="12"/>
        <v>#N/A</v>
      </c>
      <c r="B592" s="854"/>
      <c r="C592" s="854"/>
      <c r="D592" s="862"/>
      <c r="E592" s="99">
        <f t="shared" si="19"/>
        <v>0</v>
      </c>
      <c r="F592" s="99">
        <f t="shared" si="19"/>
        <v>0</v>
      </c>
      <c r="G592" s="99">
        <f t="shared" si="19"/>
        <v>0</v>
      </c>
      <c r="H592" s="99">
        <f t="shared" si="19"/>
        <v>0</v>
      </c>
      <c r="I592" s="99">
        <f t="shared" si="19"/>
        <v>0</v>
      </c>
      <c r="J592" s="99">
        <f t="shared" si="19"/>
        <v>0</v>
      </c>
      <c r="K592" s="99">
        <f t="shared" si="19"/>
        <v>0</v>
      </c>
      <c r="L592" s="99">
        <f t="shared" si="19"/>
        <v>0</v>
      </c>
      <c r="M592" s="99">
        <f t="shared" si="19"/>
        <v>0</v>
      </c>
      <c r="N592" s="99">
        <f t="shared" si="19"/>
        <v>0</v>
      </c>
      <c r="O592" s="99">
        <f t="shared" si="19"/>
        <v>0</v>
      </c>
      <c r="P592" s="99">
        <f t="shared" si="19"/>
        <v>0</v>
      </c>
      <c r="Q592" s="99">
        <f t="shared" si="19"/>
        <v>0</v>
      </c>
      <c r="R592" s="99">
        <f t="shared" si="19"/>
        <v>0</v>
      </c>
      <c r="S592" s="99">
        <f t="shared" si="19"/>
        <v>0</v>
      </c>
      <c r="T592" s="99">
        <f t="shared" si="19"/>
        <v>0</v>
      </c>
      <c r="U592" s="99">
        <f t="shared" ref="U592:AR596" si="21">IFERROR(INDEX(U$8:U$552,$A592),0)</f>
        <v>0</v>
      </c>
      <c r="V592" s="99">
        <f t="shared" si="21"/>
        <v>0</v>
      </c>
      <c r="W592" s="99">
        <f t="shared" si="21"/>
        <v>0</v>
      </c>
      <c r="X592" s="99">
        <f t="shared" si="21"/>
        <v>0</v>
      </c>
      <c r="Y592" s="99">
        <f t="shared" si="21"/>
        <v>0</v>
      </c>
      <c r="Z592" s="99">
        <f t="shared" si="21"/>
        <v>0</v>
      </c>
      <c r="AA592" s="99">
        <f t="shared" si="21"/>
        <v>0</v>
      </c>
      <c r="AB592" s="99">
        <f t="shared" si="21"/>
        <v>0</v>
      </c>
      <c r="AC592" s="99">
        <f t="shared" si="21"/>
        <v>0</v>
      </c>
      <c r="AD592" s="99">
        <f t="shared" si="21"/>
        <v>0</v>
      </c>
      <c r="AE592" s="99">
        <f t="shared" si="21"/>
        <v>0</v>
      </c>
      <c r="AF592" s="99">
        <f t="shared" si="21"/>
        <v>0</v>
      </c>
      <c r="AG592" s="99">
        <f t="shared" si="21"/>
        <v>0</v>
      </c>
      <c r="AH592" s="99">
        <f t="shared" si="21"/>
        <v>0</v>
      </c>
      <c r="AI592" s="99">
        <f t="shared" si="21"/>
        <v>0</v>
      </c>
      <c r="AJ592" s="99">
        <f t="shared" si="21"/>
        <v>0</v>
      </c>
      <c r="AK592" s="99">
        <f t="shared" si="21"/>
        <v>0</v>
      </c>
      <c r="AL592" s="99">
        <f t="shared" si="21"/>
        <v>0</v>
      </c>
      <c r="AM592" s="99">
        <f t="shared" si="21"/>
        <v>0</v>
      </c>
      <c r="AN592" s="99">
        <f t="shared" si="21"/>
        <v>0</v>
      </c>
      <c r="AO592" s="99">
        <f t="shared" si="21"/>
        <v>0</v>
      </c>
      <c r="AP592" s="99">
        <f t="shared" si="21"/>
        <v>0</v>
      </c>
      <c r="AQ592" s="99">
        <f t="shared" si="21"/>
        <v>0</v>
      </c>
      <c r="AR592" s="99">
        <f t="shared" si="21"/>
        <v>0</v>
      </c>
    </row>
    <row r="593" spans="1:44" ht="15" x14ac:dyDescent="0.25">
      <c r="A593" s="258" t="e">
        <f t="shared" si="12"/>
        <v>#N/A</v>
      </c>
      <c r="B593" s="854"/>
      <c r="C593" s="854"/>
      <c r="D593" s="862"/>
      <c r="E593" s="99">
        <f t="shared" si="19"/>
        <v>0</v>
      </c>
      <c r="F593" s="99">
        <f t="shared" si="19"/>
        <v>0</v>
      </c>
      <c r="G593" s="99">
        <f t="shared" si="19"/>
        <v>0</v>
      </c>
      <c r="H593" s="99">
        <f t="shared" si="19"/>
        <v>0</v>
      </c>
      <c r="I593" s="99">
        <f t="shared" si="19"/>
        <v>0</v>
      </c>
      <c r="J593" s="99">
        <f t="shared" si="19"/>
        <v>0</v>
      </c>
      <c r="K593" s="99">
        <f t="shared" si="19"/>
        <v>0</v>
      </c>
      <c r="L593" s="99">
        <f t="shared" si="19"/>
        <v>0</v>
      </c>
      <c r="M593" s="99">
        <f t="shared" si="19"/>
        <v>0</v>
      </c>
      <c r="N593" s="99">
        <f t="shared" si="19"/>
        <v>0</v>
      </c>
      <c r="O593" s="99">
        <f t="shared" si="19"/>
        <v>0</v>
      </c>
      <c r="P593" s="99">
        <f t="shared" si="19"/>
        <v>0</v>
      </c>
      <c r="Q593" s="99">
        <f t="shared" si="19"/>
        <v>0</v>
      </c>
      <c r="R593" s="99">
        <f t="shared" si="19"/>
        <v>0</v>
      </c>
      <c r="S593" s="99">
        <f t="shared" si="19"/>
        <v>0</v>
      </c>
      <c r="T593" s="99">
        <f t="shared" si="19"/>
        <v>0</v>
      </c>
      <c r="U593" s="99">
        <f t="shared" si="21"/>
        <v>0</v>
      </c>
      <c r="V593" s="99">
        <f t="shared" si="21"/>
        <v>0</v>
      </c>
      <c r="W593" s="99">
        <f t="shared" si="21"/>
        <v>0</v>
      </c>
      <c r="X593" s="99">
        <f t="shared" si="21"/>
        <v>0</v>
      </c>
      <c r="Y593" s="99">
        <f t="shared" si="21"/>
        <v>0</v>
      </c>
      <c r="Z593" s="99">
        <f t="shared" si="21"/>
        <v>0</v>
      </c>
      <c r="AA593" s="99">
        <f t="shared" si="21"/>
        <v>0</v>
      </c>
      <c r="AB593" s="99">
        <f t="shared" si="21"/>
        <v>0</v>
      </c>
      <c r="AC593" s="99">
        <f t="shared" si="21"/>
        <v>0</v>
      </c>
      <c r="AD593" s="99">
        <f t="shared" si="21"/>
        <v>0</v>
      </c>
      <c r="AE593" s="99">
        <f t="shared" si="21"/>
        <v>0</v>
      </c>
      <c r="AF593" s="99">
        <f t="shared" si="21"/>
        <v>0</v>
      </c>
      <c r="AG593" s="99">
        <f t="shared" si="21"/>
        <v>0</v>
      </c>
      <c r="AH593" s="99">
        <f t="shared" si="21"/>
        <v>0</v>
      </c>
      <c r="AI593" s="99">
        <f t="shared" si="21"/>
        <v>0</v>
      </c>
      <c r="AJ593" s="99">
        <f t="shared" si="21"/>
        <v>0</v>
      </c>
      <c r="AK593" s="99">
        <f t="shared" si="21"/>
        <v>0</v>
      </c>
      <c r="AL593" s="99">
        <f t="shared" si="21"/>
        <v>0</v>
      </c>
      <c r="AM593" s="99">
        <f t="shared" si="21"/>
        <v>0</v>
      </c>
      <c r="AN593" s="99">
        <f t="shared" si="21"/>
        <v>0</v>
      </c>
      <c r="AO593" s="99">
        <f t="shared" si="21"/>
        <v>0</v>
      </c>
      <c r="AP593" s="99">
        <f t="shared" si="21"/>
        <v>0</v>
      </c>
      <c r="AQ593" s="99">
        <f t="shared" si="21"/>
        <v>0</v>
      </c>
      <c r="AR593" s="99">
        <f t="shared" si="21"/>
        <v>0</v>
      </c>
    </row>
    <row r="594" spans="1:44" ht="15" x14ac:dyDescent="0.25">
      <c r="A594" s="258" t="e">
        <f t="shared" si="12"/>
        <v>#N/A</v>
      </c>
      <c r="B594" s="854"/>
      <c r="C594" s="854"/>
      <c r="D594" s="862"/>
      <c r="E594" s="99">
        <f t="shared" si="19"/>
        <v>0</v>
      </c>
      <c r="F594" s="99">
        <f t="shared" si="19"/>
        <v>0</v>
      </c>
      <c r="G594" s="99">
        <f t="shared" si="19"/>
        <v>0</v>
      </c>
      <c r="H594" s="99">
        <f t="shared" si="19"/>
        <v>0</v>
      </c>
      <c r="I594" s="99">
        <f t="shared" si="19"/>
        <v>0</v>
      </c>
      <c r="J594" s="99">
        <f t="shared" si="19"/>
        <v>0</v>
      </c>
      <c r="K594" s="99">
        <f t="shared" si="19"/>
        <v>0</v>
      </c>
      <c r="L594" s="99">
        <f t="shared" si="19"/>
        <v>0</v>
      </c>
      <c r="M594" s="99">
        <f t="shared" si="19"/>
        <v>0</v>
      </c>
      <c r="N594" s="99">
        <f t="shared" si="19"/>
        <v>0</v>
      </c>
      <c r="O594" s="99">
        <f t="shared" si="19"/>
        <v>0</v>
      </c>
      <c r="P594" s="99">
        <f t="shared" si="19"/>
        <v>0</v>
      </c>
      <c r="Q594" s="99">
        <f t="shared" si="19"/>
        <v>0</v>
      </c>
      <c r="R594" s="99">
        <f t="shared" si="19"/>
        <v>0</v>
      </c>
      <c r="S594" s="99">
        <f t="shared" si="19"/>
        <v>0</v>
      </c>
      <c r="T594" s="99">
        <f t="shared" si="19"/>
        <v>0</v>
      </c>
      <c r="U594" s="99">
        <f t="shared" si="21"/>
        <v>0</v>
      </c>
      <c r="V594" s="99">
        <f t="shared" si="21"/>
        <v>0</v>
      </c>
      <c r="W594" s="99">
        <f t="shared" si="21"/>
        <v>0</v>
      </c>
      <c r="X594" s="99">
        <f t="shared" si="21"/>
        <v>0</v>
      </c>
      <c r="Y594" s="99">
        <f t="shared" si="21"/>
        <v>0</v>
      </c>
      <c r="Z594" s="99">
        <f t="shared" si="21"/>
        <v>0</v>
      </c>
      <c r="AA594" s="99">
        <f t="shared" si="21"/>
        <v>0</v>
      </c>
      <c r="AB594" s="99">
        <f t="shared" si="21"/>
        <v>0</v>
      </c>
      <c r="AC594" s="99">
        <f t="shared" si="21"/>
        <v>0</v>
      </c>
      <c r="AD594" s="99">
        <f t="shared" si="21"/>
        <v>0</v>
      </c>
      <c r="AE594" s="99">
        <f t="shared" si="21"/>
        <v>0</v>
      </c>
      <c r="AF594" s="99">
        <f t="shared" si="21"/>
        <v>0</v>
      </c>
      <c r="AG594" s="99">
        <f t="shared" si="21"/>
        <v>0</v>
      </c>
      <c r="AH594" s="99">
        <f t="shared" si="21"/>
        <v>0</v>
      </c>
      <c r="AI594" s="99">
        <f t="shared" si="21"/>
        <v>0</v>
      </c>
      <c r="AJ594" s="99">
        <f t="shared" si="21"/>
        <v>0</v>
      </c>
      <c r="AK594" s="99">
        <f t="shared" si="21"/>
        <v>0</v>
      </c>
      <c r="AL594" s="99">
        <f t="shared" si="21"/>
        <v>0</v>
      </c>
      <c r="AM594" s="99">
        <f t="shared" si="21"/>
        <v>0</v>
      </c>
      <c r="AN594" s="99">
        <f t="shared" si="21"/>
        <v>0</v>
      </c>
      <c r="AO594" s="99">
        <f t="shared" si="21"/>
        <v>0</v>
      </c>
      <c r="AP594" s="99">
        <f t="shared" si="21"/>
        <v>0</v>
      </c>
      <c r="AQ594" s="99">
        <f t="shared" si="21"/>
        <v>0</v>
      </c>
      <c r="AR594" s="99">
        <f t="shared" si="21"/>
        <v>0</v>
      </c>
    </row>
    <row r="595" spans="1:44" ht="15" x14ac:dyDescent="0.25">
      <c r="A595" s="258" t="e">
        <f t="shared" si="12"/>
        <v>#N/A</v>
      </c>
      <c r="B595" s="854"/>
      <c r="C595" s="854"/>
      <c r="D595" s="862"/>
      <c r="E595" s="99">
        <f t="shared" si="19"/>
        <v>0</v>
      </c>
      <c r="F595" s="99">
        <f t="shared" si="19"/>
        <v>0</v>
      </c>
      <c r="G595" s="99">
        <f t="shared" si="19"/>
        <v>0</v>
      </c>
      <c r="H595" s="99">
        <f t="shared" si="19"/>
        <v>0</v>
      </c>
      <c r="I595" s="99">
        <f t="shared" si="19"/>
        <v>0</v>
      </c>
      <c r="J595" s="99">
        <f t="shared" si="19"/>
        <v>0</v>
      </c>
      <c r="K595" s="99">
        <f t="shared" si="19"/>
        <v>0</v>
      </c>
      <c r="L595" s="99">
        <f t="shared" si="19"/>
        <v>0</v>
      </c>
      <c r="M595" s="99">
        <f t="shared" si="19"/>
        <v>0</v>
      </c>
      <c r="N595" s="99">
        <f t="shared" si="19"/>
        <v>0</v>
      </c>
      <c r="O595" s="99">
        <f t="shared" si="19"/>
        <v>0</v>
      </c>
      <c r="P595" s="99">
        <f t="shared" si="19"/>
        <v>0</v>
      </c>
      <c r="Q595" s="99">
        <f t="shared" si="19"/>
        <v>0</v>
      </c>
      <c r="R595" s="99">
        <f t="shared" si="19"/>
        <v>0</v>
      </c>
      <c r="S595" s="99">
        <f t="shared" si="19"/>
        <v>0</v>
      </c>
      <c r="T595" s="99">
        <f t="shared" si="19"/>
        <v>0</v>
      </c>
      <c r="U595" s="99">
        <f t="shared" si="21"/>
        <v>0</v>
      </c>
      <c r="V595" s="99">
        <f t="shared" si="21"/>
        <v>0</v>
      </c>
      <c r="W595" s="99">
        <f t="shared" si="21"/>
        <v>0</v>
      </c>
      <c r="X595" s="99">
        <f t="shared" si="21"/>
        <v>0</v>
      </c>
      <c r="Y595" s="99">
        <f t="shared" si="21"/>
        <v>0</v>
      </c>
      <c r="Z595" s="99">
        <f t="shared" si="21"/>
        <v>0</v>
      </c>
      <c r="AA595" s="99">
        <f t="shared" si="21"/>
        <v>0</v>
      </c>
      <c r="AB595" s="99">
        <f t="shared" si="21"/>
        <v>0</v>
      </c>
      <c r="AC595" s="99">
        <f t="shared" si="21"/>
        <v>0</v>
      </c>
      <c r="AD595" s="99">
        <f t="shared" si="21"/>
        <v>0</v>
      </c>
      <c r="AE595" s="99">
        <f t="shared" si="21"/>
        <v>0</v>
      </c>
      <c r="AF595" s="99">
        <f t="shared" si="21"/>
        <v>0</v>
      </c>
      <c r="AG595" s="99">
        <f t="shared" si="21"/>
        <v>0</v>
      </c>
      <c r="AH595" s="99">
        <f t="shared" si="21"/>
        <v>0</v>
      </c>
      <c r="AI595" s="99">
        <f t="shared" si="21"/>
        <v>0</v>
      </c>
      <c r="AJ595" s="99">
        <f t="shared" si="21"/>
        <v>0</v>
      </c>
      <c r="AK595" s="99">
        <f t="shared" si="21"/>
        <v>0</v>
      </c>
      <c r="AL595" s="99">
        <f t="shared" si="21"/>
        <v>0</v>
      </c>
      <c r="AM595" s="99">
        <f t="shared" si="21"/>
        <v>0</v>
      </c>
      <c r="AN595" s="99">
        <f t="shared" si="21"/>
        <v>0</v>
      </c>
      <c r="AO595" s="99">
        <f t="shared" si="21"/>
        <v>0</v>
      </c>
      <c r="AP595" s="99">
        <f t="shared" si="21"/>
        <v>0</v>
      </c>
      <c r="AQ595" s="99">
        <f t="shared" si="21"/>
        <v>0</v>
      </c>
      <c r="AR595" s="99">
        <f t="shared" si="21"/>
        <v>0</v>
      </c>
    </row>
    <row r="596" spans="1:44" ht="15" x14ac:dyDescent="0.25">
      <c r="A596" s="258" t="e">
        <f t="shared" si="12"/>
        <v>#N/A</v>
      </c>
      <c r="B596" s="854"/>
      <c r="C596" s="854"/>
      <c r="D596" s="862"/>
      <c r="E596" s="99">
        <f t="shared" si="19"/>
        <v>0</v>
      </c>
      <c r="F596" s="99">
        <f t="shared" si="19"/>
        <v>0</v>
      </c>
      <c r="G596" s="99">
        <f t="shared" si="19"/>
        <v>0</v>
      </c>
      <c r="H596" s="99">
        <f t="shared" si="19"/>
        <v>0</v>
      </c>
      <c r="I596" s="99">
        <f t="shared" si="19"/>
        <v>0</v>
      </c>
      <c r="J596" s="99">
        <f t="shared" si="19"/>
        <v>0</v>
      </c>
      <c r="K596" s="99">
        <f t="shared" si="19"/>
        <v>0</v>
      </c>
      <c r="L596" s="99">
        <f t="shared" si="19"/>
        <v>0</v>
      </c>
      <c r="M596" s="99">
        <f t="shared" si="19"/>
        <v>0</v>
      </c>
      <c r="N596" s="99">
        <f t="shared" si="19"/>
        <v>0</v>
      </c>
      <c r="O596" s="99">
        <f t="shared" si="19"/>
        <v>0</v>
      </c>
      <c r="P596" s="99">
        <f t="shared" si="19"/>
        <v>0</v>
      </c>
      <c r="Q596" s="99">
        <f t="shared" si="19"/>
        <v>0</v>
      </c>
      <c r="R596" s="99">
        <f t="shared" si="19"/>
        <v>0</v>
      </c>
      <c r="S596" s="99">
        <f t="shared" si="19"/>
        <v>0</v>
      </c>
      <c r="T596" s="99">
        <f t="shared" si="19"/>
        <v>0</v>
      </c>
      <c r="U596" s="99">
        <f t="shared" si="21"/>
        <v>0</v>
      </c>
      <c r="V596" s="99">
        <f t="shared" si="21"/>
        <v>0</v>
      </c>
      <c r="W596" s="99">
        <f t="shared" si="21"/>
        <v>0</v>
      </c>
      <c r="X596" s="99">
        <f t="shared" si="21"/>
        <v>0</v>
      </c>
      <c r="Y596" s="99">
        <f t="shared" si="21"/>
        <v>0</v>
      </c>
      <c r="Z596" s="99">
        <f t="shared" si="21"/>
        <v>0</v>
      </c>
      <c r="AA596" s="99">
        <f t="shared" si="21"/>
        <v>0</v>
      </c>
      <c r="AB596" s="99">
        <f t="shared" si="21"/>
        <v>0</v>
      </c>
      <c r="AC596" s="99">
        <f t="shared" si="21"/>
        <v>0</v>
      </c>
      <c r="AD596" s="99">
        <f t="shared" si="21"/>
        <v>0</v>
      </c>
      <c r="AE596" s="99">
        <f t="shared" si="21"/>
        <v>0</v>
      </c>
      <c r="AF596" s="99">
        <f t="shared" si="21"/>
        <v>0</v>
      </c>
      <c r="AG596" s="99">
        <f t="shared" si="21"/>
        <v>0</v>
      </c>
      <c r="AH596" s="99">
        <f t="shared" si="21"/>
        <v>0</v>
      </c>
      <c r="AI596" s="99">
        <f t="shared" si="21"/>
        <v>0</v>
      </c>
      <c r="AJ596" s="99">
        <f t="shared" si="21"/>
        <v>0</v>
      </c>
      <c r="AK596" s="99">
        <f t="shared" si="21"/>
        <v>0</v>
      </c>
      <c r="AL596" s="99">
        <f t="shared" si="21"/>
        <v>0</v>
      </c>
      <c r="AM596" s="99">
        <f t="shared" si="21"/>
        <v>0</v>
      </c>
      <c r="AN596" s="99">
        <f t="shared" si="21"/>
        <v>0</v>
      </c>
      <c r="AO596" s="99">
        <f t="shared" si="21"/>
        <v>0</v>
      </c>
      <c r="AP596" s="99">
        <f t="shared" si="21"/>
        <v>0</v>
      </c>
      <c r="AQ596" s="99">
        <f t="shared" si="21"/>
        <v>0</v>
      </c>
      <c r="AR596" s="99">
        <f t="shared" si="21"/>
        <v>0</v>
      </c>
    </row>
    <row r="597" spans="1:44" ht="15" x14ac:dyDescent="0.25">
      <c r="A597" s="258" t="e">
        <f t="shared" si="12"/>
        <v>#N/A</v>
      </c>
      <c r="B597" s="854"/>
      <c r="C597" s="854"/>
      <c r="D597" s="862"/>
      <c r="E597" s="99">
        <f t="shared" si="19"/>
        <v>0</v>
      </c>
      <c r="F597" s="99">
        <f t="shared" si="19"/>
        <v>0</v>
      </c>
      <c r="G597" s="99">
        <f t="shared" si="19"/>
        <v>0</v>
      </c>
      <c r="H597" s="99">
        <f t="shared" si="19"/>
        <v>0</v>
      </c>
      <c r="I597" s="99">
        <f t="shared" si="19"/>
        <v>0</v>
      </c>
      <c r="J597" s="99">
        <f t="shared" si="19"/>
        <v>0</v>
      </c>
      <c r="K597" s="99">
        <f t="shared" si="19"/>
        <v>0</v>
      </c>
      <c r="L597" s="99">
        <f t="shared" si="19"/>
        <v>0</v>
      </c>
      <c r="M597" s="99">
        <f t="shared" si="19"/>
        <v>0</v>
      </c>
      <c r="N597" s="99">
        <f t="shared" si="19"/>
        <v>0</v>
      </c>
      <c r="O597" s="99">
        <f t="shared" si="19"/>
        <v>0</v>
      </c>
      <c r="P597" s="99">
        <f t="shared" si="19"/>
        <v>0</v>
      </c>
      <c r="Q597" s="99">
        <f t="shared" si="19"/>
        <v>0</v>
      </c>
      <c r="R597" s="99">
        <f t="shared" si="19"/>
        <v>0</v>
      </c>
      <c r="S597" s="99">
        <f t="shared" si="19"/>
        <v>0</v>
      </c>
      <c r="T597" s="99">
        <f t="shared" ref="T597:AR600" si="22">IFERROR(INDEX(T$8:T$552,$A597),0)</f>
        <v>0</v>
      </c>
      <c r="U597" s="99">
        <f t="shared" si="22"/>
        <v>0</v>
      </c>
      <c r="V597" s="99">
        <f t="shared" si="22"/>
        <v>0</v>
      </c>
      <c r="W597" s="99">
        <f t="shared" si="22"/>
        <v>0</v>
      </c>
      <c r="X597" s="99">
        <f t="shared" si="22"/>
        <v>0</v>
      </c>
      <c r="Y597" s="99">
        <f t="shared" si="22"/>
        <v>0</v>
      </c>
      <c r="Z597" s="99">
        <f t="shared" si="22"/>
        <v>0</v>
      </c>
      <c r="AA597" s="99">
        <f t="shared" si="22"/>
        <v>0</v>
      </c>
      <c r="AB597" s="99">
        <f t="shared" si="22"/>
        <v>0</v>
      </c>
      <c r="AC597" s="99">
        <f t="shared" si="22"/>
        <v>0</v>
      </c>
      <c r="AD597" s="99">
        <f t="shared" si="22"/>
        <v>0</v>
      </c>
      <c r="AE597" s="99">
        <f t="shared" si="22"/>
        <v>0</v>
      </c>
      <c r="AF597" s="99">
        <f t="shared" si="22"/>
        <v>0</v>
      </c>
      <c r="AG597" s="99">
        <f t="shared" si="22"/>
        <v>0</v>
      </c>
      <c r="AH597" s="99">
        <f t="shared" si="22"/>
        <v>0</v>
      </c>
      <c r="AI597" s="99">
        <f t="shared" si="22"/>
        <v>0</v>
      </c>
      <c r="AJ597" s="99">
        <f t="shared" si="22"/>
        <v>0</v>
      </c>
      <c r="AK597" s="99">
        <f t="shared" si="22"/>
        <v>0</v>
      </c>
      <c r="AL597" s="99">
        <f t="shared" si="22"/>
        <v>0</v>
      </c>
      <c r="AM597" s="99">
        <f t="shared" si="22"/>
        <v>0</v>
      </c>
      <c r="AN597" s="99">
        <f t="shared" si="22"/>
        <v>0</v>
      </c>
      <c r="AO597" s="99">
        <f t="shared" si="22"/>
        <v>0</v>
      </c>
      <c r="AP597" s="99">
        <f t="shared" si="22"/>
        <v>0</v>
      </c>
      <c r="AQ597" s="99">
        <f t="shared" si="22"/>
        <v>0</v>
      </c>
      <c r="AR597" s="99">
        <f t="shared" si="22"/>
        <v>0</v>
      </c>
    </row>
    <row r="598" spans="1:44" ht="15" x14ac:dyDescent="0.25">
      <c r="A598" s="258" t="e">
        <f t="shared" si="12"/>
        <v>#N/A</v>
      </c>
      <c r="B598" s="854"/>
      <c r="C598" s="854"/>
      <c r="D598" s="862"/>
      <c r="E598" s="99">
        <f t="shared" ref="E598:T600" si="23">IFERROR(INDEX(E$8:E$552,$A598),0)</f>
        <v>0</v>
      </c>
      <c r="F598" s="99">
        <f t="shared" si="23"/>
        <v>0</v>
      </c>
      <c r="G598" s="99">
        <f t="shared" si="23"/>
        <v>0</v>
      </c>
      <c r="H598" s="99">
        <f t="shared" si="23"/>
        <v>0</v>
      </c>
      <c r="I598" s="99">
        <f t="shared" si="23"/>
        <v>0</v>
      </c>
      <c r="J598" s="99">
        <f t="shared" si="23"/>
        <v>0</v>
      </c>
      <c r="K598" s="99">
        <f t="shared" si="23"/>
        <v>0</v>
      </c>
      <c r="L598" s="99">
        <f t="shared" si="23"/>
        <v>0</v>
      </c>
      <c r="M598" s="99">
        <f t="shared" si="23"/>
        <v>0</v>
      </c>
      <c r="N598" s="99">
        <f t="shared" si="23"/>
        <v>0</v>
      </c>
      <c r="O598" s="99">
        <f t="shared" si="23"/>
        <v>0</v>
      </c>
      <c r="P598" s="99">
        <f t="shared" si="23"/>
        <v>0</v>
      </c>
      <c r="Q598" s="99">
        <f t="shared" si="23"/>
        <v>0</v>
      </c>
      <c r="R598" s="99">
        <f t="shared" si="23"/>
        <v>0</v>
      </c>
      <c r="S598" s="99">
        <f t="shared" si="23"/>
        <v>0</v>
      </c>
      <c r="T598" s="99">
        <f t="shared" si="23"/>
        <v>0</v>
      </c>
      <c r="U598" s="99">
        <f t="shared" si="22"/>
        <v>0</v>
      </c>
      <c r="V598" s="99">
        <f t="shared" si="22"/>
        <v>0</v>
      </c>
      <c r="W598" s="99">
        <f t="shared" si="22"/>
        <v>0</v>
      </c>
      <c r="X598" s="99">
        <f t="shared" si="22"/>
        <v>0</v>
      </c>
      <c r="Y598" s="99">
        <f t="shared" si="22"/>
        <v>0</v>
      </c>
      <c r="Z598" s="99">
        <f t="shared" si="22"/>
        <v>0</v>
      </c>
      <c r="AA598" s="99">
        <f t="shared" si="22"/>
        <v>0</v>
      </c>
      <c r="AB598" s="99">
        <f t="shared" si="22"/>
        <v>0</v>
      </c>
      <c r="AC598" s="99">
        <f t="shared" si="22"/>
        <v>0</v>
      </c>
      <c r="AD598" s="99">
        <f t="shared" si="22"/>
        <v>0</v>
      </c>
      <c r="AE598" s="99">
        <f t="shared" si="22"/>
        <v>0</v>
      </c>
      <c r="AF598" s="99">
        <f t="shared" si="22"/>
        <v>0</v>
      </c>
      <c r="AG598" s="99">
        <f t="shared" si="22"/>
        <v>0</v>
      </c>
      <c r="AH598" s="99">
        <f t="shared" si="22"/>
        <v>0</v>
      </c>
      <c r="AI598" s="99">
        <f t="shared" si="22"/>
        <v>0</v>
      </c>
      <c r="AJ598" s="99">
        <f t="shared" si="22"/>
        <v>0</v>
      </c>
      <c r="AK598" s="99">
        <f t="shared" si="22"/>
        <v>0</v>
      </c>
      <c r="AL598" s="99">
        <f t="shared" si="22"/>
        <v>0</v>
      </c>
      <c r="AM598" s="99">
        <f t="shared" si="22"/>
        <v>0</v>
      </c>
      <c r="AN598" s="99">
        <f t="shared" si="22"/>
        <v>0</v>
      </c>
      <c r="AO598" s="99">
        <f t="shared" si="22"/>
        <v>0</v>
      </c>
      <c r="AP598" s="99">
        <f t="shared" si="22"/>
        <v>0</v>
      </c>
      <c r="AQ598" s="99">
        <f t="shared" si="22"/>
        <v>0</v>
      </c>
      <c r="AR598" s="99">
        <f t="shared" si="22"/>
        <v>0</v>
      </c>
    </row>
    <row r="599" spans="1:44" ht="15" x14ac:dyDescent="0.25">
      <c r="A599" s="258" t="e">
        <f t="shared" si="12"/>
        <v>#N/A</v>
      </c>
      <c r="B599" s="854"/>
      <c r="C599" s="854"/>
      <c r="D599" s="862"/>
      <c r="E599" s="99">
        <f t="shared" si="23"/>
        <v>0</v>
      </c>
      <c r="F599" s="99">
        <f t="shared" si="23"/>
        <v>0</v>
      </c>
      <c r="G599" s="99">
        <f t="shared" si="23"/>
        <v>0</v>
      </c>
      <c r="H599" s="99">
        <f t="shared" si="23"/>
        <v>0</v>
      </c>
      <c r="I599" s="99">
        <f t="shared" si="23"/>
        <v>0</v>
      </c>
      <c r="J599" s="99">
        <f t="shared" si="23"/>
        <v>0</v>
      </c>
      <c r="K599" s="99">
        <f t="shared" si="23"/>
        <v>0</v>
      </c>
      <c r="L599" s="99">
        <f t="shared" si="23"/>
        <v>0</v>
      </c>
      <c r="M599" s="99">
        <f t="shared" si="23"/>
        <v>0</v>
      </c>
      <c r="N599" s="99">
        <f t="shared" si="23"/>
        <v>0</v>
      </c>
      <c r="O599" s="99">
        <f t="shared" si="23"/>
        <v>0</v>
      </c>
      <c r="P599" s="99">
        <f t="shared" si="23"/>
        <v>0</v>
      </c>
      <c r="Q599" s="99">
        <f t="shared" si="23"/>
        <v>0</v>
      </c>
      <c r="R599" s="99">
        <f t="shared" si="23"/>
        <v>0</v>
      </c>
      <c r="S599" s="99">
        <f t="shared" si="23"/>
        <v>0</v>
      </c>
      <c r="T599" s="99">
        <f t="shared" si="23"/>
        <v>0</v>
      </c>
      <c r="U599" s="99">
        <f t="shared" si="22"/>
        <v>0</v>
      </c>
      <c r="V599" s="99">
        <f t="shared" si="22"/>
        <v>0</v>
      </c>
      <c r="W599" s="99">
        <f t="shared" si="22"/>
        <v>0</v>
      </c>
      <c r="X599" s="99">
        <f t="shared" si="22"/>
        <v>0</v>
      </c>
      <c r="Y599" s="99">
        <f t="shared" si="22"/>
        <v>0</v>
      </c>
      <c r="Z599" s="99">
        <f t="shared" si="22"/>
        <v>0</v>
      </c>
      <c r="AA599" s="99">
        <f t="shared" si="22"/>
        <v>0</v>
      </c>
      <c r="AB599" s="99">
        <f t="shared" si="22"/>
        <v>0</v>
      </c>
      <c r="AC599" s="99">
        <f t="shared" si="22"/>
        <v>0</v>
      </c>
      <c r="AD599" s="99">
        <f t="shared" si="22"/>
        <v>0</v>
      </c>
      <c r="AE599" s="99">
        <f t="shared" si="22"/>
        <v>0</v>
      </c>
      <c r="AF599" s="99">
        <f t="shared" si="22"/>
        <v>0</v>
      </c>
      <c r="AG599" s="99">
        <f t="shared" si="22"/>
        <v>0</v>
      </c>
      <c r="AH599" s="99">
        <f t="shared" si="22"/>
        <v>0</v>
      </c>
      <c r="AI599" s="99">
        <f t="shared" si="22"/>
        <v>0</v>
      </c>
      <c r="AJ599" s="99">
        <f t="shared" si="22"/>
        <v>0</v>
      </c>
      <c r="AK599" s="99">
        <f t="shared" si="22"/>
        <v>0</v>
      </c>
      <c r="AL599" s="99">
        <f t="shared" si="22"/>
        <v>0</v>
      </c>
      <c r="AM599" s="99">
        <f t="shared" si="22"/>
        <v>0</v>
      </c>
      <c r="AN599" s="99">
        <f t="shared" si="22"/>
        <v>0</v>
      </c>
      <c r="AO599" s="99">
        <f t="shared" si="22"/>
        <v>0</v>
      </c>
      <c r="AP599" s="99">
        <f t="shared" si="22"/>
        <v>0</v>
      </c>
      <c r="AQ599" s="99">
        <f t="shared" si="22"/>
        <v>0</v>
      </c>
      <c r="AR599" s="99">
        <f t="shared" si="22"/>
        <v>0</v>
      </c>
    </row>
    <row r="600" spans="1:44" ht="15" x14ac:dyDescent="0.25">
      <c r="A600" s="258" t="e">
        <f t="shared" si="12"/>
        <v>#N/A</v>
      </c>
      <c r="B600" s="854"/>
      <c r="C600" s="854"/>
      <c r="D600" s="862"/>
      <c r="E600" s="99">
        <f t="shared" si="23"/>
        <v>0</v>
      </c>
      <c r="F600" s="99">
        <f t="shared" si="23"/>
        <v>0</v>
      </c>
      <c r="G600" s="99">
        <f t="shared" si="23"/>
        <v>0</v>
      </c>
      <c r="H600" s="99">
        <f t="shared" si="23"/>
        <v>0</v>
      </c>
      <c r="I600" s="99">
        <f t="shared" si="23"/>
        <v>0</v>
      </c>
      <c r="J600" s="99">
        <f t="shared" si="23"/>
        <v>0</v>
      </c>
      <c r="K600" s="99">
        <f t="shared" si="23"/>
        <v>0</v>
      </c>
      <c r="L600" s="99">
        <f t="shared" si="23"/>
        <v>0</v>
      </c>
      <c r="M600" s="99">
        <f t="shared" si="23"/>
        <v>0</v>
      </c>
      <c r="N600" s="99">
        <f t="shared" si="23"/>
        <v>0</v>
      </c>
      <c r="O600" s="99">
        <f t="shared" si="23"/>
        <v>0</v>
      </c>
      <c r="P600" s="99">
        <f t="shared" si="23"/>
        <v>0</v>
      </c>
      <c r="Q600" s="99">
        <f t="shared" si="23"/>
        <v>0</v>
      </c>
      <c r="R600" s="99">
        <f t="shared" si="23"/>
        <v>0</v>
      </c>
      <c r="S600" s="99">
        <f t="shared" si="23"/>
        <v>0</v>
      </c>
      <c r="T600" s="99">
        <f t="shared" si="23"/>
        <v>0</v>
      </c>
      <c r="U600" s="99">
        <f t="shared" si="22"/>
        <v>0</v>
      </c>
      <c r="V600" s="99">
        <f t="shared" si="22"/>
        <v>0</v>
      </c>
      <c r="W600" s="99">
        <f t="shared" si="22"/>
        <v>0</v>
      </c>
      <c r="X600" s="99">
        <f t="shared" si="22"/>
        <v>0</v>
      </c>
      <c r="Y600" s="99">
        <f t="shared" si="22"/>
        <v>0</v>
      </c>
      <c r="Z600" s="99">
        <f t="shared" si="22"/>
        <v>0</v>
      </c>
      <c r="AA600" s="99">
        <f t="shared" si="22"/>
        <v>0</v>
      </c>
      <c r="AB600" s="99">
        <f t="shared" si="22"/>
        <v>0</v>
      </c>
      <c r="AC600" s="99">
        <f t="shared" si="22"/>
        <v>0</v>
      </c>
      <c r="AD600" s="99">
        <f t="shared" si="22"/>
        <v>0</v>
      </c>
      <c r="AE600" s="99">
        <f t="shared" si="22"/>
        <v>0</v>
      </c>
      <c r="AF600" s="99">
        <f t="shared" si="22"/>
        <v>0</v>
      </c>
      <c r="AG600" s="99">
        <f t="shared" si="22"/>
        <v>0</v>
      </c>
      <c r="AH600" s="99">
        <f t="shared" si="22"/>
        <v>0</v>
      </c>
      <c r="AI600" s="99">
        <f t="shared" si="22"/>
        <v>0</v>
      </c>
      <c r="AJ600" s="99">
        <f t="shared" si="22"/>
        <v>0</v>
      </c>
      <c r="AK600" s="99">
        <f t="shared" si="22"/>
        <v>0</v>
      </c>
      <c r="AL600" s="99">
        <f t="shared" si="22"/>
        <v>0</v>
      </c>
      <c r="AM600" s="99">
        <f t="shared" si="22"/>
        <v>0</v>
      </c>
      <c r="AN600" s="99">
        <f t="shared" si="22"/>
        <v>0</v>
      </c>
      <c r="AO600" s="99">
        <f t="shared" si="22"/>
        <v>0</v>
      </c>
      <c r="AP600" s="99">
        <f t="shared" si="22"/>
        <v>0</v>
      </c>
      <c r="AQ600" s="99">
        <f t="shared" si="22"/>
        <v>0</v>
      </c>
      <c r="AR600" s="99">
        <f t="shared" si="22"/>
        <v>0</v>
      </c>
    </row>
    <row r="601" spans="1:44" x14ac:dyDescent="0.2">
      <c r="B601" s="854"/>
      <c r="C601" s="854"/>
      <c r="D601" s="862"/>
    </row>
    <row r="602" spans="1:44" x14ac:dyDescent="0.2">
      <c r="B602" s="854"/>
      <c r="C602" s="854"/>
      <c r="D602" s="862"/>
    </row>
    <row r="603" spans="1:44" x14ac:dyDescent="0.2">
      <c r="B603" s="854"/>
      <c r="C603" s="854"/>
      <c r="D603" s="862"/>
    </row>
    <row r="604" spans="1:44" x14ac:dyDescent="0.2">
      <c r="B604" s="854"/>
      <c r="C604" s="854"/>
      <c r="D604" s="862"/>
    </row>
    <row r="605" spans="1:44" x14ac:dyDescent="0.2">
      <c r="B605" s="854"/>
      <c r="C605" s="854"/>
      <c r="D605" s="862"/>
    </row>
    <row r="606" spans="1:44" x14ac:dyDescent="0.2">
      <c r="B606" s="854"/>
      <c r="C606" s="854"/>
      <c r="D606" s="862"/>
    </row>
    <row r="607" spans="1:44" x14ac:dyDescent="0.2">
      <c r="B607" s="854"/>
      <c r="C607" s="854"/>
      <c r="D607" s="862"/>
    </row>
    <row r="608" spans="1:44" x14ac:dyDescent="0.2">
      <c r="B608" s="854"/>
      <c r="C608" s="854"/>
      <c r="D608" s="862"/>
    </row>
    <row r="609" spans="2:4" x14ac:dyDescent="0.2">
      <c r="B609" s="854"/>
      <c r="C609" s="854"/>
      <c r="D609" s="862"/>
    </row>
    <row r="610" spans="2:4" x14ac:dyDescent="0.2">
      <c r="B610" s="854"/>
      <c r="C610" s="854"/>
      <c r="D610" s="862"/>
    </row>
    <row r="611" spans="2:4" x14ac:dyDescent="0.2">
      <c r="B611" s="854"/>
      <c r="C611" s="854"/>
      <c r="D611" s="862"/>
    </row>
    <row r="612" spans="2:4" x14ac:dyDescent="0.2">
      <c r="B612" s="854"/>
      <c r="C612" s="854"/>
      <c r="D612" s="862"/>
    </row>
    <row r="613" spans="2:4" x14ac:dyDescent="0.2">
      <c r="B613" s="854"/>
      <c r="C613" s="854"/>
      <c r="D613" s="862"/>
    </row>
    <row r="614" spans="2:4" x14ac:dyDescent="0.2">
      <c r="B614" s="854"/>
      <c r="C614" s="854"/>
      <c r="D614" s="862"/>
    </row>
    <row r="615" spans="2:4" x14ac:dyDescent="0.2">
      <c r="B615" s="854"/>
      <c r="C615" s="854"/>
      <c r="D615" s="862"/>
    </row>
    <row r="616" spans="2:4" x14ac:dyDescent="0.2">
      <c r="B616" s="854"/>
      <c r="C616" s="854"/>
      <c r="D616" s="862"/>
    </row>
    <row r="617" spans="2:4" x14ac:dyDescent="0.2">
      <c r="B617" s="854"/>
      <c r="C617" s="854"/>
      <c r="D617" s="862"/>
    </row>
    <row r="618" spans="2:4" x14ac:dyDescent="0.2">
      <c r="B618" s="854"/>
      <c r="C618" s="854"/>
      <c r="D618" s="862"/>
    </row>
    <row r="619" spans="2:4" x14ac:dyDescent="0.2">
      <c r="B619" s="854"/>
      <c r="C619" s="854"/>
      <c r="D619" s="862"/>
    </row>
    <row r="620" spans="2:4" x14ac:dyDescent="0.2">
      <c r="B620" s="854"/>
      <c r="C620" s="854"/>
      <c r="D620" s="862"/>
    </row>
    <row r="621" spans="2:4" x14ac:dyDescent="0.2">
      <c r="B621" s="854"/>
      <c r="C621" s="854"/>
      <c r="D621" s="862"/>
    </row>
    <row r="622" spans="2:4" x14ac:dyDescent="0.2">
      <c r="B622" s="854"/>
      <c r="C622" s="854"/>
      <c r="D622" s="862"/>
    </row>
    <row r="623" spans="2:4" x14ac:dyDescent="0.2">
      <c r="B623" s="854"/>
      <c r="C623" s="854"/>
      <c r="D623" s="862"/>
    </row>
    <row r="624" spans="2:4" x14ac:dyDescent="0.2">
      <c r="B624" s="854"/>
      <c r="C624" s="854"/>
      <c r="D624" s="862"/>
    </row>
    <row r="625" spans="2:4" x14ac:dyDescent="0.2">
      <c r="B625" s="854"/>
      <c r="C625" s="854"/>
      <c r="D625" s="862"/>
    </row>
    <row r="626" spans="2:4" x14ac:dyDescent="0.2">
      <c r="B626" s="854"/>
      <c r="C626" s="854"/>
      <c r="D626" s="862"/>
    </row>
    <row r="627" spans="2:4" x14ac:dyDescent="0.2">
      <c r="B627" s="854"/>
      <c r="C627" s="854"/>
      <c r="D627" s="862"/>
    </row>
    <row r="628" spans="2:4" x14ac:dyDescent="0.2">
      <c r="B628" s="854"/>
      <c r="C628" s="854"/>
      <c r="D628" s="862"/>
    </row>
    <row r="629" spans="2:4" x14ac:dyDescent="0.2">
      <c r="B629" s="854"/>
      <c r="C629" s="854"/>
      <c r="D629" s="862"/>
    </row>
    <row r="630" spans="2:4" x14ac:dyDescent="0.2">
      <c r="B630" s="854"/>
      <c r="C630" s="854"/>
      <c r="D630" s="862"/>
    </row>
    <row r="631" spans="2:4" x14ac:dyDescent="0.2">
      <c r="B631" s="854"/>
      <c r="C631" s="854"/>
      <c r="D631" s="862"/>
    </row>
    <row r="632" spans="2:4" x14ac:dyDescent="0.2">
      <c r="D632" s="863"/>
    </row>
    <row r="633" spans="2:4" x14ac:dyDescent="0.2">
      <c r="D633" s="863"/>
    </row>
    <row r="634" spans="2:4" x14ac:dyDescent="0.2">
      <c r="D634" s="863"/>
    </row>
    <row r="635" spans="2:4" x14ac:dyDescent="0.2">
      <c r="D635" s="863"/>
    </row>
    <row r="636" spans="2:4" x14ac:dyDescent="0.2">
      <c r="D636" s="863"/>
    </row>
    <row r="637" spans="2:4" x14ac:dyDescent="0.2">
      <c r="D637" s="863"/>
    </row>
    <row r="638" spans="2:4" x14ac:dyDescent="0.2">
      <c r="D638" s="863"/>
    </row>
    <row r="639" spans="2:4" x14ac:dyDescent="0.2">
      <c r="D639" s="863"/>
    </row>
    <row r="640" spans="2:4" x14ac:dyDescent="0.2">
      <c r="D640" s="863"/>
    </row>
    <row r="641" spans="4:4" x14ac:dyDescent="0.2">
      <c r="D641" s="863"/>
    </row>
    <row r="642" spans="4:4" x14ac:dyDescent="0.2">
      <c r="D642" s="863"/>
    </row>
    <row r="643" spans="4:4" x14ac:dyDescent="0.2">
      <c r="D643" s="863"/>
    </row>
    <row r="644" spans="4:4" x14ac:dyDescent="0.2">
      <c r="D644" s="863"/>
    </row>
    <row r="645" spans="4:4" x14ac:dyDescent="0.2">
      <c r="D645" s="863"/>
    </row>
    <row r="646" spans="4:4" x14ac:dyDescent="0.2">
      <c r="D646" s="863"/>
    </row>
    <row r="647" spans="4:4" x14ac:dyDescent="0.2">
      <c r="D647" s="863"/>
    </row>
    <row r="648" spans="4:4" x14ac:dyDescent="0.2">
      <c r="D648" s="863"/>
    </row>
    <row r="649" spans="4:4" x14ac:dyDescent="0.2">
      <c r="D649" s="863"/>
    </row>
    <row r="650" spans="4:4" x14ac:dyDescent="0.2">
      <c r="D650" s="863"/>
    </row>
    <row r="651" spans="4:4" x14ac:dyDescent="0.2">
      <c r="D651" s="863"/>
    </row>
    <row r="652" spans="4:4" x14ac:dyDescent="0.2">
      <c r="D652" s="863"/>
    </row>
    <row r="653" spans="4:4" x14ac:dyDescent="0.2">
      <c r="D653" s="863"/>
    </row>
    <row r="654" spans="4:4" x14ac:dyDescent="0.2">
      <c r="D654" s="863"/>
    </row>
    <row r="655" spans="4:4" x14ac:dyDescent="0.2">
      <c r="D655" s="863"/>
    </row>
    <row r="656" spans="4:4" x14ac:dyDescent="0.2">
      <c r="D656" s="863"/>
    </row>
    <row r="657" spans="4:4" x14ac:dyDescent="0.2">
      <c r="D657" s="863"/>
    </row>
    <row r="658" spans="4:4" x14ac:dyDescent="0.2">
      <c r="D658" s="863"/>
    </row>
    <row r="659" spans="4:4" x14ac:dyDescent="0.2">
      <c r="D659" s="863"/>
    </row>
    <row r="660" spans="4:4" x14ac:dyDescent="0.2">
      <c r="D660" s="863"/>
    </row>
    <row r="661" spans="4:4" x14ac:dyDescent="0.2">
      <c r="D661" s="863"/>
    </row>
    <row r="662" spans="4:4" x14ac:dyDescent="0.2">
      <c r="D662" s="863"/>
    </row>
    <row r="663" spans="4:4" x14ac:dyDescent="0.2">
      <c r="D663" s="863"/>
    </row>
    <row r="664" spans="4:4" x14ac:dyDescent="0.2">
      <c r="D664" s="863"/>
    </row>
    <row r="665" spans="4:4" x14ac:dyDescent="0.2">
      <c r="D665" s="863"/>
    </row>
    <row r="666" spans="4:4" x14ac:dyDescent="0.2">
      <c r="D666" s="863"/>
    </row>
    <row r="667" spans="4:4" x14ac:dyDescent="0.2">
      <c r="D667" s="863"/>
    </row>
    <row r="668" spans="4:4" x14ac:dyDescent="0.2">
      <c r="D668" s="863"/>
    </row>
    <row r="669" spans="4:4" x14ac:dyDescent="0.2">
      <c r="D669" s="863"/>
    </row>
    <row r="670" spans="4:4" x14ac:dyDescent="0.2">
      <c r="D670" s="863"/>
    </row>
    <row r="671" spans="4:4" x14ac:dyDescent="0.2">
      <c r="D671" s="863"/>
    </row>
    <row r="672" spans="4:4" x14ac:dyDescent="0.2">
      <c r="D672" s="863"/>
    </row>
    <row r="673" spans="4:4" x14ac:dyDescent="0.2">
      <c r="D673" s="863"/>
    </row>
    <row r="674" spans="4:4" x14ac:dyDescent="0.2">
      <c r="D674" s="863"/>
    </row>
    <row r="675" spans="4:4" x14ac:dyDescent="0.2">
      <c r="D675" s="863"/>
    </row>
    <row r="676" spans="4:4" x14ac:dyDescent="0.2">
      <c r="D676" s="863"/>
    </row>
    <row r="677" spans="4:4" x14ac:dyDescent="0.2">
      <c r="D677" s="863"/>
    </row>
    <row r="678" spans="4:4" x14ac:dyDescent="0.2">
      <c r="D678" s="863"/>
    </row>
    <row r="679" spans="4:4" x14ac:dyDescent="0.2">
      <c r="D679" s="863"/>
    </row>
    <row r="680" spans="4:4" x14ac:dyDescent="0.2">
      <c r="D680" s="863"/>
    </row>
    <row r="681" spans="4:4" x14ac:dyDescent="0.2">
      <c r="D681" s="863"/>
    </row>
    <row r="682" spans="4:4" x14ac:dyDescent="0.2">
      <c r="D682" s="863"/>
    </row>
    <row r="683" spans="4:4" x14ac:dyDescent="0.2">
      <c r="D683" s="863"/>
    </row>
    <row r="684" spans="4:4" x14ac:dyDescent="0.2">
      <c r="D684" s="863"/>
    </row>
    <row r="685" spans="4:4" x14ac:dyDescent="0.2">
      <c r="D685" s="863"/>
    </row>
    <row r="686" spans="4:4" x14ac:dyDescent="0.2">
      <c r="D686" s="863"/>
    </row>
    <row r="687" spans="4:4" x14ac:dyDescent="0.2">
      <c r="D687" s="863"/>
    </row>
    <row r="688" spans="4:4" x14ac:dyDescent="0.2">
      <c r="D688" s="863"/>
    </row>
    <row r="689" spans="4:4" x14ac:dyDescent="0.2">
      <c r="D689" s="863"/>
    </row>
    <row r="690" spans="4:4" x14ac:dyDescent="0.2">
      <c r="D690" s="863"/>
    </row>
    <row r="691" spans="4:4" x14ac:dyDescent="0.2">
      <c r="D691" s="863"/>
    </row>
    <row r="692" spans="4:4" x14ac:dyDescent="0.2">
      <c r="D692" s="863"/>
    </row>
    <row r="693" spans="4:4" x14ac:dyDescent="0.2">
      <c r="D693" s="863"/>
    </row>
    <row r="694" spans="4:4" x14ac:dyDescent="0.2">
      <c r="D694" s="863"/>
    </row>
    <row r="695" spans="4:4" x14ac:dyDescent="0.2">
      <c r="D695" s="863"/>
    </row>
    <row r="696" spans="4:4" x14ac:dyDescent="0.2">
      <c r="D696" s="863"/>
    </row>
    <row r="697" spans="4:4" x14ac:dyDescent="0.2">
      <c r="D697" s="863"/>
    </row>
    <row r="698" spans="4:4" x14ac:dyDescent="0.2">
      <c r="D698" s="863"/>
    </row>
    <row r="699" spans="4:4" x14ac:dyDescent="0.2">
      <c r="D699" s="863"/>
    </row>
    <row r="700" spans="4:4" x14ac:dyDescent="0.2">
      <c r="D700" s="863"/>
    </row>
    <row r="701" spans="4:4" x14ac:dyDescent="0.2">
      <c r="D701" s="863"/>
    </row>
    <row r="702" spans="4:4" x14ac:dyDescent="0.2">
      <c r="D702" s="863"/>
    </row>
    <row r="703" spans="4:4" x14ac:dyDescent="0.2">
      <c r="D703" s="863"/>
    </row>
    <row r="704" spans="4:4" x14ac:dyDescent="0.2">
      <c r="D704" s="863"/>
    </row>
    <row r="705" spans="4:4" x14ac:dyDescent="0.2">
      <c r="D705" s="863"/>
    </row>
    <row r="706" spans="4:4" x14ac:dyDescent="0.2">
      <c r="D706" s="863"/>
    </row>
    <row r="707" spans="4:4" x14ac:dyDescent="0.2">
      <c r="D707" s="863"/>
    </row>
    <row r="708" spans="4:4" x14ac:dyDescent="0.2">
      <c r="D708" s="863"/>
    </row>
    <row r="709" spans="4:4" x14ac:dyDescent="0.2">
      <c r="D709" s="863"/>
    </row>
    <row r="710" spans="4:4" x14ac:dyDescent="0.2">
      <c r="D710" s="863"/>
    </row>
    <row r="711" spans="4:4" x14ac:dyDescent="0.2">
      <c r="D711" s="863"/>
    </row>
    <row r="712" spans="4:4" x14ac:dyDescent="0.2">
      <c r="D712" s="863"/>
    </row>
    <row r="713" spans="4:4" x14ac:dyDescent="0.2">
      <c r="D713" s="863"/>
    </row>
    <row r="714" spans="4:4" x14ac:dyDescent="0.2">
      <c r="D714" s="863"/>
    </row>
    <row r="715" spans="4:4" x14ac:dyDescent="0.2">
      <c r="D715" s="863"/>
    </row>
    <row r="716" spans="4:4" x14ac:dyDescent="0.2">
      <c r="D716" s="863"/>
    </row>
    <row r="717" spans="4:4" x14ac:dyDescent="0.2">
      <c r="D717" s="863"/>
    </row>
    <row r="718" spans="4:4" x14ac:dyDescent="0.2">
      <c r="D718" s="863"/>
    </row>
    <row r="719" spans="4:4" x14ac:dyDescent="0.2">
      <c r="D719" s="863"/>
    </row>
    <row r="720" spans="4:4" x14ac:dyDescent="0.2">
      <c r="D720" s="863"/>
    </row>
    <row r="721" spans="4:4" x14ac:dyDescent="0.2">
      <c r="D721" s="863"/>
    </row>
    <row r="722" spans="4:4" x14ac:dyDescent="0.2">
      <c r="D722" s="863"/>
    </row>
    <row r="723" spans="4:4" x14ac:dyDescent="0.2">
      <c r="D723" s="863"/>
    </row>
    <row r="724" spans="4:4" x14ac:dyDescent="0.2">
      <c r="D724" s="863"/>
    </row>
    <row r="725" spans="4:4" x14ac:dyDescent="0.2">
      <c r="D725" s="863"/>
    </row>
    <row r="726" spans="4:4" x14ac:dyDescent="0.2">
      <c r="D726" s="863"/>
    </row>
    <row r="727" spans="4:4" x14ac:dyDescent="0.2">
      <c r="D727" s="863"/>
    </row>
    <row r="728" spans="4:4" x14ac:dyDescent="0.2">
      <c r="D728" s="863"/>
    </row>
    <row r="729" spans="4:4" x14ac:dyDescent="0.2">
      <c r="D729" s="863"/>
    </row>
    <row r="730" spans="4:4" x14ac:dyDescent="0.2">
      <c r="D730" s="863"/>
    </row>
    <row r="731" spans="4:4" x14ac:dyDescent="0.2">
      <c r="D731" s="863"/>
    </row>
    <row r="732" spans="4:4" x14ac:dyDescent="0.2">
      <c r="D732" s="863"/>
    </row>
    <row r="733" spans="4:4" x14ac:dyDescent="0.2">
      <c r="D733" s="863"/>
    </row>
    <row r="734" spans="4:4" x14ac:dyDescent="0.2">
      <c r="D734" s="863"/>
    </row>
    <row r="735" spans="4:4" x14ac:dyDescent="0.2">
      <c r="D735" s="863"/>
    </row>
    <row r="736" spans="4:4" x14ac:dyDescent="0.2">
      <c r="D736" s="863"/>
    </row>
    <row r="737" spans="4:4" x14ac:dyDescent="0.2">
      <c r="D737" s="863"/>
    </row>
    <row r="738" spans="4:4" x14ac:dyDescent="0.2">
      <c r="D738" s="863"/>
    </row>
    <row r="739" spans="4:4" x14ac:dyDescent="0.2">
      <c r="D739" s="863"/>
    </row>
    <row r="740" spans="4:4" x14ac:dyDescent="0.2">
      <c r="D740" s="863"/>
    </row>
    <row r="741" spans="4:4" x14ac:dyDescent="0.2">
      <c r="D741" s="863"/>
    </row>
    <row r="742" spans="4:4" x14ac:dyDescent="0.2">
      <c r="D742" s="863"/>
    </row>
    <row r="743" spans="4:4" x14ac:dyDescent="0.2">
      <c r="D743" s="863"/>
    </row>
    <row r="744" spans="4:4" x14ac:dyDescent="0.2">
      <c r="D744" s="863"/>
    </row>
    <row r="745" spans="4:4" x14ac:dyDescent="0.2">
      <c r="D745" s="863"/>
    </row>
    <row r="746" spans="4:4" x14ac:dyDescent="0.2">
      <c r="D746" s="863"/>
    </row>
    <row r="747" spans="4:4" x14ac:dyDescent="0.2">
      <c r="D747" s="863"/>
    </row>
    <row r="748" spans="4:4" x14ac:dyDescent="0.2">
      <c r="D748" s="863"/>
    </row>
    <row r="749" spans="4:4" x14ac:dyDescent="0.2">
      <c r="D749" s="863"/>
    </row>
    <row r="750" spans="4:4" x14ac:dyDescent="0.2">
      <c r="D750" s="863"/>
    </row>
    <row r="751" spans="4:4" x14ac:dyDescent="0.2">
      <c r="D751" s="863"/>
    </row>
    <row r="752" spans="4:4" x14ac:dyDescent="0.2">
      <c r="D752" s="863"/>
    </row>
    <row r="753" spans="4:4" x14ac:dyDescent="0.2">
      <c r="D753" s="863"/>
    </row>
    <row r="754" spans="4:4" x14ac:dyDescent="0.2">
      <c r="D754" s="863"/>
    </row>
    <row r="755" spans="4:4" x14ac:dyDescent="0.2">
      <c r="D755" s="863"/>
    </row>
    <row r="756" spans="4:4" x14ac:dyDescent="0.2">
      <c r="D756" s="863"/>
    </row>
    <row r="757" spans="4:4" x14ac:dyDescent="0.2">
      <c r="D757" s="863"/>
    </row>
    <row r="758" spans="4:4" x14ac:dyDescent="0.2">
      <c r="D758" s="863"/>
    </row>
    <row r="759" spans="4:4" x14ac:dyDescent="0.2">
      <c r="D759" s="863"/>
    </row>
    <row r="760" spans="4:4" x14ac:dyDescent="0.2">
      <c r="D760" s="863"/>
    </row>
    <row r="761" spans="4:4" x14ac:dyDescent="0.2">
      <c r="D761" s="863"/>
    </row>
    <row r="762" spans="4:4" x14ac:dyDescent="0.2">
      <c r="D762" s="863"/>
    </row>
    <row r="763" spans="4:4" x14ac:dyDescent="0.2">
      <c r="D763" s="863"/>
    </row>
    <row r="764" spans="4:4" x14ac:dyDescent="0.2">
      <c r="D764" s="863"/>
    </row>
    <row r="765" spans="4:4" x14ac:dyDescent="0.2">
      <c r="D765" s="863"/>
    </row>
    <row r="766" spans="4:4" x14ac:dyDescent="0.2">
      <c r="D766" s="863"/>
    </row>
    <row r="767" spans="4:4" x14ac:dyDescent="0.2">
      <c r="D767" s="863"/>
    </row>
    <row r="768" spans="4:4" x14ac:dyDescent="0.2">
      <c r="D768" s="863"/>
    </row>
    <row r="769" spans="4:4" x14ac:dyDescent="0.2">
      <c r="D769" s="863"/>
    </row>
    <row r="770" spans="4:4" x14ac:dyDescent="0.2">
      <c r="D770" s="863"/>
    </row>
    <row r="771" spans="4:4" x14ac:dyDescent="0.2">
      <c r="D771" s="863"/>
    </row>
    <row r="772" spans="4:4" x14ac:dyDescent="0.2">
      <c r="D772" s="863"/>
    </row>
    <row r="773" spans="4:4" x14ac:dyDescent="0.2">
      <c r="D773" s="863"/>
    </row>
    <row r="774" spans="4:4" x14ac:dyDescent="0.2">
      <c r="D774" s="863"/>
    </row>
    <row r="775" spans="4:4" x14ac:dyDescent="0.2">
      <c r="D775" s="863"/>
    </row>
    <row r="776" spans="4:4" x14ac:dyDescent="0.2">
      <c r="D776" s="863"/>
    </row>
    <row r="777" spans="4:4" x14ac:dyDescent="0.2">
      <c r="D777" s="863"/>
    </row>
    <row r="778" spans="4:4" x14ac:dyDescent="0.2">
      <c r="D778" s="863"/>
    </row>
    <row r="779" spans="4:4" x14ac:dyDescent="0.2">
      <c r="D779" s="863"/>
    </row>
    <row r="780" spans="4:4" x14ac:dyDescent="0.2">
      <c r="D780" s="863"/>
    </row>
    <row r="781" spans="4:4" x14ac:dyDescent="0.2">
      <c r="D781" s="863"/>
    </row>
    <row r="782" spans="4:4" x14ac:dyDescent="0.2">
      <c r="D782" s="863"/>
    </row>
    <row r="783" spans="4:4" x14ac:dyDescent="0.2">
      <c r="D783" s="863"/>
    </row>
    <row r="784" spans="4:4" x14ac:dyDescent="0.2">
      <c r="D784" s="863"/>
    </row>
    <row r="785" spans="4:4" x14ac:dyDescent="0.2">
      <c r="D785" s="863"/>
    </row>
    <row r="786" spans="4:4" x14ac:dyDescent="0.2">
      <c r="D786" s="863"/>
    </row>
    <row r="787" spans="4:4" x14ac:dyDescent="0.2">
      <c r="D787" s="863"/>
    </row>
    <row r="788" spans="4:4" x14ac:dyDescent="0.2">
      <c r="D788" s="863"/>
    </row>
    <row r="789" spans="4:4" x14ac:dyDescent="0.2">
      <c r="D789" s="863"/>
    </row>
    <row r="790" spans="4:4" x14ac:dyDescent="0.2">
      <c r="D790" s="863"/>
    </row>
    <row r="791" spans="4:4" x14ac:dyDescent="0.2">
      <c r="D791" s="863"/>
    </row>
    <row r="792" spans="4:4" x14ac:dyDescent="0.2">
      <c r="D792" s="863"/>
    </row>
    <row r="793" spans="4:4" x14ac:dyDescent="0.2">
      <c r="D793" s="863"/>
    </row>
    <row r="794" spans="4:4" x14ac:dyDescent="0.2">
      <c r="D794" s="863"/>
    </row>
    <row r="795" spans="4:4" x14ac:dyDescent="0.2">
      <c r="D795" s="863"/>
    </row>
    <row r="796" spans="4:4" x14ac:dyDescent="0.2">
      <c r="D796" s="863"/>
    </row>
    <row r="797" spans="4:4" x14ac:dyDescent="0.2">
      <c r="D797" s="863"/>
    </row>
    <row r="798" spans="4:4" x14ac:dyDescent="0.2">
      <c r="D798" s="863"/>
    </row>
    <row r="799" spans="4:4" x14ac:dyDescent="0.2">
      <c r="D799" s="863"/>
    </row>
    <row r="800" spans="4:4" x14ac:dyDescent="0.2">
      <c r="D800" s="863"/>
    </row>
    <row r="801" spans="4:4" x14ac:dyDescent="0.2">
      <c r="D801" s="863"/>
    </row>
    <row r="802" spans="4:4" x14ac:dyDescent="0.2">
      <c r="D802" s="863"/>
    </row>
    <row r="803" spans="4:4" x14ac:dyDescent="0.2">
      <c r="D803" s="863"/>
    </row>
    <row r="804" spans="4:4" x14ac:dyDescent="0.2">
      <c r="D804" s="863"/>
    </row>
    <row r="805" spans="4:4" x14ac:dyDescent="0.2">
      <c r="D805" s="863"/>
    </row>
    <row r="806" spans="4:4" x14ac:dyDescent="0.2">
      <c r="D806" s="863"/>
    </row>
    <row r="807" spans="4:4" x14ac:dyDescent="0.2">
      <c r="D807" s="863"/>
    </row>
    <row r="808" spans="4:4" x14ac:dyDescent="0.2">
      <c r="D808" s="863"/>
    </row>
    <row r="809" spans="4:4" x14ac:dyDescent="0.2">
      <c r="D809" s="863"/>
    </row>
    <row r="810" spans="4:4" x14ac:dyDescent="0.2">
      <c r="D810" s="863"/>
    </row>
    <row r="811" spans="4:4" x14ac:dyDescent="0.2">
      <c r="D811" s="863"/>
    </row>
    <row r="812" spans="4:4" x14ac:dyDescent="0.2">
      <c r="D812" s="863"/>
    </row>
    <row r="813" spans="4:4" x14ac:dyDescent="0.2">
      <c r="D813" s="863"/>
    </row>
    <row r="814" spans="4:4" x14ac:dyDescent="0.2">
      <c r="D814" s="863"/>
    </row>
    <row r="815" spans="4:4" x14ac:dyDescent="0.2">
      <c r="D815" s="863"/>
    </row>
    <row r="816" spans="4:4" x14ac:dyDescent="0.2">
      <c r="D816" s="863"/>
    </row>
    <row r="817" spans="4:4" x14ac:dyDescent="0.2">
      <c r="D817" s="863"/>
    </row>
    <row r="818" spans="4:4" x14ac:dyDescent="0.2">
      <c r="D818" s="863"/>
    </row>
    <row r="819" spans="4:4" x14ac:dyDescent="0.2">
      <c r="D819" s="863"/>
    </row>
    <row r="820" spans="4:4" x14ac:dyDescent="0.2">
      <c r="D820" s="863"/>
    </row>
    <row r="821" spans="4:4" x14ac:dyDescent="0.2">
      <c r="D821" s="863"/>
    </row>
    <row r="822" spans="4:4" x14ac:dyDescent="0.2">
      <c r="D822" s="863"/>
    </row>
    <row r="823" spans="4:4" x14ac:dyDescent="0.2">
      <c r="D823" s="863"/>
    </row>
    <row r="824" spans="4:4" x14ac:dyDescent="0.2">
      <c r="D824" s="863"/>
    </row>
    <row r="825" spans="4:4" x14ac:dyDescent="0.2">
      <c r="D825" s="863"/>
    </row>
    <row r="826" spans="4:4" x14ac:dyDescent="0.2">
      <c r="D826" s="863"/>
    </row>
    <row r="827" spans="4:4" x14ac:dyDescent="0.2">
      <c r="D827" s="863"/>
    </row>
    <row r="828" spans="4:4" x14ac:dyDescent="0.2">
      <c r="D828" s="863"/>
    </row>
    <row r="829" spans="4:4" x14ac:dyDescent="0.2">
      <c r="D829" s="863"/>
    </row>
    <row r="830" spans="4:4" x14ac:dyDescent="0.2">
      <c r="D830" s="863"/>
    </row>
    <row r="831" spans="4:4" x14ac:dyDescent="0.2">
      <c r="D831" s="863"/>
    </row>
    <row r="832" spans="4:4" x14ac:dyDescent="0.2">
      <c r="D832" s="863"/>
    </row>
    <row r="833" spans="4:4" x14ac:dyDescent="0.2">
      <c r="D833" s="863"/>
    </row>
    <row r="834" spans="4:4" x14ac:dyDescent="0.2">
      <c r="D834" s="863"/>
    </row>
    <row r="835" spans="4:4" x14ac:dyDescent="0.2">
      <c r="D835" s="863"/>
    </row>
    <row r="836" spans="4:4" x14ac:dyDescent="0.2">
      <c r="D836" s="863"/>
    </row>
    <row r="837" spans="4:4" x14ac:dyDescent="0.2">
      <c r="D837" s="863"/>
    </row>
    <row r="838" spans="4:4" x14ac:dyDescent="0.2">
      <c r="D838" s="863"/>
    </row>
    <row r="839" spans="4:4" x14ac:dyDescent="0.2">
      <c r="D839" s="863"/>
    </row>
    <row r="840" spans="4:4" x14ac:dyDescent="0.2">
      <c r="D840" s="863"/>
    </row>
    <row r="841" spans="4:4" x14ac:dyDescent="0.2">
      <c r="D841" s="863"/>
    </row>
    <row r="842" spans="4:4" x14ac:dyDescent="0.2">
      <c r="D842" s="863"/>
    </row>
    <row r="843" spans="4:4" x14ac:dyDescent="0.2">
      <c r="D843" s="863"/>
    </row>
    <row r="844" spans="4:4" x14ac:dyDescent="0.2">
      <c r="D844" s="863"/>
    </row>
    <row r="845" spans="4:4" x14ac:dyDescent="0.2">
      <c r="D845" s="863"/>
    </row>
    <row r="846" spans="4:4" x14ac:dyDescent="0.2">
      <c r="D846" s="863"/>
    </row>
    <row r="847" spans="4:4" x14ac:dyDescent="0.2">
      <c r="D847" s="863"/>
    </row>
    <row r="848" spans="4:4" x14ac:dyDescent="0.2">
      <c r="D848" s="863"/>
    </row>
    <row r="849" spans="4:4" x14ac:dyDescent="0.2">
      <c r="D849" s="863"/>
    </row>
    <row r="850" spans="4:4" x14ac:dyDescent="0.2">
      <c r="D850" s="863"/>
    </row>
    <row r="851" spans="4:4" x14ac:dyDescent="0.2">
      <c r="D851" s="863"/>
    </row>
    <row r="852" spans="4:4" x14ac:dyDescent="0.2">
      <c r="D852" s="863"/>
    </row>
    <row r="853" spans="4:4" x14ac:dyDescent="0.2">
      <c r="D853" s="863"/>
    </row>
    <row r="854" spans="4:4" x14ac:dyDescent="0.2">
      <c r="D854" s="863"/>
    </row>
    <row r="855" spans="4:4" x14ac:dyDescent="0.2">
      <c r="D855" s="863"/>
    </row>
    <row r="856" spans="4:4" x14ac:dyDescent="0.2">
      <c r="D856" s="863"/>
    </row>
    <row r="857" spans="4:4" x14ac:dyDescent="0.2">
      <c r="D857" s="863"/>
    </row>
    <row r="858" spans="4:4" x14ac:dyDescent="0.2">
      <c r="D858" s="863"/>
    </row>
    <row r="859" spans="4:4" x14ac:dyDescent="0.2">
      <c r="D859" s="863"/>
    </row>
    <row r="860" spans="4:4" x14ac:dyDescent="0.2">
      <c r="D860" s="863"/>
    </row>
    <row r="861" spans="4:4" x14ac:dyDescent="0.2">
      <c r="D861" s="863"/>
    </row>
    <row r="862" spans="4:4" x14ac:dyDescent="0.2">
      <c r="D862" s="863"/>
    </row>
    <row r="863" spans="4:4" x14ac:dyDescent="0.2">
      <c r="D863" s="863"/>
    </row>
    <row r="864" spans="4:4" x14ac:dyDescent="0.2">
      <c r="D864" s="863"/>
    </row>
    <row r="865" spans="4:4" x14ac:dyDescent="0.2">
      <c r="D865" s="863"/>
    </row>
    <row r="866" spans="4:4" x14ac:dyDescent="0.2">
      <c r="D866" s="863"/>
    </row>
    <row r="867" spans="4:4" x14ac:dyDescent="0.2">
      <c r="D867" s="863"/>
    </row>
    <row r="868" spans="4:4" x14ac:dyDescent="0.2">
      <c r="D868" s="863"/>
    </row>
    <row r="869" spans="4:4" x14ac:dyDescent="0.2">
      <c r="D869" s="863"/>
    </row>
    <row r="870" spans="4:4" x14ac:dyDescent="0.2">
      <c r="D870" s="863"/>
    </row>
    <row r="871" spans="4:4" x14ac:dyDescent="0.2">
      <c r="D871" s="863"/>
    </row>
    <row r="872" spans="4:4" x14ac:dyDescent="0.2">
      <c r="D872" s="863"/>
    </row>
    <row r="873" spans="4:4" x14ac:dyDescent="0.2">
      <c r="D873" s="863"/>
    </row>
    <row r="874" spans="4:4" x14ac:dyDescent="0.2">
      <c r="D874" s="863"/>
    </row>
    <row r="875" spans="4:4" x14ac:dyDescent="0.2">
      <c r="D875" s="863"/>
    </row>
    <row r="876" spans="4:4" x14ac:dyDescent="0.2">
      <c r="D876" s="863"/>
    </row>
    <row r="877" spans="4:4" x14ac:dyDescent="0.2">
      <c r="D877" s="863"/>
    </row>
    <row r="878" spans="4:4" x14ac:dyDescent="0.2">
      <c r="D878" s="863"/>
    </row>
    <row r="879" spans="4:4" x14ac:dyDescent="0.2">
      <c r="D879" s="863"/>
    </row>
    <row r="880" spans="4:4" x14ac:dyDescent="0.2">
      <c r="D880" s="863"/>
    </row>
    <row r="881" spans="4:4" x14ac:dyDescent="0.2">
      <c r="D881" s="863"/>
    </row>
    <row r="882" spans="4:4" x14ac:dyDescent="0.2">
      <c r="D882" s="863"/>
    </row>
    <row r="883" spans="4:4" x14ac:dyDescent="0.2">
      <c r="D883" s="863"/>
    </row>
    <row r="884" spans="4:4" x14ac:dyDescent="0.2">
      <c r="D884" s="863"/>
    </row>
    <row r="885" spans="4:4" x14ac:dyDescent="0.2">
      <c r="D885" s="863"/>
    </row>
    <row r="886" spans="4:4" x14ac:dyDescent="0.2">
      <c r="D886" s="863"/>
    </row>
    <row r="887" spans="4:4" x14ac:dyDescent="0.2">
      <c r="D887" s="863"/>
    </row>
    <row r="888" spans="4:4" x14ac:dyDescent="0.2">
      <c r="D888" s="863"/>
    </row>
    <row r="889" spans="4:4" x14ac:dyDescent="0.2">
      <c r="D889" s="863"/>
    </row>
    <row r="890" spans="4:4" x14ac:dyDescent="0.2">
      <c r="D890" s="863"/>
    </row>
    <row r="891" spans="4:4" x14ac:dyDescent="0.2">
      <c r="D891" s="863"/>
    </row>
    <row r="892" spans="4:4" x14ac:dyDescent="0.2">
      <c r="D892" s="863"/>
    </row>
    <row r="893" spans="4:4" x14ac:dyDescent="0.2">
      <c r="D893" s="863"/>
    </row>
    <row r="894" spans="4:4" x14ac:dyDescent="0.2">
      <c r="D894" s="863"/>
    </row>
    <row r="895" spans="4:4" x14ac:dyDescent="0.2">
      <c r="D895" s="863"/>
    </row>
    <row r="896" spans="4:4" x14ac:dyDescent="0.2">
      <c r="D896" s="863"/>
    </row>
    <row r="897" spans="4:4" x14ac:dyDescent="0.2">
      <c r="D897" s="863"/>
    </row>
    <row r="898" spans="4:4" x14ac:dyDescent="0.2">
      <c r="D898" s="863"/>
    </row>
    <row r="899" spans="4:4" x14ac:dyDescent="0.2">
      <c r="D899" s="863"/>
    </row>
    <row r="900" spans="4:4" x14ac:dyDescent="0.2">
      <c r="D900" s="863"/>
    </row>
    <row r="901" spans="4:4" x14ac:dyDescent="0.2">
      <c r="D901" s="863"/>
    </row>
    <row r="902" spans="4:4" x14ac:dyDescent="0.2">
      <c r="D902" s="863"/>
    </row>
    <row r="903" spans="4:4" x14ac:dyDescent="0.2">
      <c r="D903" s="863"/>
    </row>
    <row r="904" spans="4:4" x14ac:dyDescent="0.2">
      <c r="D904" s="863"/>
    </row>
    <row r="905" spans="4:4" x14ac:dyDescent="0.2">
      <c r="D905" s="863"/>
    </row>
    <row r="906" spans="4:4" x14ac:dyDescent="0.2">
      <c r="D906" s="863"/>
    </row>
    <row r="907" spans="4:4" x14ac:dyDescent="0.2">
      <c r="D907" s="863"/>
    </row>
    <row r="908" spans="4:4" x14ac:dyDescent="0.2">
      <c r="D908" s="863"/>
    </row>
    <row r="909" spans="4:4" x14ac:dyDescent="0.2">
      <c r="D909" s="863"/>
    </row>
    <row r="910" spans="4:4" x14ac:dyDescent="0.2">
      <c r="D910" s="863"/>
    </row>
    <row r="911" spans="4:4" x14ac:dyDescent="0.2">
      <c r="D911" s="863"/>
    </row>
    <row r="912" spans="4:4" x14ac:dyDescent="0.2">
      <c r="D912" s="863"/>
    </row>
    <row r="913" spans="4:4" x14ac:dyDescent="0.2">
      <c r="D913" s="863"/>
    </row>
    <row r="914" spans="4:4" x14ac:dyDescent="0.2">
      <c r="D914" s="863"/>
    </row>
    <row r="915" spans="4:4" x14ac:dyDescent="0.2">
      <c r="D915" s="863"/>
    </row>
    <row r="916" spans="4:4" x14ac:dyDescent="0.2">
      <c r="D916" s="863"/>
    </row>
    <row r="917" spans="4:4" x14ac:dyDescent="0.2">
      <c r="D917" s="863"/>
    </row>
    <row r="918" spans="4:4" x14ac:dyDescent="0.2">
      <c r="D918" s="863"/>
    </row>
    <row r="919" spans="4:4" x14ac:dyDescent="0.2">
      <c r="D919" s="863"/>
    </row>
    <row r="920" spans="4:4" x14ac:dyDescent="0.2">
      <c r="D920" s="863"/>
    </row>
    <row r="921" spans="4:4" x14ac:dyDescent="0.2">
      <c r="D921" s="863"/>
    </row>
    <row r="922" spans="4:4" x14ac:dyDescent="0.2">
      <c r="D922" s="863"/>
    </row>
    <row r="923" spans="4:4" x14ac:dyDescent="0.2">
      <c r="D923" s="863"/>
    </row>
    <row r="924" spans="4:4" x14ac:dyDescent="0.2">
      <c r="D924" s="863"/>
    </row>
    <row r="925" spans="4:4" x14ac:dyDescent="0.2">
      <c r="D925" s="863"/>
    </row>
    <row r="926" spans="4:4" x14ac:dyDescent="0.2">
      <c r="D926" s="863"/>
    </row>
    <row r="927" spans="4:4" x14ac:dyDescent="0.2">
      <c r="D927" s="863"/>
    </row>
    <row r="928" spans="4:4" x14ac:dyDescent="0.2">
      <c r="D928" s="863"/>
    </row>
    <row r="929" spans="4:4" x14ac:dyDescent="0.2">
      <c r="D929" s="863"/>
    </row>
    <row r="930" spans="4:4" x14ac:dyDescent="0.2">
      <c r="D930" s="863"/>
    </row>
    <row r="931" spans="4:4" x14ac:dyDescent="0.2">
      <c r="D931" s="863"/>
    </row>
    <row r="932" spans="4:4" x14ac:dyDescent="0.2">
      <c r="D932" s="863"/>
    </row>
    <row r="933" spans="4:4" x14ac:dyDescent="0.2">
      <c r="D933" s="863"/>
    </row>
    <row r="934" spans="4:4" x14ac:dyDescent="0.2">
      <c r="D934" s="863"/>
    </row>
    <row r="935" spans="4:4" x14ac:dyDescent="0.2">
      <c r="D935" s="863"/>
    </row>
    <row r="936" spans="4:4" x14ac:dyDescent="0.2">
      <c r="D936" s="863"/>
    </row>
    <row r="937" spans="4:4" x14ac:dyDescent="0.2">
      <c r="D937" s="863"/>
    </row>
    <row r="938" spans="4:4" x14ac:dyDescent="0.2">
      <c r="D938" s="863"/>
    </row>
    <row r="939" spans="4:4" x14ac:dyDescent="0.2">
      <c r="D939" s="863"/>
    </row>
    <row r="940" spans="4:4" x14ac:dyDescent="0.2">
      <c r="D940" s="863"/>
    </row>
    <row r="941" spans="4:4" x14ac:dyDescent="0.2">
      <c r="D941" s="863"/>
    </row>
    <row r="942" spans="4:4" x14ac:dyDescent="0.2">
      <c r="D942" s="863"/>
    </row>
    <row r="943" spans="4:4" x14ac:dyDescent="0.2">
      <c r="D943" s="863"/>
    </row>
    <row r="944" spans="4:4" x14ac:dyDescent="0.2">
      <c r="D944" s="863"/>
    </row>
    <row r="945" spans="4:4" x14ac:dyDescent="0.2">
      <c r="D945" s="863"/>
    </row>
    <row r="946" spans="4:4" x14ac:dyDescent="0.2">
      <c r="D946" s="863"/>
    </row>
    <row r="947" spans="4:4" x14ac:dyDescent="0.2">
      <c r="D947" s="863"/>
    </row>
    <row r="948" spans="4:4" x14ac:dyDescent="0.2">
      <c r="D948" s="863"/>
    </row>
    <row r="949" spans="4:4" x14ac:dyDescent="0.2">
      <c r="D949" s="863"/>
    </row>
    <row r="950" spans="4:4" x14ac:dyDescent="0.2">
      <c r="D950" s="863"/>
    </row>
    <row r="951" spans="4:4" x14ac:dyDescent="0.2">
      <c r="D951" s="863"/>
    </row>
    <row r="952" spans="4:4" x14ac:dyDescent="0.2">
      <c r="D952" s="863"/>
    </row>
    <row r="953" spans="4:4" x14ac:dyDescent="0.2">
      <c r="D953" s="863"/>
    </row>
    <row r="954" spans="4:4" x14ac:dyDescent="0.2">
      <c r="D954" s="863"/>
    </row>
    <row r="955" spans="4:4" x14ac:dyDescent="0.2">
      <c r="D955" s="863"/>
    </row>
    <row r="956" spans="4:4" x14ac:dyDescent="0.2">
      <c r="D956" s="863"/>
    </row>
    <row r="957" spans="4:4" x14ac:dyDescent="0.2">
      <c r="D957" s="863"/>
    </row>
    <row r="958" spans="4:4" x14ac:dyDescent="0.2">
      <c r="D958" s="863"/>
    </row>
    <row r="959" spans="4:4" x14ac:dyDescent="0.2">
      <c r="D959" s="863"/>
    </row>
    <row r="960" spans="4:4" x14ac:dyDescent="0.2">
      <c r="D960" s="863"/>
    </row>
    <row r="961" spans="4:4" x14ac:dyDescent="0.2">
      <c r="D961" s="863"/>
    </row>
    <row r="962" spans="4:4" x14ac:dyDescent="0.2">
      <c r="D962" s="863"/>
    </row>
    <row r="963" spans="4:4" x14ac:dyDescent="0.2">
      <c r="D963" s="863"/>
    </row>
    <row r="964" spans="4:4" x14ac:dyDescent="0.2">
      <c r="D964" s="863"/>
    </row>
    <row r="965" spans="4:4" x14ac:dyDescent="0.2">
      <c r="D965" s="863"/>
    </row>
    <row r="966" spans="4:4" x14ac:dyDescent="0.2">
      <c r="D966" s="863"/>
    </row>
    <row r="967" spans="4:4" x14ac:dyDescent="0.2">
      <c r="D967" s="863"/>
    </row>
    <row r="968" spans="4:4" x14ac:dyDescent="0.2">
      <c r="D968" s="863"/>
    </row>
    <row r="969" spans="4:4" x14ac:dyDescent="0.2">
      <c r="D969" s="863"/>
    </row>
    <row r="970" spans="4:4" x14ac:dyDescent="0.2">
      <c r="D970" s="863"/>
    </row>
    <row r="971" spans="4:4" x14ac:dyDescent="0.2">
      <c r="D971" s="863"/>
    </row>
    <row r="972" spans="4:4" x14ac:dyDescent="0.2">
      <c r="D972" s="863"/>
    </row>
    <row r="973" spans="4:4" x14ac:dyDescent="0.2">
      <c r="D973" s="863"/>
    </row>
    <row r="974" spans="4:4" x14ac:dyDescent="0.2">
      <c r="D974" s="863"/>
    </row>
    <row r="975" spans="4:4" x14ac:dyDescent="0.2">
      <c r="D975" s="863"/>
    </row>
    <row r="976" spans="4:4" x14ac:dyDescent="0.2">
      <c r="D976" s="863"/>
    </row>
    <row r="977" spans="4:4" x14ac:dyDescent="0.2">
      <c r="D977" s="863"/>
    </row>
    <row r="978" spans="4:4" x14ac:dyDescent="0.2">
      <c r="D978" s="863"/>
    </row>
    <row r="979" spans="4:4" x14ac:dyDescent="0.2">
      <c r="D979" s="863"/>
    </row>
    <row r="980" spans="4:4" x14ac:dyDescent="0.2">
      <c r="D980" s="863"/>
    </row>
    <row r="981" spans="4:4" x14ac:dyDescent="0.2">
      <c r="D981" s="863"/>
    </row>
    <row r="982" spans="4:4" x14ac:dyDescent="0.2">
      <c r="D982" s="863"/>
    </row>
    <row r="983" spans="4:4" x14ac:dyDescent="0.2">
      <c r="D983" s="863"/>
    </row>
    <row r="984" spans="4:4" x14ac:dyDescent="0.2">
      <c r="D984" s="863"/>
    </row>
    <row r="985" spans="4:4" x14ac:dyDescent="0.2">
      <c r="D985" s="863"/>
    </row>
    <row r="986" spans="4:4" x14ac:dyDescent="0.2">
      <c r="D986" s="863"/>
    </row>
    <row r="987" spans="4:4" x14ac:dyDescent="0.2">
      <c r="D987" s="863"/>
    </row>
    <row r="988" spans="4:4" x14ac:dyDescent="0.2">
      <c r="D988" s="863"/>
    </row>
    <row r="989" spans="4:4" x14ac:dyDescent="0.2">
      <c r="D989" s="863"/>
    </row>
    <row r="990" spans="4:4" x14ac:dyDescent="0.2">
      <c r="D990" s="863"/>
    </row>
    <row r="991" spans="4:4" x14ac:dyDescent="0.2">
      <c r="D991" s="863"/>
    </row>
    <row r="992" spans="4:4" x14ac:dyDescent="0.2">
      <c r="D992" s="863"/>
    </row>
    <row r="993" spans="4:4" x14ac:dyDescent="0.2">
      <c r="D993" s="863"/>
    </row>
    <row r="994" spans="4:4" x14ac:dyDescent="0.2">
      <c r="D994" s="863"/>
    </row>
    <row r="995" spans="4:4" x14ac:dyDescent="0.2">
      <c r="D995" s="863"/>
    </row>
    <row r="996" spans="4:4" x14ac:dyDescent="0.2">
      <c r="D996" s="863"/>
    </row>
    <row r="997" spans="4:4" x14ac:dyDescent="0.2">
      <c r="D997" s="863"/>
    </row>
    <row r="998" spans="4:4" x14ac:dyDescent="0.2">
      <c r="D998" s="863"/>
    </row>
    <row r="999" spans="4:4" x14ac:dyDescent="0.2">
      <c r="D999" s="863"/>
    </row>
    <row r="1000" spans="4:4" x14ac:dyDescent="0.2">
      <c r="D1000" s="863"/>
    </row>
    <row r="1001" spans="4:4" x14ac:dyDescent="0.2">
      <c r="D1001" s="863"/>
    </row>
    <row r="1002" spans="4:4" x14ac:dyDescent="0.2">
      <c r="D1002" s="863"/>
    </row>
    <row r="1003" spans="4:4" x14ac:dyDescent="0.2">
      <c r="D1003" s="863"/>
    </row>
    <row r="1004" spans="4:4" x14ac:dyDescent="0.2">
      <c r="D1004" s="863"/>
    </row>
    <row r="1005" spans="4:4" x14ac:dyDescent="0.2">
      <c r="D1005" s="863"/>
    </row>
    <row r="1006" spans="4:4" x14ac:dyDescent="0.2">
      <c r="D1006" s="863"/>
    </row>
    <row r="1007" spans="4:4" x14ac:dyDescent="0.2">
      <c r="D1007" s="863"/>
    </row>
    <row r="1008" spans="4:4" x14ac:dyDescent="0.2">
      <c r="D1008" s="863"/>
    </row>
    <row r="1009" spans="4:4" x14ac:dyDescent="0.2">
      <c r="D1009" s="863"/>
    </row>
    <row r="1010" spans="4:4" x14ac:dyDescent="0.2">
      <c r="D1010" s="863"/>
    </row>
    <row r="1011" spans="4:4" x14ac:dyDescent="0.2">
      <c r="D1011" s="863"/>
    </row>
    <row r="1012" spans="4:4" x14ac:dyDescent="0.2">
      <c r="D1012" s="863"/>
    </row>
    <row r="1013" spans="4:4" x14ac:dyDescent="0.2">
      <c r="D1013" s="863"/>
    </row>
    <row r="1014" spans="4:4" x14ac:dyDescent="0.2">
      <c r="D1014" s="863"/>
    </row>
    <row r="1015" spans="4:4" x14ac:dyDescent="0.2">
      <c r="D1015" s="863"/>
    </row>
    <row r="1016" spans="4:4" x14ac:dyDescent="0.2">
      <c r="D1016" s="863"/>
    </row>
    <row r="1017" spans="4:4" x14ac:dyDescent="0.2">
      <c r="D1017" s="863"/>
    </row>
    <row r="1018" spans="4:4" x14ac:dyDescent="0.2">
      <c r="D1018" s="863"/>
    </row>
    <row r="1019" spans="4:4" x14ac:dyDescent="0.2">
      <c r="D1019" s="863"/>
    </row>
    <row r="1020" spans="4:4" x14ac:dyDescent="0.2">
      <c r="D1020" s="863"/>
    </row>
    <row r="1021" spans="4:4" x14ac:dyDescent="0.2">
      <c r="D1021" s="863"/>
    </row>
    <row r="1022" spans="4:4" x14ac:dyDescent="0.2">
      <c r="D1022" s="863"/>
    </row>
    <row r="1023" spans="4:4" x14ac:dyDescent="0.2">
      <c r="D1023" s="863"/>
    </row>
    <row r="1024" spans="4:4" x14ac:dyDescent="0.2">
      <c r="D1024" s="863"/>
    </row>
    <row r="1025" spans="4:4" x14ac:dyDescent="0.2">
      <c r="D1025" s="863"/>
    </row>
    <row r="1026" spans="4:4" x14ac:dyDescent="0.2">
      <c r="D1026" s="863"/>
    </row>
    <row r="1027" spans="4:4" x14ac:dyDescent="0.2">
      <c r="D1027" s="863"/>
    </row>
    <row r="1028" spans="4:4" x14ac:dyDescent="0.2">
      <c r="D1028" s="863"/>
    </row>
    <row r="1029" spans="4:4" x14ac:dyDescent="0.2">
      <c r="D1029" s="863"/>
    </row>
    <row r="1030" spans="4:4" x14ac:dyDescent="0.2">
      <c r="D1030" s="863"/>
    </row>
    <row r="1031" spans="4:4" x14ac:dyDescent="0.2">
      <c r="D1031" s="863"/>
    </row>
    <row r="1032" spans="4:4" x14ac:dyDescent="0.2">
      <c r="D1032" s="863"/>
    </row>
    <row r="1033" spans="4:4" x14ac:dyDescent="0.2">
      <c r="D1033" s="863"/>
    </row>
    <row r="1034" spans="4:4" x14ac:dyDescent="0.2">
      <c r="D1034" s="863"/>
    </row>
    <row r="1035" spans="4:4" x14ac:dyDescent="0.2">
      <c r="D1035" s="863"/>
    </row>
    <row r="1036" spans="4:4" x14ac:dyDescent="0.2">
      <c r="D1036" s="863"/>
    </row>
    <row r="1037" spans="4:4" x14ac:dyDescent="0.2">
      <c r="D1037" s="863"/>
    </row>
    <row r="1038" spans="4:4" x14ac:dyDescent="0.2">
      <c r="D1038" s="863"/>
    </row>
    <row r="1039" spans="4:4" x14ac:dyDescent="0.2">
      <c r="D1039" s="863"/>
    </row>
    <row r="1040" spans="4:4" x14ac:dyDescent="0.2">
      <c r="D1040" s="863"/>
    </row>
    <row r="1041" spans="4:4" x14ac:dyDescent="0.2">
      <c r="D1041" s="863"/>
    </row>
    <row r="1042" spans="4:4" x14ac:dyDescent="0.2">
      <c r="D1042" s="863"/>
    </row>
    <row r="1043" spans="4:4" x14ac:dyDescent="0.2">
      <c r="D1043" s="863"/>
    </row>
    <row r="1044" spans="4:4" x14ac:dyDescent="0.2">
      <c r="D1044" s="863"/>
    </row>
    <row r="1045" spans="4:4" x14ac:dyDescent="0.2">
      <c r="D1045" s="863"/>
    </row>
    <row r="1046" spans="4:4" x14ac:dyDescent="0.2">
      <c r="D1046" s="863"/>
    </row>
    <row r="1047" spans="4:4" x14ac:dyDescent="0.2">
      <c r="D1047" s="863"/>
    </row>
    <row r="1048" spans="4:4" x14ac:dyDescent="0.2">
      <c r="D1048" s="863"/>
    </row>
    <row r="1049" spans="4:4" x14ac:dyDescent="0.2">
      <c r="D1049" s="863"/>
    </row>
    <row r="1050" spans="4:4" x14ac:dyDescent="0.2">
      <c r="D1050" s="863"/>
    </row>
    <row r="1051" spans="4:4" x14ac:dyDescent="0.2">
      <c r="D1051" s="863"/>
    </row>
    <row r="1052" spans="4:4" x14ac:dyDescent="0.2">
      <c r="D1052" s="863"/>
    </row>
    <row r="1053" spans="4:4" x14ac:dyDescent="0.2">
      <c r="D1053" s="863"/>
    </row>
    <row r="1054" spans="4:4" x14ac:dyDescent="0.2">
      <c r="D1054" s="863"/>
    </row>
    <row r="1055" spans="4:4" x14ac:dyDescent="0.2">
      <c r="D1055" s="863"/>
    </row>
    <row r="1056" spans="4:4" x14ac:dyDescent="0.2">
      <c r="D1056" s="863"/>
    </row>
    <row r="1057" spans="4:4" x14ac:dyDescent="0.2">
      <c r="D1057" s="863"/>
    </row>
    <row r="1058" spans="4:4" x14ac:dyDescent="0.2">
      <c r="D1058" s="863"/>
    </row>
    <row r="1059" spans="4:4" x14ac:dyDescent="0.2">
      <c r="D1059" s="863"/>
    </row>
    <row r="1060" spans="4:4" x14ac:dyDescent="0.2">
      <c r="D1060" s="863"/>
    </row>
    <row r="1061" spans="4:4" x14ac:dyDescent="0.2">
      <c r="D1061" s="863"/>
    </row>
    <row r="1062" spans="4:4" x14ac:dyDescent="0.2">
      <c r="D1062" s="863"/>
    </row>
    <row r="1063" spans="4:4" x14ac:dyDescent="0.2">
      <c r="D1063" s="863"/>
    </row>
    <row r="1064" spans="4:4" x14ac:dyDescent="0.2">
      <c r="D1064" s="863"/>
    </row>
    <row r="1065" spans="4:4" x14ac:dyDescent="0.2">
      <c r="D1065" s="863"/>
    </row>
    <row r="1066" spans="4:4" x14ac:dyDescent="0.2">
      <c r="D1066" s="863"/>
    </row>
    <row r="1067" spans="4:4" x14ac:dyDescent="0.2">
      <c r="D1067" s="863"/>
    </row>
    <row r="1068" spans="4:4" x14ac:dyDescent="0.2">
      <c r="D1068" s="863"/>
    </row>
    <row r="1069" spans="4:4" x14ac:dyDescent="0.2">
      <c r="D1069" s="863"/>
    </row>
    <row r="1070" spans="4:4" x14ac:dyDescent="0.2">
      <c r="D1070" s="863"/>
    </row>
    <row r="1071" spans="4:4" x14ac:dyDescent="0.2">
      <c r="D1071" s="863"/>
    </row>
    <row r="1072" spans="4:4" x14ac:dyDescent="0.2">
      <c r="D1072" s="863"/>
    </row>
    <row r="1073" spans="4:4" x14ac:dyDescent="0.2">
      <c r="D1073" s="863"/>
    </row>
    <row r="1074" spans="4:4" x14ac:dyDescent="0.2">
      <c r="D1074" s="863"/>
    </row>
    <row r="1075" spans="4:4" x14ac:dyDescent="0.2">
      <c r="D1075" s="863"/>
    </row>
    <row r="1076" spans="4:4" x14ac:dyDescent="0.2">
      <c r="D1076" s="863"/>
    </row>
    <row r="1077" spans="4:4" x14ac:dyDescent="0.2">
      <c r="D1077" s="863"/>
    </row>
    <row r="1078" spans="4:4" x14ac:dyDescent="0.2">
      <c r="D1078" s="863"/>
    </row>
    <row r="1079" spans="4:4" x14ac:dyDescent="0.2">
      <c r="D1079" s="863"/>
    </row>
    <row r="1080" spans="4:4" x14ac:dyDescent="0.2">
      <c r="D1080" s="863"/>
    </row>
    <row r="1081" spans="4:4" x14ac:dyDescent="0.2">
      <c r="D1081" s="863"/>
    </row>
    <row r="1082" spans="4:4" x14ac:dyDescent="0.2">
      <c r="D1082" s="863"/>
    </row>
    <row r="1083" spans="4:4" x14ac:dyDescent="0.2">
      <c r="D1083" s="863"/>
    </row>
    <row r="1084" spans="4:4" x14ac:dyDescent="0.2">
      <c r="D1084" s="863"/>
    </row>
    <row r="1085" spans="4:4" x14ac:dyDescent="0.2">
      <c r="D1085" s="863"/>
    </row>
    <row r="1086" spans="4:4" x14ac:dyDescent="0.2">
      <c r="D1086" s="863"/>
    </row>
    <row r="1087" spans="4:4" x14ac:dyDescent="0.2">
      <c r="D1087" s="863"/>
    </row>
    <row r="1088" spans="4:4" x14ac:dyDescent="0.2">
      <c r="D1088" s="863"/>
    </row>
    <row r="1089" spans="4:4" x14ac:dyDescent="0.2">
      <c r="D1089" s="863"/>
    </row>
    <row r="1090" spans="4:4" x14ac:dyDescent="0.2">
      <c r="D1090" s="863"/>
    </row>
    <row r="1091" spans="4:4" x14ac:dyDescent="0.2">
      <c r="D1091" s="863"/>
    </row>
    <row r="1092" spans="4:4" x14ac:dyDescent="0.2">
      <c r="D1092" s="863"/>
    </row>
    <row r="1093" spans="4:4" x14ac:dyDescent="0.2">
      <c r="D1093" s="863"/>
    </row>
    <row r="1094" spans="4:4" x14ac:dyDescent="0.2">
      <c r="D1094" s="863"/>
    </row>
  </sheetData>
  <sheetProtection algorithmName="SHA-512" hashValue="VZ6RCjAf2tLnopl6AYQokVXacVMd+5PD2vvbegWqSzaqIh1ivFjJwWneq/Oi8ceh2mEbdKYA9qpQW8fsY+Z8OQ==" saltValue="R842lGujde4jjhgELjgD8w==" spinCount="100000" sheet="1" objects="1" scenarios="1"/>
  <conditionalFormatting sqref="E548 D547">
    <cfRule type="expression" dxfId="89" priority="8">
      <formula>#REF!=0</formula>
    </cfRule>
  </conditionalFormatting>
  <conditionalFormatting sqref="E546:N546 X546:AQ546 V546 P546:T546">
    <cfRule type="expression" dxfId="88" priority="12">
      <formula>#REF!=0</formula>
    </cfRule>
  </conditionalFormatting>
  <conditionalFormatting sqref="O546">
    <cfRule type="expression" dxfId="87" priority="11">
      <formula>#REF!=0</formula>
    </cfRule>
  </conditionalFormatting>
  <conditionalFormatting sqref="U546">
    <cfRule type="expression" dxfId="86" priority="10">
      <formula>#REF!=0</formula>
    </cfRule>
  </conditionalFormatting>
  <conditionalFormatting sqref="W546">
    <cfRule type="expression" dxfId="85" priority="9">
      <formula>#REF!=0</formula>
    </cfRule>
  </conditionalFormatting>
  <conditionalFormatting sqref="E7">
    <cfRule type="expression" dxfId="84" priority="7">
      <formula>#REF!=0</formula>
    </cfRule>
  </conditionalFormatting>
  <conditionalFormatting sqref="AQ7">
    <cfRule type="expression" dxfId="83" priority="6">
      <formula>#REF!=0</formula>
    </cfRule>
  </conditionalFormatting>
  <conditionalFormatting sqref="S7">
    <cfRule type="expression" dxfId="82" priority="5">
      <formula>#REF!=0</formula>
    </cfRule>
  </conditionalFormatting>
  <conditionalFormatting sqref="W7">
    <cfRule type="expression" dxfId="81" priority="4">
      <formula>#REF!=0</formula>
    </cfRule>
  </conditionalFormatting>
  <conditionalFormatting sqref="AI7">
    <cfRule type="expression" dxfId="80" priority="3">
      <formula>#REF!=0</formula>
    </cfRule>
  </conditionalFormatting>
  <conditionalFormatting sqref="F547:AQ547">
    <cfRule type="expression" dxfId="79" priority="2">
      <formula>#REF!=0</formula>
    </cfRule>
  </conditionalFormatting>
  <conditionalFormatting sqref="F548:AQ548">
    <cfRule type="expression" dxfId="78" priority="1">
      <formula>#REF!=0</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4"/>
  <dimension ref="A1:AO57"/>
  <sheetViews>
    <sheetView workbookViewId="0">
      <selection activeCell="B18" sqref="B18"/>
    </sheetView>
  </sheetViews>
  <sheetFormatPr defaultRowHeight="15" x14ac:dyDescent="0.25"/>
  <cols>
    <col min="1" max="1" width="32.28515625" customWidth="1"/>
    <col min="2" max="2" width="15.28515625" bestFit="1" customWidth="1"/>
    <col min="3" max="5" width="11.5703125" bestFit="1" customWidth="1"/>
    <col min="6" max="6" width="13.28515625" bestFit="1" customWidth="1"/>
    <col min="7" max="7" width="9.5703125" bestFit="1" customWidth="1"/>
    <col min="8" max="8" width="11.5703125" bestFit="1" customWidth="1"/>
    <col min="9" max="9" width="13.28515625" bestFit="1" customWidth="1"/>
    <col min="10" max="14" width="11.5703125" bestFit="1" customWidth="1"/>
    <col min="15" max="15" width="13.28515625" bestFit="1" customWidth="1"/>
    <col min="16" max="17" width="11.5703125" bestFit="1" customWidth="1"/>
    <col min="18" max="18" width="9.5703125" bestFit="1" customWidth="1"/>
    <col min="19" max="19" width="11.5703125" bestFit="1" customWidth="1"/>
    <col min="20" max="22" width="10.5703125" bestFit="1" customWidth="1"/>
    <col min="23" max="25" width="11.5703125" bestFit="1" customWidth="1"/>
    <col min="26" max="26" width="13.28515625" bestFit="1" customWidth="1"/>
    <col min="27" max="27" width="11.5703125" bestFit="1" customWidth="1"/>
    <col min="28" max="28" width="13.28515625" bestFit="1" customWidth="1"/>
    <col min="29" max="31" width="10.5703125" bestFit="1" customWidth="1"/>
    <col min="32" max="32" width="11.5703125" bestFit="1" customWidth="1"/>
    <col min="33" max="33" width="10.5703125" bestFit="1" customWidth="1"/>
    <col min="34" max="34" width="13.28515625" bestFit="1" customWidth="1"/>
    <col min="35" max="37" width="11.5703125" bestFit="1" customWidth="1"/>
    <col min="38" max="38" width="13.28515625" bestFit="1" customWidth="1"/>
    <col min="39" max="40" width="11.5703125" bestFit="1" customWidth="1"/>
    <col min="41" max="41" width="18.28515625" customWidth="1"/>
  </cols>
  <sheetData>
    <row r="1" spans="1:41" x14ac:dyDescent="0.25">
      <c r="A1" t="s">
        <v>62</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row>
    <row r="2" spans="1:41" s="32" customFormat="1" ht="60" x14ac:dyDescent="0.25">
      <c r="A2" s="32" t="s">
        <v>61</v>
      </c>
      <c r="B2" s="32" t="s">
        <v>60</v>
      </c>
      <c r="C2" s="32" t="s">
        <v>59</v>
      </c>
      <c r="D2" s="32" t="s">
        <v>58</v>
      </c>
      <c r="E2" s="32" t="s">
        <v>57</v>
      </c>
      <c r="F2" s="32" t="s">
        <v>56</v>
      </c>
      <c r="G2" s="32" t="s">
        <v>55</v>
      </c>
      <c r="H2" s="32" t="s">
        <v>54</v>
      </c>
      <c r="I2" s="32" t="s">
        <v>53</v>
      </c>
      <c r="J2" s="32" t="s">
        <v>52</v>
      </c>
      <c r="K2" s="32" t="s">
        <v>51</v>
      </c>
      <c r="L2" s="32" t="s">
        <v>50</v>
      </c>
      <c r="M2" s="32" t="s">
        <v>49</v>
      </c>
      <c r="N2" s="32" t="s">
        <v>48</v>
      </c>
      <c r="O2" s="32" t="s">
        <v>47</v>
      </c>
      <c r="P2" s="32" t="s">
        <v>46</v>
      </c>
      <c r="Q2" s="32" t="s">
        <v>45</v>
      </c>
      <c r="R2" s="32" t="s">
        <v>44</v>
      </c>
      <c r="S2" s="32" t="s">
        <v>43</v>
      </c>
      <c r="T2" s="32" t="s">
        <v>42</v>
      </c>
      <c r="U2" s="32" t="s">
        <v>41</v>
      </c>
      <c r="V2" s="32" t="s">
        <v>40</v>
      </c>
      <c r="W2" s="32" t="s">
        <v>39</v>
      </c>
      <c r="X2" s="32" t="s">
        <v>38</v>
      </c>
      <c r="Y2" s="32" t="s">
        <v>37</v>
      </c>
      <c r="Z2" s="32" t="s">
        <v>36</v>
      </c>
      <c r="AA2" s="32" t="s">
        <v>35</v>
      </c>
      <c r="AB2" s="32" t="s">
        <v>34</v>
      </c>
      <c r="AC2" s="32" t="s">
        <v>33</v>
      </c>
      <c r="AD2" s="32" t="s">
        <v>32</v>
      </c>
      <c r="AE2" s="32" t="s">
        <v>31</v>
      </c>
      <c r="AF2" s="32" t="s">
        <v>30</v>
      </c>
      <c r="AG2" s="32" t="s">
        <v>29</v>
      </c>
      <c r="AH2" s="32" t="s">
        <v>28</v>
      </c>
      <c r="AI2" s="32" t="s">
        <v>27</v>
      </c>
      <c r="AJ2" s="32" t="s">
        <v>26</v>
      </c>
      <c r="AK2" s="32" t="s">
        <v>25</v>
      </c>
      <c r="AL2" s="32" t="s">
        <v>24</v>
      </c>
      <c r="AM2" s="32" t="s">
        <v>23</v>
      </c>
      <c r="AN2" s="32" t="s">
        <v>22</v>
      </c>
    </row>
    <row r="3" spans="1:41" s="443" customFormat="1" x14ac:dyDescent="0.25">
      <c r="A3" s="442" t="s">
        <v>63</v>
      </c>
      <c r="B3" s="443">
        <f>Watersheds!B122</f>
        <v>1</v>
      </c>
      <c r="C3" s="443">
        <f>Watersheds!C122</f>
        <v>1</v>
      </c>
      <c r="D3" s="443">
        <f>Watersheds!D122</f>
        <v>1</v>
      </c>
      <c r="E3" s="443">
        <f>Watersheds!E122</f>
        <v>1</v>
      </c>
      <c r="F3" s="443">
        <f>Watersheds!F122</f>
        <v>1</v>
      </c>
      <c r="G3" s="443">
        <f>Watersheds!G122</f>
        <v>1</v>
      </c>
      <c r="H3" s="443">
        <f>Watersheds!H122</f>
        <v>1</v>
      </c>
      <c r="I3" s="443">
        <f>Watersheds!I122</f>
        <v>1</v>
      </c>
      <c r="J3" s="443">
        <f>Watersheds!J122</f>
        <v>1</v>
      </c>
      <c r="K3" s="443">
        <f>Watersheds!K122</f>
        <v>1</v>
      </c>
      <c r="L3" s="443">
        <f>Watersheds!L122</f>
        <v>1</v>
      </c>
      <c r="M3" s="443">
        <f>Watersheds!M122</f>
        <v>1</v>
      </c>
      <c r="N3" s="443">
        <f>Watersheds!N122</f>
        <v>1</v>
      </c>
      <c r="O3" s="443">
        <f>Watersheds!O122</f>
        <v>1</v>
      </c>
      <c r="P3" s="443">
        <f>Watersheds!P122</f>
        <v>1</v>
      </c>
      <c r="Q3" s="443">
        <f>Watersheds!Q122</f>
        <v>1</v>
      </c>
      <c r="R3" s="443">
        <f>Watersheds!R122</f>
        <v>1</v>
      </c>
      <c r="S3" s="443">
        <f>Watersheds!S122</f>
        <v>1</v>
      </c>
      <c r="T3" s="443">
        <f>Watersheds!T122</f>
        <v>1</v>
      </c>
      <c r="U3" s="443">
        <f>Watersheds!U122</f>
        <v>1</v>
      </c>
      <c r="V3" s="443">
        <f>Watersheds!V122</f>
        <v>1</v>
      </c>
      <c r="W3" s="443">
        <f>Watersheds!W122</f>
        <v>1</v>
      </c>
      <c r="X3" s="443">
        <f>Watersheds!X122</f>
        <v>1</v>
      </c>
      <c r="Y3" s="443">
        <f>Watersheds!Y122</f>
        <v>1</v>
      </c>
      <c r="Z3" s="443">
        <f>Watersheds!Z122</f>
        <v>1</v>
      </c>
      <c r="AA3" s="443">
        <f>Watersheds!AA122</f>
        <v>1</v>
      </c>
      <c r="AB3" s="443">
        <f>Watersheds!AB122</f>
        <v>1</v>
      </c>
      <c r="AC3" s="443">
        <f>Watersheds!AC122</f>
        <v>1</v>
      </c>
      <c r="AD3" s="443">
        <f>Watersheds!AD122</f>
        <v>1</v>
      </c>
      <c r="AE3" s="443">
        <f>Watersheds!AE122</f>
        <v>1</v>
      </c>
      <c r="AF3" s="443">
        <f>Watersheds!AF122</f>
        <v>1</v>
      </c>
      <c r="AG3" s="443">
        <f>Watersheds!AG122</f>
        <v>1</v>
      </c>
      <c r="AH3" s="443">
        <f>Watersheds!AH122</f>
        <v>1</v>
      </c>
      <c r="AI3" s="443">
        <f>Watersheds!AI122</f>
        <v>1</v>
      </c>
      <c r="AJ3" s="443">
        <f>Watersheds!AJ122</f>
        <v>1</v>
      </c>
      <c r="AK3" s="443">
        <f>Watersheds!AK122</f>
        <v>1</v>
      </c>
      <c r="AL3" s="443">
        <f>Watersheds!AL122</f>
        <v>1</v>
      </c>
      <c r="AM3" s="443">
        <f>Watersheds!AM122</f>
        <v>1</v>
      </c>
      <c r="AN3" s="443">
        <f>Watersheds!AN122</f>
        <v>1</v>
      </c>
      <c r="AO3" s="334"/>
    </row>
    <row r="4" spans="1:41" s="541" customFormat="1" x14ac:dyDescent="0.25">
      <c r="A4" s="541" t="s">
        <v>1078</v>
      </c>
      <c r="B4" s="541">
        <f>Watersheds!B12-Watersheds!B23</f>
        <v>1138108.34958545</v>
      </c>
      <c r="C4" s="541">
        <f>Watersheds!C12-Watersheds!C23</f>
        <v>95416.319972866797</v>
      </c>
      <c r="D4" s="541">
        <f>Watersheds!D12-Watersheds!D23</f>
        <v>381671.74767440668</v>
      </c>
      <c r="E4" s="541">
        <f>Watersheds!E12-Watersheds!E23</f>
        <v>525736.68024788692</v>
      </c>
      <c r="F4" s="541">
        <f>Watersheds!F12-Watersheds!F23</f>
        <v>1087434.2137851156</v>
      </c>
      <c r="G4" s="541">
        <f>Watersheds!G12-Watersheds!G23</f>
        <v>21773.538325770438</v>
      </c>
      <c r="H4" s="541">
        <f>Watersheds!H12-Watersheds!H23</f>
        <v>475559.92774866801</v>
      </c>
      <c r="I4" s="541">
        <f>Watersheds!I12-Watersheds!I23</f>
        <v>1767738.9891964756</v>
      </c>
      <c r="J4" s="541">
        <f>Watersheds!J12-Watersheds!J23</f>
        <v>451839.47022649867</v>
      </c>
      <c r="K4" s="541">
        <f>Watersheds!K12-Watersheds!K23</f>
        <v>809993.67091525998</v>
      </c>
      <c r="L4" s="541">
        <f>Watersheds!L12-Watersheds!L23</f>
        <v>49820.38319707138</v>
      </c>
      <c r="M4" s="541">
        <f>Watersheds!M12-Watersheds!M23</f>
        <v>264280.61233322998</v>
      </c>
      <c r="N4" s="541">
        <f>Watersheds!N12-Watersheds!N23</f>
        <v>769494.06146179396</v>
      </c>
      <c r="O4" s="541">
        <f>Watersheds!O12-Watersheds!O23</f>
        <v>810798.99696457991</v>
      </c>
      <c r="P4" s="541">
        <f>Watersheds!P12-Watersheds!P23</f>
        <v>233878.96174291169</v>
      </c>
      <c r="Q4" s="541">
        <f>Watersheds!Q12-Watersheds!Q23</f>
        <v>245241.26132430605</v>
      </c>
      <c r="R4" s="541">
        <f>Watersheds!R12-Watersheds!R23</f>
        <v>4285.7491912003497</v>
      </c>
      <c r="S4" s="541">
        <f>Watersheds!S12-Watersheds!S23</f>
        <v>177243.41507072997</v>
      </c>
      <c r="T4" s="541">
        <f>Watersheds!T12-Watersheds!T23</f>
        <v>6495.4972264640001</v>
      </c>
      <c r="U4" s="541">
        <f>Watersheds!U12-Watersheds!U23</f>
        <v>106352.12498655391</v>
      </c>
      <c r="V4" s="541">
        <f>Watersheds!V12-Watersheds!V23</f>
        <v>64189.763961641802</v>
      </c>
      <c r="W4" s="541">
        <f>Watersheds!W12-Watersheds!W23</f>
        <v>532555.25064595602</v>
      </c>
      <c r="X4" s="541">
        <f>Watersheds!X12-Watersheds!X23</f>
        <v>72518.312282849001</v>
      </c>
      <c r="Y4" s="541">
        <f>Watersheds!Y12-Watersheds!Y23</f>
        <v>570096.6814075358</v>
      </c>
      <c r="Z4" s="541">
        <f>Watersheds!Z12-Watersheds!Z23</f>
        <v>1715288.1323074095</v>
      </c>
      <c r="AA4" s="541">
        <f>Watersheds!AA12-Watersheds!AA23</f>
        <v>310375.78013642784</v>
      </c>
      <c r="AB4" s="541">
        <f>Watersheds!AB12-Watersheds!AB23</f>
        <v>1110453.1273634702</v>
      </c>
      <c r="AC4" s="541">
        <f>Watersheds!AC12-Watersheds!AC23</f>
        <v>46604.407059901896</v>
      </c>
      <c r="AD4" s="541">
        <f>Watersheds!AD12-Watersheds!AD23</f>
        <v>53815.997633452331</v>
      </c>
      <c r="AE4" s="541">
        <f>Watersheds!AE12-Watersheds!AE23</f>
        <v>65064.512046081298</v>
      </c>
      <c r="AF4" s="541">
        <f>Watersheds!AF12-Watersheds!AF23</f>
        <v>130679.61148347301</v>
      </c>
      <c r="AG4" s="541">
        <f>Watersheds!AG12-Watersheds!AG23</f>
        <v>25647.614317913158</v>
      </c>
      <c r="AH4" s="541">
        <f>Watersheds!AH12-Watersheds!AH23</f>
        <v>1277649.9112314503</v>
      </c>
      <c r="AI4" s="541">
        <f>Watersheds!AI12-Watersheds!AI23</f>
        <v>127394.25799639251</v>
      </c>
      <c r="AJ4" s="541">
        <f>Watersheds!AJ12-Watersheds!AJ23</f>
        <v>567328.08036032214</v>
      </c>
      <c r="AK4" s="541">
        <f>Watersheds!AK12-Watersheds!AK23</f>
        <v>513112.13508269616</v>
      </c>
      <c r="AL4" s="541">
        <f>Watersheds!AL12-Watersheds!AL23</f>
        <v>1020117.2603139498</v>
      </c>
      <c r="AM4" s="541">
        <f>Watersheds!AM12-Watersheds!AM23</f>
        <v>775950.85873470816</v>
      </c>
      <c r="AN4" s="541">
        <f>Watersheds!AN12-Watersheds!AN23</f>
        <v>925441.47755139263</v>
      </c>
    </row>
    <row r="5" spans="1:41" s="541" customFormat="1" x14ac:dyDescent="0.25">
      <c r="A5" s="541" t="s">
        <v>1079</v>
      </c>
      <c r="B5" s="541">
        <f t="shared" ref="B5:AN5" si="0">B4*B3</f>
        <v>1138108.34958545</v>
      </c>
      <c r="C5" s="541">
        <f t="shared" si="0"/>
        <v>95416.319972866797</v>
      </c>
      <c r="D5" s="541">
        <f t="shared" si="0"/>
        <v>381671.74767440668</v>
      </c>
      <c r="E5" s="541">
        <f t="shared" si="0"/>
        <v>525736.68024788692</v>
      </c>
      <c r="F5" s="541">
        <f t="shared" si="0"/>
        <v>1087434.2137851156</v>
      </c>
      <c r="G5" s="541">
        <f t="shared" si="0"/>
        <v>21773.538325770438</v>
      </c>
      <c r="H5" s="541">
        <f t="shared" si="0"/>
        <v>475559.92774866801</v>
      </c>
      <c r="I5" s="541">
        <f t="shared" si="0"/>
        <v>1767738.9891964756</v>
      </c>
      <c r="J5" s="541">
        <f t="shared" si="0"/>
        <v>451839.47022649867</v>
      </c>
      <c r="K5" s="541">
        <f t="shared" si="0"/>
        <v>809993.67091525998</v>
      </c>
      <c r="L5" s="541">
        <f t="shared" si="0"/>
        <v>49820.38319707138</v>
      </c>
      <c r="M5" s="541">
        <f t="shared" si="0"/>
        <v>264280.61233322998</v>
      </c>
      <c r="N5" s="541">
        <f t="shared" si="0"/>
        <v>769494.06146179396</v>
      </c>
      <c r="O5" s="541">
        <f t="shared" si="0"/>
        <v>810798.99696457991</v>
      </c>
      <c r="P5" s="541">
        <f t="shared" si="0"/>
        <v>233878.96174291169</v>
      </c>
      <c r="Q5" s="541">
        <f t="shared" si="0"/>
        <v>245241.26132430605</v>
      </c>
      <c r="R5" s="541">
        <f t="shared" si="0"/>
        <v>4285.7491912003497</v>
      </c>
      <c r="S5" s="541">
        <f t="shared" si="0"/>
        <v>177243.41507072997</v>
      </c>
      <c r="T5" s="541">
        <f t="shared" si="0"/>
        <v>6495.4972264640001</v>
      </c>
      <c r="U5" s="541">
        <f t="shared" si="0"/>
        <v>106352.12498655391</v>
      </c>
      <c r="V5" s="541">
        <f t="shared" si="0"/>
        <v>64189.763961641802</v>
      </c>
      <c r="W5" s="541">
        <f t="shared" si="0"/>
        <v>532555.25064595602</v>
      </c>
      <c r="X5" s="541">
        <f t="shared" si="0"/>
        <v>72518.312282849001</v>
      </c>
      <c r="Y5" s="541">
        <f t="shared" si="0"/>
        <v>570096.6814075358</v>
      </c>
      <c r="Z5" s="541">
        <f t="shared" si="0"/>
        <v>1715288.1323074095</v>
      </c>
      <c r="AA5" s="541">
        <f t="shared" si="0"/>
        <v>310375.78013642784</v>
      </c>
      <c r="AB5" s="541">
        <f t="shared" si="0"/>
        <v>1110453.1273634702</v>
      </c>
      <c r="AC5" s="541">
        <f t="shared" si="0"/>
        <v>46604.407059901896</v>
      </c>
      <c r="AD5" s="541">
        <f t="shared" si="0"/>
        <v>53815.997633452331</v>
      </c>
      <c r="AE5" s="541">
        <f t="shared" si="0"/>
        <v>65064.512046081298</v>
      </c>
      <c r="AF5" s="541">
        <f t="shared" si="0"/>
        <v>130679.61148347301</v>
      </c>
      <c r="AG5" s="541">
        <f t="shared" si="0"/>
        <v>25647.614317913158</v>
      </c>
      <c r="AH5" s="541">
        <f t="shared" si="0"/>
        <v>1277649.9112314503</v>
      </c>
      <c r="AI5" s="541">
        <f t="shared" si="0"/>
        <v>127394.25799639251</v>
      </c>
      <c r="AJ5" s="541">
        <f t="shared" si="0"/>
        <v>567328.08036032214</v>
      </c>
      <c r="AK5" s="541">
        <f t="shared" si="0"/>
        <v>513112.13508269616</v>
      </c>
      <c r="AL5" s="541">
        <f t="shared" si="0"/>
        <v>1020117.2603139498</v>
      </c>
      <c r="AM5" s="541">
        <f t="shared" si="0"/>
        <v>775950.85873470816</v>
      </c>
      <c r="AN5" s="541">
        <f t="shared" si="0"/>
        <v>925441.47755139263</v>
      </c>
    </row>
    <row r="6" spans="1:41" s="541" customFormat="1" x14ac:dyDescent="0.25">
      <c r="A6" s="541" t="s">
        <v>664</v>
      </c>
      <c r="B6" s="541">
        <f>Watersheds!B24*B3</f>
        <v>506597.70712019998</v>
      </c>
      <c r="C6" s="541">
        <f>Watersheds!C24*C3</f>
        <v>31011.809260819999</v>
      </c>
      <c r="D6" s="541">
        <f>Watersheds!D24*D3</f>
        <v>200993.56008679999</v>
      </c>
      <c r="E6" s="541">
        <f>Watersheds!E24*E3</f>
        <v>215972.39465229999</v>
      </c>
      <c r="F6" s="541">
        <f>Watersheds!F24*F3</f>
        <v>550320.38415072998</v>
      </c>
      <c r="G6" s="541">
        <f>Watersheds!G24*G3</f>
        <v>0.77492249012000003</v>
      </c>
      <c r="H6" s="541">
        <f>Watersheds!H24*H3</f>
        <v>196379.92969290001</v>
      </c>
      <c r="I6" s="541">
        <f>Watersheds!I24*I3</f>
        <v>912517.08039946004</v>
      </c>
      <c r="J6" s="541">
        <f>Watersheds!J24*J3</f>
        <v>221982.35102209001</v>
      </c>
      <c r="K6" s="541">
        <f>Watersheds!K24*K3</f>
        <v>204721.18489547999</v>
      </c>
      <c r="L6" s="541">
        <f>Watersheds!L24*L3</f>
        <v>337.23005384470002</v>
      </c>
      <c r="M6" s="541">
        <f>Watersheds!M24*M3</f>
        <v>11947.86594354</v>
      </c>
      <c r="N6" s="541">
        <f>Watersheds!N24*N3</f>
        <v>412053.655084864</v>
      </c>
      <c r="O6" s="541">
        <f>Watersheds!O24*O3</f>
        <v>81246.726180219994</v>
      </c>
      <c r="P6" s="541">
        <f>Watersheds!P24*P3</f>
        <v>125732.16555819</v>
      </c>
      <c r="Q6" s="541">
        <f>Watersheds!Q24*Q3</f>
        <v>30208.791063483</v>
      </c>
      <c r="R6" s="541">
        <f>Watersheds!R24*R3</f>
        <v>12.3987598419</v>
      </c>
      <c r="S6" s="541">
        <f>Watersheds!S24*S3</f>
        <v>24001.311690269999</v>
      </c>
      <c r="T6" s="541">
        <f>Watersheds!T24*T3</f>
        <v>20.922906875599999</v>
      </c>
      <c r="U6" s="541">
        <f>Watersheds!U24*U3</f>
        <v>1051.294158529</v>
      </c>
      <c r="V6" s="541">
        <f>Watersheds!V24*V3</f>
        <v>33050.6132813</v>
      </c>
      <c r="W6" s="541">
        <f>Watersheds!W24*W3</f>
        <v>142838.242501842</v>
      </c>
      <c r="X6" s="541">
        <f>Watersheds!X24*X3</f>
        <v>1643.5656707959999</v>
      </c>
      <c r="Y6" s="541">
        <f>Watersheds!Y24*Y3</f>
        <v>351132.96567569999</v>
      </c>
      <c r="Z6" s="541">
        <f>Watersheds!Z24*Z3</f>
        <v>893863.22778421</v>
      </c>
      <c r="AA6" s="541">
        <f>Watersheds!AA24*AA3</f>
        <v>8852.2606688300002</v>
      </c>
      <c r="AB6" s="541">
        <f>Watersheds!AB24*AB3</f>
        <v>416636.837872</v>
      </c>
      <c r="AC6" s="541">
        <f>Watersheds!AC24*AC3</f>
        <v>3431.5561253799997</v>
      </c>
      <c r="AD6" s="541">
        <f>Watersheds!AD24*AD3</f>
        <v>27698.831710721999</v>
      </c>
      <c r="AE6" s="541">
        <f>Watersheds!AE24*AE3</f>
        <v>29088.143480120001</v>
      </c>
      <c r="AF6" s="541">
        <f>Watersheds!AF24*AF3</f>
        <v>60570.672050250003</v>
      </c>
      <c r="AG6" s="541">
        <f>Watersheds!AG24*AG3</f>
        <v>13748.49875544</v>
      </c>
      <c r="AH6" s="541">
        <f>Watersheds!AH24*AH3</f>
        <v>662315.56607906998</v>
      </c>
      <c r="AI6" s="541">
        <f>Watersheds!AI24*AI3</f>
        <v>63986.411631870003</v>
      </c>
      <c r="AJ6" s="541">
        <f>Watersheds!AJ24*AJ3</f>
        <v>43960.983059209997</v>
      </c>
      <c r="AK6" s="541">
        <f>Watersheds!AK24*AK3</f>
        <v>272708.68336565001</v>
      </c>
      <c r="AL6" s="541">
        <f>Watersheds!AL24*AL3</f>
        <v>111687.33896030999</v>
      </c>
      <c r="AM6" s="541">
        <f>Watersheds!AM24*AM3</f>
        <v>420897.62111941999</v>
      </c>
      <c r="AN6" s="541">
        <f>Watersheds!AN24*AN3</f>
        <v>503229.74504463898</v>
      </c>
    </row>
    <row r="7" spans="1:41" s="541" customFormat="1" x14ac:dyDescent="0.25">
      <c r="A7" s="541" t="s">
        <v>1080</v>
      </c>
      <c r="B7" s="541">
        <f>Watersheds!B15*B3</f>
        <v>309380.0625</v>
      </c>
      <c r="C7" s="541">
        <f>Watersheds!C15*C3</f>
        <v>24313.96875</v>
      </c>
      <c r="D7" s="541">
        <f>Watersheds!D15*D3</f>
        <v>73275.1171875</v>
      </c>
      <c r="E7" s="541">
        <f>Watersheds!E15*E3</f>
        <v>118925.804688</v>
      </c>
      <c r="F7" s="541">
        <f>Watersheds!F15*F3</f>
        <v>475914</v>
      </c>
      <c r="G7" s="541">
        <f>Watersheds!G15*G3</f>
        <v>0</v>
      </c>
      <c r="H7" s="541">
        <f>Watersheds!H15*H3</f>
        <v>50912.40625</v>
      </c>
      <c r="I7" s="541">
        <f>Watersheds!I15*I3</f>
        <v>786223.1875</v>
      </c>
      <c r="J7" s="541">
        <f>Watersheds!J15*J3</f>
        <v>179158.984375</v>
      </c>
      <c r="K7" s="541">
        <f>Watersheds!K15*K3</f>
        <v>343299.96875</v>
      </c>
      <c r="L7" s="541">
        <f>Watersheds!L15*L3</f>
        <v>13827.7167969</v>
      </c>
      <c r="M7" s="541">
        <f>Watersheds!M15*M3</f>
        <v>3353.0895996099998</v>
      </c>
      <c r="N7" s="541">
        <f>Watersheds!N15*N3</f>
        <v>316559.71875</v>
      </c>
      <c r="O7" s="541">
        <f>Watersheds!O15*O3</f>
        <v>304866.125</v>
      </c>
      <c r="P7" s="541">
        <f>Watersheds!P15*P3</f>
        <v>99758.875</v>
      </c>
      <c r="Q7" s="541">
        <f>Watersheds!Q15*Q3</f>
        <v>92501.7265625</v>
      </c>
      <c r="R7" s="541">
        <f>Watersheds!R15*R3</f>
        <v>24.797519683800001</v>
      </c>
      <c r="S7" s="541">
        <f>Watersheds!S15*S3</f>
        <v>11593.6152344</v>
      </c>
      <c r="T7" s="541">
        <f>Watersheds!T15*T3</f>
        <v>10.848915100099999</v>
      </c>
      <c r="U7" s="541">
        <f>Watersheds!U15*U3</f>
        <v>6625.5874023400002</v>
      </c>
      <c r="V7" s="541">
        <f>Watersheds!V15*V3</f>
        <v>30223.5273438</v>
      </c>
      <c r="W7" s="541">
        <f>Watersheds!W15*W3</f>
        <v>233793.34375</v>
      </c>
      <c r="X7" s="541">
        <f>Watersheds!X15*X3</f>
        <v>17094.015625</v>
      </c>
      <c r="Y7" s="541">
        <f>Watersheds!Y15*Y3</f>
        <v>149262.46875</v>
      </c>
      <c r="Z7" s="541">
        <f>Watersheds!Z15*Z3</f>
        <v>677930.0625</v>
      </c>
      <c r="AA7" s="541">
        <f>Watersheds!AA15*AA3</f>
        <v>108291.546875</v>
      </c>
      <c r="AB7" s="541">
        <f>Watersheds!AB15*AB3</f>
        <v>320657.5</v>
      </c>
      <c r="AC7" s="541">
        <f>Watersheds!AC15*AC3</f>
        <v>379.71200561500001</v>
      </c>
      <c r="AD7" s="541">
        <f>Watersheds!AD15*AD3</f>
        <v>24570.4667969</v>
      </c>
      <c r="AE7" s="541">
        <f>Watersheds!AE15*AE3</f>
        <v>23809.4941406</v>
      </c>
      <c r="AF7" s="541">
        <f>Watersheds!AF15*AF3</f>
        <v>34937.3789063</v>
      </c>
      <c r="AG7" s="541">
        <f>Watersheds!AG15*AG3</f>
        <v>4533.2963867199996</v>
      </c>
      <c r="AH7" s="541">
        <f>Watersheds!AH15*AH3</f>
        <v>491782.875</v>
      </c>
      <c r="AI7" s="541">
        <f>Watersheds!AI15*AI3</f>
        <v>53279.0195313</v>
      </c>
      <c r="AJ7" s="541">
        <f>Watersheds!AJ15*AJ3</f>
        <v>301000.8125</v>
      </c>
      <c r="AK7" s="541">
        <f>Watersheds!AK15*AK3</f>
        <v>211876.984375</v>
      </c>
      <c r="AL7" s="541">
        <f>Watersheds!AL15*AL3</f>
        <v>491468.25</v>
      </c>
      <c r="AM7" s="541">
        <f>Watersheds!AM15*AM3</f>
        <v>332604.46875</v>
      </c>
      <c r="AN7" s="541">
        <f>Watersheds!AN15*AN3</f>
        <v>393869.84375</v>
      </c>
    </row>
    <row r="8" spans="1:41" s="541" customFormat="1" x14ac:dyDescent="0.25">
      <c r="A8" s="541" t="s">
        <v>661</v>
      </c>
      <c r="B8" s="541">
        <f>Watersheds!B16*B3</f>
        <v>46418.758933199999</v>
      </c>
      <c r="C8" s="541">
        <f>Watersheds!C16*C3</f>
        <v>3842.5345758100002</v>
      </c>
      <c r="D8" s="541">
        <f>Watersheds!D16*D3</f>
        <v>955.69712999599994</v>
      </c>
      <c r="E8" s="541">
        <f>Watersheds!E16*E3</f>
        <v>15145.627656799999</v>
      </c>
      <c r="F8" s="541">
        <f>Watersheds!F16*F3</f>
        <v>18427.890144699999</v>
      </c>
      <c r="G8" s="541">
        <f>Watersheds!G16*G3</f>
        <v>504.17350773300001</v>
      </c>
      <c r="H8" s="541">
        <f>Watersheds!H16*H3</f>
        <v>15916.2242303</v>
      </c>
      <c r="I8" s="541">
        <f>Watersheds!I16*I3</f>
        <v>25668.0957342</v>
      </c>
      <c r="J8" s="541">
        <f>Watersheds!J16*J3</f>
        <v>22988.893876099999</v>
      </c>
      <c r="K8" s="541">
        <f>Watersheds!K16*K3</f>
        <v>164603.083748</v>
      </c>
      <c r="L8" s="541">
        <f>Watersheds!L16*L3</f>
        <v>3702.5742105300001</v>
      </c>
      <c r="M8" s="541">
        <f>Watersheds!M16*M3</f>
        <v>92621.547611300004</v>
      </c>
      <c r="N8" s="541">
        <f>Watersheds!N16*N3</f>
        <v>4876.2073744299996</v>
      </c>
      <c r="O8" s="541">
        <f>Watersheds!O16*O3</f>
        <v>292259.96355500002</v>
      </c>
      <c r="P8" s="541">
        <f>Watersheds!P16*P3</f>
        <v>306.11132484400002</v>
      </c>
      <c r="Q8" s="541">
        <f>Watersheds!Q16*Q3</f>
        <v>81406.907597500001</v>
      </c>
      <c r="R8" s="541">
        <f>Watersheds!R16*R3</f>
        <v>89.702253528200004</v>
      </c>
      <c r="S8" s="541">
        <f>Watersheds!S16*S3</f>
        <v>40616.6732233</v>
      </c>
      <c r="T8" s="541">
        <f>Watersheds!T16*T3</f>
        <v>105.42348853599999</v>
      </c>
      <c r="U8" s="541">
        <f>Watersheds!U16*U3</f>
        <v>44051.667663200002</v>
      </c>
      <c r="V8" s="541">
        <f>Watersheds!V16*V3</f>
        <v>172.65700304500001</v>
      </c>
      <c r="W8" s="541">
        <f>Watersheds!W16*W3</f>
        <v>108785.22915</v>
      </c>
      <c r="X8" s="541">
        <f>Watersheds!X16*X3</f>
        <v>16635.0670102</v>
      </c>
      <c r="Y8" s="541">
        <f>Watersheds!Y16*Y3</f>
        <v>827.08452865799995</v>
      </c>
      <c r="Z8" s="541">
        <f>Watersheds!Z16*Z3</f>
        <v>39135.316447099998</v>
      </c>
      <c r="AA8" s="541">
        <f>Watersheds!AA16*AA3</f>
        <v>89598.661550699995</v>
      </c>
      <c r="AB8" s="541">
        <f>Watersheds!AB16*AB3</f>
        <v>144474.97468399999</v>
      </c>
      <c r="AC8" s="541">
        <f>Watersheds!AC16*AC3</f>
        <v>670.11963214599996</v>
      </c>
      <c r="AD8" s="541">
        <f>Watersheds!AD16*AD3</f>
        <v>296.42752501199999</v>
      </c>
      <c r="AE8" s="541">
        <f>Watersheds!AE16*AE3</f>
        <v>1930.2977445700001</v>
      </c>
      <c r="AF8" s="541">
        <f>Watersheds!AF16*AF3</f>
        <v>2036.99808749</v>
      </c>
      <c r="AG8" s="541">
        <f>Watersheds!AG16*AG3</f>
        <v>96.628536245399999</v>
      </c>
      <c r="AH8" s="541">
        <f>Watersheds!AH16*AH3</f>
        <v>42454.277972000004</v>
      </c>
      <c r="AI8" s="541">
        <f>Watersheds!AI16*AI3</f>
        <v>5023.9110966899998</v>
      </c>
      <c r="AJ8" s="541">
        <f>Watersheds!AJ16*AJ3</f>
        <v>152455.18741300001</v>
      </c>
      <c r="AK8" s="541">
        <f>Watersheds!AK16*AK3</f>
        <v>922.04684490099999</v>
      </c>
      <c r="AL8" s="541">
        <f>Watersheds!AL16*AL3</f>
        <v>281541.37570700003</v>
      </c>
      <c r="AM8" s="541">
        <f>Watersheds!AM16*AM3</f>
        <v>4932.1650630000004</v>
      </c>
      <c r="AN8" s="541">
        <f>Watersheds!AN16*AN3</f>
        <v>5748.1894407299997</v>
      </c>
    </row>
    <row r="9" spans="1:41" s="541" customFormat="1" x14ac:dyDescent="0.25">
      <c r="A9" s="541" t="s">
        <v>1300</v>
      </c>
      <c r="B9" s="541">
        <f>Erosion!C13</f>
        <v>530931.58293822547</v>
      </c>
      <c r="C9" s="541">
        <f>Erosion!D13</f>
        <v>56914.965007839877</v>
      </c>
      <c r="D9" s="541">
        <f>Erosion!E13</f>
        <v>189172.96224450826</v>
      </c>
      <c r="E9" s="541">
        <f>Erosion!F13</f>
        <v>219334.91661650356</v>
      </c>
      <c r="F9" s="541">
        <f>Erosion!G13</f>
        <v>810888.5193358016</v>
      </c>
      <c r="G9" s="541">
        <f>Erosion!H13</f>
        <v>16.988081111242483</v>
      </c>
      <c r="H9" s="541">
        <f>Erosion!I13</f>
        <v>153543.91415673323</v>
      </c>
      <c r="I9" s="541">
        <f>Erosion!J13</f>
        <v>1073520.8393575228</v>
      </c>
      <c r="J9" s="541">
        <f>Erosion!K13</f>
        <v>239312.42170568317</v>
      </c>
      <c r="K9" s="541">
        <f>Erosion!L13</f>
        <v>427351.39757352346</v>
      </c>
      <c r="L9" s="541">
        <f>Erosion!M13</f>
        <v>6938.0060933400828</v>
      </c>
      <c r="M9" s="541">
        <f>Erosion!N13</f>
        <v>12446.107199552682</v>
      </c>
      <c r="N9" s="541">
        <f>Erosion!O13</f>
        <v>613353.14725765609</v>
      </c>
      <c r="O9" s="541">
        <f>Erosion!P13</f>
        <v>204961.07474732367</v>
      </c>
      <c r="P9" s="541">
        <f>Erosion!Q13</f>
        <v>136404.18328764598</v>
      </c>
      <c r="Q9" s="541">
        <f>Erosion!R13</f>
        <v>68065.837984318059</v>
      </c>
      <c r="R9" s="541">
        <f>Erosion!S13</f>
        <v>8.6218245984693844</v>
      </c>
      <c r="S9" s="541">
        <f>Erosion!T13</f>
        <v>25666.476522709261</v>
      </c>
      <c r="T9" s="541">
        <f>Erosion!U13</f>
        <v>29.449732456650832</v>
      </c>
      <c r="U9" s="541">
        <f>Erosion!V13</f>
        <v>3113.6825967674349</v>
      </c>
      <c r="V9" s="541">
        <f>Erosion!W13</f>
        <v>22156.529134296092</v>
      </c>
      <c r="W9" s="541">
        <f>Erosion!X13</f>
        <v>94421.272777601524</v>
      </c>
      <c r="X9" s="541">
        <f>Erosion!Y13</f>
        <v>3408.458330825943</v>
      </c>
      <c r="Y9" s="541">
        <f>Erosion!Z13</f>
        <v>374647.59455728228</v>
      </c>
      <c r="Z9" s="541">
        <f>Erosion!AA13</f>
        <v>1240110.0986732151</v>
      </c>
      <c r="AA9" s="541">
        <f>Erosion!AB13</f>
        <v>34128.367842003834</v>
      </c>
      <c r="AB9" s="541">
        <f>Erosion!AC13</f>
        <v>771954.3805303371</v>
      </c>
      <c r="AC9" s="541">
        <f>Erosion!AD13</f>
        <v>596.85120771211666</v>
      </c>
      <c r="AD9" s="541">
        <f>Erosion!AE13</f>
        <v>47117.45088627284</v>
      </c>
      <c r="AE9" s="541">
        <f>Erosion!AF13</f>
        <v>50273.439926155785</v>
      </c>
      <c r="AF9" s="541">
        <f>Erosion!AG13</f>
        <v>86287.598890441994</v>
      </c>
      <c r="AG9" s="541">
        <f>Erosion!AH13</f>
        <v>12232.240157906386</v>
      </c>
      <c r="AH9" s="541">
        <f>Erosion!AI13</f>
        <v>783941.6467124722</v>
      </c>
      <c r="AI9" s="541">
        <f>Erosion!AJ13</f>
        <v>79396.569733139841</v>
      </c>
      <c r="AJ9" s="541">
        <f>Erosion!AK13</f>
        <v>58783.55715732598</v>
      </c>
      <c r="AK9" s="541">
        <f>Erosion!AL13</f>
        <v>357617.52754060994</v>
      </c>
      <c r="AL9" s="541">
        <f>Erosion!AM13</f>
        <v>170395.9973062482</v>
      </c>
      <c r="AM9" s="541">
        <f>Erosion!AN13</f>
        <v>444460.97971280018</v>
      </c>
      <c r="AN9" s="541">
        <f>Erosion!AO13</f>
        <v>484027.45488118561</v>
      </c>
    </row>
    <row r="10" spans="1:41" s="541" customFormat="1" ht="21" x14ac:dyDescent="0.35">
      <c r="A10" s="446" t="s">
        <v>1288</v>
      </c>
    </row>
    <row r="11" spans="1:41" s="36" customFormat="1" x14ac:dyDescent="0.25">
      <c r="A11" s="36" t="s">
        <v>88</v>
      </c>
      <c r="B11" s="49">
        <f>(B9*'P_Index Scores'!B4)*Parameters!$C$17/(Parameters!$C$36)</f>
        <v>60743.592150845805</v>
      </c>
      <c r="C11" s="49">
        <f>(C9*'P_Index Scores'!C4)*Parameters!$C$17/(Parameters!$C$36)</f>
        <v>7036.2436048198988</v>
      </c>
      <c r="D11" s="49">
        <f>(D9*'P_Index Scores'!D4)*Parameters!$C$17/(Parameters!$C$36)</f>
        <v>37534.238348360253</v>
      </c>
      <c r="E11" s="49">
        <f>(E9*'P_Index Scores'!E4)*Parameters!$C$17/(Parameters!$C$36)</f>
        <v>26970.574568654072</v>
      </c>
      <c r="F11" s="49">
        <f>(F9*'P_Index Scores'!F4)*Parameters!$C$17/(Parameters!$C$36)</f>
        <v>112905.95386002825</v>
      </c>
      <c r="G11" s="49">
        <f>(G9*'P_Index Scores'!G4)*Parameters!$C$17/(Parameters!$C$36)</f>
        <v>0.74319626909425818</v>
      </c>
      <c r="H11" s="49">
        <f>(H9*'P_Index Scores'!H4)*Parameters!$C$17/(Parameters!$C$36)</f>
        <v>16830.009140887854</v>
      </c>
      <c r="I11" s="49">
        <f>(I9*'P_Index Scores'!I4)*Parameters!$C$17/(Parameters!$C$36)</f>
        <v>134878.07203362539</v>
      </c>
      <c r="J11" s="49">
        <f>(J9*'P_Index Scores'!J4)*Parameters!$C$17/(Parameters!$C$36)</f>
        <v>31228.715625489564</v>
      </c>
      <c r="K11" s="49">
        <f>(K9*'P_Index Scores'!K4)*Parameters!$C$17/(Parameters!$C$36)</f>
        <v>54108.515700497162</v>
      </c>
      <c r="L11" s="49">
        <f>(L9*'P_Index Scores'!L4)*Parameters!$C$17/(Parameters!$C$36)</f>
        <v>213.24095455298772</v>
      </c>
      <c r="M11" s="49">
        <f>(M9*'P_Index Scores'!M4)*Parameters!$C$17/(Parameters!$C$36)</f>
        <v>1208.7731869971021</v>
      </c>
      <c r="N11" s="49">
        <f>(N9*'P_Index Scores'!N4)*Parameters!$C$17/(Parameters!$C$36)</f>
        <v>83160.026559532358</v>
      </c>
      <c r="O11" s="49">
        <f>(O9*'P_Index Scores'!O4)*Parameters!$C$17/(Parameters!$C$36)</f>
        <v>19144.896783865617</v>
      </c>
      <c r="P11" s="49">
        <f>(P9*'P_Index Scores'!P4)*Parameters!$C$17/(Parameters!$C$36)</f>
        <v>17869.323648695772</v>
      </c>
      <c r="Q11" s="49">
        <f>(Q9*'P_Index Scores'!Q4)*Parameters!$C$17/(Parameters!$C$36)</f>
        <v>7263.1802054675527</v>
      </c>
      <c r="R11" s="49">
        <f>(R9*'P_Index Scores'!R4)*Parameters!$C$17/(Parameters!$C$36)</f>
        <v>0.56060979562330804</v>
      </c>
      <c r="S11" s="49">
        <f>(S9*'P_Index Scores'!S4)*Parameters!$C$17/(Parameters!$C$36)</f>
        <v>2289.4781667792968</v>
      </c>
      <c r="T11" s="49">
        <f>(T9*'P_Index Scores'!T4)*Parameters!$C$17/(Parameters!$C$36)</f>
        <v>0.74141293195122304</v>
      </c>
      <c r="U11" s="49">
        <f>(U9*'P_Index Scores'!U4)*Parameters!$C$17/(Parameters!$C$36)</f>
        <v>100.19666133560055</v>
      </c>
      <c r="V11" s="49">
        <f>(V9*'P_Index Scores'!V4)*Parameters!$C$17/(Parameters!$C$36)</f>
        <v>2888.6974972476646</v>
      </c>
      <c r="W11" s="49">
        <f>(W9*'P_Index Scores'!W4)*Parameters!$C$17/(Parameters!$C$36)</f>
        <v>10942.10756690569</v>
      </c>
      <c r="X11" s="49">
        <f>(X9*'P_Index Scores'!X4)*Parameters!$C$17/(Parameters!$C$36)</f>
        <v>132.48243815183108</v>
      </c>
      <c r="Y11" s="49">
        <f>(Y9*'P_Index Scores'!Y4)*Parameters!$C$17/(Parameters!$C$36)</f>
        <v>58758.835619034653</v>
      </c>
      <c r="Z11" s="49">
        <f>(Z9*'P_Index Scores'!Z4)*Parameters!$C$17/(Parameters!$C$36)</f>
        <v>199322.41589662118</v>
      </c>
      <c r="AA11" s="49">
        <f>(AA9*'P_Index Scores'!AA4)*Parameters!$C$17/(Parameters!$C$36)</f>
        <v>1931.999477968307</v>
      </c>
      <c r="AB11" s="49">
        <f>(AB9*'P_Index Scores'!AB4)*Parameters!$C$17/(Parameters!$C$36)</f>
        <v>102275.82679745009</v>
      </c>
      <c r="AC11" s="49">
        <f>(AC9*'P_Index Scores'!AC4)*Parameters!$C$17/(Parameters!$C$36)</f>
        <v>68.104267808451127</v>
      </c>
      <c r="AD11" s="49">
        <f>(AD9*'P_Index Scores'!AD4)*Parameters!$C$17/(Parameters!$C$36)</f>
        <v>5895.3154267136861</v>
      </c>
      <c r="AE11" s="49">
        <f>(AE9*'P_Index Scores'!AE4)*Parameters!$C$17/(Parameters!$C$36)</f>
        <v>8021.683930921663</v>
      </c>
      <c r="AF11" s="49">
        <f>(AF9*'P_Index Scores'!AF4)*Parameters!$C$17/(Parameters!$C$36)</f>
        <v>13627.027341641653</v>
      </c>
      <c r="AG11" s="49">
        <f>(AG9*'P_Index Scores'!AG4)*Parameters!$C$17/(Parameters!$C$36)</f>
        <v>2170.3918720451366</v>
      </c>
      <c r="AH11" s="49">
        <f>(AH9*'P_Index Scores'!AH4)*Parameters!$C$17/(Parameters!$C$36)</f>
        <v>104555.09778752862</v>
      </c>
      <c r="AI11" s="49">
        <f>(AI9*'P_Index Scores'!AI4)*Parameters!$C$17/(Parameters!$C$36)</f>
        <v>9407.4710865048855</v>
      </c>
      <c r="AJ11" s="49">
        <f>(AJ9*'P_Index Scores'!AJ4)*Parameters!$C$17/(Parameters!$C$36)</f>
        <v>5648.1449037523171</v>
      </c>
      <c r="AK11" s="49">
        <f>(AK9*'P_Index Scores'!AK4)*Parameters!$C$17/(Parameters!$C$36)</f>
        <v>48760.634956837865</v>
      </c>
      <c r="AL11" s="49">
        <f>(AL9*'P_Index Scores'!AL4)*Parameters!$C$17/(Parameters!$C$36)</f>
        <v>15742.642944076628</v>
      </c>
      <c r="AM11" s="49">
        <f>(AM9*'P_Index Scores'!AM4)*Parameters!$C$17/(Parameters!$C$36)</f>
        <v>60708.10569205755</v>
      </c>
      <c r="AN11" s="49">
        <f>(AN9*'P_Index Scores'!AN4)*Parameters!$C$17/(Parameters!$C$36)</f>
        <v>61720.387811925189</v>
      </c>
    </row>
    <row r="12" spans="1:41" s="36" customFormat="1" x14ac:dyDescent="0.25">
      <c r="A12" s="36" t="s">
        <v>265</v>
      </c>
      <c r="B12" s="49">
        <f>(B6+B7)*'P_Index Scores'!B5*Parameters!$C$17/(Parameters!$C$36)</f>
        <v>43749.028882525308</v>
      </c>
      <c r="C12" s="49">
        <f>(C6+C7)*'P_Index Scores'!C5*Parameters!$C$17/(Parameters!$C$36)</f>
        <v>2996.4082481518035</v>
      </c>
      <c r="D12" s="49">
        <f>(D6+D7)*'P_Index Scores'!D5*Parameters!$C$17/(Parameters!$C$36)</f>
        <v>19576.185305072449</v>
      </c>
      <c r="E12" s="49">
        <f>(E6+E7)*'P_Index Scores'!E5*Parameters!$C$17/(Parameters!$C$36)</f>
        <v>23903.674578428167</v>
      </c>
      <c r="F12" s="49">
        <f>(F6+F7)*'P_Index Scores'!F5*Parameters!$C$17/(Parameters!$C$36)</f>
        <v>15573.388785456098</v>
      </c>
      <c r="G12" s="49">
        <f>(G6+G7)*'P_Index Scores'!G5*Parameters!$C$17/(Parameters!$C$36)</f>
        <v>5.5310823001802484E-2</v>
      </c>
      <c r="H12" s="49">
        <f>(H6+H7)*'P_Index Scores'!H5*Parameters!$C$17/(Parameters!$C$36)</f>
        <v>12843.990237887365</v>
      </c>
      <c r="I12" s="49">
        <f>(I6+I7)*'P_Index Scores'!I5*Parameters!$C$17/(Parameters!$C$36)</f>
        <v>27280.21843775659</v>
      </c>
      <c r="J12" s="49">
        <f>(J6+J7)*'P_Index Scores'!J5*Parameters!$C$17/(Parameters!$C$36)</f>
        <v>4318.3973947714021</v>
      </c>
      <c r="K12" s="49">
        <f>(K6+K7)*'P_Index Scores'!K5*Parameters!$C$17/(Parameters!$C$36)</f>
        <v>4670.9914366551275</v>
      </c>
      <c r="L12" s="49">
        <f>(L6+L7)*'P_Index Scores'!L5*Parameters!$C$17/(Parameters!$C$36)</f>
        <v>887.54085784085396</v>
      </c>
      <c r="M12" s="49">
        <f>(M6+M7)*'P_Index Scores'!M5*Parameters!$C$17/(Parameters!$C$36)</f>
        <v>670.22592745985764</v>
      </c>
      <c r="N12" s="49">
        <f>(N6+N7)*'P_Index Scores'!N5*Parameters!$C$17/(Parameters!$C$36)</f>
        <v>11618.30717607977</v>
      </c>
      <c r="O12" s="49">
        <f>(O6+O7)*'P_Index Scores'!O5*Parameters!$C$17/(Parameters!$C$36)</f>
        <v>2716.4000760366116</v>
      </c>
      <c r="P12" s="49">
        <f>(P6+P7)*'P_Index Scores'!P5*Parameters!$C$17/(Parameters!$C$36)</f>
        <v>16094.635517514733</v>
      </c>
      <c r="Q12" s="49">
        <f>(Q6+Q7)*'P_Index Scores'!Q5*Parameters!$C$17/(Parameters!$C$36)</f>
        <v>1097.4324108904311</v>
      </c>
      <c r="R12" s="49">
        <f>(R6+R7)*'P_Index Scores'!R5*Parameters!$C$17/(Parameters!$C$36)</f>
        <v>2.6549195040822364</v>
      </c>
      <c r="S12" s="49">
        <f>(S6+S7)*'P_Index Scores'!S5*Parameters!$C$17/(Parameters!$C$36)</f>
        <v>2431.9527220021841</v>
      </c>
      <c r="T12" s="49">
        <f>(T6+T7)*'P_Index Scores'!T5*Parameters!$C$17/(Parameters!$C$36)</f>
        <v>2.2677437345644615</v>
      </c>
      <c r="U12" s="49">
        <f>(U6+U7)*'P_Index Scores'!U5*Parameters!$C$17/(Parameters!$C$36)</f>
        <v>114.44591261557169</v>
      </c>
      <c r="V12" s="49">
        <f>(V6+V7)*'P_Index Scores'!V5*Parameters!$C$17/(Parameters!$C$36)</f>
        <v>1383.5235127161284</v>
      </c>
      <c r="W12" s="49">
        <f>(W6+W7)*'P_Index Scores'!W5*Parameters!$C$17/(Parameters!$C$36)</f>
        <v>2774.8795519741966</v>
      </c>
      <c r="X12" s="49">
        <f>(X6+X7)*'P_Index Scores'!X5*Parameters!$C$17/(Parameters!$C$36)</f>
        <v>252.24603240563741</v>
      </c>
      <c r="Y12" s="49">
        <f>(Y6+Y7)*'P_Index Scores'!Y5*Parameters!$C$17/(Parameters!$C$36)</f>
        <v>35716.195693512534</v>
      </c>
      <c r="Z12" s="49">
        <f>(Z6+Z7)*'P_Index Scores'!Z5*Parameters!$C$17/(Parameters!$C$36)</f>
        <v>102509.74894599977</v>
      </c>
      <c r="AA12" s="49">
        <f>(AA6+AA7)*'P_Index Scores'!AA5*Parameters!$C$17/(Parameters!$C$36)</f>
        <v>4900.2775865510202</v>
      </c>
      <c r="AB12" s="49">
        <f>(AB6+AB7)*'P_Index Scores'!AB5*Parameters!$C$17/(Parameters!$C$36)</f>
        <v>10637.264926783449</v>
      </c>
      <c r="AC12" s="49">
        <f>(AC6+AC7)*'P_Index Scores'!AC5*Parameters!$C$17/(Parameters!$C$36)</f>
        <v>272.03285450294652</v>
      </c>
      <c r="AD12" s="49">
        <f>(AD6+AD7)*'P_Index Scores'!AD5*Parameters!$C$17/(Parameters!$C$36)</f>
        <v>2692.2825060860396</v>
      </c>
      <c r="AE12" s="49">
        <f>(AE6+AE7)*'P_Index Scores'!AE5*Parameters!$C$17/(Parameters!$C$36)</f>
        <v>1067.927466417729</v>
      </c>
      <c r="AF12" s="49">
        <f>(AF6+AF7)*'P_Index Scores'!AF5*Parameters!$C$17/(Parameters!$C$36)</f>
        <v>6417.1784747427737</v>
      </c>
      <c r="AG12" s="49">
        <f>(AG6+AG7)*'P_Index Scores'!AG5*Parameters!$C$17/(Parameters!$C$36)</f>
        <v>1304.8803566233296</v>
      </c>
      <c r="AH12" s="49">
        <f>(AH6+AH7)*'P_Index Scores'!AH5*Parameters!$C$17/(Parameters!$C$36)</f>
        <v>18837.154360817582</v>
      </c>
      <c r="AI12" s="49">
        <f>(AI6+AI7)*'P_Index Scores'!AI5*Parameters!$C$17/(Parameters!$C$36)</f>
        <v>1379.8542133110625</v>
      </c>
      <c r="AJ12" s="49">
        <f>(AJ6+AJ7)*'P_Index Scores'!AJ5*Parameters!$C$17/(Parameters!$C$36)</f>
        <v>2020.3833721416186</v>
      </c>
      <c r="AK12" s="49">
        <f>(AK6+AK7)*'P_Index Scores'!AK5*Parameters!$C$17/(Parameters!$C$36)</f>
        <v>34587.758697599325</v>
      </c>
      <c r="AL12" s="49">
        <f>(AL6+AL7)*'P_Index Scores'!AL5*Parameters!$C$17/(Parameters!$C$36)</f>
        <v>4314.7304102384114</v>
      </c>
      <c r="AM12" s="49">
        <f>(AM6+AM7)*'P_Index Scores'!AM5*Parameters!$C$17/(Parameters!$C$36)</f>
        <v>25412.04766237882</v>
      </c>
      <c r="AN12" s="49">
        <f>(AN6+AN7)*'P_Index Scores'!AN5*Parameters!$C$17/(Parameters!$C$36)</f>
        <v>44601.662219419231</v>
      </c>
    </row>
    <row r="13" spans="1:41" s="36" customFormat="1" x14ac:dyDescent="0.25">
      <c r="A13" s="36" t="s">
        <v>899</v>
      </c>
      <c r="B13" s="49">
        <f>'P_Index Scores'!B6*B5*Parameters!$C$17/(Parameters!$C$36)</f>
        <v>243700.66793794953</v>
      </c>
      <c r="C13" s="49">
        <f>'P_Index Scores'!C6*C5*Parameters!$C$17/(Parameters!$C$36)</f>
        <v>20431.289268757711</v>
      </c>
      <c r="D13" s="49">
        <f>'P_Index Scores'!D6*D5*Parameters!$C$17/(Parameters!$C$36)</f>
        <v>81726.542007338037</v>
      </c>
      <c r="E13" s="49">
        <f>'P_Index Scores'!E6*E5*Parameters!$C$17/(Parameters!$C$36)</f>
        <v>112574.85298526993</v>
      </c>
      <c r="F13" s="49">
        <f>'P_Index Scores'!F6*F5*Parameters!$C$17/(Parameters!$C$36)</f>
        <v>137311.10269206401</v>
      </c>
      <c r="G13" s="49">
        <f>'P_Index Scores'!G6*G5*Parameters!$C$17/(Parameters!$C$36)</f>
        <v>4662.3204506807842</v>
      </c>
      <c r="H13" s="49">
        <f>'P_Index Scores'!H6*H5*Parameters!$C$17/(Parameters!$C$36)</f>
        <v>101830.61400005307</v>
      </c>
      <c r="I13" s="49">
        <f>'P_Index Scores'!I6*I5*Parameters!$C$17/(Parameters!$C$36)</f>
        <v>147114.76336220297</v>
      </c>
      <c r="J13" s="49">
        <f>'P_Index Scores'!J6*J5*Parameters!$C$17/(Parameters!$C$36)</f>
        <v>50476.514828443418</v>
      </c>
      <c r="K13" s="49">
        <f>'P_Index Scores'!K6*K5*Parameters!$C$17/(Parameters!$C$36)</f>
        <v>92788.342124272138</v>
      </c>
      <c r="L13" s="49">
        <f>'P_Index Scores'!L6*L5*Parameters!$C$17/(Parameters!$C$36)</f>
        <v>10667.93040089134</v>
      </c>
      <c r="M13" s="49">
        <f>'P_Index Scores'!M6*M5*Parameters!$C$17/(Parameters!$C$36)</f>
        <v>56589.833272128933</v>
      </c>
      <c r="N13" s="49">
        <f>'P_Index Scores'!N6*N5*Parameters!$C$17/(Parameters!$C$36)</f>
        <v>159612.50814106467</v>
      </c>
      <c r="O13" s="49">
        <f>'P_Index Scores'!O6*O5*Parameters!$C$17/(Parameters!$C$36)</f>
        <v>85192.269052332675</v>
      </c>
      <c r="P13" s="49">
        <f>'P_Index Scores'!P6*P5*Parameters!$C$17/(Parameters!$C$36)</f>
        <v>50079.993889986297</v>
      </c>
      <c r="Q13" s="49">
        <f>'P_Index Scores'!Q6*Q5*Parameters!$C$17/(Parameters!$C$36)</f>
        <v>7577.9112558520819</v>
      </c>
      <c r="R13" s="49">
        <f>'P_Index Scores'!R6*R5*Parameters!$C$17/(Parameters!$C$36)</f>
        <v>917.69816194607836</v>
      </c>
      <c r="S13" s="49">
        <f>'P_Index Scores'!S6*S5*Parameters!$C$17/(Parameters!$C$36)</f>
        <v>37952.747342617629</v>
      </c>
      <c r="T13" s="49">
        <f>'P_Index Scores'!T6*T5*Parameters!$C$17/(Parameters!$C$36)</f>
        <v>1390.8667072471255</v>
      </c>
      <c r="U13" s="49">
        <f>'P_Index Scores'!U6*U5*Parameters!$C$17/(Parameters!$C$36)</f>
        <v>5606.3746700965639</v>
      </c>
      <c r="V13" s="49">
        <f>'P_Index Scores'!V6*V5*Parameters!$C$17/(Parameters!$C$36)</f>
        <v>1847.937121544953</v>
      </c>
      <c r="W13" s="49">
        <f>'P_Index Scores'!W6*W5*Parameters!$C$17/(Parameters!$C$36)</f>
        <v>25128.339662064885</v>
      </c>
      <c r="X13" s="49">
        <f>'P_Index Scores'!X6*X5*Parameters!$C$17/(Parameters!$C$36)</f>
        <v>15528.188636433713</v>
      </c>
      <c r="Y13" s="49">
        <f>'P_Index Scores'!Y6*Y5*Parameters!$C$17/(Parameters!$C$36)</f>
        <v>122073.56364517532</v>
      </c>
      <c r="Z13" s="49">
        <f>'P_Index Scores'!Z6*Z5*Parameters!$C$17/(Parameters!$C$36)</f>
        <v>367290.92067694088</v>
      </c>
      <c r="AA13" s="49">
        <f>'P_Index Scores'!AA6*AA5*Parameters!$C$17/(Parameters!$C$36)</f>
        <v>59271.499788359462</v>
      </c>
      <c r="AB13" s="49">
        <f>'P_Index Scores'!AB6*AB5*Parameters!$C$17/(Parameters!$C$36)</f>
        <v>237778.9152946939</v>
      </c>
      <c r="AC13" s="49">
        <f>'P_Index Scores'!AC6*AC5*Parameters!$C$17/(Parameters!$C$36)</f>
        <v>9979.3004185296613</v>
      </c>
      <c r="AD13" s="49">
        <f>'P_Index Scores'!AD6*AD5*Parameters!$C$17/(Parameters!$C$36)</f>
        <v>11523.502638212356</v>
      </c>
      <c r="AE13" s="49">
        <f>'P_Index Scores'!AE6*AE5*Parameters!$C$17/(Parameters!$C$36)</f>
        <v>13932.122587855838</v>
      </c>
      <c r="AF13" s="49">
        <f>'P_Index Scores'!AF6*AF5*Parameters!$C$17/(Parameters!$C$36)</f>
        <v>27982.141257459461</v>
      </c>
      <c r="AG13" s="49">
        <f>'P_Index Scores'!AG6*AG5*Parameters!$C$17/(Parameters!$C$36)</f>
        <v>5491.8679250240175</v>
      </c>
      <c r="AH13" s="49">
        <f>'P_Index Scores'!AH6*AH5*Parameters!$C$17/(Parameters!$C$36)</f>
        <v>176169.34393688198</v>
      </c>
      <c r="AI13" s="49">
        <f>'P_Index Scores'!AI6*AI5*Parameters!$C$17/(Parameters!$C$36)</f>
        <v>14348.564744468587</v>
      </c>
      <c r="AJ13" s="49">
        <f>'P_Index Scores'!AJ6*AJ5*Parameters!$C$17/(Parameters!$C$36)</f>
        <v>49475.501777986668</v>
      </c>
      <c r="AK13" s="49">
        <f>'P_Index Scores'!AK6*AK5*Parameters!$C$17/(Parameters!$C$36)</f>
        <v>109871.58656051308</v>
      </c>
      <c r="AL13" s="49">
        <f>'P_Index Scores'!AL6*AL5*Parameters!$C$17/(Parameters!$C$36)</f>
        <v>129764.12735701144</v>
      </c>
      <c r="AM13" s="49">
        <f>'P_Index Scores'!AM6*AM5*Parameters!$C$17/(Parameters!$C$36)</f>
        <v>73131.382335065253</v>
      </c>
      <c r="AN13" s="49">
        <f>'P_Index Scores'!AN6*AN5*Parameters!$C$17/(Parameters!$C$36)</f>
        <v>83074.172587396795</v>
      </c>
    </row>
    <row r="14" spans="1:41" s="36" customFormat="1" x14ac:dyDescent="0.25">
      <c r="A14" s="36" t="s">
        <v>1042</v>
      </c>
      <c r="B14" s="49">
        <f>(B6+B7)*'P_Index Scores'!B7*Parameters!$C$17/(Parameters!$C$36)</f>
        <v>17975.447321899017</v>
      </c>
      <c r="C14" s="49">
        <f>(C6+C7)*'P_Index Scores'!C7*Parameters!$C$17/(Parameters!$C$36)</f>
        <v>765.2534938051889</v>
      </c>
      <c r="D14" s="49">
        <f>(D6+D7)*'P_Index Scores'!D7*Parameters!$C$17/(Parameters!$C$36)</f>
        <v>79.628123129383326</v>
      </c>
      <c r="E14" s="49">
        <f>(E6+E7)*'P_Index Scores'!E7*Parameters!$C$17/(Parameters!$C$36)</f>
        <v>4808.9166518492702</v>
      </c>
      <c r="F14" s="49">
        <f>(F6+F7)*'P_Index Scores'!F7*Parameters!$C$17/(Parameters!$C$36)</f>
        <v>13893.209383618907</v>
      </c>
      <c r="G14" s="49">
        <f>(G6+G7)*'P_Index Scores'!G7*Parameters!$C$17/(Parameters!$C$36)</f>
        <v>3.8133784003198492E-5</v>
      </c>
      <c r="H14" s="49">
        <f>(H6+H7)*'P_Index Scores'!H7*Parameters!$C$17/(Parameters!$C$36)</f>
        <v>2976.3025201555247</v>
      </c>
      <c r="I14" s="49">
        <f>(I6+I7)*'P_Index Scores'!I7*Parameters!$C$17/(Parameters!$C$36)</f>
        <v>46509.072409494242</v>
      </c>
      <c r="J14" s="49">
        <f>(J6+J7)*'P_Index Scores'!J7*Parameters!$C$17/(Parameters!$C$36)</f>
        <v>14607.642112204579</v>
      </c>
      <c r="K14" s="49">
        <f>(K6+K7)*'P_Index Scores'!K7*Parameters!$C$17/(Parameters!$C$36)</f>
        <v>0</v>
      </c>
      <c r="L14" s="49">
        <f>(L6+L7)*'P_Index Scores'!L7*Parameters!$C$17/(Parameters!$C$36)</f>
        <v>726.27752857997928</v>
      </c>
      <c r="M14" s="49">
        <f>(M6+M7)*'P_Index Scores'!M7*Parameters!$C$17/(Parameters!$C$36)</f>
        <v>7.0090611970352237</v>
      </c>
      <c r="N14" s="49">
        <f>(N6+N7)*'P_Index Scores'!N7*Parameters!$C$17/(Parameters!$C$36)</f>
        <v>4508.8636666766261</v>
      </c>
      <c r="O14" s="49">
        <f>(O6+O7)*'P_Index Scores'!O7*Parameters!$C$17/(Parameters!$C$36)</f>
        <v>0</v>
      </c>
      <c r="P14" s="49">
        <f>(P6+P7)*'P_Index Scores'!P7*Parameters!$C$17/(Parameters!$C$36)</f>
        <v>6021.5095513407814</v>
      </c>
      <c r="Q14" s="49">
        <f>(Q6+Q7)*'P_Index Scores'!Q7*Parameters!$C$17/(Parameters!$C$36)</f>
        <v>4711.1634458451244</v>
      </c>
      <c r="R14" s="49">
        <f>(R6+R7)*'P_Index Scores'!R7*Parameters!$C$17/(Parameters!$C$36)</f>
        <v>1.308799831559319E-2</v>
      </c>
      <c r="S14" s="49">
        <f>(S6+S7)*'P_Index Scores'!S7*Parameters!$C$17/(Parameters!$C$36)</f>
        <v>86.212932267648654</v>
      </c>
      <c r="T14" s="49">
        <f>(T6+T7)*'P_Index Scores'!T7*Parameters!$C$17/(Parameters!$C$36)</f>
        <v>2.9504631146882124E-2</v>
      </c>
      <c r="U14" s="49">
        <f>(U6+U7)*'P_Index Scores'!U7*Parameters!$C$17/(Parameters!$C$36)</f>
        <v>423.17751745930616</v>
      </c>
      <c r="V14" s="49">
        <f>(V6+V7)*'P_Index Scores'!V7*Parameters!$C$17/(Parameters!$C$36)</f>
        <v>3288.1184972073042</v>
      </c>
      <c r="W14" s="49">
        <f>(W6+W7)*'P_Index Scores'!W7*Parameters!$C$17/(Parameters!$C$36)</f>
        <v>0</v>
      </c>
      <c r="X14" s="49">
        <f>(X6+X7)*'P_Index Scores'!X7*Parameters!$C$17/(Parameters!$C$36)</f>
        <v>1226.5570885261923</v>
      </c>
      <c r="Y14" s="49">
        <f>(Y6+Y7)*'P_Index Scores'!Y7*Parameters!$C$17/(Parameters!$C$36)</f>
        <v>339.83354160068433</v>
      </c>
      <c r="Z14" s="49">
        <f>(Z6+Z7)*'P_Index Scores'!Z7*Parameters!$C$17/(Parameters!$C$36)</f>
        <v>25287.979834459744</v>
      </c>
      <c r="AA14" s="49">
        <f>(AA6+AA7)*'P_Index Scores'!AA7*Parameters!$C$17/(Parameters!$C$36)</f>
        <v>16722.499314249213</v>
      </c>
      <c r="AB14" s="49">
        <f>(AB6+AB7)*'P_Index Scores'!AB7*Parameters!$C$17/(Parameters!$C$36)</f>
        <v>3679.1534122671383</v>
      </c>
      <c r="AC14" s="49">
        <f>(AC6+AC7)*'P_Index Scores'!AC7*Parameters!$C$17/(Parameters!$C$36)</f>
        <v>7.7816954109026222</v>
      </c>
      <c r="AD14" s="49">
        <f>(AD6+AD7)*'P_Index Scores'!AD7*Parameters!$C$17/(Parameters!$C$36)</f>
        <v>890.5715453142418</v>
      </c>
      <c r="AE14" s="49">
        <f>(AE6+AE7)*'P_Index Scores'!AE7*Parameters!$C$17/(Parameters!$C$36)</f>
        <v>576.37218573403152</v>
      </c>
      <c r="AF14" s="49">
        <f>(AF6+AF7)*'P_Index Scores'!AF7*Parameters!$C$17/(Parameters!$C$36)</f>
        <v>328.54514927249875</v>
      </c>
      <c r="AG14" s="49">
        <f>(AG6+AG7)*'P_Index Scores'!AG7*Parameters!$C$17/(Parameters!$C$36)</f>
        <v>52.457157165420831</v>
      </c>
      <c r="AH14" s="49">
        <f>(AH6+AH7)*'P_Index Scores'!AH7*Parameters!$C$17/(Parameters!$C$36)</f>
        <v>29573.052075364954</v>
      </c>
      <c r="AI14" s="49">
        <f>(AI6+AI7)*'P_Index Scores'!AI7*Parameters!$C$17/(Parameters!$C$36)</f>
        <v>3710.6624519135353</v>
      </c>
      <c r="AJ14" s="49">
        <f>(AJ6+AJ7)*'P_Index Scores'!AJ7*Parameters!$C$17/(Parameters!$C$36)</f>
        <v>0</v>
      </c>
      <c r="AK14" s="49">
        <f>(AK6+AK7)*'P_Index Scores'!AK7*Parameters!$C$17/(Parameters!$C$36)</f>
        <v>4203.5917622922898</v>
      </c>
      <c r="AL14" s="49">
        <f>(AL6+AL7)*'P_Index Scores'!AL7*Parameters!$C$17/(Parameters!$C$36)</f>
        <v>0</v>
      </c>
      <c r="AM14" s="49">
        <f>(AM6+AM7)*'P_Index Scores'!AM7*Parameters!$C$17/(Parameters!$C$36)</f>
        <v>27011.029421792849</v>
      </c>
      <c r="AN14" s="49">
        <f>(AN6+AN7)*'P_Index Scores'!AN7*Parameters!$C$17/(Parameters!$C$36)</f>
        <v>38631.205579411057</v>
      </c>
    </row>
    <row r="15" spans="1:41" s="36" customFormat="1" x14ac:dyDescent="0.25">
      <c r="A15" s="36" t="s">
        <v>900</v>
      </c>
      <c r="B15" s="49">
        <f>B5*'P_Index Scores'!B8*Parameters!$C$17/(Parameters!$C$36)</f>
        <v>6655.1242931277548</v>
      </c>
      <c r="C15" s="49">
        <f>C5*'P_Index Scores'!C8*Parameters!$C$17/(Parameters!$C$36)</f>
        <v>613.4799953740129</v>
      </c>
      <c r="D15" s="49">
        <f>D5*'P_Index Scores'!D8*Parameters!$C$17/(Parameters!$C$36)</f>
        <v>64.631190179887767</v>
      </c>
      <c r="E15" s="49">
        <f>E5*'P_Index Scores'!E8*Parameters!$C$17/(Parameters!$C$36)</f>
        <v>5384.5527812567379</v>
      </c>
      <c r="F15" s="49">
        <f>F5*'P_Index Scores'!F8*Parameters!$C$17/(Parameters!$C$36)</f>
        <v>23500.641203826061</v>
      </c>
      <c r="G15" s="49">
        <f>G5*'P_Index Scores'!G8*Parameters!$C$17/(Parameters!$C$36)</f>
        <v>9.1168333395754017E-2</v>
      </c>
      <c r="H15" s="49">
        <f>H5*'P_Index Scores'!H8*Parameters!$C$17/(Parameters!$C$36)</f>
        <v>2725.9076052451228</v>
      </c>
      <c r="I15" s="49">
        <f>I5*'P_Index Scores'!I8*Parameters!$C$17/(Parameters!$C$36)</f>
        <v>63747.412938288551</v>
      </c>
      <c r="J15" s="49">
        <f>J5*'P_Index Scores'!J8*Parameters!$C$17/(Parameters!$C$36)</f>
        <v>17287.036163680335</v>
      </c>
      <c r="K15" s="49">
        <f>K5*'P_Index Scores'!K8*Parameters!$C$17/(Parameters!$C$36)</f>
        <v>2.7750749531299461E-2</v>
      </c>
      <c r="L15" s="49">
        <f>L5*'P_Index Scores'!L8*Parameters!$C$17/(Parameters!$C$36)</f>
        <v>77.491589510218802</v>
      </c>
      <c r="M15" s="49">
        <f>M5*'P_Index Scores'!M8*Parameters!$C$17/(Parameters!$C$36)</f>
        <v>21.379404882912485</v>
      </c>
      <c r="N15" s="49">
        <f>N5*'P_Index Scores'!N8*Parameters!$C$17/(Parameters!$C$36)</f>
        <v>14344.191893089075</v>
      </c>
      <c r="O15" s="49">
        <f>O5*'P_Index Scores'!O8*Parameters!$C$17/(Parameters!$C$36)</f>
        <v>2.7778340366003705E-2</v>
      </c>
      <c r="P15" s="49">
        <f>P5*'P_Index Scores'!P8*Parameters!$C$17/(Parameters!$C$36)</f>
        <v>10411.275271731967</v>
      </c>
      <c r="Q15" s="49">
        <f>Q5*'P_Index Scores'!Q8*Parameters!$C$17/(Parameters!$C$36)</f>
        <v>10975.918247259564</v>
      </c>
      <c r="R15" s="49">
        <f>R5*'P_Index Scores'!R8*Parameters!$C$17/(Parameters!$C$36)</f>
        <v>2.1542257024412318E-2</v>
      </c>
      <c r="S15" s="49">
        <f>S5*'P_Index Scores'!S8*Parameters!$C$17/(Parameters!$C$36)</f>
        <v>81.198259075767879</v>
      </c>
      <c r="T15" s="49">
        <f>T5*'P_Index Scores'!T8*Parameters!$C$17/(Parameters!$C$36)</f>
        <v>6.7371360402967234E-2</v>
      </c>
      <c r="U15" s="49">
        <f>U5*'P_Index Scores'!U8*Parameters!$C$17/(Parameters!$C$36)</f>
        <v>178.96663408837765</v>
      </c>
      <c r="V15" s="49">
        <f>V5*'P_Index Scores'!V8*Parameters!$C$17/(Parameters!$C$36)</f>
        <v>3129.2360665085184</v>
      </c>
      <c r="W15" s="49">
        <f>W5*'P_Index Scores'!W8*Parameters!$C$17/(Parameters!$C$36)</f>
        <v>1.8245583765555698E-2</v>
      </c>
      <c r="X15" s="49">
        <f>X5*'P_Index Scores'!X8*Parameters!$C$17/(Parameters!$C$36)</f>
        <v>255.93406141246709</v>
      </c>
      <c r="Y15" s="49">
        <f>Y5*'P_Index Scores'!Y8*Parameters!$C$17/(Parameters!$C$36)</f>
        <v>1039.7453791438575</v>
      </c>
      <c r="Z15" s="49">
        <f>Z5*'P_Index Scores'!Z8*Parameters!$C$17/(Parameters!$C$36)</f>
        <v>33701.868571135914</v>
      </c>
      <c r="AA15" s="49">
        <f>AA5*'P_Index Scores'!AA8*Parameters!$C$17/(Parameters!$C$36)</f>
        <v>3253.3935264404472</v>
      </c>
      <c r="AB15" s="49">
        <f>AB5*'P_Index Scores'!AB8*Parameters!$C$17/(Parameters!$C$36)</f>
        <v>5852.4552071446724</v>
      </c>
      <c r="AC15" s="49">
        <f>AC5*'P_Index Scores'!AC8*Parameters!$C$17/(Parameters!$C$36)</f>
        <v>23.166223717598022</v>
      </c>
      <c r="AD15" s="49">
        <f>AD5*'P_Index Scores'!AD8*Parameters!$C$17/(Parameters!$C$36)</f>
        <v>796.05685715072639</v>
      </c>
      <c r="AE15" s="49">
        <f>AE5*'P_Index Scores'!AE8*Parameters!$C$17/(Parameters!$C$36)</f>
        <v>252.29993900260067</v>
      </c>
      <c r="AF15" s="49">
        <f>AF5*'P_Index Scores'!AF8*Parameters!$C$17/(Parameters!$C$36)</f>
        <v>397.7769132159159</v>
      </c>
      <c r="AG15" s="49">
        <f>AG5*'P_Index Scores'!AG8*Parameters!$C$17/(Parameters!$C$36)</f>
        <v>32.745862837876636</v>
      </c>
      <c r="AH15" s="49">
        <f>AH5*'P_Index Scores'!AH8*Parameters!$C$17/(Parameters!$C$36)</f>
        <v>49022.288424951956</v>
      </c>
      <c r="AI15" s="49">
        <f>AI5*'P_Index Scores'!AI8*Parameters!$C$17/(Parameters!$C$36)</f>
        <v>3590.59005103956</v>
      </c>
      <c r="AJ15" s="49">
        <f>AJ5*'P_Index Scores'!AJ8*Parameters!$C$17/(Parameters!$C$36)</f>
        <v>1.9436916639561392E-2</v>
      </c>
      <c r="AK15" s="49">
        <f>AK5*'P_Index Scores'!AK8*Parameters!$C$17/(Parameters!$C$36)</f>
        <v>14359.443967087755</v>
      </c>
      <c r="AL15" s="49">
        <f>AL5*'P_Index Scores'!AL8*Parameters!$C$17/(Parameters!$C$36)</f>
        <v>3.4949678744452151E-2</v>
      </c>
      <c r="AM15" s="49">
        <f>AM5*'P_Index Scores'!AM8*Parameters!$C$17/(Parameters!$C$36)</f>
        <v>29581.928324132408</v>
      </c>
      <c r="AN15" s="49">
        <f>AN5*'P_Index Scores'!AN8*Parameters!$C$17/(Parameters!$C$36)</f>
        <v>44264.931230710346</v>
      </c>
    </row>
    <row r="16" spans="1:41" s="36" customFormat="1" x14ac:dyDescent="0.25">
      <c r="A16" s="36" t="s">
        <v>901</v>
      </c>
      <c r="B16" s="49">
        <f>('Fertilizer Rate'!B14-'Fertilizer Rate'!B15)*Parameters!$C$17*'P_Index Scores'!B9/(Parameters!$C$36)</f>
        <v>44221.78109360364</v>
      </c>
      <c r="C16" s="49">
        <f>('Fertilizer Rate'!C14-'Fertilizer Rate'!C15)*Parameters!$C$17*'P_Index Scores'!C9/(Parameters!$C$36)</f>
        <v>1748.5754902511596</v>
      </c>
      <c r="D16" s="49">
        <f>('Fertilizer Rate'!D14-'Fertilizer Rate'!D15)*Parameters!$C$17*'P_Index Scores'!D9/(Parameters!$C$36)</f>
        <v>9422.2697398557466</v>
      </c>
      <c r="E16" s="49">
        <f>('Fertilizer Rate'!E14-'Fertilizer Rate'!E15)*Parameters!$C$17*'P_Index Scores'!E9/(Parameters!$C$36)</f>
        <v>0</v>
      </c>
      <c r="F16" s="49">
        <f>('Fertilizer Rate'!F14-'Fertilizer Rate'!F15)*Parameters!$C$17*'P_Index Scores'!F9/(Parameters!$C$36)</f>
        <v>5751.3052756224652</v>
      </c>
      <c r="G16" s="49">
        <f>('Fertilizer Rate'!G14-'Fertilizer Rate'!G15)*Parameters!$C$17*'P_Index Scores'!G9/(Parameters!$C$36)</f>
        <v>5.5369828404615813</v>
      </c>
      <c r="H16" s="49">
        <f>('Fertilizer Rate'!H14-'Fertilizer Rate'!H15)*Parameters!$C$17*'P_Index Scores'!H9/(Parameters!$C$36)</f>
        <v>12285.704811834756</v>
      </c>
      <c r="I16" s="49">
        <f>('Fertilizer Rate'!I14-'Fertilizer Rate'!I15)*Parameters!$C$17*'P_Index Scores'!I9/(Parameters!$C$36)</f>
        <v>17167.120512446156</v>
      </c>
      <c r="J16" s="49">
        <f>('Fertilizer Rate'!J14-'Fertilizer Rate'!J15)*Parameters!$C$17*'P_Index Scores'!J9/(Parameters!$C$36)</f>
        <v>13929.520600805565</v>
      </c>
      <c r="K16" s="49">
        <f>('Fertilizer Rate'!K14-'Fertilizer Rate'!K15)*Parameters!$C$17*'P_Index Scores'!K9/(Parameters!$C$36)</f>
        <v>16196.116224880752</v>
      </c>
      <c r="L16" s="49">
        <f>('Fertilizer Rate'!L14-'Fertilizer Rate'!L15)*Parameters!$C$17*'P_Index Scores'!L9/(Parameters!$C$36)</f>
        <v>172.34685075668588</v>
      </c>
      <c r="M16" s="49">
        <f>('Fertilizer Rate'!M14-'Fertilizer Rate'!M15)*Parameters!$C$17*'P_Index Scores'!M9/(Parameters!$C$36)</f>
        <v>5035.0538742337612</v>
      </c>
      <c r="N16" s="49">
        <f>('Fertilizer Rate'!N14-'Fertilizer Rate'!N15)*Parameters!$C$17*'P_Index Scores'!N9/(Parameters!$C$36)</f>
        <v>3728.4046272927708</v>
      </c>
      <c r="O16" s="49">
        <f>('Fertilizer Rate'!O14-'Fertilizer Rate'!O15)*Parameters!$C$17*'P_Index Scores'!O9/(Parameters!$C$36)</f>
        <v>4795.3566060331486</v>
      </c>
      <c r="P16" s="49">
        <f>('Fertilizer Rate'!P14-'Fertilizer Rate'!P15)*Parameters!$C$17*'P_Index Scores'!P9/(Parameters!$C$36)</f>
        <v>3116.351475176622</v>
      </c>
      <c r="Q16" s="49">
        <f>('Fertilizer Rate'!Q14-'Fertilizer Rate'!Q15)*Parameters!$C$17*'P_Index Scores'!Q9/(Parameters!$C$36)</f>
        <v>2287.8980838367975</v>
      </c>
      <c r="R16" s="49">
        <f>('Fertilizer Rate'!R14-'Fertilizer Rate'!R15)*Parameters!$C$17*'P_Index Scores'!R9/(Parameters!$C$36)</f>
        <v>4.3405939073081097</v>
      </c>
      <c r="S16" s="49">
        <f>('Fertilizer Rate'!S14-'Fertilizer Rate'!S15)*Parameters!$C$17*'P_Index Scores'!S9/(Parameters!$C$36)</f>
        <v>2260.7769320173607</v>
      </c>
      <c r="T16" s="49">
        <f>('Fertilizer Rate'!T14-'Fertilizer Rate'!T15)*Parameters!$C$17*'P_Index Scores'!T9/(Parameters!$C$36)</f>
        <v>1.2281745121145362</v>
      </c>
      <c r="U16" s="49">
        <f>('Fertilizer Rate'!U14-'Fertilizer Rate'!U15)*Parameters!$C$17*'P_Index Scores'!U9/(Parameters!$C$36)</f>
        <v>380.92942209842653</v>
      </c>
      <c r="V16" s="49">
        <f>('Fertilizer Rate'!V14-'Fertilizer Rate'!V15)*Parameters!$C$17*'P_Index Scores'!V9/(Parameters!$C$36)</f>
        <v>437.71526204102486</v>
      </c>
      <c r="W16" s="49">
        <f>('Fertilizer Rate'!W14-'Fertilizer Rate'!W15)*Parameters!$C$17*'P_Index Scores'!W9/(Parameters!$C$36)</f>
        <v>3759.3792447208921</v>
      </c>
      <c r="X16" s="49">
        <f>('Fertilizer Rate'!X14-'Fertilizer Rate'!X15)*Parameters!$C$17*'P_Index Scores'!X9/(Parameters!$C$36)</f>
        <v>477.48042644905587</v>
      </c>
      <c r="Y16" s="49">
        <f>('Fertilizer Rate'!Y14-'Fertilizer Rate'!Y15)*Parameters!$C$17*'P_Index Scores'!Y9/(Parameters!$C$36)</f>
        <v>16480.598210610297</v>
      </c>
      <c r="Z16" s="49">
        <f>('Fertilizer Rate'!Z14-'Fertilizer Rate'!Z15)*Parameters!$C$17*'P_Index Scores'!Z9/(Parameters!$C$36)</f>
        <v>45223.790574451967</v>
      </c>
      <c r="AA16" s="49">
        <f>('Fertilizer Rate'!AA14-'Fertilizer Rate'!AA15)*Parameters!$C$17*'P_Index Scores'!AA9/(Parameters!$C$36)</f>
        <v>4054.8885265406138</v>
      </c>
      <c r="AB16" s="49">
        <f>('Fertilizer Rate'!AB14-'Fertilizer Rate'!AB15)*Parameters!$C$17*'P_Index Scores'!AB9/(Parameters!$C$36)</f>
        <v>27049.059351930875</v>
      </c>
      <c r="AC16" s="49">
        <f>('Fertilizer Rate'!AC14-'Fertilizer Rate'!AC15)*Parameters!$C$17*'P_Index Scores'!AC9/(Parameters!$C$36)</f>
        <v>194.09094683471457</v>
      </c>
      <c r="AD16" s="49">
        <f>('Fertilizer Rate'!AD14-'Fertilizer Rate'!AD15)*Parameters!$C$17*'P_Index Scores'!AD9/(Parameters!$C$36)</f>
        <v>1426.964182215713</v>
      </c>
      <c r="AE16" s="49">
        <f>('Fertilizer Rate'!AE14-'Fertilizer Rate'!AE15)*Parameters!$C$17*'P_Index Scores'!AE9/(Parameters!$C$36)</f>
        <v>2489.3899774828869</v>
      </c>
      <c r="AF16" s="49">
        <f>('Fertilizer Rate'!AF14-'Fertilizer Rate'!AF15)*Parameters!$C$17*'P_Index Scores'!AF9/(Parameters!$C$36)</f>
        <v>4373.7703201690583</v>
      </c>
      <c r="AG16" s="49">
        <f>('Fertilizer Rate'!AG14-'Fertilizer Rate'!AG15)*Parameters!$C$17*'P_Index Scores'!AG9/(Parameters!$C$36)</f>
        <v>556.17862035661415</v>
      </c>
      <c r="AH16" s="49">
        <f>('Fertilizer Rate'!AH14-'Fertilizer Rate'!AH15)*Parameters!$C$17*'P_Index Scores'!AH9/(Parameters!$C$36)</f>
        <v>22945.255436624368</v>
      </c>
      <c r="AI16" s="49">
        <f>('Fertilizer Rate'!AI14-'Fertilizer Rate'!AI15)*Parameters!$C$17*'P_Index Scores'!AI9/(Parameters!$C$36)</f>
        <v>783.975429066522</v>
      </c>
      <c r="AJ16" s="49">
        <f>('Fertilizer Rate'!AJ14-'Fertilizer Rate'!AJ15)*Parameters!$C$17*'P_Index Scores'!AJ9/(Parameters!$C$36)</f>
        <v>3863.1872038468218</v>
      </c>
      <c r="AK16" s="49">
        <f>('Fertilizer Rate'!AK14-'Fertilizer Rate'!AK15)*Parameters!$C$17*'P_Index Scores'!AK9/(Parameters!$C$36)</f>
        <v>9025.7963634672396</v>
      </c>
      <c r="AL16" s="49">
        <f>('Fertilizer Rate'!AL14-'Fertilizer Rate'!AL15)*Parameters!$C$17*'P_Index Scores'!AL9/(Parameters!$C$36)</f>
        <v>6079.8607626250068</v>
      </c>
      <c r="AM16" s="49">
        <f>('Fertilizer Rate'!AM14-'Fertilizer Rate'!AM15)*Parameters!$C$17*'P_Index Scores'!AM9/(Parameters!$C$36)</f>
        <v>33995.556578423319</v>
      </c>
      <c r="AN16" s="49">
        <f>('Fertilizer Rate'!AN14-'Fertilizer Rate'!AN15)*Parameters!$C$17*'P_Index Scores'!AN9/(Parameters!$C$36)</f>
        <v>22875.334710069503</v>
      </c>
    </row>
    <row r="17" spans="1:41" s="36" customFormat="1" x14ac:dyDescent="0.25">
      <c r="A17" s="36" t="s">
        <v>602</v>
      </c>
      <c r="B17" s="49">
        <f>('Fertilizer Rate'!B14-'Fertilizer Rate'!B15)*Parameters!$C$17*'P_Index Scores'!B10/(Parameters!$C$36)</f>
        <v>20600.930046899706</v>
      </c>
      <c r="C17" s="49">
        <f>('Fertilizer Rate'!C14-'Fertilizer Rate'!C15)*Parameters!$C$17*'P_Index Scores'!C10/(Parameters!$C$36)</f>
        <v>887.65842898114056</v>
      </c>
      <c r="D17" s="49">
        <f>('Fertilizer Rate'!D14-'Fertilizer Rate'!D15)*Parameters!$C$17*'P_Index Scores'!D10/(Parameters!$C$36)</f>
        <v>5988.8553151321448</v>
      </c>
      <c r="E17" s="49">
        <f>('Fertilizer Rate'!E14-'Fertilizer Rate'!E15)*Parameters!$C$17*'P_Index Scores'!E10/(Parameters!$C$36)</f>
        <v>0</v>
      </c>
      <c r="F17" s="49">
        <f>('Fertilizer Rate'!F14-'Fertilizer Rate'!F15)*Parameters!$C$17*'P_Index Scores'!F10/(Parameters!$C$36)</f>
        <v>25898.053038363549</v>
      </c>
      <c r="G17" s="49">
        <f>('Fertilizer Rate'!G14-'Fertilizer Rate'!G15)*Parameters!$C$17*'P_Index Scores'!G10/(Parameters!$C$36)</f>
        <v>0.34952575661737906</v>
      </c>
      <c r="H17" s="49">
        <f>('Fertilizer Rate'!H14-'Fertilizer Rate'!H15)*Parameters!$C$17*'P_Index Scores'!H10/(Parameters!$C$36)</f>
        <v>4297.6210489747427</v>
      </c>
      <c r="I17" s="49">
        <f>('Fertilizer Rate'!I14-'Fertilizer Rate'!I15)*Parameters!$C$17*'P_Index Scores'!I10/(Parameters!$C$36)</f>
        <v>45526.714392980459</v>
      </c>
      <c r="J17" s="49">
        <f>('Fertilizer Rate'!J14-'Fertilizer Rate'!J15)*Parameters!$C$17*'P_Index Scores'!J10/(Parameters!$C$36)</f>
        <v>13994.258324157772</v>
      </c>
      <c r="K17" s="49">
        <f>('Fertilizer Rate'!K14-'Fertilizer Rate'!K15)*Parameters!$C$17*'P_Index Scores'!K10/(Parameters!$C$36)</f>
        <v>20245.294583795967</v>
      </c>
      <c r="L17" s="49">
        <f>('Fertilizer Rate'!L14-'Fertilizer Rate'!L15)*Parameters!$C$17*'P_Index Scores'!L10/(Parameters!$C$36)</f>
        <v>73.059443278660879</v>
      </c>
      <c r="M17" s="49">
        <f>('Fertilizer Rate'!M14-'Fertilizer Rate'!M15)*Parameters!$C$17*'P_Index Scores'!M10/(Parameters!$C$36)</f>
        <v>2155.7186503481248</v>
      </c>
      <c r="N17" s="49">
        <f>('Fertilizer Rate'!N14-'Fertilizer Rate'!N15)*Parameters!$C$17*'P_Index Scores'!N10/(Parameters!$C$36)</f>
        <v>18888.889601213119</v>
      </c>
      <c r="O17" s="49">
        <f>('Fertilizer Rate'!O14-'Fertilizer Rate'!O15)*Parameters!$C$17*'P_Index Scores'!O10/(Parameters!$C$36)</f>
        <v>22811.817990867268</v>
      </c>
      <c r="P17" s="49">
        <f>('Fertilizer Rate'!P14-'Fertilizer Rate'!P15)*Parameters!$C$17*'P_Index Scores'!P10/(Parameters!$C$36)</f>
        <v>6322.1528802999774</v>
      </c>
      <c r="Q17" s="49">
        <f>('Fertilizer Rate'!Q14-'Fertilizer Rate'!Q15)*Parameters!$C$17*'P_Index Scores'!Q10/(Parameters!$C$36)</f>
        <v>6039.1311113422407</v>
      </c>
      <c r="R17" s="49">
        <f>('Fertilizer Rate'!R14-'Fertilizer Rate'!R15)*Parameters!$C$17*'P_Index Scores'!R10/(Parameters!$C$36)</f>
        <v>9.4503198966889579E-2</v>
      </c>
      <c r="S17" s="49">
        <f>('Fertilizer Rate'!S14-'Fertilizer Rate'!S15)*Parameters!$C$17*'P_Index Scores'!S10/(Parameters!$C$36)</f>
        <v>1260.4355892706271</v>
      </c>
      <c r="T17" s="49">
        <f>('Fertilizer Rate'!T14-'Fertilizer Rate'!T15)*Parameters!$C$17*'P_Index Scores'!T10/(Parameters!$C$36)</f>
        <v>8.0919852475558496E-2</v>
      </c>
      <c r="U17" s="49">
        <f>('Fertilizer Rate'!U14-'Fertilizer Rate'!U15)*Parameters!$C$17*'P_Index Scores'!U10/(Parameters!$C$36)</f>
        <v>798.43803289044081</v>
      </c>
      <c r="V17" s="49">
        <f>('Fertilizer Rate'!V14-'Fertilizer Rate'!V15)*Parameters!$C$17*'P_Index Scores'!V10/(Parameters!$C$36)</f>
        <v>1573.766285289498</v>
      </c>
      <c r="W17" s="49">
        <f>('Fertilizer Rate'!W14-'Fertilizer Rate'!W15)*Parameters!$C$17*'P_Index Scores'!W10/(Parameters!$C$36)</f>
        <v>14728.086348774536</v>
      </c>
      <c r="X17" s="49">
        <f>('Fertilizer Rate'!X14-'Fertilizer Rate'!X15)*Parameters!$C$17*'P_Index Scores'!X10/(Parameters!$C$36)</f>
        <v>413.81881283982506</v>
      </c>
      <c r="Y17" s="49">
        <f>('Fertilizer Rate'!Y14-'Fertilizer Rate'!Y15)*Parameters!$C$17*'P_Index Scores'!Y10/(Parameters!$C$36)</f>
        <v>15214.921133878959</v>
      </c>
      <c r="Z17" s="49">
        <f>('Fertilizer Rate'!Z14-'Fertilizer Rate'!Z15)*Parameters!$C$17*'P_Index Scores'!Z10/(Parameters!$C$36)</f>
        <v>44626.850165188589</v>
      </c>
      <c r="AA17" s="49">
        <f>('Fertilizer Rate'!AA14-'Fertilizer Rate'!AA15)*Parameters!$C$17*'P_Index Scores'!AA10/(Parameters!$C$36)</f>
        <v>2743.4553236863871</v>
      </c>
      <c r="AB17" s="49">
        <f>('Fertilizer Rate'!AB14-'Fertilizer Rate'!AB15)*Parameters!$C$17*'P_Index Scores'!AB10/(Parameters!$C$36)</f>
        <v>23738.185279611731</v>
      </c>
      <c r="AC17" s="49">
        <f>('Fertilizer Rate'!AC14-'Fertilizer Rate'!AC15)*Parameters!$C$17*'P_Index Scores'!AC10/(Parameters!$C$36)</f>
        <v>11.985151156362349</v>
      </c>
      <c r="AD17" s="49">
        <f>('Fertilizer Rate'!AD14-'Fertilizer Rate'!AD15)*Parameters!$C$17*'P_Index Scores'!AD10/(Parameters!$C$36)</f>
        <v>1346.9201257247398</v>
      </c>
      <c r="AE17" s="49">
        <f>('Fertilizer Rate'!AE14-'Fertilizer Rate'!AE15)*Parameters!$C$17*'P_Index Scores'!AE10/(Parameters!$C$36)</f>
        <v>1934.2483102583635</v>
      </c>
      <c r="AF17" s="49">
        <f>('Fertilizer Rate'!AF14-'Fertilizer Rate'!AF15)*Parameters!$C$17*'P_Index Scores'!AF10/(Parameters!$C$36)</f>
        <v>2469.1566553590633</v>
      </c>
      <c r="AG17" s="49">
        <f>('Fertilizer Rate'!AG14-'Fertilizer Rate'!AG15)*Parameters!$C$17*'P_Index Scores'!AG10/(Parameters!$C$36)</f>
        <v>407.85438571034132</v>
      </c>
      <c r="AH17" s="49">
        <f>('Fertilizer Rate'!AH14-'Fertilizer Rate'!AH15)*Parameters!$C$17*'P_Index Scores'!AH10/(Parameters!$C$36)</f>
        <v>41978.7699060288</v>
      </c>
      <c r="AI17" s="49">
        <f>('Fertilizer Rate'!AI14-'Fertilizer Rate'!AI15)*Parameters!$C$17*'P_Index Scores'!AI10/(Parameters!$C$36)</f>
        <v>3382.6283265023267</v>
      </c>
      <c r="AJ17" s="49">
        <f>('Fertilizer Rate'!AJ14-'Fertilizer Rate'!AJ15)*Parameters!$C$17*'P_Index Scores'!AJ10/(Parameters!$C$36)</f>
        <v>11895.50856385113</v>
      </c>
      <c r="AK17" s="49">
        <f>('Fertilizer Rate'!AK14-'Fertilizer Rate'!AK15)*Parameters!$C$17*'P_Index Scores'!AK10/(Parameters!$C$36)</f>
        <v>12761.068138051976</v>
      </c>
      <c r="AL17" s="49">
        <f>('Fertilizer Rate'!AL14-'Fertilizer Rate'!AL15)*Parameters!$C$17*'P_Index Scores'!AL10/(Parameters!$C$36)</f>
        <v>23636.982521203383</v>
      </c>
      <c r="AM17" s="49">
        <f>('Fertilizer Rate'!AM14-'Fertilizer Rate'!AM15)*Parameters!$C$17*'P_Index Scores'!AM10/(Parameters!$C$36)</f>
        <v>21253.776210264987</v>
      </c>
      <c r="AN17" s="49">
        <f>('Fertilizer Rate'!AN14-'Fertilizer Rate'!AN15)*Parameters!$C$17*'P_Index Scores'!AN10/(Parameters!$C$36)</f>
        <v>25804.62603389295</v>
      </c>
    </row>
    <row r="18" spans="1:41" s="36" customFormat="1" x14ac:dyDescent="0.25">
      <c r="A18" s="36" t="s">
        <v>902</v>
      </c>
      <c r="B18" s="49">
        <f>(B6+B8)*'P_Index Scores'!B11*Parameters!$C$17/(Parameters!$C$36)</f>
        <v>3156.7789113997273</v>
      </c>
      <c r="C18" s="49">
        <f>(C6+C8)*'P_Index Scores'!C11*Parameters!$C$17/(Parameters!$C$36)</f>
        <v>198.95873694206463</v>
      </c>
      <c r="D18" s="49">
        <f>(D6+D8)*'P_Index Scores'!D11*Parameters!$C$17/(Parameters!$C$36)</f>
        <v>1890.7982353078539</v>
      </c>
      <c r="E18" s="49">
        <f>(E6+E8)*'P_Index Scores'!E11*Parameters!$C$17/(Parameters!$C$36)</f>
        <v>1319.2889247520682</v>
      </c>
      <c r="F18" s="49">
        <f>(F6+F8)*'P_Index Scores'!F11*Parameters!$C$17/(Parameters!$C$36)</f>
        <v>7835.839075905621</v>
      </c>
      <c r="G18" s="49">
        <f>(G6+G8)*'P_Index Scores'!G11*Parameters!$C$17/(Parameters!$C$36)</f>
        <v>5.6251256169887025</v>
      </c>
      <c r="H18" s="49">
        <f>(H6+H8)*'P_Index Scores'!H11*Parameters!$C$17/(Parameters!$C$36)</f>
        <v>1211.8482229990518</v>
      </c>
      <c r="I18" s="49">
        <f>(I6+I8)*'P_Index Scores'!I11*Parameters!$C$17/(Parameters!$C$36)</f>
        <v>12925.697352999605</v>
      </c>
      <c r="J18" s="49">
        <f>(J6+J8)*'P_Index Scores'!J11*Parameters!$C$17/(Parameters!$C$36)</f>
        <v>3375.052444114127</v>
      </c>
      <c r="K18" s="49">
        <f>(K6+K8)*'P_Index Scores'!K11*Parameters!$C$17/(Parameters!$C$36)</f>
        <v>5280.4113146205282</v>
      </c>
      <c r="L18" s="49">
        <f>(L6+L8)*'P_Index Scores'!L11*Parameters!$C$17/(Parameters!$C$36)</f>
        <v>45.003420339604119</v>
      </c>
      <c r="M18" s="49">
        <f>(M6+M8)*'P_Index Scores'!M11*Parameters!$C$17/(Parameters!$C$36)</f>
        <v>1164.9032886009825</v>
      </c>
      <c r="N18" s="49">
        <f>(N6+N8)*'P_Index Scores'!N11*Parameters!$C$17/(Parameters!$C$36)</f>
        <v>5744.1850038449311</v>
      </c>
      <c r="O18" s="49">
        <f>(O6+O8)*'P_Index Scores'!O11*Parameters!$C$17/(Parameters!$C$36)</f>
        <v>5340.2094528161279</v>
      </c>
      <c r="P18" s="49">
        <f>(P6+P8)*'P_Index Scores'!P11*Parameters!$C$17/(Parameters!$C$36)</f>
        <v>1180.0635208865876</v>
      </c>
      <c r="Q18" s="49">
        <f>(Q6+Q8)*'P_Index Scores'!Q11*Parameters!$C$17/(Parameters!$C$36)</f>
        <v>1595.8247213580037</v>
      </c>
      <c r="R18" s="49">
        <f>(R6+R8)*'P_Index Scores'!R11*Parameters!$C$17/(Parameters!$C$36)</f>
        <v>1.1374053100331012</v>
      </c>
      <c r="S18" s="49">
        <f>(S6+S8)*'P_Index Scores'!S11*Parameters!$C$17/(Parameters!$C$36)</f>
        <v>719.84436528478852</v>
      </c>
      <c r="T18" s="49">
        <f>(T6+T8)*'P_Index Scores'!T11*Parameters!$C$17/(Parameters!$C$36)</f>
        <v>1.4074988709835849</v>
      </c>
      <c r="U18" s="49">
        <f>(U6+U8)*'P_Index Scores'!U11*Parameters!$C$17/(Parameters!$C$36)</f>
        <v>644.85930155935898</v>
      </c>
      <c r="V18" s="49">
        <f>(V6+V8)*'P_Index Scores'!V11*Parameters!$C$17/(Parameters!$C$36)</f>
        <v>457.72833305902566</v>
      </c>
      <c r="W18" s="49">
        <f>(W6+W8)*'P_Index Scores'!W11*Parameters!$C$17/(Parameters!$C$36)</f>
        <v>3597.5849396918325</v>
      </c>
      <c r="X18" s="49">
        <f>(X6+X8)*'P_Index Scores'!X11*Parameters!$C$17/(Parameters!$C$36)</f>
        <v>261.33863116830889</v>
      </c>
      <c r="Y18" s="49">
        <f>(Y6+Y8)*'P_Index Scores'!Y11*Parameters!$C$17/(Parameters!$C$36)</f>
        <v>3295.3101734405186</v>
      </c>
      <c r="Z18" s="49">
        <f>(Z6+Z8)*'P_Index Scores'!Z11*Parameters!$C$17/(Parameters!$C$36)</f>
        <v>13111.457329605306</v>
      </c>
      <c r="AA18" s="49">
        <f>(AA6+AA8)*'P_Index Scores'!AA11*Parameters!$C$17/(Parameters!$C$36)</f>
        <v>1096.7432938617812</v>
      </c>
      <c r="AB18" s="49">
        <f>(AB6+AB8)*'P_Index Scores'!AB11*Parameters!$C$17/(Parameters!$C$36)</f>
        <v>3202.9895049147017</v>
      </c>
      <c r="AC18" s="49">
        <f>(AC6+AC8)*'P_Index Scores'!AC11*Parameters!$C$17/(Parameters!$C$36)</f>
        <v>45.692668786089897</v>
      </c>
      <c r="AD18" s="49">
        <f>(AD6+AD8)*'P_Index Scores'!AD11*Parameters!$C$17/(Parameters!$C$36)</f>
        <v>393.41824182907141</v>
      </c>
      <c r="AE18" s="49">
        <f>(AE6+AE8)*'P_Index Scores'!AE11*Parameters!$C$17/(Parameters!$C$36)</f>
        <v>435.90311159967285</v>
      </c>
      <c r="AF18" s="49">
        <f>(AF6+AF8)*'P_Index Scores'!AF11*Parameters!$C$17/(Parameters!$C$36)</f>
        <v>879.82752019543273</v>
      </c>
      <c r="AG18" s="49">
        <f>(AG6+AG8)*'P_Index Scores'!AG11*Parameters!$C$17/(Parameters!$C$36)</f>
        <v>129.62831659553203</v>
      </c>
      <c r="AH18" s="49">
        <f>(AH6+AH8)*'P_Index Scores'!AH11*Parameters!$C$17/(Parameters!$C$36)</f>
        <v>9904.1523640118976</v>
      </c>
      <c r="AI18" s="49">
        <f>(AI6+AI8)*'P_Index Scores'!AI11*Parameters!$C$17/(Parameters!$C$36)</f>
        <v>950.77876789551328</v>
      </c>
      <c r="AJ18" s="49">
        <f>(AJ6+AJ8)*'P_Index Scores'!AJ11*Parameters!$C$17/(Parameters!$C$36)</f>
        <v>2808.2589122706495</v>
      </c>
      <c r="AK18" s="49">
        <f>(AK6+AK8)*'P_Index Scores'!AK11*Parameters!$C$17/(Parameters!$C$36)</f>
        <v>2561.9331753852034</v>
      </c>
      <c r="AL18" s="49">
        <f>(AL6+AL8)*'P_Index Scores'!AL11*Parameters!$C$17/(Parameters!$C$36)</f>
        <v>5622.184975251037</v>
      </c>
      <c r="AM18" s="49">
        <f>(AM6+AM8)*'P_Index Scores'!AM11*Parameters!$C$17/(Parameters!$C$36)</f>
        <v>5984.1991241323367</v>
      </c>
      <c r="AN18" s="49">
        <f>(AN6+AN8)*'P_Index Scores'!AN11*Parameters!$C$17/(Parameters!$C$36)</f>
        <v>7152.6826177566618</v>
      </c>
    </row>
    <row r="19" spans="1:41" s="36" customFormat="1" x14ac:dyDescent="0.25">
      <c r="A19" s="36" t="s">
        <v>1121</v>
      </c>
      <c r="B19" s="49">
        <f>(B6+B7)*'P_Index Scores'!B12*Parameters!$C$17/(Parameters!$C$36)</f>
        <v>20239.795249397481</v>
      </c>
      <c r="C19" s="49">
        <f>(C6+C7)*'P_Index Scores'!C12*Parameters!$C$17/(Parameters!$C$36)</f>
        <v>492.83736637907197</v>
      </c>
      <c r="D19" s="49">
        <f>(D6+D7)*'P_Index Scores'!D12*Parameters!$C$17/(Parameters!$C$36)</f>
        <v>19576.185305072449</v>
      </c>
      <c r="E19" s="49">
        <f>(E6+E7)*'P_Index Scores'!E12*Parameters!$C$17/(Parameters!$C$36)</f>
        <v>23903.674578428167</v>
      </c>
      <c r="F19" s="49">
        <f>(F6+F7)*'P_Index Scores'!F12*Parameters!$C$17/(Parameters!$C$36)</f>
        <v>13597.464449538176</v>
      </c>
      <c r="G19" s="49">
        <f>(G6+G7)*'P_Index Scores'!G12*Parameters!$C$17/(Parameters!$C$36)</f>
        <v>1.9257534861021557E-5</v>
      </c>
      <c r="H19" s="49">
        <f>(H6+H7)*'P_Index Scores'!H12*Parameters!$C$17/(Parameters!$C$36)</f>
        <v>17650.723520647767</v>
      </c>
      <c r="I19" s="49">
        <f>(I6+I7)*'P_Index Scores'!I12*Parameters!$C$17/(Parameters!$C$36)</f>
        <v>16914.99582453266</v>
      </c>
      <c r="J19" s="49">
        <f>(J6+J7)*'P_Index Scores'!J12*Parameters!$C$17/(Parameters!$C$36)</f>
        <v>4158.3681507400652</v>
      </c>
      <c r="K19" s="49">
        <f>(K6+K7)*'P_Index Scores'!K12*Parameters!$C$17/(Parameters!$C$36)</f>
        <v>2357.5203496592876</v>
      </c>
      <c r="L19" s="49">
        <f>(L6+L7)*'P_Index Scores'!L12*Parameters!$C$17/(Parameters!$C$36)</f>
        <v>132.54632420771111</v>
      </c>
      <c r="M19" s="49">
        <f>(M6+M7)*'P_Index Scores'!M12*Parameters!$C$17/(Parameters!$C$36)</f>
        <v>177.54279265499198</v>
      </c>
      <c r="N19" s="49">
        <f>(N6+N7)*'P_Index Scores'!N12*Parameters!$C$17/(Parameters!$C$36)</f>
        <v>41908.278513050733</v>
      </c>
      <c r="O19" s="49">
        <f>(O6+O7)*'P_Index Scores'!O12*Parameters!$C$17/(Parameters!$C$36)</f>
        <v>1083.7136937008972</v>
      </c>
      <c r="P19" s="49">
        <f>(P6+P7)*'P_Index Scores'!P12*Parameters!$C$17/(Parameters!$C$36)</f>
        <v>3665.4703407059369</v>
      </c>
      <c r="Q19" s="49">
        <f>(Q6+Q7)*'P_Index Scores'!Q12*Parameters!$C$17/(Parameters!$C$36)</f>
        <v>252.58432662441305</v>
      </c>
      <c r="R19" s="49">
        <f>(R6+R7)*'P_Index Scores'!R12*Parameters!$C$17/(Parameters!$C$36)</f>
        <v>0.46341886126689019</v>
      </c>
      <c r="S19" s="49">
        <f>(S6+S7)*'P_Index Scores'!S12*Parameters!$C$17/(Parameters!$C$36)</f>
        <v>1061.9662711790772</v>
      </c>
      <c r="T19" s="49">
        <f>(T6+T7)*'P_Index Scores'!T12*Parameters!$C$17/(Parameters!$C$36)</f>
        <v>0.12485346507953815</v>
      </c>
      <c r="U19" s="49">
        <f>(U6+U7)*'P_Index Scores'!U12*Parameters!$C$17/(Parameters!$C$36)</f>
        <v>24.488863551159774</v>
      </c>
      <c r="V19" s="49">
        <f>(V6+V7)*'P_Index Scores'!V12*Parameters!$C$17/(Parameters!$C$36)</f>
        <v>533.12041697177949</v>
      </c>
      <c r="W19" s="49">
        <f>(W6+W7)*'P_Index Scores'!W12*Parameters!$C$17/(Parameters!$C$36)</f>
        <v>599.95207878870974</v>
      </c>
      <c r="X19" s="49">
        <f>(X6+X7)*'P_Index Scores'!X12*Parameters!$C$17/(Parameters!$C$36)</f>
        <v>106.33544486531684</v>
      </c>
      <c r="Y19" s="49">
        <f>(Y6+Y7)*'P_Index Scores'!Y12*Parameters!$C$17/(Parameters!$C$36)</f>
        <v>35716.195693512534</v>
      </c>
      <c r="Z19" s="49">
        <f>(Z6+Z7)*'P_Index Scores'!Z12*Parameters!$C$17/(Parameters!$C$36)</f>
        <v>25315.452460495686</v>
      </c>
      <c r="AA19" s="49">
        <f>(AA6+AA7)*'P_Index Scores'!AA12*Parameters!$C$17/(Parameters!$C$36)</f>
        <v>641.72948815785878</v>
      </c>
      <c r="AB19" s="49">
        <f>(AB6+AB7)*'P_Index Scores'!AB12*Parameters!$C$17/(Parameters!$C$36)</f>
        <v>35194.346621084296</v>
      </c>
      <c r="AC19" s="49">
        <f>(AC6+AC7)*'P_Index Scores'!AC12*Parameters!$C$17/(Parameters!$C$36)</f>
        <v>43.99641244531761</v>
      </c>
      <c r="AD19" s="49">
        <f>(AD6+AD7)*'P_Index Scores'!AD12*Parameters!$C$17/(Parameters!$C$36)</f>
        <v>1315.6216413911468</v>
      </c>
      <c r="AE19" s="49">
        <f>(AE6+AE7)*'P_Index Scores'!AE12*Parameters!$C$17/(Parameters!$C$36)</f>
        <v>1576.6363636147071</v>
      </c>
      <c r="AF19" s="49">
        <f>(AF6+AF7)*'P_Index Scores'!AF12*Parameters!$C$17/(Parameters!$C$36)</f>
        <v>4024.3992974720913</v>
      </c>
      <c r="AG19" s="49">
        <f>(AG6+AG7)*'P_Index Scores'!AG12*Parameters!$C$17/(Parameters!$C$36)</f>
        <v>1304.8803566233296</v>
      </c>
      <c r="AH19" s="49">
        <f>(AH6+AH7)*'P_Index Scores'!AH12*Parameters!$C$17/(Parameters!$C$36)</f>
        <v>16501.510733354182</v>
      </c>
      <c r="AI19" s="49">
        <f>(AI6+AI7)*'P_Index Scores'!AI12*Parameters!$C$17/(Parameters!$C$36)</f>
        <v>1797.2843180192094</v>
      </c>
      <c r="AJ19" s="49">
        <f>(AJ6+AJ7)*'P_Index Scores'!AJ12*Parameters!$C$17/(Parameters!$C$36)</f>
        <v>319.15098278920135</v>
      </c>
      <c r="AK19" s="49">
        <f>(AK6+AK7)*'P_Index Scores'!AK12*Parameters!$C$17/(Parameters!$C$36)</f>
        <v>7452.5483353696418</v>
      </c>
      <c r="AL19" s="49">
        <f>(AL6+AL7)*'P_Index Scores'!AL12*Parameters!$C$17/(Parameters!$C$36)</f>
        <v>2020.6679882421629</v>
      </c>
      <c r="AM19" s="49">
        <f>(AM6+AM7)*'P_Index Scores'!AM12*Parameters!$C$17/(Parameters!$C$36)</f>
        <v>10666.868220583236</v>
      </c>
      <c r="AN19" s="49">
        <f>(AN6+AN7)*'P_Index Scores'!AN12*Parameters!$C$17/(Parameters!$C$36)</f>
        <v>11977.871127298884</v>
      </c>
    </row>
    <row r="20" spans="1:41" s="36" customFormat="1" x14ac:dyDescent="0.25">
      <c r="A20" s="36" t="s">
        <v>903</v>
      </c>
      <c r="B20" s="49">
        <f>(B6+B8)*'P_Index Scores'!B13*Parameters!$C$17/(Parameters!$C$36)</f>
        <v>27476.04385413196</v>
      </c>
      <c r="C20" s="49">
        <f>(C6+C8)*'P_Index Scores'!C13*Parameters!$C$17/(Parameters!$C$36)</f>
        <v>1742.4226266718326</v>
      </c>
      <c r="D20" s="49">
        <f>(D6+D8)*'P_Index Scores'!D13*Parameters!$C$17/(Parameters!$C$36)</f>
        <v>10402.690820298509</v>
      </c>
      <c r="E20" s="49">
        <f>(E6+E8)*'P_Index Scores'!E13*Parameters!$C$17/(Parameters!$C$36)</f>
        <v>11105.06213349336</v>
      </c>
      <c r="F20" s="49">
        <f>(F6+F8)*'P_Index Scores'!F13*Parameters!$C$17/(Parameters!$C$36)</f>
        <v>26050.822104842646</v>
      </c>
      <c r="G20" s="49">
        <f>(G6+G8)*'P_Index Scores'!G13*Parameters!$C$17/(Parameters!$C$36)</f>
        <v>30.792281011791012</v>
      </c>
      <c r="H20" s="49">
        <f>(H6+H8)*'P_Index Scores'!H13*Parameters!$C$17/(Parameters!$C$36)</f>
        <v>10493.990653734792</v>
      </c>
      <c r="I20" s="49">
        <f>(I6+I8)*'P_Index Scores'!I13*Parameters!$C$17/(Parameters!$C$36)</f>
        <v>39176.020744049718</v>
      </c>
      <c r="J20" s="49">
        <f>(J6+J8)*'P_Index Scores'!J13*Parameters!$C$17/(Parameters!$C$36)</f>
        <v>9767.1996927755263</v>
      </c>
      <c r="K20" s="49">
        <f>(K6+K8)*'P_Index Scores'!K13*Parameters!$C$17/(Parameters!$C$36)</f>
        <v>18242.185927564507</v>
      </c>
      <c r="L20" s="49">
        <f>(L6+L8)*'P_Index Scores'!L13*Parameters!$C$17/(Parameters!$C$36)</f>
        <v>220.92575013247927</v>
      </c>
      <c r="M20" s="49">
        <f>(M6+M8)*'P_Index Scores'!M13*Parameters!$C$17/(Parameters!$C$36)</f>
        <v>5491.5994110995207</v>
      </c>
      <c r="N20" s="49">
        <f>(N6+N8)*'P_Index Scores'!N13*Parameters!$C$17/(Parameters!$C$36)</f>
        <v>18095.314143291231</v>
      </c>
      <c r="O20" s="49">
        <f>(O6+O8)*'P_Index Scores'!O13*Parameters!$C$17/(Parameters!$C$36)</f>
        <v>19955.187097388123</v>
      </c>
      <c r="P20" s="49">
        <f>(P6+P8)*'P_Index Scores'!P13*Parameters!$C$17/(Parameters!$C$36)</f>
        <v>5591.1094774069325</v>
      </c>
      <c r="Q20" s="49">
        <f>(Q6+Q8)*'P_Index Scores'!Q13*Parameters!$C$17/(Parameters!$C$36)</f>
        <v>5471.1526968927192</v>
      </c>
      <c r="R20" s="49">
        <f>(R6+R8)*'P_Index Scores'!R13*Parameters!$C$17/(Parameters!$C$36)</f>
        <v>4.579098735836526</v>
      </c>
      <c r="S20" s="49">
        <f>(S6+S8)*'P_Index Scores'!S13*Parameters!$C$17/(Parameters!$C$36)</f>
        <v>3351.9912105185485</v>
      </c>
      <c r="T20" s="49">
        <f>(T6+T8)*'P_Index Scores'!T13*Parameters!$C$17/(Parameters!$C$36)</f>
        <v>6.3733288758511666</v>
      </c>
      <c r="U20" s="49">
        <f>(U6+U8)*'P_Index Scores'!U13*Parameters!$C$17/(Parameters!$C$36)</f>
        <v>2365.6781562851338</v>
      </c>
      <c r="V20" s="49">
        <f>(V6+V8)*'P_Index Scores'!V13*Parameters!$C$17/(Parameters!$C$36)</f>
        <v>1114.6972116486768</v>
      </c>
      <c r="W20" s="49">
        <f>(W6+W8)*'P_Index Scores'!W13*Parameters!$C$17/(Parameters!$C$36)</f>
        <v>12292.126559658785</v>
      </c>
      <c r="X20" s="49">
        <f>(X6+X8)*'P_Index Scores'!X13*Parameters!$C$17/(Parameters!$C$36)</f>
        <v>1029.8998897464162</v>
      </c>
      <c r="Y20" s="49">
        <f>(Y6+Y8)*'P_Index Scores'!Y13*Parameters!$C$17/(Parameters!$C$36)</f>
        <v>17574.025437198488</v>
      </c>
      <c r="Z20" s="49">
        <f>(Z6+Z8)*'P_Index Scores'!Z13*Parameters!$C$17/(Parameters!$C$36)</f>
        <v>36833.45257929575</v>
      </c>
      <c r="AA20" s="49">
        <f>(AA6+AA8)*'P_Index Scores'!AA13*Parameters!$C$17/(Parameters!$C$36)</f>
        <v>5391.7315016419379</v>
      </c>
      <c r="AB20" s="49">
        <f>(AB6+AB8)*'P_Index Scores'!AB13*Parameters!$C$17/(Parameters!$C$36)</f>
        <v>27943.239512159518</v>
      </c>
      <c r="AC20" s="49">
        <f>(AC6+AC8)*'P_Index Scores'!AC13*Parameters!$C$17/(Parameters!$C$36)</f>
        <v>226.3836524354187</v>
      </c>
      <c r="AD20" s="49">
        <f>(AD6+AD8)*'P_Index Scores'!AD13*Parameters!$C$17/(Parameters!$C$36)</f>
        <v>940.92062666386391</v>
      </c>
      <c r="AE20" s="49">
        <f>(AE6+AE8)*'P_Index Scores'!AE13*Parameters!$C$17/(Parameters!$C$36)</f>
        <v>1282.5821105483262</v>
      </c>
      <c r="AF20" s="49">
        <f>(AF6+AF8)*'P_Index Scores'!AF13*Parameters!$C$17/(Parameters!$C$36)</f>
        <v>2577.4422909291998</v>
      </c>
      <c r="AG20" s="49">
        <f>(AG6+AG8)*'P_Index Scores'!AG13*Parameters!$C$17/(Parameters!$C$36)</f>
        <v>715.45510719128981</v>
      </c>
      <c r="AH20" s="49">
        <f>(AH6+AH8)*'P_Index Scores'!AH13*Parameters!$C$17/(Parameters!$C$36)</f>
        <v>27744.326835597698</v>
      </c>
      <c r="AI20" s="49">
        <f>(AI6+AI8)*'P_Index Scores'!AI13*Parameters!$C$17/(Parameters!$C$36)</f>
        <v>3313.6429125713166</v>
      </c>
      <c r="AJ20" s="49">
        <f>(AJ6+AJ8)*'P_Index Scores'!AJ13*Parameters!$C$17/(Parameters!$C$36)</f>
        <v>8110.095217990377</v>
      </c>
      <c r="AK20" s="49">
        <f>(AK6+AK8)*'P_Index Scores'!AK13*Parameters!$C$17/(Parameters!$C$36)</f>
        <v>12892.275573590025</v>
      </c>
      <c r="AL20" s="49">
        <f>(AL6+AL8)*'P_Index Scores'!AL13*Parameters!$C$17/(Parameters!$C$36)</f>
        <v>19263.929056927624</v>
      </c>
      <c r="AM20" s="49">
        <f>(AM6+AM8)*'P_Index Scores'!AM13*Parameters!$C$17/(Parameters!$C$36)</f>
        <v>14820.666745016419</v>
      </c>
      <c r="AN20" s="49">
        <f>(AN6+AN8)*'P_Index Scores'!AN13*Parameters!$C$17/(Parameters!$C$36)</f>
        <v>18262.1268478565</v>
      </c>
    </row>
    <row r="21" spans="1:41" s="49" customFormat="1" ht="21" x14ac:dyDescent="0.35">
      <c r="A21" s="49" t="s">
        <v>1287</v>
      </c>
      <c r="B21" s="49">
        <f>SUM(B11:B20)</f>
        <v>488519.18974177982</v>
      </c>
      <c r="C21" s="49">
        <f t="shared" ref="C21:AN21" si="1">SUM(C11:C20)</f>
        <v>36913.127260133886</v>
      </c>
      <c r="D21" s="49">
        <f t="shared" si="1"/>
        <v>186262.02438974674</v>
      </c>
      <c r="E21" s="49">
        <f t="shared" si="1"/>
        <v>209970.59720213176</v>
      </c>
      <c r="F21" s="49">
        <f t="shared" si="1"/>
        <v>382317.77986926574</v>
      </c>
      <c r="G21" s="49">
        <f t="shared" si="1"/>
        <v>4705.5140987234545</v>
      </c>
      <c r="H21" s="49">
        <f t="shared" si="1"/>
        <v>183146.71176242005</v>
      </c>
      <c r="I21" s="49">
        <f t="shared" si="1"/>
        <v>551240.0880083763</v>
      </c>
      <c r="J21" s="49">
        <f t="shared" si="1"/>
        <v>163142.70533718233</v>
      </c>
      <c r="K21" s="49">
        <f t="shared" si="1"/>
        <v>213889.40541269502</v>
      </c>
      <c r="L21" s="49">
        <f t="shared" si="1"/>
        <v>13216.363120090522</v>
      </c>
      <c r="M21" s="49">
        <f t="shared" si="1"/>
        <v>72522.038869603217</v>
      </c>
      <c r="N21" s="49">
        <f t="shared" si="1"/>
        <v>361608.96932513523</v>
      </c>
      <c r="O21" s="49">
        <f t="shared" si="1"/>
        <v>161039.87853138085</v>
      </c>
      <c r="P21" s="49">
        <f t="shared" si="1"/>
        <v>120351.88557374562</v>
      </c>
      <c r="Q21" s="49">
        <f t="shared" si="1"/>
        <v>47272.196505368935</v>
      </c>
      <c r="R21" s="49">
        <f t="shared" si="1"/>
        <v>931.56334151453518</v>
      </c>
      <c r="S21" s="49">
        <f t="shared" si="1"/>
        <v>51496.603791012938</v>
      </c>
      <c r="T21" s="49">
        <f t="shared" si="1"/>
        <v>1403.1875154816955</v>
      </c>
      <c r="U21" s="49">
        <f t="shared" si="1"/>
        <v>10637.55517197994</v>
      </c>
      <c r="V21" s="49">
        <f t="shared" si="1"/>
        <v>16654.540204234574</v>
      </c>
      <c r="W21" s="49">
        <f t="shared" si="1"/>
        <v>73822.474198163298</v>
      </c>
      <c r="X21" s="49">
        <f t="shared" si="1"/>
        <v>19684.281461998762</v>
      </c>
      <c r="Y21" s="49">
        <f t="shared" si="1"/>
        <v>306209.22452710784</v>
      </c>
      <c r="Z21" s="49">
        <f t="shared" si="1"/>
        <v>893223.93703419459</v>
      </c>
      <c r="AA21" s="49">
        <f t="shared" si="1"/>
        <v>100008.21782745703</v>
      </c>
      <c r="AB21" s="49">
        <f t="shared" si="1"/>
        <v>477351.43590804038</v>
      </c>
      <c r="AC21" s="49">
        <f t="shared" si="1"/>
        <v>10872.534291627466</v>
      </c>
      <c r="AD21" s="49">
        <f t="shared" si="1"/>
        <v>27221.573791301584</v>
      </c>
      <c r="AE21" s="49">
        <f t="shared" si="1"/>
        <v>31569.165983435818</v>
      </c>
      <c r="AF21" s="49">
        <f t="shared" si="1"/>
        <v>63077.265220457142</v>
      </c>
      <c r="AG21" s="49">
        <f t="shared" si="1"/>
        <v>12166.339960172889</v>
      </c>
      <c r="AH21" s="49">
        <f t="shared" si="1"/>
        <v>497230.95186116209</v>
      </c>
      <c r="AI21" s="49">
        <f t="shared" si="1"/>
        <v>42665.45230129252</v>
      </c>
      <c r="AJ21" s="49">
        <f t="shared" si="1"/>
        <v>84140.250371545437</v>
      </c>
      <c r="AK21" s="49">
        <f t="shared" si="1"/>
        <v>256476.63753019439</v>
      </c>
      <c r="AL21" s="49">
        <f t="shared" si="1"/>
        <v>206445.16096525444</v>
      </c>
      <c r="AM21" s="49">
        <f t="shared" si="1"/>
        <v>302565.56031384721</v>
      </c>
      <c r="AN21" s="49">
        <f t="shared" si="1"/>
        <v>358365.00076573715</v>
      </c>
      <c r="AO21" s="445">
        <f>SUM(B21:AN21)</f>
        <v>7040337.389344994</v>
      </c>
    </row>
    <row r="22" spans="1:41" s="36" customFormat="1" x14ac:dyDescent="0.25">
      <c r="A22" s="36" t="s">
        <v>1286</v>
      </c>
      <c r="B22" s="36">
        <f t="shared" ref="B22:AN22" si="2">B21/B5</f>
        <v>0.4292378576430973</v>
      </c>
      <c r="C22" s="36">
        <f t="shared" si="2"/>
        <v>0.38686387476095013</v>
      </c>
      <c r="D22" s="36">
        <f t="shared" si="2"/>
        <v>0.48801627452038077</v>
      </c>
      <c r="E22" s="36">
        <f t="shared" si="2"/>
        <v>0.39938357944347691</v>
      </c>
      <c r="F22" s="36">
        <f t="shared" si="2"/>
        <v>0.35157784721385854</v>
      </c>
      <c r="G22" s="36">
        <f t="shared" si="2"/>
        <v>0.21611159510781783</v>
      </c>
      <c r="H22" s="36">
        <f t="shared" si="2"/>
        <v>0.38511804943164291</v>
      </c>
      <c r="I22" s="36">
        <f t="shared" si="2"/>
        <v>0.31183341623241678</v>
      </c>
      <c r="J22" s="36">
        <f t="shared" si="2"/>
        <v>0.36106342204987524</v>
      </c>
      <c r="K22" s="36">
        <f t="shared" si="2"/>
        <v>0.26406305764217725</v>
      </c>
      <c r="L22" s="36">
        <f t="shared" si="2"/>
        <v>0.26528023816700447</v>
      </c>
      <c r="M22" s="36">
        <f t="shared" si="2"/>
        <v>0.27441301209852115</v>
      </c>
      <c r="N22" s="36">
        <f t="shared" si="2"/>
        <v>0.46993081225109551</v>
      </c>
      <c r="O22" s="36">
        <f t="shared" si="2"/>
        <v>0.19861874414530872</v>
      </c>
      <c r="P22" s="36">
        <f t="shared" si="2"/>
        <v>0.51459047310993633</v>
      </c>
      <c r="Q22" s="36">
        <f t="shared" si="2"/>
        <v>0.19275792438066275</v>
      </c>
      <c r="R22" s="36">
        <f t="shared" si="2"/>
        <v>0.21736300934904301</v>
      </c>
      <c r="S22" s="36">
        <f t="shared" si="2"/>
        <v>0.29054170373812155</v>
      </c>
      <c r="T22" s="36">
        <f t="shared" si="2"/>
        <v>0.21602465008603486</v>
      </c>
      <c r="U22" s="36">
        <f t="shared" si="2"/>
        <v>0.10002202751778438</v>
      </c>
      <c r="V22" s="36">
        <f t="shared" si="2"/>
        <v>0.25945788201039205</v>
      </c>
      <c r="W22" s="36">
        <f t="shared" si="2"/>
        <v>0.13861937162129429</v>
      </c>
      <c r="X22" s="36">
        <f t="shared" si="2"/>
        <v>0.27143876963411084</v>
      </c>
      <c r="Y22" s="36">
        <f t="shared" si="2"/>
        <v>0.53711806174892118</v>
      </c>
      <c r="Z22" s="36">
        <f t="shared" si="2"/>
        <v>0.52074279545829294</v>
      </c>
      <c r="AA22" s="36">
        <f t="shared" si="2"/>
        <v>0.3222165652986767</v>
      </c>
      <c r="AB22" s="36">
        <f t="shared" si="2"/>
        <v>0.42987085555011917</v>
      </c>
      <c r="AC22" s="36">
        <f t="shared" si="2"/>
        <v>0.23329412340023348</v>
      </c>
      <c r="AD22" s="36">
        <f t="shared" si="2"/>
        <v>0.50582679850536671</v>
      </c>
      <c r="AE22" s="36">
        <f t="shared" si="2"/>
        <v>0.48519792111984594</v>
      </c>
      <c r="AF22" s="36">
        <f t="shared" si="2"/>
        <v>0.48268635408695332</v>
      </c>
      <c r="AG22" s="36">
        <f t="shared" si="2"/>
        <v>0.47436536628186532</v>
      </c>
      <c r="AH22" s="36">
        <f t="shared" si="2"/>
        <v>0.38917621133156183</v>
      </c>
      <c r="AI22" s="36">
        <f t="shared" si="2"/>
        <v>0.33490875469835307</v>
      </c>
      <c r="AJ22" s="36">
        <f t="shared" si="2"/>
        <v>0.1483096876116306</v>
      </c>
      <c r="AK22" s="36">
        <f t="shared" si="2"/>
        <v>0.49984519950762635</v>
      </c>
      <c r="AL22" s="36">
        <f t="shared" si="2"/>
        <v>0.20237395150212356</v>
      </c>
      <c r="AM22" s="36">
        <f t="shared" si="2"/>
        <v>0.38992876534374987</v>
      </c>
      <c r="AN22" s="36">
        <f t="shared" si="2"/>
        <v>0.38723680476687522</v>
      </c>
    </row>
    <row r="23" spans="1:41" s="36" customFormat="1" x14ac:dyDescent="0.25">
      <c r="A23" s="36" t="s">
        <v>749</v>
      </c>
      <c r="B23" s="36">
        <f>B22*50/Parameters!$C$17</f>
        <v>24.055043945936102</v>
      </c>
      <c r="C23" s="36">
        <f>C22*50/Parameters!$C$17</f>
        <v>21.680351214984285</v>
      </c>
      <c r="D23" s="36">
        <f>D22*50/Parameters!$C$17</f>
        <v>27.349062345942308</v>
      </c>
      <c r="E23" s="36">
        <f>E22*50/Parameters!$C$17</f>
        <v>22.381971635843655</v>
      </c>
      <c r="F23" s="36">
        <f>F22*50/Parameters!$C$17</f>
        <v>19.702876655812091</v>
      </c>
      <c r="G23" s="36">
        <f>G22*50/Parameters!$C$17</f>
        <v>12.111172919578351</v>
      </c>
      <c r="H23" s="36">
        <f>H22*50/Parameters!$C$17</f>
        <v>21.582512908621915</v>
      </c>
      <c r="I23" s="36">
        <f>I22*50/Parameters!$C$17</f>
        <v>17.47554740970504</v>
      </c>
      <c r="J23" s="36">
        <f>J22*50/Parameters!$C$17</f>
        <v>20.234460521190929</v>
      </c>
      <c r="K23" s="36">
        <f>K22*50/Parameters!$C$17</f>
        <v>14.798434814112863</v>
      </c>
      <c r="L23" s="36">
        <f>L22*50/Parameters!$C$17</f>
        <v>14.866647182834546</v>
      </c>
      <c r="M23" s="36">
        <f>M22*50/Parameters!$C$17</f>
        <v>15.37845962984755</v>
      </c>
      <c r="N23" s="36">
        <f>N22*50/Parameters!$C$17</f>
        <v>26.335529681188493</v>
      </c>
      <c r="O23" s="36">
        <f>O22*50/Parameters!$C$17</f>
        <v>11.13085095787304</v>
      </c>
      <c r="P23" s="36">
        <f>P22*50/Parameters!$C$17</f>
        <v>28.838314758135901</v>
      </c>
      <c r="Q23" s="36">
        <f>Q22*50/Parameters!$C$17</f>
        <v>10.80240304842747</v>
      </c>
      <c r="R23" s="36">
        <f>R22*50/Parameters!$C$17</f>
        <v>12.181303789983245</v>
      </c>
      <c r="S23" s="36">
        <f>S22*50/Parameters!$C$17</f>
        <v>16.28233234114888</v>
      </c>
      <c r="T23" s="36">
        <f>T22*50/Parameters!$C$17</f>
        <v>12.106300408259443</v>
      </c>
      <c r="U23" s="36">
        <f>U22*50/Parameters!$C$17</f>
        <v>5.6053636105473794</v>
      </c>
      <c r="V23" s="36">
        <f>V22*50/Parameters!$C$17</f>
        <v>14.540354823662774</v>
      </c>
      <c r="W23" s="36">
        <f>W22*50/Parameters!$C$17</f>
        <v>7.7684086264377177</v>
      </c>
      <c r="X23" s="36">
        <f>X22*50/Parameters!$C$17</f>
        <v>15.211779240610431</v>
      </c>
      <c r="Y23" s="36">
        <f>Y22*50/Parameters!$C$17</f>
        <v>30.100789922098098</v>
      </c>
      <c r="Z23" s="36">
        <f>Z22*50/Parameters!$C$17</f>
        <v>29.183098848877346</v>
      </c>
      <c r="AA23" s="36">
        <f>AA22*50/Parameters!$C$17</f>
        <v>18.057432494253582</v>
      </c>
      <c r="AB23" s="36">
        <f>AB22*50/Parameters!$C$17</f>
        <v>24.090517966225704</v>
      </c>
      <c r="AC23" s="36">
        <f>AC22*50/Parameters!$C$17</f>
        <v>13.074103998038867</v>
      </c>
      <c r="AD23" s="36">
        <f>AD22*50/Parameters!$C$17</f>
        <v>28.3471871141337</v>
      </c>
      <c r="AE23" s="36">
        <f>AE22*50/Parameters!$C$17</f>
        <v>27.191118181191083</v>
      </c>
      <c r="AF23" s="36">
        <f>AF22*50/Parameters!$C$17</f>
        <v>27.050366720727801</v>
      </c>
      <c r="AG23" s="36">
        <f>AG22*50/Parameters!$C$17</f>
        <v>26.584047816742821</v>
      </c>
      <c r="AH23" s="36">
        <f>AH22*50/Parameters!$C$17</f>
        <v>21.80993754301528</v>
      </c>
      <c r="AI23" s="36">
        <f>AI22*50/Parameters!$C$17</f>
        <v>18.768719181443274</v>
      </c>
      <c r="AJ23" s="36">
        <f>AJ22*50/Parameters!$C$17</f>
        <v>8.3114664505482985</v>
      </c>
      <c r="AK23" s="36">
        <f>AK22*50/Parameters!$C$17</f>
        <v>28.011970580467061</v>
      </c>
      <c r="AL23" s="36">
        <f>AL22*50/Parameters!$C$17</f>
        <v>11.341297628374765</v>
      </c>
      <c r="AM23" s="36">
        <f>AM22*50/Parameters!$C$17</f>
        <v>21.852111641857061</v>
      </c>
      <c r="AN23" s="36">
        <f>AN22*50/Parameters!$C$17</f>
        <v>21.701250694192723</v>
      </c>
    </row>
    <row r="24" spans="1:41" s="49" customFormat="1" ht="21" x14ac:dyDescent="0.35">
      <c r="AO24" s="445"/>
    </row>
    <row r="25" spans="1:41" s="49" customFormat="1" ht="21" x14ac:dyDescent="0.35">
      <c r="A25" s="446" t="s">
        <v>21</v>
      </c>
      <c r="B25" s="355"/>
    </row>
    <row r="26" spans="1:41" s="36" customFormat="1" hidden="1" x14ac:dyDescent="0.25">
      <c r="A26" s="36" t="s">
        <v>20</v>
      </c>
      <c r="B26" s="36" t="e">
        <f>'P_Index Scores'!#REF!</f>
        <v>#REF!</v>
      </c>
      <c r="C26" s="36" t="e">
        <f>'P_Index Scores'!#REF!</f>
        <v>#REF!</v>
      </c>
      <c r="D26" s="36" t="e">
        <f>'P_Index Scores'!#REF!</f>
        <v>#REF!</v>
      </c>
      <c r="E26" s="36" t="e">
        <f>'P_Index Scores'!#REF!</f>
        <v>#REF!</v>
      </c>
      <c r="F26" s="36" t="e">
        <f>'P_Index Scores'!#REF!</f>
        <v>#REF!</v>
      </c>
      <c r="G26" s="36" t="e">
        <f>'P_Index Scores'!#REF!</f>
        <v>#REF!</v>
      </c>
      <c r="H26" s="36" t="e">
        <f>'P_Index Scores'!#REF!</f>
        <v>#REF!</v>
      </c>
      <c r="I26" s="36" t="e">
        <f>'P_Index Scores'!#REF!</f>
        <v>#REF!</v>
      </c>
      <c r="J26" s="36" t="e">
        <f>'P_Index Scores'!#REF!</f>
        <v>#REF!</v>
      </c>
      <c r="K26" s="36" t="e">
        <f>'P_Index Scores'!#REF!</f>
        <v>#REF!</v>
      </c>
      <c r="L26" s="36" t="e">
        <f>'P_Index Scores'!#REF!</f>
        <v>#REF!</v>
      </c>
      <c r="M26" s="36" t="e">
        <f>'P_Index Scores'!#REF!</f>
        <v>#REF!</v>
      </c>
      <c r="N26" s="36" t="e">
        <f>'P_Index Scores'!#REF!</f>
        <v>#REF!</v>
      </c>
      <c r="O26" s="36" t="e">
        <f>'P_Index Scores'!#REF!</f>
        <v>#REF!</v>
      </c>
      <c r="P26" s="36" t="e">
        <f>'P_Index Scores'!#REF!</f>
        <v>#REF!</v>
      </c>
      <c r="Q26" s="36" t="e">
        <f>'P_Index Scores'!#REF!</f>
        <v>#REF!</v>
      </c>
      <c r="R26" s="36" t="e">
        <f>'P_Index Scores'!#REF!</f>
        <v>#REF!</v>
      </c>
      <c r="S26" s="36" t="e">
        <f>'P_Index Scores'!#REF!</f>
        <v>#REF!</v>
      </c>
      <c r="T26" s="36" t="e">
        <f>'P_Index Scores'!#REF!</f>
        <v>#REF!</v>
      </c>
      <c r="U26" s="36" t="e">
        <f>'P_Index Scores'!#REF!</f>
        <v>#REF!</v>
      </c>
      <c r="V26" s="36" t="e">
        <f>'P_Index Scores'!#REF!</f>
        <v>#REF!</v>
      </c>
      <c r="W26" s="36" t="e">
        <f>'P_Index Scores'!#REF!</f>
        <v>#REF!</v>
      </c>
      <c r="X26" s="36" t="e">
        <f>'P_Index Scores'!#REF!</f>
        <v>#REF!</v>
      </c>
      <c r="Y26" s="36" t="e">
        <f>'P_Index Scores'!#REF!</f>
        <v>#REF!</v>
      </c>
      <c r="Z26" s="36" t="e">
        <f>'P_Index Scores'!#REF!</f>
        <v>#REF!</v>
      </c>
      <c r="AA26" s="36" t="e">
        <f>'P_Index Scores'!#REF!</f>
        <v>#REF!</v>
      </c>
      <c r="AB26" s="36" t="e">
        <f>'P_Index Scores'!#REF!</f>
        <v>#REF!</v>
      </c>
      <c r="AC26" s="36" t="e">
        <f>'P_Index Scores'!#REF!</f>
        <v>#REF!</v>
      </c>
      <c r="AD26" s="36" t="e">
        <f>'P_Index Scores'!#REF!</f>
        <v>#REF!</v>
      </c>
      <c r="AE26" s="36" t="e">
        <f>'P_Index Scores'!#REF!</f>
        <v>#REF!</v>
      </c>
      <c r="AF26" s="36" t="e">
        <f>'P_Index Scores'!#REF!</f>
        <v>#REF!</v>
      </c>
      <c r="AG26" s="36" t="e">
        <f>'P_Index Scores'!#REF!</f>
        <v>#REF!</v>
      </c>
      <c r="AH26" s="36" t="e">
        <f>'P_Index Scores'!#REF!</f>
        <v>#REF!</v>
      </c>
      <c r="AI26" s="36" t="e">
        <f>'P_Index Scores'!#REF!</f>
        <v>#REF!</v>
      </c>
      <c r="AJ26" s="36" t="e">
        <f>'P_Index Scores'!#REF!</f>
        <v>#REF!</v>
      </c>
      <c r="AK26" s="36" t="e">
        <f>'P_Index Scores'!#REF!</f>
        <v>#REF!</v>
      </c>
      <c r="AL26" s="36" t="e">
        <f>'P_Index Scores'!#REF!</f>
        <v>#REF!</v>
      </c>
      <c r="AM26" s="36" t="e">
        <f>'P_Index Scores'!#REF!</f>
        <v>#REF!</v>
      </c>
      <c r="AN26" s="36" t="e">
        <f>'P_Index Scores'!#REF!</f>
        <v>#REF!</v>
      </c>
    </row>
    <row r="27" spans="1:41" s="36" customFormat="1" hidden="1" x14ac:dyDescent="0.25">
      <c r="A27" s="36" t="s">
        <v>19</v>
      </c>
      <c r="B27" s="36" t="e">
        <f>(B26/Parameters!$C$36)*Parameters!$C$17</f>
        <v>#REF!</v>
      </c>
      <c r="C27" s="36" t="e">
        <f>(C26/Parameters!$C$36)*Parameters!$C$17</f>
        <v>#REF!</v>
      </c>
      <c r="D27" s="36" t="e">
        <f>(D26/Parameters!$C$36)*Parameters!$C$17</f>
        <v>#REF!</v>
      </c>
      <c r="E27" s="36" t="e">
        <f>(E26/Parameters!$C$36)*Parameters!$C$17</f>
        <v>#REF!</v>
      </c>
      <c r="F27" s="36" t="e">
        <f>(F26/Parameters!$C$36)*Parameters!$C$17</f>
        <v>#REF!</v>
      </c>
      <c r="G27" s="36" t="e">
        <f>(G26/Parameters!$C$36)*Parameters!$C$17</f>
        <v>#REF!</v>
      </c>
      <c r="H27" s="36" t="e">
        <f>(H26/Parameters!$C$36)*Parameters!$C$17</f>
        <v>#REF!</v>
      </c>
      <c r="I27" s="36" t="e">
        <f>(I26/Parameters!$C$36)*Parameters!$C$17</f>
        <v>#REF!</v>
      </c>
      <c r="J27" s="36" t="e">
        <f>(J26/Parameters!$C$36)*Parameters!$C$17</f>
        <v>#REF!</v>
      </c>
      <c r="K27" s="36" t="e">
        <f>(K26/Parameters!$C$36)*Parameters!$C$17</f>
        <v>#REF!</v>
      </c>
      <c r="L27" s="36" t="e">
        <f>(L26/Parameters!$C$36)*Parameters!$C$17</f>
        <v>#REF!</v>
      </c>
      <c r="M27" s="36" t="e">
        <f>(M26/Parameters!$C$36)*Parameters!$C$17</f>
        <v>#REF!</v>
      </c>
      <c r="N27" s="36" t="e">
        <f>(N26/Parameters!$C$36)*Parameters!$C$17</f>
        <v>#REF!</v>
      </c>
      <c r="O27" s="36" t="e">
        <f>(O26/Parameters!$C$36)*Parameters!$C$17</f>
        <v>#REF!</v>
      </c>
      <c r="P27" s="36" t="e">
        <f>(P26/Parameters!$C$36)*Parameters!$C$17</f>
        <v>#REF!</v>
      </c>
      <c r="Q27" s="36" t="e">
        <f>(Q26/Parameters!$C$36)*Parameters!$C$17</f>
        <v>#REF!</v>
      </c>
      <c r="R27" s="36" t="e">
        <f>(R26/Parameters!$C$36)*Parameters!$C$17</f>
        <v>#REF!</v>
      </c>
      <c r="S27" s="36" t="e">
        <f>(S26/Parameters!$C$36)*Parameters!$C$17</f>
        <v>#REF!</v>
      </c>
      <c r="T27" s="36" t="e">
        <f>(T26/Parameters!$C$36)*Parameters!$C$17</f>
        <v>#REF!</v>
      </c>
      <c r="U27" s="36" t="e">
        <f>(U26/Parameters!$C$36)*Parameters!$C$17</f>
        <v>#REF!</v>
      </c>
      <c r="V27" s="36" t="e">
        <f>(V26/Parameters!$C$36)*Parameters!$C$17</f>
        <v>#REF!</v>
      </c>
      <c r="W27" s="36" t="e">
        <f>(W26/Parameters!$C$36)*Parameters!$C$17</f>
        <v>#REF!</v>
      </c>
      <c r="X27" s="36" t="e">
        <f>(X26/Parameters!$C$36)*Parameters!$C$17</f>
        <v>#REF!</v>
      </c>
      <c r="Y27" s="36" t="e">
        <f>(Y26/Parameters!$C$36)*Parameters!$C$17</f>
        <v>#REF!</v>
      </c>
      <c r="Z27" s="36" t="e">
        <f>(Z26/Parameters!$C$36)*Parameters!$C$17</f>
        <v>#REF!</v>
      </c>
      <c r="AA27" s="36" t="e">
        <f>(AA26/Parameters!$C$36)*Parameters!$C$17</f>
        <v>#REF!</v>
      </c>
      <c r="AB27" s="36" t="e">
        <f>(AB26/Parameters!$C$36)*Parameters!$C$17</f>
        <v>#REF!</v>
      </c>
      <c r="AC27" s="36" t="e">
        <f>(AC26/Parameters!$C$36)*Parameters!$C$17</f>
        <v>#REF!</v>
      </c>
      <c r="AD27" s="36" t="e">
        <f>(AD26/Parameters!$C$36)*Parameters!$C$17</f>
        <v>#REF!</v>
      </c>
      <c r="AE27" s="36" t="e">
        <f>(AE26/Parameters!$C$36)*Parameters!$C$17</f>
        <v>#REF!</v>
      </c>
      <c r="AF27" s="36" t="e">
        <f>(AF26/Parameters!$C$36)*Parameters!$C$17</f>
        <v>#REF!</v>
      </c>
      <c r="AG27" s="36" t="e">
        <f>(AG26/Parameters!$C$36)*Parameters!$C$17</f>
        <v>#REF!</v>
      </c>
      <c r="AH27" s="36" t="e">
        <f>(AH26/Parameters!$C$36)*Parameters!$C$17</f>
        <v>#REF!</v>
      </c>
      <c r="AI27" s="36" t="e">
        <f>(AI26/Parameters!$C$36)*Parameters!$C$17</f>
        <v>#REF!</v>
      </c>
      <c r="AJ27" s="36" t="e">
        <f>(AJ26/Parameters!$C$36)*Parameters!$C$17</f>
        <v>#REF!</v>
      </c>
      <c r="AK27" s="36" t="e">
        <f>(AK26/Parameters!$C$36)*Parameters!$C$17</f>
        <v>#REF!</v>
      </c>
      <c r="AL27" s="36" t="e">
        <f>(AL26/Parameters!$C$36)*Parameters!$C$17</f>
        <v>#REF!</v>
      </c>
      <c r="AM27" s="36" t="e">
        <f>(AM26/Parameters!$C$36)*Parameters!$C$17</f>
        <v>#REF!</v>
      </c>
      <c r="AN27" s="36" t="e">
        <f>(AN26/Parameters!$C$36)*Parameters!$C$17</f>
        <v>#REF!</v>
      </c>
    </row>
    <row r="28" spans="1:41" s="49" customFormat="1" ht="21" hidden="1" x14ac:dyDescent="0.35">
      <c r="A28" s="49" t="s">
        <v>18</v>
      </c>
      <c r="B28" s="444">
        <f t="shared" ref="B28:AN28" si="3">B5</f>
        <v>1138108.34958545</v>
      </c>
      <c r="C28" s="444">
        <f t="shared" si="3"/>
        <v>95416.319972866797</v>
      </c>
      <c r="D28" s="444">
        <f t="shared" si="3"/>
        <v>381671.74767440668</v>
      </c>
      <c r="E28" s="444">
        <f t="shared" si="3"/>
        <v>525736.68024788692</v>
      </c>
      <c r="F28" s="444">
        <f t="shared" si="3"/>
        <v>1087434.2137851156</v>
      </c>
      <c r="G28" s="444">
        <f t="shared" si="3"/>
        <v>21773.538325770438</v>
      </c>
      <c r="H28" s="444">
        <f t="shared" si="3"/>
        <v>475559.92774866801</v>
      </c>
      <c r="I28" s="444">
        <f t="shared" si="3"/>
        <v>1767738.9891964756</v>
      </c>
      <c r="J28" s="444">
        <f t="shared" si="3"/>
        <v>451839.47022649867</v>
      </c>
      <c r="K28" s="444">
        <f t="shared" si="3"/>
        <v>809993.67091525998</v>
      </c>
      <c r="L28" s="444">
        <f t="shared" si="3"/>
        <v>49820.38319707138</v>
      </c>
      <c r="M28" s="444">
        <f t="shared" si="3"/>
        <v>264280.61233322998</v>
      </c>
      <c r="N28" s="444">
        <f t="shared" si="3"/>
        <v>769494.06146179396</v>
      </c>
      <c r="O28" s="444">
        <f t="shared" si="3"/>
        <v>810798.99696457991</v>
      </c>
      <c r="P28" s="444">
        <f t="shared" si="3"/>
        <v>233878.96174291169</v>
      </c>
      <c r="Q28" s="444">
        <f t="shared" si="3"/>
        <v>245241.26132430605</v>
      </c>
      <c r="R28" s="444">
        <f t="shared" si="3"/>
        <v>4285.7491912003497</v>
      </c>
      <c r="S28" s="444">
        <f t="shared" si="3"/>
        <v>177243.41507072997</v>
      </c>
      <c r="T28" s="444">
        <f t="shared" si="3"/>
        <v>6495.4972264640001</v>
      </c>
      <c r="U28" s="444">
        <f t="shared" si="3"/>
        <v>106352.12498655391</v>
      </c>
      <c r="V28" s="444">
        <f t="shared" si="3"/>
        <v>64189.763961641802</v>
      </c>
      <c r="W28" s="444">
        <f t="shared" si="3"/>
        <v>532555.25064595602</v>
      </c>
      <c r="X28" s="444">
        <f t="shared" si="3"/>
        <v>72518.312282849001</v>
      </c>
      <c r="Y28" s="444">
        <f t="shared" si="3"/>
        <v>570096.6814075358</v>
      </c>
      <c r="Z28" s="444">
        <f t="shared" si="3"/>
        <v>1715288.1323074095</v>
      </c>
      <c r="AA28" s="444">
        <f t="shared" si="3"/>
        <v>310375.78013642784</v>
      </c>
      <c r="AB28" s="444">
        <f t="shared" si="3"/>
        <v>1110453.1273634702</v>
      </c>
      <c r="AC28" s="444">
        <f t="shared" si="3"/>
        <v>46604.407059901896</v>
      </c>
      <c r="AD28" s="444">
        <f t="shared" si="3"/>
        <v>53815.997633452331</v>
      </c>
      <c r="AE28" s="444">
        <f t="shared" si="3"/>
        <v>65064.512046081298</v>
      </c>
      <c r="AF28" s="444">
        <f t="shared" si="3"/>
        <v>130679.61148347301</v>
      </c>
      <c r="AG28" s="444">
        <f t="shared" si="3"/>
        <v>25647.614317913158</v>
      </c>
      <c r="AH28" s="444">
        <f t="shared" si="3"/>
        <v>1277649.9112314503</v>
      </c>
      <c r="AI28" s="444">
        <f t="shared" si="3"/>
        <v>127394.25799639251</v>
      </c>
      <c r="AJ28" s="444">
        <f t="shared" si="3"/>
        <v>567328.08036032214</v>
      </c>
      <c r="AK28" s="444">
        <f t="shared" si="3"/>
        <v>513112.13508269616</v>
      </c>
      <c r="AL28" s="444">
        <f t="shared" si="3"/>
        <v>1020117.2603139498</v>
      </c>
      <c r="AM28" s="444">
        <f t="shared" si="3"/>
        <v>775950.85873470816</v>
      </c>
      <c r="AN28" s="444">
        <f t="shared" si="3"/>
        <v>925441.47755139263</v>
      </c>
      <c r="AO28" s="445"/>
    </row>
    <row r="29" spans="1:41" s="49" customFormat="1" ht="21" hidden="1" x14ac:dyDescent="0.35">
      <c r="A29" s="49" t="s">
        <v>17</v>
      </c>
      <c r="B29" s="49" t="e">
        <f t="shared" ref="B29:AN29" si="4">B27*B28</f>
        <v>#REF!</v>
      </c>
      <c r="C29" s="49" t="e">
        <f t="shared" si="4"/>
        <v>#REF!</v>
      </c>
      <c r="D29" s="49" t="e">
        <f t="shared" si="4"/>
        <v>#REF!</v>
      </c>
      <c r="E29" s="49" t="e">
        <f t="shared" si="4"/>
        <v>#REF!</v>
      </c>
      <c r="F29" s="49" t="e">
        <f t="shared" si="4"/>
        <v>#REF!</v>
      </c>
      <c r="G29" s="49" t="e">
        <f t="shared" si="4"/>
        <v>#REF!</v>
      </c>
      <c r="H29" s="49" t="e">
        <f t="shared" si="4"/>
        <v>#REF!</v>
      </c>
      <c r="I29" s="49" t="e">
        <f t="shared" si="4"/>
        <v>#REF!</v>
      </c>
      <c r="J29" s="49" t="e">
        <f t="shared" si="4"/>
        <v>#REF!</v>
      </c>
      <c r="K29" s="49" t="e">
        <f t="shared" si="4"/>
        <v>#REF!</v>
      </c>
      <c r="L29" s="49" t="e">
        <f t="shared" si="4"/>
        <v>#REF!</v>
      </c>
      <c r="M29" s="49" t="e">
        <f t="shared" si="4"/>
        <v>#REF!</v>
      </c>
      <c r="N29" s="49" t="e">
        <f t="shared" si="4"/>
        <v>#REF!</v>
      </c>
      <c r="O29" s="49" t="e">
        <f t="shared" si="4"/>
        <v>#REF!</v>
      </c>
      <c r="P29" s="49" t="e">
        <f t="shared" si="4"/>
        <v>#REF!</v>
      </c>
      <c r="Q29" s="49" t="e">
        <f t="shared" si="4"/>
        <v>#REF!</v>
      </c>
      <c r="R29" s="49" t="e">
        <f t="shared" si="4"/>
        <v>#REF!</v>
      </c>
      <c r="S29" s="49" t="e">
        <f t="shared" si="4"/>
        <v>#REF!</v>
      </c>
      <c r="T29" s="49" t="e">
        <f t="shared" si="4"/>
        <v>#REF!</v>
      </c>
      <c r="U29" s="49" t="e">
        <f t="shared" si="4"/>
        <v>#REF!</v>
      </c>
      <c r="V29" s="49" t="e">
        <f t="shared" si="4"/>
        <v>#REF!</v>
      </c>
      <c r="W29" s="49" t="e">
        <f t="shared" si="4"/>
        <v>#REF!</v>
      </c>
      <c r="X29" s="49" t="e">
        <f t="shared" si="4"/>
        <v>#REF!</v>
      </c>
      <c r="Y29" s="49" t="e">
        <f t="shared" si="4"/>
        <v>#REF!</v>
      </c>
      <c r="Z29" s="49" t="e">
        <f t="shared" si="4"/>
        <v>#REF!</v>
      </c>
      <c r="AA29" s="49" t="e">
        <f t="shared" si="4"/>
        <v>#REF!</v>
      </c>
      <c r="AB29" s="49" t="e">
        <f t="shared" si="4"/>
        <v>#REF!</v>
      </c>
      <c r="AC29" s="49" t="e">
        <f t="shared" si="4"/>
        <v>#REF!</v>
      </c>
      <c r="AD29" s="49" t="e">
        <f t="shared" si="4"/>
        <v>#REF!</v>
      </c>
      <c r="AE29" s="49" t="e">
        <f t="shared" si="4"/>
        <v>#REF!</v>
      </c>
      <c r="AF29" s="49" t="e">
        <f t="shared" si="4"/>
        <v>#REF!</v>
      </c>
      <c r="AG29" s="49" t="e">
        <f t="shared" si="4"/>
        <v>#REF!</v>
      </c>
      <c r="AH29" s="49" t="e">
        <f t="shared" si="4"/>
        <v>#REF!</v>
      </c>
      <c r="AI29" s="49" t="e">
        <f t="shared" si="4"/>
        <v>#REF!</v>
      </c>
      <c r="AJ29" s="49" t="e">
        <f t="shared" si="4"/>
        <v>#REF!</v>
      </c>
      <c r="AK29" s="49" t="e">
        <f t="shared" si="4"/>
        <v>#REF!</v>
      </c>
      <c r="AL29" s="49" t="e">
        <f t="shared" si="4"/>
        <v>#REF!</v>
      </c>
      <c r="AM29" s="49" t="e">
        <f t="shared" si="4"/>
        <v>#REF!</v>
      </c>
      <c r="AN29" s="49" t="e">
        <f t="shared" si="4"/>
        <v>#REF!</v>
      </c>
      <c r="AO29" s="445" t="e">
        <f>SUM(B29:AN29)</f>
        <v>#REF!</v>
      </c>
    </row>
    <row r="30" spans="1:41" s="36" customFormat="1" x14ac:dyDescent="0.25">
      <c r="A30" s="36" t="s">
        <v>749</v>
      </c>
      <c r="B30" s="36">
        <f ca="1">'P_Index Scores'!B28</f>
        <v>29.034004042711949</v>
      </c>
      <c r="C30" s="36">
        <f ca="1">'P_Index Scores'!C28</f>
        <v>25.602461530188467</v>
      </c>
      <c r="D30" s="36">
        <f ca="1">'P_Index Scores'!D28</f>
        <v>34.94486885808513</v>
      </c>
      <c r="E30" s="36">
        <f ca="1">'P_Index Scores'!E28</f>
        <v>33.956056029197718</v>
      </c>
      <c r="F30" s="36">
        <f ca="1">'P_Index Scores'!F28</f>
        <v>19.797651602301517</v>
      </c>
      <c r="G30" s="36">
        <f ca="1">'P_Index Scores'!G28</f>
        <v>21.715198299314686</v>
      </c>
      <c r="H30" s="36">
        <f ca="1">'P_Index Scores'!H28</f>
        <v>30.793662754006309</v>
      </c>
      <c r="I30" s="36">
        <f ca="1">'P_Index Scores'!I28</f>
        <v>17.532098817909176</v>
      </c>
      <c r="J30" s="36">
        <f ca="1">'P_Index Scores'!J28</f>
        <v>20.33152611781183</v>
      </c>
      <c r="K30" s="36">
        <f ca="1">'P_Index Scores'!K28</f>
        <v>17.303427011822983</v>
      </c>
      <c r="L30" s="36">
        <f ca="1">'P_Index Scores'!L28</f>
        <v>23.34328863404934</v>
      </c>
      <c r="M30" s="36">
        <f ca="1">'P_Index Scores'!M28</f>
        <v>25.732862336499764</v>
      </c>
      <c r="N30" s="36">
        <f ca="1">'P_Index Scores'!N28</f>
        <v>25.706093512594475</v>
      </c>
      <c r="O30" s="36">
        <f ca="1">'P_Index Scores'!O28</f>
        <v>14.11936889515936</v>
      </c>
      <c r="P30" s="36">
        <f ca="1">'P_Index Scores'!P28</f>
        <v>29.133906537937676</v>
      </c>
      <c r="Q30" s="36">
        <f ca="1">'P_Index Scores'!Q28</f>
        <v>13.909880930550598</v>
      </c>
      <c r="R30" s="36">
        <f ca="1">'P_Index Scores'!R28</f>
        <v>25.081405291576591</v>
      </c>
      <c r="S30" s="36">
        <f ca="1">'P_Index Scores'!S28</f>
        <v>26.715738805341033</v>
      </c>
      <c r="T30" s="36">
        <f ca="1">'P_Index Scores'!T28</f>
        <v>20.537018099359077</v>
      </c>
      <c r="U30" s="36">
        <f ca="1">'P_Index Scores'!U28</f>
        <v>11.32025648381007</v>
      </c>
      <c r="V30" s="36">
        <f ca="1">'P_Index Scores'!V28</f>
        <v>16.567081900379392</v>
      </c>
      <c r="W30" s="36">
        <f ca="1">'P_Index Scores'!W28</f>
        <v>12.787429915954355</v>
      </c>
      <c r="X30" s="36">
        <f ca="1">'P_Index Scores'!X28</f>
        <v>21.684867575828857</v>
      </c>
      <c r="Y30" s="36">
        <f ca="1">'P_Index Scores'!Y28</f>
        <v>32.956629689661447</v>
      </c>
      <c r="Z30" s="36">
        <f ca="1">'P_Index Scores'!Z28</f>
        <v>30.067973287275933</v>
      </c>
      <c r="AA30" s="36">
        <f ca="1">'P_Index Scores'!AA28</f>
        <v>26.981321110869906</v>
      </c>
      <c r="AB30" s="36">
        <f ca="1">'P_Index Scores'!AB28</f>
        <v>26.207623784744797</v>
      </c>
      <c r="AC30" s="36">
        <f ca="1">'P_Index Scores'!AC28</f>
        <v>26.596311028361239</v>
      </c>
      <c r="AD30" s="36">
        <f ca="1">'P_Index Scores'!AD28</f>
        <v>27.576745235965788</v>
      </c>
      <c r="AE30" s="36">
        <f ca="1">'P_Index Scores'!AE28</f>
        <v>28.84563349491275</v>
      </c>
      <c r="AF30" s="36">
        <f ca="1">'P_Index Scores'!AF28</f>
        <v>31.615777010493069</v>
      </c>
      <c r="AG30" s="36">
        <f ca="1">'P_Index Scores'!AG28</f>
        <v>33.500507540604161</v>
      </c>
      <c r="AH30" s="36">
        <f ca="1">'P_Index Scores'!AH28</f>
        <v>20.575857626876452</v>
      </c>
      <c r="AI30" s="36">
        <f ca="1">'P_Index Scores'!AI28</f>
        <v>18.542844630555884</v>
      </c>
      <c r="AJ30" s="36">
        <f ca="1">'P_Index Scores'!AJ28</f>
        <v>12.769517860956014</v>
      </c>
      <c r="AK30" s="36">
        <f ca="1">'P_Index Scores'!AK28</f>
        <v>28.695071848420966</v>
      </c>
      <c r="AL30" s="36">
        <f ca="1">'P_Index Scores'!AL28</f>
        <v>15.085243118322561</v>
      </c>
      <c r="AM30" s="36">
        <f ca="1">'P_Index Scores'!AM28</f>
        <v>22.086776971855389</v>
      </c>
      <c r="AN30" s="36">
        <f ca="1">'P_Index Scores'!AN28</f>
        <v>21.090131513507771</v>
      </c>
    </row>
    <row r="31" spans="1:41" s="36" customFormat="1" x14ac:dyDescent="0.25">
      <c r="A31" s="36" t="s">
        <v>905</v>
      </c>
    </row>
    <row r="32" spans="1:41" s="36" customFormat="1" ht="21" x14ac:dyDescent="0.35">
      <c r="A32" s="36" t="s">
        <v>88</v>
      </c>
      <c r="B32" s="49">
        <f ca="1">(B9*'P_Index Scores'!B18-B9*'P_Index Scores'!B4)*Parameters!$C$17/(Parameters!$C$36)</f>
        <v>-18658.034337952806</v>
      </c>
      <c r="C32" s="49">
        <f ca="1">(C9*'P_Index Scores'!C18-C9*'P_Index Scores'!C4)*Parameters!$C$17/(Parameters!$C$36)</f>
        <v>-2745.2125522483948</v>
      </c>
      <c r="D32" s="49">
        <f ca="1">(D9*'P_Index Scores'!D18-D9*'P_Index Scores'!D4)*Parameters!$C$17/(Parameters!$C$36)</f>
        <v>-6175.3029100614685</v>
      </c>
      <c r="E32" s="49">
        <f ca="1">(E9*'P_Index Scores'!E18-E9*'P_Index Scores'!E4)*Parameters!$C$17/(Parameters!$C$36)</f>
        <v>-6065.1871790228206</v>
      </c>
      <c r="F32" s="49">
        <f ca="1">(F9*'P_Index Scores'!F18-F9*'P_Index Scores'!F4)*Parameters!$C$17/(Parameters!$C$36)</f>
        <v>-15126.928400115028</v>
      </c>
      <c r="G32" s="49">
        <f ca="1">(G9*'P_Index Scores'!G18-G9*'P_Index Scores'!G4)*Parameters!$C$17/(Parameters!$C$36)</f>
        <v>-0.1351627611407184</v>
      </c>
      <c r="H32" s="49">
        <f ca="1">(H9*'P_Index Scores'!H18-H9*'P_Index Scores'!H4)*Parameters!$C$17/(Parameters!$C$36)</f>
        <v>-4243.3261288235044</v>
      </c>
      <c r="I32" s="49">
        <f ca="1">(I9*'P_Index Scores'!I18-I9*'P_Index Scores'!I4)*Parameters!$C$17/(Parameters!$C$36)</f>
        <v>-19472.425442489297</v>
      </c>
      <c r="J32" s="49">
        <f ca="1">(J9*'P_Index Scores'!J18-J9*'P_Index Scores'!J4)*Parameters!$C$17/(Parameters!$C$36)</f>
        <v>-5310.1500159586585</v>
      </c>
      <c r="K32" s="49">
        <f ca="1">(K9*'P_Index Scores'!K18-K9*'P_Index Scores'!K4)*Parameters!$C$17/(Parameters!$C$36)</f>
        <v>-8872.0666363621804</v>
      </c>
      <c r="L32" s="49">
        <f ca="1">(L9*'P_Index Scores'!L18-L9*'P_Index Scores'!L4)*Parameters!$C$17/(Parameters!$C$36)</f>
        <v>-25.939373215766604</v>
      </c>
      <c r="M32" s="49">
        <f ca="1">(M9*'P_Index Scores'!M18-M9*'P_Index Scores'!M4)*Parameters!$C$17/(Parameters!$C$36)</f>
        <v>-284.40816220708888</v>
      </c>
      <c r="N32" s="49">
        <f ca="1">(N9*'P_Index Scores'!N18-N9*'P_Index Scores'!N4)*Parameters!$C$17/(Parameters!$C$36)</f>
        <v>-11088.749928159537</v>
      </c>
      <c r="O32" s="49">
        <f ca="1">(O9*'P_Index Scores'!O18-O9*'P_Index Scores'!O4)*Parameters!$C$17/(Parameters!$C$36)</f>
        <v>-4289.3755572953469</v>
      </c>
      <c r="P32" s="49">
        <f ca="1">(P9*'P_Index Scores'!P18-P9*'P_Index Scores'!P4)*Parameters!$C$17/(Parameters!$C$36)</f>
        <v>-2750.2233437568188</v>
      </c>
      <c r="Q32" s="49">
        <f ca="1">(Q9*'P_Index Scores'!Q18-Q9*'P_Index Scores'!Q4)*Parameters!$C$17/(Parameters!$C$36)</f>
        <v>-1145.3422317389302</v>
      </c>
      <c r="R32" s="49">
        <f ca="1">(R9*'P_Index Scores'!R18-R9*'P_Index Scores'!R4)*Parameters!$C$17/(Parameters!$C$36)</f>
        <v>-7.1768127841540366E-2</v>
      </c>
      <c r="S32" s="49">
        <f ca="1">(S9*'P_Index Scores'!S18-S9*'P_Index Scores'!S4)*Parameters!$C$17/(Parameters!$C$36)</f>
        <v>-457.71249571765725</v>
      </c>
      <c r="T32" s="49">
        <f ca="1">(T9*'P_Index Scores'!T18-T9*'P_Index Scores'!T4)*Parameters!$C$17/(Parameters!$C$36)</f>
        <v>-9.7334054975030587E-2</v>
      </c>
      <c r="U32" s="49">
        <f ca="1">(U9*'P_Index Scores'!U18-U9*'P_Index Scores'!U4)*Parameters!$C$17/(Parameters!$C$36)</f>
        <v>-20.553337489378432</v>
      </c>
      <c r="V32" s="49">
        <f ca="1">(V9*'P_Index Scores'!V18-V9*'P_Index Scores'!V4)*Parameters!$C$17/(Parameters!$C$36)</f>
        <v>-405.1664826715342</v>
      </c>
      <c r="W32" s="49">
        <f ca="1">(W9*'P_Index Scores'!W18-W9*'P_Index Scores'!W4)*Parameters!$C$17/(Parameters!$C$36)</f>
        <v>-1864.019652670549</v>
      </c>
      <c r="X32" s="49">
        <f ca="1">(X9*'P_Index Scores'!X18-X9*'P_Index Scores'!X4)*Parameters!$C$17/(Parameters!$C$36)</f>
        <v>-44.335359607791268</v>
      </c>
      <c r="Y32" s="49">
        <f ca="1">(Y9*'P_Index Scores'!Y18-Y9*'P_Index Scores'!Y4)*Parameters!$C$17/(Parameters!$C$36)</f>
        <v>-9471.4885622521178</v>
      </c>
      <c r="Z32" s="49">
        <f ca="1">(Z9*'P_Index Scores'!Z18-Z9*'P_Index Scores'!Z4)*Parameters!$C$17/(Parameters!$C$36)</f>
        <v>-36442.269351873489</v>
      </c>
      <c r="AA32" s="49">
        <f ca="1">(AA9*'P_Index Scores'!AA18-AA9*'P_Index Scores'!AA4)*Parameters!$C$17/(Parameters!$C$36)</f>
        <v>-424.88479293715727</v>
      </c>
      <c r="AB32" s="49">
        <f ca="1">(AB9*'P_Index Scores'!AB18-AB9*'P_Index Scores'!AB4)*Parameters!$C$17/(Parameters!$C$36)</f>
        <v>-23342.405079981614</v>
      </c>
      <c r="AC32" s="49">
        <f ca="1">(AC9*'P_Index Scores'!AC18-AC9*'P_Index Scores'!AC4)*Parameters!$C$17/(Parameters!$C$36)</f>
        <v>-33.119438374500213</v>
      </c>
      <c r="AD32" s="49">
        <f ca="1">(AD9*'P_Index Scores'!AD18-AD9*'P_Index Scores'!AD4)*Parameters!$C$17/(Parameters!$C$36)</f>
        <v>-1180.244318428646</v>
      </c>
      <c r="AE32" s="49">
        <f ca="1">(AE9*'P_Index Scores'!AE18-AE9*'P_Index Scores'!AE4)*Parameters!$C$17/(Parameters!$C$36)</f>
        <v>-1571.3550545680537</v>
      </c>
      <c r="AF32" s="49">
        <f ca="1">(AF9*'P_Index Scores'!AF18-AF9*'P_Index Scores'!AF4)*Parameters!$C$17/(Parameters!$C$36)</f>
        <v>-3004.474599993649</v>
      </c>
      <c r="AG32" s="49">
        <f ca="1">(AG9*'P_Index Scores'!AG18-AG9*'P_Index Scores'!AG4)*Parameters!$C$17/(Parameters!$C$36)</f>
        <v>-403.79137790371436</v>
      </c>
      <c r="AH32" s="49">
        <f ca="1">(AH9*'P_Index Scores'!AH18-AH9*'P_Index Scores'!AH4)*Parameters!$C$17/(Parameters!$C$36)</f>
        <v>-17183.072033116507</v>
      </c>
      <c r="AI32" s="49">
        <f ca="1">(AI9*'P_Index Scores'!AI18-AI9*'P_Index Scores'!AI4)*Parameters!$C$17/(Parameters!$C$36)</f>
        <v>-1814.8377836336117</v>
      </c>
      <c r="AJ32" s="49">
        <f ca="1">(AJ9*'P_Index Scores'!AJ18-AJ9*'P_Index Scores'!AJ4)*Parameters!$C$17/(Parameters!$C$36)</f>
        <v>-993.21569921637433</v>
      </c>
      <c r="AK32" s="49">
        <f ca="1">(AK9*'P_Index Scores'!AK18-AK9*'P_Index Scores'!AK4)*Parameters!$C$17/(Parameters!$C$36)</f>
        <v>-7632.1525744720766</v>
      </c>
      <c r="AL32" s="49">
        <f ca="1">(AL9*'P_Index Scores'!AL18-AL9*'P_Index Scores'!AL4)*Parameters!$C$17/(Parameters!$C$36)</f>
        <v>-2776.2847767484373</v>
      </c>
      <c r="AM32" s="49">
        <f ca="1">(AM9*'P_Index Scores'!AM18-AM9*'P_Index Scores'!AM4)*Parameters!$C$17/(Parameters!$C$36)</f>
        <v>-9405.9964240068439</v>
      </c>
      <c r="AN32" s="49">
        <f ca="1">(AN9*'P_Index Scores'!AN18-AN9*'P_Index Scores'!AN4)*Parameters!$C$17/(Parameters!$C$36)</f>
        <v>-10190.279710319926</v>
      </c>
      <c r="AO32" s="445">
        <f t="shared" ref="AO32:AO41" ca="1" si="5">SUM(B32:AN32)</f>
        <v>-234914.63537033531</v>
      </c>
    </row>
    <row r="33" spans="1:41" s="36" customFormat="1" ht="21" x14ac:dyDescent="0.35">
      <c r="A33" s="36" t="s">
        <v>265</v>
      </c>
      <c r="B33" s="49">
        <f ca="1">(B6+B7)*'P_Index Scores'!B32*Parameters!$C$17/(Parameters!$C$36)</f>
        <v>-728.89119032793167</v>
      </c>
      <c r="C33" s="49">
        <f ca="1">(C6+C7)*'P_Index Scores'!C32*Parameters!$C$17/(Parameters!$C$36)</f>
        <v>-49.922378404522206</v>
      </c>
      <c r="D33" s="49">
        <f ca="1">(D6+D7)*'P_Index Scores'!D32*Parameters!$C$17/(Parameters!$C$36)</f>
        <v>-326.15373126130982</v>
      </c>
      <c r="E33" s="49">
        <f ca="1">(E6+E7)*'P_Index Scores'!E32*Parameters!$C$17/(Parameters!$C$36)</f>
        <v>-398.25290438941369</v>
      </c>
      <c r="F33" s="49">
        <f ca="1">(F6+F7)*'P_Index Scores'!F32*Parameters!$C$17/(Parameters!$C$36)</f>
        <v>-259.46417964502206</v>
      </c>
      <c r="G33" s="49">
        <f ca="1">(G6+G7)*'P_Index Scores'!G32*Parameters!$C$17/(Parameters!$C$36)</f>
        <v>-9.2151923472533757E-4</v>
      </c>
      <c r="H33" s="49">
        <f ca="1">(H6+H7)*'P_Index Scores'!H32*Parameters!$C$17/(Parameters!$C$36)</f>
        <v>-213.99038040804433</v>
      </c>
      <c r="I33" s="49">
        <f ca="1">(I6+I7)*'P_Index Scores'!I32*Parameters!$C$17/(Parameters!$C$36)</f>
        <v>-454.50862333186154</v>
      </c>
      <c r="J33" s="49">
        <f ca="1">(J6+J7)*'P_Index Scores'!J32*Parameters!$C$17/(Parameters!$C$36)</f>
        <v>-71.947695703966261</v>
      </c>
      <c r="K33" s="49">
        <f ca="1">(K6+K7)*'P_Index Scores'!K32*Parameters!$C$17/(Parameters!$C$36)</f>
        <v>-77.822173319944199</v>
      </c>
      <c r="L33" s="49">
        <f ca="1">(L6+L7)*'P_Index Scores'!L32*Parameters!$C$17/(Parameters!$C$36)</f>
        <v>-14.787087367662519</v>
      </c>
      <c r="M33" s="49">
        <f ca="1">(M6+M7)*'P_Index Scores'!M32*Parameters!$C$17/(Parameters!$C$36)</f>
        <v>-11.166459839980275</v>
      </c>
      <c r="N33" s="49">
        <f ca="1">(N6+N7)*'P_Index Scores'!N32*Parameters!$C$17/(Parameters!$C$36)</f>
        <v>-193.56959373676281</v>
      </c>
      <c r="O33" s="49">
        <f ca="1">(O6+O7)*'P_Index Scores'!O32*Parameters!$C$17/(Parameters!$C$36)</f>
        <v>-45.257235083909983</v>
      </c>
      <c r="P33" s="49">
        <f ca="1">(P6+P7)*'P_Index Scores'!P32*Parameters!$C$17/(Parameters!$C$36)</f>
        <v>-268.14853586250342</v>
      </c>
      <c r="Q33" s="49">
        <f ca="1">(Q6+Q7)*'P_Index Scores'!Q32*Parameters!$C$17/(Parameters!$C$36)</f>
        <v>-18.284035936575687</v>
      </c>
      <c r="R33" s="49">
        <f ca="1">(R6+R7)*'P_Index Scores'!R32*Parameters!$C$17/(Parameters!$C$36)</f>
        <v>-4.4232923266744849E-2</v>
      </c>
      <c r="S33" s="49">
        <f ca="1">(S6+S7)*'P_Index Scores'!S32*Parameters!$C$17/(Parameters!$C$36)</f>
        <v>-40.518131708049701</v>
      </c>
      <c r="T33" s="49">
        <f ca="1">(T6+T7)*'P_Index Scores'!T32*Parameters!$C$17/(Parameters!$C$36)</f>
        <v>-3.778228848196527E-2</v>
      </c>
      <c r="U33" s="49">
        <f ca="1">(U6+U7)*'P_Index Scores'!U32*Parameters!$C$17/(Parameters!$C$36)</f>
        <v>-1.9067535807143443</v>
      </c>
      <c r="V33" s="49">
        <f ca="1">(V6+V7)*'P_Index Scores'!V32*Parameters!$C$17/(Parameters!$C$36)</f>
        <v>-23.050525366818885</v>
      </c>
      <c r="W33" s="49">
        <f ca="1">(W6+W7)*'P_Index Scores'!W32*Parameters!$C$17/(Parameters!$C$36)</f>
        <v>-46.231546420976407</v>
      </c>
      <c r="X33" s="49">
        <f ca="1">(X6+X7)*'P_Index Scores'!X32*Parameters!$C$17/(Parameters!$C$36)</f>
        <v>-4.2026055323272002</v>
      </c>
      <c r="Y33" s="49">
        <f ca="1">(Y6+Y7)*'P_Index Scores'!Y32*Parameters!$C$17/(Parameters!$C$36)</f>
        <v>-595.05824604550696</v>
      </c>
      <c r="Z33" s="49">
        <f ca="1">(Z6+Z7)*'P_Index Scores'!Z32*Parameters!$C$17/(Parameters!$C$36)</f>
        <v>-1707.8882626195243</v>
      </c>
      <c r="AA33" s="49">
        <f ca="1">(AA6+AA7)*'P_Index Scores'!AA32*Parameters!$C$17/(Parameters!$C$36)</f>
        <v>-81.642250222042023</v>
      </c>
      <c r="AB33" s="49">
        <f ca="1">(AB6+AB7)*'P_Index Scores'!AB32*Parameters!$C$17/(Parameters!$C$36)</f>
        <v>-177.22470400740104</v>
      </c>
      <c r="AC33" s="49">
        <f ca="1">(AC6+AC7)*'P_Index Scores'!AC32*Parameters!$C$17/(Parameters!$C$36)</f>
        <v>-4.5322686283936697</v>
      </c>
      <c r="AD33" s="49">
        <f ca="1">(AD6+AD7)*'P_Index Scores'!AD32*Parameters!$C$17/(Parameters!$C$36)</f>
        <v>-44.855418524363287</v>
      </c>
      <c r="AE33" s="49">
        <f ca="1">(AE6+AE7)*'P_Index Scores'!AE32*Parameters!$C$17/(Parameters!$C$36)</f>
        <v>-17.792461731465568</v>
      </c>
      <c r="AF33" s="49">
        <f ca="1">(AF6+AF7)*'P_Index Scores'!AF32*Parameters!$C$17/(Parameters!$C$36)</f>
        <v>-106.91494134788307</v>
      </c>
      <c r="AG33" s="49">
        <f ca="1">(AG6+AG7)*'P_Index Scores'!AG32*Parameters!$C$17/(Parameters!$C$36)</f>
        <v>-21.740272199610374</v>
      </c>
      <c r="AH33" s="49">
        <f ca="1">(AH6+AH7)*'P_Index Scores'!AH32*Parameters!$C$17/(Parameters!$C$36)</f>
        <v>-313.84092893388947</v>
      </c>
      <c r="AI33" s="49">
        <f ca="1">(AI6+AI7)*'P_Index Scores'!AI32*Parameters!$C$17/(Parameters!$C$36)</f>
        <v>-22.989392123879714</v>
      </c>
      <c r="AJ33" s="49">
        <f ca="1">(AJ6+AJ7)*'P_Index Scores'!AJ32*Parameters!$C$17/(Parameters!$C$36)</f>
        <v>-33.661081826373653</v>
      </c>
      <c r="AK33" s="49">
        <f ca="1">(AK6+AK7)*'P_Index Scores'!AK32*Parameters!$C$17/(Parameters!$C$36)</f>
        <v>-576.25765078269899</v>
      </c>
      <c r="AL33" s="49">
        <f ca="1">(AL6+AL7)*'P_Index Scores'!AL32*Parameters!$C$17/(Parameters!$C$36)</f>
        <v>-71.886601028508778</v>
      </c>
      <c r="AM33" s="49">
        <f ca="1">(AM6+AM7)*'P_Index Scores'!AM32*Parameters!$C$17/(Parameters!$C$36)</f>
        <v>-423.3835159870232</v>
      </c>
      <c r="AN33" s="49">
        <f ca="1">(AN6+AN7)*'P_Index Scores'!AN32*Parameters!$C$17/(Parameters!$C$36)</f>
        <v>-743.09669256915311</v>
      </c>
      <c r="AO33" s="445">
        <f ca="1">SUM(B33:AN33)</f>
        <v>-8190.9233925369972</v>
      </c>
    </row>
    <row r="34" spans="1:41" s="36" customFormat="1" ht="21" x14ac:dyDescent="0.35">
      <c r="A34" s="36" t="s">
        <v>899</v>
      </c>
      <c r="B34" s="49">
        <f ca="1">'P_Index Scores'!B33*B5*Parameters!$C$17/(Parameters!$C$36)</f>
        <v>0</v>
      </c>
      <c r="C34" s="49">
        <f ca="1">'P_Index Scores'!C33*C5*Parameters!$C$17/(Parameters!$C$36)</f>
        <v>0</v>
      </c>
      <c r="D34" s="49">
        <f ca="1">'P_Index Scores'!D33*D5*Parameters!$C$17/(Parameters!$C$36)</f>
        <v>0</v>
      </c>
      <c r="E34" s="49">
        <f ca="1">'P_Index Scores'!E33*E5*Parameters!$C$17/(Parameters!$C$36)</f>
        <v>0</v>
      </c>
      <c r="F34" s="49">
        <f ca="1">'P_Index Scores'!F33*F5*Parameters!$C$17/(Parameters!$C$36)</f>
        <v>-20265.637408205053</v>
      </c>
      <c r="G34" s="49">
        <f ca="1">'P_Index Scores'!G33*G5*Parameters!$C$17/(Parameters!$C$36)</f>
        <v>0</v>
      </c>
      <c r="H34" s="49">
        <f ca="1">'P_Index Scores'!H33*H5*Parameters!$C$17/(Parameters!$C$36)</f>
        <v>0</v>
      </c>
      <c r="I34" s="49">
        <f ca="1">'P_Index Scores'!I33*I5*Parameters!$C$17/(Parameters!$C$36)</f>
        <v>-21747.65507649639</v>
      </c>
      <c r="J34" s="49">
        <f ca="1">'P_Index Scores'!J33*J5*Parameters!$C$17/(Parameters!$C$36)</f>
        <v>-7084.8961553996523</v>
      </c>
      <c r="K34" s="49">
        <f ca="1">'P_Index Scores'!K33*K5*Parameters!$C$17/(Parameters!$C$36)</f>
        <v>-14362.560600099381</v>
      </c>
      <c r="L34" s="49">
        <f ca="1">'P_Index Scores'!L33*L5*Parameters!$C$17/(Parameters!$C$36)</f>
        <v>0</v>
      </c>
      <c r="M34" s="49">
        <f ca="1">'P_Index Scores'!M33*M5*Parameters!$C$17/(Parameters!$C$36)</f>
        <v>0</v>
      </c>
      <c r="N34" s="49">
        <f ca="1">'P_Index Scores'!N33*N5*Parameters!$C$17/(Parameters!$C$36)</f>
        <v>-17772.452484818295</v>
      </c>
      <c r="O34" s="49">
        <f ca="1">'P_Index Scores'!O33*O5*Parameters!$C$17/(Parameters!$C$36)</f>
        <v>-12043.148771631995</v>
      </c>
      <c r="P34" s="49">
        <f ca="1">'P_Index Scores'!P33*P5*Parameters!$C$17/(Parameters!$C$36)</f>
        <v>0</v>
      </c>
      <c r="Q34" s="49">
        <f ca="1">'P_Index Scores'!Q33*Q5*Parameters!$C$17/(Parameters!$C$36)</f>
        <v>-461.12773059866146</v>
      </c>
      <c r="R34" s="49">
        <f ca="1">'P_Index Scores'!R33*R5*Parameters!$C$17/(Parameters!$C$36)</f>
        <v>0</v>
      </c>
      <c r="S34" s="49">
        <f ca="1">'P_Index Scores'!S33*S5*Parameters!$C$17/(Parameters!$C$36)</f>
        <v>0</v>
      </c>
      <c r="T34" s="49">
        <f ca="1">'P_Index Scores'!T33*T5*Parameters!$C$17/(Parameters!$C$36)</f>
        <v>0</v>
      </c>
      <c r="U34" s="49">
        <f ca="1">'P_Index Scores'!U33*U5*Parameters!$C$17/(Parameters!$C$36)</f>
        <v>-255.17740725696405</v>
      </c>
      <c r="V34" s="49">
        <f ca="1">'P_Index Scores'!V33*V5*Parameters!$C$17/(Parameters!$C$36)</f>
        <v>-93.868375715808099</v>
      </c>
      <c r="W34" s="49">
        <f ca="1">'P_Index Scores'!W33*W5*Parameters!$C$17/(Parameters!$C$36)</f>
        <v>-2052.0868591949857</v>
      </c>
      <c r="X34" s="49">
        <f ca="1">'P_Index Scores'!X33*X5*Parameters!$C$17/(Parameters!$C$36)</f>
        <v>0</v>
      </c>
      <c r="Y34" s="49">
        <f ca="1">'P_Index Scores'!Y33*Y5*Parameters!$C$17/(Parameters!$C$36)</f>
        <v>0</v>
      </c>
      <c r="Z34" s="49">
        <f ca="1">'P_Index Scores'!Z33*Z5*Parameters!$C$17/(Parameters!$C$36)</f>
        <v>0</v>
      </c>
      <c r="AA34" s="49">
        <f ca="1">'P_Index Scores'!AA33*AA5*Parameters!$C$17/(Parameters!$C$36)</f>
        <v>-3485.540548444867</v>
      </c>
      <c r="AB34" s="49">
        <f ca="1">'P_Index Scores'!AB33*AB5*Parameters!$C$17/(Parameters!$C$36)</f>
        <v>-11647.762895204702</v>
      </c>
      <c r="AC34" s="49">
        <f ca="1">'P_Index Scores'!AC33*AC5*Parameters!$C$17/(Parameters!$C$36)</f>
        <v>0</v>
      </c>
      <c r="AD34" s="49">
        <f ca="1">'P_Index Scores'!AD33*AD5*Parameters!$C$17/(Parameters!$C$36)</f>
        <v>0</v>
      </c>
      <c r="AE34" s="49">
        <f ca="1">'P_Index Scores'!AE33*AE5*Parameters!$C$17/(Parameters!$C$36)</f>
        <v>0</v>
      </c>
      <c r="AF34" s="49">
        <f ca="1">'P_Index Scores'!AF33*AF5*Parameters!$C$17/(Parameters!$C$36)</f>
        <v>0</v>
      </c>
      <c r="AG34" s="49">
        <f ca="1">'P_Index Scores'!AG33*AG5*Parameters!$C$17/(Parameters!$C$36)</f>
        <v>0</v>
      </c>
      <c r="AH34" s="49">
        <f ca="1">'P_Index Scores'!AH33*AH5*Parameters!$C$17/(Parameters!$C$36)</f>
        <v>-27728.059648599363</v>
      </c>
      <c r="AI34" s="49">
        <f ca="1">'P_Index Scores'!AI33*AI5*Parameters!$C$17/(Parameters!$C$36)</f>
        <v>-1882.0543506849833</v>
      </c>
      <c r="AJ34" s="49">
        <f ca="1">'P_Index Scores'!AJ33*AJ5*Parameters!$C$17/(Parameters!$C$36)</f>
        <v>-8805.4669503440273</v>
      </c>
      <c r="AK34" s="49">
        <f ca="1">'P_Index Scores'!AK33*AK5*Parameters!$C$17/(Parameters!$C$36)</f>
        <v>0</v>
      </c>
      <c r="AL34" s="49">
        <f ca="1">'P_Index Scores'!AL33*AL5*Parameters!$C$17/(Parameters!$C$36)</f>
        <v>-20358.139162051437</v>
      </c>
      <c r="AM34" s="49">
        <f ca="1">'P_Index Scores'!AM33*AM5*Parameters!$C$17/(Parameters!$C$36)</f>
        <v>-11231.924395034521</v>
      </c>
      <c r="AN34" s="49">
        <f ca="1">'P_Index Scores'!AN33*AN5*Parameters!$C$17/(Parameters!$C$36)</f>
        <v>-12391.240250968282</v>
      </c>
      <c r="AO34" s="445">
        <f t="shared" ca="1" si="5"/>
        <v>-193668.7990707494</v>
      </c>
    </row>
    <row r="35" spans="1:41" s="36" customFormat="1" ht="21" x14ac:dyDescent="0.35">
      <c r="A35" s="36" t="s">
        <v>1042</v>
      </c>
      <c r="B35" s="49">
        <f ca="1">(B6+B7)*'P_Index Scores'!B34*Parameters!$C$17/(Parameters!$C$36)</f>
        <v>-3595.0894643798024</v>
      </c>
      <c r="C35" s="49">
        <f ca="1">'P_Index Scores'!C34*C5*Parameters!$C$17/(Parameters!$C$36)</f>
        <v>-263.95533818246577</v>
      </c>
      <c r="D35" s="49">
        <f ca="1">'P_Index Scores'!D34*D5*Parameters!$C$17/(Parameters!$C$36)</f>
        <v>-22.162067663621183</v>
      </c>
      <c r="E35" s="49">
        <f ca="1">'P_Index Scores'!E34*E5*Parameters!$C$17/(Parameters!$C$36)</f>
        <v>-1509.84620467488</v>
      </c>
      <c r="F35" s="49">
        <f ca="1">'P_Index Scores'!F34*F5*Parameters!$C$17/(Parameters!$C$36)</f>
        <v>-2944.3471114116592</v>
      </c>
      <c r="G35" s="49">
        <f ca="1">'P_Index Scores'!G34*G5*Parameters!$C$17/(Parameters!$C$36)</f>
        <v>-0.21429431151797312</v>
      </c>
      <c r="H35" s="49">
        <f ca="1">'P_Index Scores'!H34*H5*Parameters!$C$17/(Parameters!$C$36)</f>
        <v>-1144.7263062533079</v>
      </c>
      <c r="I35" s="49">
        <f ca="1">'P_Index Scores'!I34*I5*Parameters!$C$17/(Parameters!$C$36)</f>
        <v>-9679.6316898153382</v>
      </c>
      <c r="J35" s="49">
        <f ca="1">'P_Index Scores'!J34*J5*Parameters!$C$17/(Parameters!$C$36)</f>
        <v>-3290.7649702582539</v>
      </c>
      <c r="K35" s="49">
        <f ca="1">'P_Index Scores'!K34*K5*Parameters!$C$17/(Parameters!$C$36)</f>
        <v>0</v>
      </c>
      <c r="L35" s="49">
        <f ca="1">'P_Index Scores'!L34*L5*Parameters!$C$17/(Parameters!$C$36)</f>
        <v>-510.88684147620717</v>
      </c>
      <c r="M35" s="49">
        <f ca="1">'P_Index Scores'!M34*M5*Parameters!$C$17/(Parameters!$C$36)</f>
        <v>-24.212330789534548</v>
      </c>
      <c r="N35" s="49">
        <f ca="1">'P_Index Scores'!N34*N5*Parameters!$C$17/(Parameters!$C$36)</f>
        <v>-952.36896275660922</v>
      </c>
      <c r="O35" s="49">
        <f ca="1">'P_Index Scores'!O34*O5*Parameters!$C$17/(Parameters!$C$36)</f>
        <v>0</v>
      </c>
      <c r="P35" s="49">
        <f ca="1">'P_Index Scores'!P34*P5*Parameters!$C$17/(Parameters!$C$36)</f>
        <v>-1249.1000959563028</v>
      </c>
      <c r="Q35" s="49">
        <f ca="1">'P_Index Scores'!Q34*Q5*Parameters!$C$17/(Parameters!$C$36)</f>
        <v>-1883.084984264432</v>
      </c>
      <c r="R35" s="49">
        <f ca="1">'P_Index Scores'!R34*R5*Parameters!$C$17/(Parameters!$C$36)</f>
        <v>-0.30159940139566643</v>
      </c>
      <c r="S35" s="49">
        <f ca="1">'P_Index Scores'!S34*S5*Parameters!$C$17/(Parameters!$C$36)</f>
        <v>-85.858721220123584</v>
      </c>
      <c r="T35" s="49">
        <f ca="1">'P_Index Scores'!T34*T5*Parameters!$C$17/(Parameters!$C$36)</f>
        <v>-1.2063976055826664</v>
      </c>
      <c r="U35" s="49">
        <f ca="1">'P_Index Scores'!U34*U5*Parameters!$C$17/(Parameters!$C$36)</f>
        <v>-1172.5028677721889</v>
      </c>
      <c r="V35" s="49">
        <f ca="1">'P_Index Scores'!V34*V5*Parameters!$C$17/(Parameters!$C$36)</f>
        <v>-667.13999788380897</v>
      </c>
      <c r="W35" s="49">
        <f ca="1">'P_Index Scores'!W34*W5*Parameters!$C$17/(Parameters!$C$36)</f>
        <v>0</v>
      </c>
      <c r="X35" s="49">
        <f ca="1">'P_Index Scores'!X34*X5*Parameters!$C$17/(Parameters!$C$36)</f>
        <v>-949.40588728429987</v>
      </c>
      <c r="Y35" s="49">
        <f ca="1">'P_Index Scores'!Y34*Y5*Parameters!$C$17/(Parameters!$C$36)</f>
        <v>-77.433949620212445</v>
      </c>
      <c r="Z35" s="49">
        <f ca="1">'P_Index Scores'!Z34*Z5*Parameters!$C$17/(Parameters!$C$36)</f>
        <v>-5519.3226702519705</v>
      </c>
      <c r="AA35" s="49">
        <f ca="1">'P_Index Scores'!AA34*AA5*Parameters!$C$17/(Parameters!$C$36)</f>
        <v>-5268.7718024878486</v>
      </c>
      <c r="AB35" s="49">
        <f ca="1">'P_Index Scores'!AB34*AB5*Parameters!$C$17/(Parameters!$C$36)</f>
        <v>-1108.2486878968286</v>
      </c>
      <c r="AC35" s="49">
        <f ca="1">'P_Index Scores'!AC34*AC5*Parameters!$C$17/(Parameters!$C$36)</f>
        <v>-19.031004278945709</v>
      </c>
      <c r="AD35" s="49">
        <f ca="1">'P_Index Scores'!AD34*AD5*Parameters!$C$17/(Parameters!$C$36)</f>
        <v>-183.38488383601492</v>
      </c>
      <c r="AE35" s="49">
        <f ca="1">'P_Index Scores'!AE34*AE5*Parameters!$C$17/(Parameters!$C$36)</f>
        <v>-141.78846809986399</v>
      </c>
      <c r="AF35" s="49">
        <f ca="1">'P_Index Scores'!AF34*AF5*Parameters!$C$17/(Parameters!$C$36)</f>
        <v>-89.906875978951916</v>
      </c>
      <c r="AG35" s="49">
        <f ca="1">'P_Index Scores'!AG34*AG5*Parameters!$C$17/(Parameters!$C$36)</f>
        <v>-14.718477312878463</v>
      </c>
      <c r="AH35" s="49">
        <f ca="1">'P_Index Scores'!AH34*AH5*Parameters!$C$17/(Parameters!$C$36)</f>
        <v>-6547.7962735319925</v>
      </c>
      <c r="AI35" s="49">
        <f ca="1">'P_Index Scores'!AI34*AI5*Parameters!$C$17/(Parameters!$C$36)</f>
        <v>-806.23434382607286</v>
      </c>
      <c r="AJ35" s="49">
        <f ca="1">'P_Index Scores'!AJ34*AJ5*Parameters!$C$17/(Parameters!$C$36)</f>
        <v>0</v>
      </c>
      <c r="AK35" s="49">
        <f ca="1">'P_Index Scores'!AK34*AK5*Parameters!$C$17/(Parameters!$C$36)</f>
        <v>-890.20954921027896</v>
      </c>
      <c r="AL35" s="49">
        <f ca="1">'P_Index Scores'!AL34*AL5*Parameters!$C$17/(Parameters!$C$36)</f>
        <v>0</v>
      </c>
      <c r="AM35" s="49">
        <f ca="1">'P_Index Scores'!AM34*AM5*Parameters!$C$17/(Parameters!$C$36)</f>
        <v>-5563.1515179422559</v>
      </c>
      <c r="AN35" s="49">
        <f ca="1">'P_Index Scores'!AN34*AN5*Parameters!$C$17/(Parameters!$C$36)</f>
        <v>-7970.3347136826605</v>
      </c>
      <c r="AO35" s="445">
        <f t="shared" ca="1" si="5"/>
        <v>-64147.139351318096</v>
      </c>
    </row>
    <row r="36" spans="1:41" s="36" customFormat="1" ht="21" x14ac:dyDescent="0.35">
      <c r="A36" s="36" t="s">
        <v>900</v>
      </c>
      <c r="B36" s="49">
        <f ca="1">B5*'P_Index Scores'!B35*Parameters!$C$17/(Parameters!$C$36)</f>
        <v>-5324.0994345022355</v>
      </c>
      <c r="C36" s="49">
        <f ca="1">C5*'P_Index Scores'!C35*Parameters!$C$17/(Parameters!$C$36)</f>
        <v>-490.78399629921296</v>
      </c>
      <c r="D36" s="49">
        <f ca="1">D5*'P_Index Scores'!D35*Parameters!$C$17/(Parameters!$C$36)</f>
        <v>-51.704952143920671</v>
      </c>
      <c r="E36" s="49">
        <f ca="1">E5*'P_Index Scores'!E35*Parameters!$C$17/(Parameters!$C$36)</f>
        <v>-4307.6422250054047</v>
      </c>
      <c r="F36" s="49">
        <f ca="1">F5*'P_Index Scores'!F35*Parameters!$C$17/(Parameters!$C$36)</f>
        <v>-18800.512963060868</v>
      </c>
      <c r="G36" s="49">
        <f ca="1">G5*'P_Index Scores'!G35*Parameters!$C$17/(Parameters!$C$36)</f>
        <v>-7.2934666717200003E-2</v>
      </c>
      <c r="H36" s="49">
        <f ca="1">H5*'P_Index Scores'!H35*Parameters!$C$17/(Parameters!$C$36)</f>
        <v>-2180.7260841961106</v>
      </c>
      <c r="I36" s="49">
        <f ca="1">I5*'P_Index Scores'!I35*Parameters!$C$17/(Parameters!$C$36)</f>
        <v>-50997.930350630864</v>
      </c>
      <c r="J36" s="49">
        <f ca="1">J5*'P_Index Scores'!J35*Parameters!$C$17/(Parameters!$C$36)</f>
        <v>-13829.628930944273</v>
      </c>
      <c r="K36" s="49">
        <f>K5*'P_Index Scores'!K35*Parameters!$C$17/(Parameters!$C$36)</f>
        <v>-2.7750749531299461E-2</v>
      </c>
      <c r="L36" s="49">
        <f ca="1">L5*'P_Index Scores'!L35*Parameters!$C$17/(Parameters!$C$36)</f>
        <v>-61.9932716081764</v>
      </c>
      <c r="M36" s="49">
        <f ca="1">M5*'P_Index Scores'!M35*Parameters!$C$17/(Parameters!$C$36)</f>
        <v>-17.103523906337234</v>
      </c>
      <c r="N36" s="49">
        <f ca="1">N5*'P_Index Scores'!N35*Parameters!$C$17/(Parameters!$C$36)</f>
        <v>-11475.353514471277</v>
      </c>
      <c r="O36" s="49">
        <f>O5*'P_Index Scores'!O35*Parameters!$C$17/(Parameters!$C$36)</f>
        <v>-2.7778340366003705E-2</v>
      </c>
      <c r="P36" s="49">
        <f ca="1">P5*'P_Index Scores'!P35*Parameters!$C$17/(Parameters!$C$36)</f>
        <v>-8329.0202173855778</v>
      </c>
      <c r="Q36" s="49">
        <f ca="1">Q5*'P_Index Scores'!Q35*Parameters!$C$17/(Parameters!$C$36)</f>
        <v>-8780.7345978076519</v>
      </c>
      <c r="R36" s="49">
        <f ca="1">R5*'P_Index Scores'!R35*Parameters!$C$17/(Parameters!$C$36)</f>
        <v>-1.7233805619647317E-2</v>
      </c>
      <c r="S36" s="49">
        <f ca="1">S5*'P_Index Scores'!S35*Parameters!$C$17/(Parameters!$C$36)</f>
        <v>-64.958607260619175</v>
      </c>
      <c r="T36" s="49">
        <f ca="1">T5*'P_Index Scores'!T35*Parameters!$C$17/(Parameters!$C$36)</f>
        <v>-5.3897088322551835E-2</v>
      </c>
      <c r="U36" s="49">
        <f ca="1">U5*'P_Index Scores'!U35*Parameters!$C$17/(Parameters!$C$36)</f>
        <v>-143.1733072707051</v>
      </c>
      <c r="V36" s="49">
        <f ca="1">V5*'P_Index Scores'!V35*Parameters!$C$17/(Parameters!$C$36)</f>
        <v>-2503.3888532068149</v>
      </c>
      <c r="W36" s="49">
        <f>W5*'P_Index Scores'!W35*Parameters!$C$17/(Parameters!$C$36)</f>
        <v>-1.8245583765555698E-2</v>
      </c>
      <c r="X36" s="49">
        <f ca="1">X5*'P_Index Scores'!X35*Parameters!$C$17/(Parameters!$C$36)</f>
        <v>-204.74724912997573</v>
      </c>
      <c r="Y36" s="49">
        <f ca="1">Y5*'P_Index Scores'!Y35*Parameters!$C$17/(Parameters!$C$36)</f>
        <v>-831.79630331510157</v>
      </c>
      <c r="Z36" s="49">
        <f ca="1">Z5*'P_Index Scores'!Z35*Parameters!$C$17/(Parameters!$C$36)</f>
        <v>-26961.494856908768</v>
      </c>
      <c r="AA36" s="49">
        <f ca="1">AA5*'P_Index Scores'!AA35*Parameters!$C$17/(Parameters!$C$36)</f>
        <v>-2602.7148211523663</v>
      </c>
      <c r="AB36" s="49">
        <f ca="1">AB5*'P_Index Scores'!AB35*Parameters!$C$17/(Parameters!$C$36)</f>
        <v>-4681.9641657157699</v>
      </c>
      <c r="AC36" s="49">
        <f ca="1">AC5*'P_Index Scores'!AC35*Parameters!$C$17/(Parameters!$C$36)</f>
        <v>-18.532978974079693</v>
      </c>
      <c r="AD36" s="49">
        <f ca="1">AD5*'P_Index Scores'!AD35*Parameters!$C$17/(Parameters!$C$36)</f>
        <v>-636.84548572058236</v>
      </c>
      <c r="AE36" s="49">
        <f ca="1">AE5*'P_Index Scores'!AE35*Parameters!$C$17/(Parameters!$C$36)</f>
        <v>-201.83995120208229</v>
      </c>
      <c r="AF36" s="49">
        <f ca="1">AF5*'P_Index Scores'!AF35*Parameters!$C$17/(Parameters!$C$36)</f>
        <v>-318.22153057273641</v>
      </c>
      <c r="AG36" s="49">
        <f ca="1">AG5*'P_Index Scores'!AG35*Parameters!$C$17/(Parameters!$C$36)</f>
        <v>-26.19669027030201</v>
      </c>
      <c r="AH36" s="49">
        <f ca="1">AH5*'P_Index Scores'!AH35*Parameters!$C$17/(Parameters!$C$36)</f>
        <v>-39217.830739961566</v>
      </c>
      <c r="AI36" s="49">
        <f ca="1">AI5*'P_Index Scores'!AI35*Parameters!$C$17/(Parameters!$C$36)</f>
        <v>-2872.4720408316498</v>
      </c>
      <c r="AJ36" s="49">
        <f>AJ5*'P_Index Scores'!AJ35*Parameters!$C$17/(Parameters!$C$36)</f>
        <v>-1.9436916639561392E-2</v>
      </c>
      <c r="AK36" s="49">
        <f ca="1">AK5*'P_Index Scores'!AK35*Parameters!$C$17/(Parameters!$C$36)</f>
        <v>-11487.555173670211</v>
      </c>
      <c r="AL36" s="49">
        <f>AL5*'P_Index Scores'!AL35*Parameters!$C$17/(Parameters!$C$36)</f>
        <v>-3.4949678744452151E-2</v>
      </c>
      <c r="AM36" s="49">
        <f ca="1">AM5*'P_Index Scores'!AM35*Parameters!$C$17/(Parameters!$C$36)</f>
        <v>-23665.542659305935</v>
      </c>
      <c r="AN36" s="49">
        <f ca="1">AN5*'P_Index Scores'!AN35*Parameters!$C$17/(Parameters!$C$36)</f>
        <v>-35411.944984568283</v>
      </c>
      <c r="AO36" s="445">
        <f t="shared" ca="1" si="5"/>
        <v>-276498.72668782913</v>
      </c>
    </row>
    <row r="37" spans="1:41" s="36" customFormat="1" ht="21" x14ac:dyDescent="0.35">
      <c r="A37" s="36" t="s">
        <v>901</v>
      </c>
      <c r="B37" s="49">
        <f ca="1">('Fertilizer Rate'!B14-'Fertilizer Rate'!B15)*Parameters!$C$17*'P_Index Scores'!B36/(Parameters!$C$36)</f>
        <v>-5695.9415998727836</v>
      </c>
      <c r="C37" s="49">
        <f ca="1">('Fertilizer Rate'!C14-'Fertilizer Rate'!C15)*Parameters!$C$17*'P_Index Scores'!C36/(Parameters!$C$36)</f>
        <v>-277.80568984377294</v>
      </c>
      <c r="D37" s="49">
        <f ca="1">('Fertilizer Rate'!D14-'Fertilizer Rate'!D15)*Parameters!$C$17*'P_Index Scores'!D36/(Parameters!$C$36)</f>
        <v>-1491.2167012259035</v>
      </c>
      <c r="E37" s="49">
        <f ca="1">('Fertilizer Rate'!E14-'Fertilizer Rate'!E15)*Parameters!$C$17*'P_Index Scores'!E36/(Parameters!$C$36)</f>
        <v>0</v>
      </c>
      <c r="F37" s="49">
        <f ca="1">('Fertilizer Rate'!F14-'Fertilizer Rate'!F15)*Parameters!$C$17*'P_Index Scores'!F36/(Parameters!$C$36)</f>
        <v>-344.06833468469426</v>
      </c>
      <c r="G37" s="49">
        <f ca="1">('Fertilizer Rate'!G14-'Fertilizer Rate'!G15)*Parameters!$C$17*'P_Index Scores'!G36/(Parameters!$C$36)</f>
        <v>-0.72978087205877162</v>
      </c>
      <c r="H37" s="49">
        <f ca="1">('Fertilizer Rate'!H14-'Fertilizer Rate'!H15)*Parameters!$C$17*'P_Index Scores'!H36/(Parameters!$C$36)</f>
        <v>-1665.8710939284063</v>
      </c>
      <c r="I37" s="49">
        <f ca="1">('Fertilizer Rate'!I14-'Fertilizer Rate'!I15)*Parameters!$C$17*'P_Index Scores'!I36/(Parameters!$C$36)</f>
        <v>-1604.8492675297084</v>
      </c>
      <c r="J37" s="49">
        <f ca="1">('Fertilizer Rate'!J14-'Fertilizer Rate'!J15)*Parameters!$C$17*'P_Index Scores'!J36/(Parameters!$C$36)</f>
        <v>-2233.7544459916321</v>
      </c>
      <c r="K37" s="49">
        <f ca="1">('Fertilizer Rate'!K14-'Fertilizer Rate'!K15)*Parameters!$C$17*'P_Index Scores'!K36/(Parameters!$C$36)</f>
        <v>-2442.2197153298439</v>
      </c>
      <c r="L37" s="49">
        <f ca="1">('Fertilizer Rate'!L14-'Fertilizer Rate'!L15)*Parameters!$C$17*'P_Index Scores'!L36/(Parameters!$C$36)</f>
        <v>-21.153664369955141</v>
      </c>
      <c r="M37" s="49">
        <f ca="1">('Fertilizer Rate'!M14-'Fertilizer Rate'!M15)*Parameters!$C$17*'P_Index Scores'!M36/(Parameters!$C$36)</f>
        <v>-734.15873385476118</v>
      </c>
      <c r="N37" s="49">
        <f ca="1">('Fertilizer Rate'!N14-'Fertilizer Rate'!N15)*Parameters!$C$17*'P_Index Scores'!N36/(Parameters!$C$36)</f>
        <v>-249.75620924545416</v>
      </c>
      <c r="O37" s="49">
        <f ca="1">('Fertilizer Rate'!O14-'Fertilizer Rate'!O15)*Parameters!$C$17*'P_Index Scores'!O36/(Parameters!$C$36)</f>
        <v>-372.30395820450229</v>
      </c>
      <c r="P37" s="49">
        <f ca="1">('Fertilizer Rate'!P14-'Fertilizer Rate'!P15)*Parameters!$C$17*'P_Index Scores'!P36/(Parameters!$C$36)</f>
        <v>-295.92122797375322</v>
      </c>
      <c r="Q37" s="49">
        <f ca="1">('Fertilizer Rate'!Q14-'Fertilizer Rate'!Q15)*Parameters!$C$17*'P_Index Scores'!Q36/(Parameters!$C$36)</f>
        <v>-255.20092029978306</v>
      </c>
      <c r="R37" s="49">
        <f ca="1">('Fertilizer Rate'!R14-'Fertilizer Rate'!R15)*Parameters!$C$17*'P_Index Scores'!R36/(Parameters!$C$36)</f>
        <v>-0.67727162249345241</v>
      </c>
      <c r="S37" s="49">
        <f ca="1">('Fertilizer Rate'!S14-'Fertilizer Rate'!S15)*Parameters!$C$17*'P_Index Scores'!S36/(Parameters!$C$36)</f>
        <v>-329.35732082373636</v>
      </c>
      <c r="T37" s="49">
        <f ca="1">('Fertilizer Rate'!T14-'Fertilizer Rate'!T15)*Parameters!$C$17*'P_Index Scores'!T36/(Parameters!$C$36)</f>
        <v>-0.18758444262139864</v>
      </c>
      <c r="U37" s="49">
        <f ca="1">('Fertilizer Rate'!U14-'Fertilizer Rate'!U15)*Parameters!$C$17*'P_Index Scores'!U36/(Parameters!$C$36)</f>
        <v>-47.995852695380016</v>
      </c>
      <c r="V37" s="49">
        <f ca="1">('Fertilizer Rate'!V14-'Fertilizer Rate'!V15)*Parameters!$C$17*'P_Index Scores'!V36/(Parameters!$C$36)</f>
        <v>-33.061495529711493</v>
      </c>
      <c r="W37" s="49">
        <f ca="1">('Fertilizer Rate'!W14-'Fertilizer Rate'!W15)*Parameters!$C$17*'P_Index Scores'!W36/(Parameters!$C$36)</f>
        <v>-420.42401638049517</v>
      </c>
      <c r="X37" s="49">
        <f ca="1">('Fertilizer Rate'!X14-'Fertilizer Rate'!X15)*Parameters!$C$17*'P_Index Scores'!X36/(Parameters!$C$36)</f>
        <v>-51.307106193797296</v>
      </c>
      <c r="Y37" s="49">
        <f ca="1">('Fertilizer Rate'!Y14-'Fertilizer Rate'!Y15)*Parameters!$C$17*'P_Index Scores'!Y36/(Parameters!$C$36)</f>
        <v>-2685.4143547357153</v>
      </c>
      <c r="Z37" s="49">
        <f ca="1">('Fertilizer Rate'!Z14-'Fertilizer Rate'!Z15)*Parameters!$C$17*'P_Index Scores'!Z36/(Parameters!$C$36)</f>
        <v>-6577.519717533678</v>
      </c>
      <c r="AA37" s="49">
        <f ca="1">('Fertilizer Rate'!AA14-'Fertilizer Rate'!AA15)*Parameters!$C$17*'P_Index Scores'!AA36/(Parameters!$C$36)</f>
        <v>-679.75199720864623</v>
      </c>
      <c r="AB37" s="49">
        <f ca="1">('Fertilizer Rate'!AB14-'Fertilizer Rate'!AB15)*Parameters!$C$17*'P_Index Scores'!AB36/(Parameters!$C$36)</f>
        <v>-4318.0129264064917</v>
      </c>
      <c r="AC37" s="49">
        <f ca="1">('Fertilizer Rate'!AC14-'Fertilizer Rate'!AC15)*Parameters!$C$17*'P_Index Scores'!AC36/(Parameters!$C$36)</f>
        <v>-27.529349012923344</v>
      </c>
      <c r="AD37" s="49">
        <f ca="1">('Fertilizer Rate'!AD14-'Fertilizer Rate'!AD15)*Parameters!$C$17*'P_Index Scores'!AD36/(Parameters!$C$36)</f>
        <v>-195.92807649570608</v>
      </c>
      <c r="AE37" s="49">
        <f ca="1">('Fertilizer Rate'!AE14-'Fertilizer Rate'!AE15)*Parameters!$C$17*'P_Index Scores'!AE36/(Parameters!$C$36)</f>
        <v>-346.24238379365784</v>
      </c>
      <c r="AF37" s="49">
        <f ca="1">('Fertilizer Rate'!AF14-'Fertilizer Rate'!AF15)*Parameters!$C$17*'P_Index Scores'!AF36/(Parameters!$C$36)</f>
        <v>-598.43606280622987</v>
      </c>
      <c r="AG37" s="49">
        <f ca="1">('Fertilizer Rate'!AG14-'Fertilizer Rate'!AG15)*Parameters!$C$17*'P_Index Scores'!AG36/(Parameters!$C$36)</f>
        <v>-92.066873747190328</v>
      </c>
      <c r="AH37" s="49">
        <f ca="1">('Fertilizer Rate'!AH14-'Fertilizer Rate'!AH15)*Parameters!$C$17*'P_Index Scores'!AH36/(Parameters!$C$36)</f>
        <v>-3938.5618005416968</v>
      </c>
      <c r="AI37" s="49">
        <f ca="1">('Fertilizer Rate'!AI14-'Fertilizer Rate'!AI15)*Parameters!$C$17*'P_Index Scores'!AI36/(Parameters!$C$36)</f>
        <v>-54.009098934325806</v>
      </c>
      <c r="AJ37" s="49">
        <f ca="1">('Fertilizer Rate'!AJ14-'Fertilizer Rate'!AJ15)*Parameters!$C$17*'P_Index Scores'!AJ36/(Parameters!$C$36)</f>
        <v>-381.72082529282324</v>
      </c>
      <c r="AK37" s="49">
        <f ca="1">('Fertilizer Rate'!AK14-'Fertilizer Rate'!AK15)*Parameters!$C$17*'P_Index Scores'!AK36/(Parameters!$C$36)</f>
        <v>-1432.8517057988211</v>
      </c>
      <c r="AL37" s="49">
        <f ca="1">('Fertilizer Rate'!AL14-'Fertilizer Rate'!AL15)*Parameters!$C$17*'P_Index Scores'!AL36/(Parameters!$C$36)</f>
        <v>-449.4341681306654</v>
      </c>
      <c r="AM37" s="49">
        <f ca="1">('Fertilizer Rate'!AM14-'Fertilizer Rate'!AM15)*Parameters!$C$17*'P_Index Scores'!AM36/(Parameters!$C$36)</f>
        <v>-4452.8847273498131</v>
      </c>
      <c r="AN37" s="49">
        <f ca="1">('Fertilizer Rate'!AN14-'Fertilizer Rate'!AN15)*Parameters!$C$17*'P_Index Scores'!AN36/(Parameters!$C$36)</f>
        <v>-3366.8075671836118</v>
      </c>
      <c r="AO37" s="445">
        <f t="shared" ca="1" si="5"/>
        <v>-48165.133625887254</v>
      </c>
    </row>
    <row r="38" spans="1:41" s="36" customFormat="1" ht="21" x14ac:dyDescent="0.35">
      <c r="A38" s="36" t="s">
        <v>602</v>
      </c>
      <c r="B38" s="49">
        <f ca="1">('Fertilizer Rate'!B14-'Fertilizer Rate'!B15)*Parameters!$C$17*'P_Index Scores'!B37/(Parameters!$C$36)</f>
        <v>-17172.499062642735</v>
      </c>
      <c r="C38" s="49">
        <f ca="1">('Fertilizer Rate'!C14-'Fertilizer Rate'!C15)*Parameters!$C$17*'P_Index Scores'!C37/(Parameters!$C$36)</f>
        <v>-693.14293347958767</v>
      </c>
      <c r="D38" s="49">
        <f ca="1">('Fertilizer Rate'!D14-'Fertilizer Rate'!D15)*Parameters!$C$17*'P_Index Scores'!D37/(Parameters!$C$36)</f>
        <v>-4895.56977075756</v>
      </c>
      <c r="E38" s="49">
        <f ca="1">('Fertilizer Rate'!E14-'Fertilizer Rate'!E15)*Parameters!$C$17*'P_Index Scores'!E37/(Parameters!$C$36)</f>
        <v>0</v>
      </c>
      <c r="F38" s="49">
        <f ca="1">('Fertilizer Rate'!F14-'Fertilizer Rate'!F15)*Parameters!$C$17*'P_Index Scores'!F37/(Parameters!$C$36)</f>
        <v>-10038.209209088618</v>
      </c>
      <c r="G38" s="49">
        <f ca="1">('Fertilizer Rate'!G14-'Fertilizer Rate'!G15)*Parameters!$C$17*'P_Index Scores'!G37/(Parameters!$C$36)</f>
        <v>-0.26051852812578175</v>
      </c>
      <c r="H38" s="49">
        <f ca="1">('Fertilizer Rate'!H14-'Fertilizer Rate'!H15)*Parameters!$C$17*'P_Index Scores'!H37/(Parameters!$C$36)</f>
        <v>-3528.6672882168559</v>
      </c>
      <c r="I38" s="49">
        <f ca="1">('Fertilizer Rate'!I14-'Fertilizer Rate'!I15)*Parameters!$C$17*'P_Index Scores'!I37/(Parameters!$C$36)</f>
        <v>-25082.660096743799</v>
      </c>
      <c r="J38" s="49">
        <f ca="1">('Fertilizer Rate'!J14-'Fertilizer Rate'!J15)*Parameters!$C$17*'P_Index Scores'!J37/(Parameters!$C$36)</f>
        <v>-11287.058200195999</v>
      </c>
      <c r="K38" s="49">
        <f ca="1">('Fertilizer Rate'!K14-'Fertilizer Rate'!K15)*Parameters!$C$17*'P_Index Scores'!K37/(Parameters!$C$36)</f>
        <v>-15046.858155338878</v>
      </c>
      <c r="L38" s="49">
        <f ca="1">('Fertilizer Rate'!L14-'Fertilizer Rate'!L15)*Parameters!$C$17*'P_Index Scores'!L37/(Parameters!$C$36)</f>
        <v>-45.233937357325729</v>
      </c>
      <c r="M38" s="49">
        <f ca="1">('Fertilizer Rate'!M14-'Fertilizer Rate'!M15)*Parameters!$C$17*'P_Index Scores'!M37/(Parameters!$C$36)</f>
        <v>-1754.251877722076</v>
      </c>
      <c r="N38" s="49">
        <f ca="1">('Fertilizer Rate'!N14-'Fertilizer Rate'!N15)*Parameters!$C$17*'P_Index Scores'!N37/(Parameters!$C$36)</f>
        <v>-8641.5251071354542</v>
      </c>
      <c r="O38" s="49">
        <f ca="1">('Fertilizer Rate'!O14-'Fertilizer Rate'!O15)*Parameters!$C$17*'P_Index Scores'!O37/(Parameters!$C$36)</f>
        <v>-14867.598933644245</v>
      </c>
      <c r="P38" s="49">
        <f ca="1">('Fertilizer Rate'!P14-'Fertilizer Rate'!P15)*Parameters!$C$17*'P_Index Scores'!P37/(Parameters!$C$36)</f>
        <v>-4348.139253841724</v>
      </c>
      <c r="Q38" s="49">
        <f ca="1">('Fertilizer Rate'!Q14-'Fertilizer Rate'!Q15)*Parameters!$C$17*'P_Index Scores'!Q37/(Parameters!$C$36)</f>
        <v>-4171.1950383248031</v>
      </c>
      <c r="R38" s="49">
        <f ca="1">('Fertilizer Rate'!R14-'Fertilizer Rate'!R15)*Parameters!$C$17*'P_Index Scores'!R37/(Parameters!$C$36)</f>
        <v>-7.191528355923564E-2</v>
      </c>
      <c r="S38" s="49">
        <f ca="1">('Fertilizer Rate'!S14-'Fertilizer Rate'!S15)*Parameters!$C$17*'P_Index Scores'!S37/(Parameters!$C$36)</f>
        <v>-985.34795505408442</v>
      </c>
      <c r="T38" s="49">
        <f ca="1">('Fertilizer Rate'!T14-'Fertilizer Rate'!T15)*Parameters!$C$17*'P_Index Scores'!T37/(Parameters!$C$36)</f>
        <v>-6.2422168973996828E-2</v>
      </c>
      <c r="U38" s="49">
        <f ca="1">('Fertilizer Rate'!U14-'Fertilizer Rate'!U15)*Parameters!$C$17*'P_Index Scores'!U37/(Parameters!$C$36)</f>
        <v>-561.37427696764291</v>
      </c>
      <c r="V38" s="49">
        <f ca="1">('Fertilizer Rate'!V14-'Fertilizer Rate'!V15)*Parameters!$C$17*'P_Index Scores'!V37/(Parameters!$C$36)</f>
        <v>-633.19261492280395</v>
      </c>
      <c r="W38" s="49">
        <f ca="1">('Fertilizer Rate'!W14-'Fertilizer Rate'!W15)*Parameters!$C$17*'P_Index Scores'!W37/(Parameters!$C$36)</f>
        <v>-8647.7640538511569</v>
      </c>
      <c r="X38" s="49">
        <f ca="1">('Fertilizer Rate'!X14-'Fertilizer Rate'!X15)*Parameters!$C$17*'P_Index Scores'!X37/(Parameters!$C$36)</f>
        <v>-276.95147799713533</v>
      </c>
      <c r="Y38" s="49">
        <f ca="1">('Fertilizer Rate'!Y14-'Fertilizer Rate'!Y15)*Parameters!$C$17*'P_Index Scores'!Y37/(Parameters!$C$36)</f>
        <v>-12757.143612185419</v>
      </c>
      <c r="Z38" s="49">
        <f ca="1">('Fertilizer Rate'!Z14-'Fertilizer Rate'!Z15)*Parameters!$C$17*'P_Index Scores'!Z37/(Parameters!$C$36)</f>
        <v>-35995.833841906257</v>
      </c>
      <c r="AA38" s="49">
        <f ca="1">('Fertilizer Rate'!AA14-'Fertilizer Rate'!AA15)*Parameters!$C$17*'P_Index Scores'!AA37/(Parameters!$C$36)</f>
        <v>-1934.756620399929</v>
      </c>
      <c r="AB38" s="49">
        <f ca="1">('Fertilizer Rate'!AB14-'Fertilizer Rate'!AB15)*Parameters!$C$17*'P_Index Scores'!AB37/(Parameters!$C$36)</f>
        <v>-19366.197647447902</v>
      </c>
      <c r="AC38" s="49">
        <f ca="1">('Fertilizer Rate'!AC14-'Fertilizer Rate'!AC15)*Parameters!$C$17*'P_Index Scores'!AC37/(Parameters!$C$36)</f>
        <v>-9.6326654293471226</v>
      </c>
      <c r="AD38" s="49">
        <f ca="1">('Fertilizer Rate'!AD14-'Fertilizer Rate'!AD15)*Parameters!$C$17*'P_Index Scores'!AD37/(Parameters!$C$36)</f>
        <v>-1054.8424474082558</v>
      </c>
      <c r="AE38" s="49">
        <f ca="1">('Fertilizer Rate'!AE14-'Fertilizer Rate'!AE15)*Parameters!$C$17*'P_Index Scores'!AE37/(Parameters!$C$36)</f>
        <v>-1622.5873205870405</v>
      </c>
      <c r="AF38" s="49">
        <f ca="1">('Fertilizer Rate'!AF14-'Fertilizer Rate'!AF15)*Parameters!$C$17*'P_Index Scores'!AF37/(Parameters!$C$36)</f>
        <v>-2066.4760482688921</v>
      </c>
      <c r="AG38" s="49">
        <f ca="1">('Fertilizer Rate'!AG14-'Fertilizer Rate'!AG15)*Parameters!$C$17*'P_Index Scores'!AG37/(Parameters!$C$36)</f>
        <v>-334.09184305752956</v>
      </c>
      <c r="AH38" s="49">
        <f ca="1">('Fertilizer Rate'!AH14-'Fertilizer Rate'!AH15)*Parameters!$C$17*'P_Index Scores'!AH37/(Parameters!$C$36)</f>
        <v>-31944.212367877612</v>
      </c>
      <c r="AI38" s="49">
        <f ca="1">('Fertilizer Rate'!AI14-'Fertilizer Rate'!AI15)*Parameters!$C$17*'P_Index Scores'!AI37/(Parameters!$C$36)</f>
        <v>-1803.7458876554033</v>
      </c>
      <c r="AJ38" s="49">
        <f ca="1">('Fertilizer Rate'!AJ14-'Fertilizer Rate'!AJ15)*Parameters!$C$17*'P_Index Scores'!AJ37/(Parameters!$C$36)</f>
        <v>-6486.4803851264405</v>
      </c>
      <c r="AK38" s="49">
        <f ca="1">('Fertilizer Rate'!AK14-'Fertilizer Rate'!AK15)*Parameters!$C$17*'P_Index Scores'!AK37/(Parameters!$C$36)</f>
        <v>-9083.4167907442279</v>
      </c>
      <c r="AL38" s="49">
        <f ca="1">('Fertilizer Rate'!AL14-'Fertilizer Rate'!AL15)*Parameters!$C$17*'P_Index Scores'!AL37/(Parameters!$C$36)</f>
        <v>-13541.275275744629</v>
      </c>
      <c r="AM38" s="49">
        <f ca="1">('Fertilizer Rate'!AM14-'Fertilizer Rate'!AM15)*Parameters!$C$17*'P_Index Scores'!AM37/(Parameters!$C$36)</f>
        <v>-17640.668078580649</v>
      </c>
      <c r="AN38" s="49">
        <f ca="1">('Fertilizer Rate'!AN14-'Fertilizer Rate'!AN15)*Parameters!$C$17*'P_Index Scores'!AN37/(Parameters!$C$36)</f>
        <v>-20677.941570669984</v>
      </c>
      <c r="AO38" s="445">
        <f t="shared" ca="1" si="5"/>
        <v>-308996.93650235265</v>
      </c>
    </row>
    <row r="39" spans="1:41" s="36" customFormat="1" ht="21" x14ac:dyDescent="0.35">
      <c r="A39" s="36" t="s">
        <v>902</v>
      </c>
      <c r="B39" s="49">
        <f ca="1">(B6+B8)*'P_Index Scores'!B38*Parameters!$C$17/(Parameters!$C$36)</f>
        <v>-2427.1017050667501</v>
      </c>
      <c r="C39" s="49">
        <f ca="1">(C6+C8)*'P_Index Scores'!C38*Parameters!$C$17/(Parameters!$C$36)</f>
        <v>-152.99863560383858</v>
      </c>
      <c r="D39" s="49">
        <f ca="1">(D6+D8)*'P_Index Scores'!D38*Parameters!$C$17/(Parameters!$C$36)</f>
        <v>-1562.2919529814858</v>
      </c>
      <c r="E39" s="49">
        <f ca="1">(E6+E8)*'P_Index Scores'!E38*Parameters!$C$17/(Parameters!$C$36)</f>
        <v>-1084.8677319905887</v>
      </c>
      <c r="F39" s="49">
        <f ca="1">(F6+F8)*'P_Index Scores'!F38*Parameters!$C$17/(Parameters!$C$36)</f>
        <v>-4498.6971677101528</v>
      </c>
      <c r="G39" s="49">
        <f ca="1">(G6+G8)*'P_Index Scores'!G38*Parameters!$C$17/(Parameters!$C$36)</f>
        <v>-4.5220418193771303</v>
      </c>
      <c r="H39" s="49">
        <f ca="1">(H6+H8)*'P_Index Scores'!H38*Parameters!$C$17/(Parameters!$C$36)</f>
        <v>-932.271515627187</v>
      </c>
      <c r="I39" s="49">
        <f ca="1">(I6+I8)*'P_Index Scores'!I38*Parameters!$C$17/(Parameters!$C$36)</f>
        <v>-7424.6957638081249</v>
      </c>
      <c r="J39" s="49">
        <f ca="1">(J6+J8)*'P_Index Scores'!J38*Parameters!$C$17/(Parameters!$C$36)</f>
        <v>-1940.8837373198562</v>
      </c>
      <c r="K39" s="49">
        <f ca="1">(K6+K8)*'P_Index Scores'!K38*Parameters!$C$17/(Parameters!$C$36)</f>
        <v>-2654.2762972899473</v>
      </c>
      <c r="L39" s="49">
        <f ca="1">(L6+L8)*'P_Index Scores'!L38*Parameters!$C$17/(Parameters!$C$36)</f>
        <v>-36.143519568488983</v>
      </c>
      <c r="M39" s="49">
        <f ca="1">(M6+M8)*'P_Index Scores'!M38*Parameters!$C$17/(Parameters!$C$36)</f>
        <v>-936.31603707232659</v>
      </c>
      <c r="N39" s="49">
        <f ca="1">(N6+N8)*'P_Index Scores'!N38*Parameters!$C$17/(Parameters!$C$36)</f>
        <v>-3297.0397851071389</v>
      </c>
      <c r="O39" s="49">
        <f ca="1">(O6+O8)*'P_Index Scores'!O38*Parameters!$C$17/(Parameters!$C$36)</f>
        <v>-2682.6980544311705</v>
      </c>
      <c r="P39" s="49">
        <f ca="1">(P6+P8)*'P_Index Scores'!P38*Parameters!$C$17/(Parameters!$C$36)</f>
        <v>-558.86464243506123</v>
      </c>
      <c r="Q39" s="49">
        <f ca="1">(Q6+Q8)*'P_Index Scores'!Q38*Parameters!$C$17/(Parameters!$C$36)</f>
        <v>-801.95550956564273</v>
      </c>
      <c r="R39" s="49">
        <f ca="1">(R6+R8)*'P_Index Scores'!R38*Parameters!$C$17/(Parameters!$C$36)</f>
        <v>-0.91359323092727862</v>
      </c>
      <c r="S39" s="49">
        <f ca="1">(S6+S8)*'P_Index Scores'!S38*Parameters!$C$17/(Parameters!$C$36)</f>
        <v>-578.56613107530359</v>
      </c>
      <c r="T39" s="49">
        <f ca="1">(T6+T8)*'P_Index Scores'!T38*Parameters!$C$17/(Parameters!$C$36)</f>
        <v>-1.1306211352724507</v>
      </c>
      <c r="U39" s="49">
        <f ca="1">(U6+U8)*'P_Index Scores'!U38*Parameters!$C$17/(Parameters!$C$36)</f>
        <v>-516.61713817961322</v>
      </c>
      <c r="V39" s="49">
        <f ca="1">(V6+V8)*'P_Index Scores'!V38*Parameters!$C$17/(Parameters!$C$36)</f>
        <v>-262.84458273214011</v>
      </c>
      <c r="W39" s="49">
        <f ca="1">(W6+W8)*'P_Index Scores'!W38*Parameters!$C$17/(Parameters!$C$36)</f>
        <v>-1807.1058944246161</v>
      </c>
      <c r="X39" s="49">
        <f ca="1">(X6+X8)*'P_Index Scores'!X38*Parameters!$C$17/(Parameters!$C$36)</f>
        <v>-209.33936467232968</v>
      </c>
      <c r="Y39" s="49">
        <f ca="1">(Y6+Y8)*'P_Index Scores'!Y38*Parameters!$C$17/(Parameters!$C$36)</f>
        <v>-2558.6711348043768</v>
      </c>
      <c r="Z39" s="49">
        <f ca="1">(Z6+Z8)*'P_Index Scores'!Z38*Parameters!$C$17/(Parameters!$C$36)</f>
        <v>-7342.3488228093765</v>
      </c>
      <c r="AA39" s="49">
        <f ca="1">(AA6+AA8)*'P_Index Scores'!AA38*Parameters!$C$17/(Parameters!$C$36)</f>
        <v>-880.90241100931928</v>
      </c>
      <c r="AB39" s="49">
        <f ca="1">(AB6+AB8)*'P_Index Scores'!AB38*Parameters!$C$17/(Parameters!$C$36)</f>
        <v>-2462.5112396431646</v>
      </c>
      <c r="AC39" s="49">
        <f ca="1">(AC6+AC8)*'P_Index Scores'!AC38*Parameters!$C$17/(Parameters!$C$36)</f>
        <v>-36.748737728817474</v>
      </c>
      <c r="AD39" s="49">
        <f ca="1">(AD6+AD8)*'P_Index Scores'!AD38*Parameters!$C$17/(Parameters!$C$36)</f>
        <v>-326.54615233083126</v>
      </c>
      <c r="AE39" s="49">
        <f ca="1">(AE6+AE8)*'P_Index Scores'!AE38*Parameters!$C$17/(Parameters!$C$36)</f>
        <v>-361.77313703737934</v>
      </c>
      <c r="AF39" s="49">
        <f ca="1">(AF6+AF8)*'P_Index Scores'!AF38*Parameters!$C$17/(Parameters!$C$36)</f>
        <v>-730.39225634771583</v>
      </c>
      <c r="AG39" s="49">
        <f ca="1">(AG6+AG8)*'P_Index Scores'!AG38*Parameters!$C$17/(Parameters!$C$36)</f>
        <v>-107.11680840053492</v>
      </c>
      <c r="AH39" s="49">
        <f ca="1">(AH6+AH8)*'P_Index Scores'!AH38*Parameters!$C$17/(Parameters!$C$36)</f>
        <v>-5543.5915013144304</v>
      </c>
      <c r="AI39" s="49">
        <f ca="1">(AI6+AI8)*'P_Index Scores'!AI38*Parameters!$C$17/(Parameters!$C$36)</f>
        <v>-546.51036462196942</v>
      </c>
      <c r="AJ39" s="49">
        <f ca="1">(AJ6+AJ8)*'P_Index Scores'!AJ38*Parameters!$C$17/(Parameters!$C$36)</f>
        <v>-1410.3075885851183</v>
      </c>
      <c r="AK39" s="49">
        <f ca="1">(AK6+AK8)*'P_Index Scores'!AK38*Parameters!$C$17/(Parameters!$C$36)</f>
        <v>-1212.9629350571499</v>
      </c>
      <c r="AL39" s="49">
        <f ca="1">(AL6+AL8)*'P_Index Scores'!AL38*Parameters!$C$17/(Parameters!$C$36)</f>
        <v>-2823.3297564849699</v>
      </c>
      <c r="AM39" s="49">
        <f ca="1">(AM6+AM8)*'P_Index Scores'!AM38*Parameters!$C$17/(Parameters!$C$36)</f>
        <v>-4966.0718193873545</v>
      </c>
      <c r="AN39" s="49">
        <f ca="1">(AN6+AN8)*'P_Index Scores'!AN38*Parameters!$C$17/(Parameters!$C$36)</f>
        <v>-4004.3294557699078</v>
      </c>
      <c r="AO39" s="445">
        <f t="shared" ca="1" si="5"/>
        <v>-69686.255544179759</v>
      </c>
    </row>
    <row r="40" spans="1:41" s="36" customFormat="1" ht="21" x14ac:dyDescent="0.35">
      <c r="A40" s="36" t="s">
        <v>1121</v>
      </c>
      <c r="B40" s="49">
        <f ca="1">(B6+B7)*'P_Index Scores'!B39*Parameters!$C$17/(Parameters!$C$36)</f>
        <v>-908.31898720140077</v>
      </c>
      <c r="C40" s="49">
        <f ca="1">(C6+C7)*'P_Index Scores'!C39*Parameters!$C$17/(Parameters!$C$36)</f>
        <v>-22.408586719722535</v>
      </c>
      <c r="D40" s="49">
        <f ca="1">(D6+D7)*'P_Index Scores'!D39*Parameters!$C$17/(Parameters!$C$36)</f>
        <v>-814.17032083243544</v>
      </c>
      <c r="E40" s="49">
        <f ca="1">(E6+E7)*'P_Index Scores'!E39*Parameters!$C$17/(Parameters!$C$36)</f>
        <v>-1080.7760460167542</v>
      </c>
      <c r="F40" s="49">
        <f ca="1">(F6+F7)*'P_Index Scores'!F39*Parameters!$C$17/(Parameters!$C$36)</f>
        <v>-558.19781992566402</v>
      </c>
      <c r="G40" s="49">
        <f ca="1">(G6+G7)*'P_Index Scores'!G39*Parameters!$C$17/(Parameters!$C$36)</f>
        <v>-8.6464201597617455E-7</v>
      </c>
      <c r="H40" s="49">
        <f ca="1">(H6+H7)*'P_Index Scores'!H39*Parameters!$C$17/(Parameters!$C$36)</f>
        <v>-824.46488583609414</v>
      </c>
      <c r="I40" s="49">
        <f ca="1">(I6+I7)*'P_Index Scores'!I39*Parameters!$C$17/(Parameters!$C$36)</f>
        <v>-705.6402319062131</v>
      </c>
      <c r="J40" s="49">
        <f ca="1">(J6+J7)*'P_Index Scores'!J39*Parameters!$C$17/(Parameters!$C$36)</f>
        <v>-179.59920451888109</v>
      </c>
      <c r="K40" s="49">
        <f ca="1">(K6+K7)*'P_Index Scores'!K39*Parameters!$C$17/(Parameters!$C$36)</f>
        <v>-100.78316495772455</v>
      </c>
      <c r="L40" s="49">
        <f ca="1">(L6+L7)*'P_Index Scores'!L39*Parameters!$C$17/(Parameters!$C$36)</f>
        <v>-5.4526041576141218</v>
      </c>
      <c r="M40" s="49">
        <f ca="1">(M6+M7)*'P_Index Scores'!M39*Parameters!$C$17/(Parameters!$C$36)</f>
        <v>-7.859825823222212</v>
      </c>
      <c r="N40" s="49">
        <f ca="1">(N6+N7)*'P_Index Scores'!N39*Parameters!$C$17/(Parameters!$C$36)</f>
        <v>-1707.2455843128773</v>
      </c>
      <c r="O40" s="49">
        <f ca="1">(O6+O7)*'P_Index Scores'!O39*Parameters!$C$17/(Parameters!$C$36)</f>
        <v>-45.689100941702712</v>
      </c>
      <c r="P40" s="49">
        <f ca="1">(P6+P7)*'P_Index Scores'!P39*Parameters!$C$17/(Parameters!$C$36)</f>
        <v>-155.60066152098278</v>
      </c>
      <c r="Q40" s="49">
        <f ca="1">(Q6+Q7)*'P_Index Scores'!Q39*Parameters!$C$17/(Parameters!$C$36)</f>
        <v>-10.734151655245903</v>
      </c>
      <c r="R40" s="49">
        <f ca="1">(R6+R7)*'P_Index Scores'!R39*Parameters!$C$17/(Parameters!$C$36)</f>
        <v>-1.9283815715536994E-2</v>
      </c>
      <c r="S40" s="49">
        <f ca="1">(S6+S7)*'P_Index Scores'!S39*Parameters!$C$17/(Parameters!$C$36)</f>
        <v>-46.839129353539718</v>
      </c>
      <c r="T40" s="49">
        <f ca="1">(T6+T7)*'P_Index Scores'!T39*Parameters!$C$17/(Parameters!$C$36)</f>
        <v>-5.2307522813783529E-3</v>
      </c>
      <c r="U40" s="49">
        <f ca="1">(U6+U7)*'P_Index Scores'!U39*Parameters!$C$17/(Parameters!$C$36)</f>
        <v>-1.0230071987149918</v>
      </c>
      <c r="V40" s="49">
        <f ca="1">(V6+V7)*'P_Index Scores'!V39*Parameters!$C$17/(Parameters!$C$36)</f>
        <v>-22.028261528178856</v>
      </c>
      <c r="W40" s="49">
        <f ca="1">(W6+W7)*'P_Index Scores'!W39*Parameters!$C$17/(Parameters!$C$36)</f>
        <v>-25.239125555737445</v>
      </c>
      <c r="X40" s="49">
        <f ca="1">(X6+X7)*'P_Index Scores'!X39*Parameters!$C$17/(Parameters!$C$36)</f>
        <v>-4.3886522095179386</v>
      </c>
      <c r="Y40" s="49">
        <f ca="1">(Y6+Y7)*'P_Index Scores'!Y39*Parameters!$C$17/(Parameters!$C$36)</f>
        <v>-1505.2357630079509</v>
      </c>
      <c r="Z40" s="49">
        <f ca="1">(Z6+Z7)*'P_Index Scores'!Z39*Parameters!$C$17/(Parameters!$C$36)</f>
        <v>-1106.871381281713</v>
      </c>
      <c r="AA40" s="49">
        <f ca="1">(AA6+AA7)*'P_Index Scores'!AA39*Parameters!$C$17/(Parameters!$C$36)</f>
        <v>-26.618075517519806</v>
      </c>
      <c r="AB40" s="49">
        <f ca="1">(AB6+AB7)*'P_Index Scores'!AB39*Parameters!$C$17/(Parameters!$C$36)</f>
        <v>-1574.0145036029633</v>
      </c>
      <c r="AC40" s="49">
        <f ca="1">(AC6+AC7)*'P_Index Scores'!AC39*Parameters!$C$17/(Parameters!$C$36)</f>
        <v>-2.0521800957415883</v>
      </c>
      <c r="AD40" s="49">
        <f ca="1">(AD6+AD7)*'P_Index Scores'!AD39*Parameters!$C$17/(Parameters!$C$36)</f>
        <v>-57.018791554804558</v>
      </c>
      <c r="AE40" s="49">
        <f ca="1">(AE6+AE7)*'P_Index Scores'!AE39*Parameters!$C$17/(Parameters!$C$36)</f>
        <v>-67.589515504505968</v>
      </c>
      <c r="AF40" s="49">
        <f ca="1">(AF6+AF7)*'P_Index Scores'!AF39*Parameters!$C$17/(Parameters!$C$36)</f>
        <v>-177.38395135384056</v>
      </c>
      <c r="AG40" s="49">
        <f ca="1">(AG6+AG7)*'P_Index Scores'!AG39*Parameters!$C$17/(Parameters!$C$36)</f>
        <v>-54.827650627107289</v>
      </c>
      <c r="AH40" s="49">
        <f ca="1">(AH6+AH7)*'P_Index Scores'!AH39*Parameters!$C$17/(Parameters!$C$36)</f>
        <v>-711.78284140425046</v>
      </c>
      <c r="AI40" s="49">
        <f ca="1">(AI6+AI7)*'P_Index Scores'!AI39*Parameters!$C$17/(Parameters!$C$36)</f>
        <v>-76.552550237395522</v>
      </c>
      <c r="AJ40" s="49">
        <f ca="1">(AJ6+AJ7)*'P_Index Scores'!AJ39*Parameters!$C$17/(Parameters!$C$36)</f>
        <v>-13.358132516690288</v>
      </c>
      <c r="AK40" s="49">
        <f ca="1">(AK6+AK7)*'P_Index Scores'!AK39*Parameters!$C$17/(Parameters!$C$36)</f>
        <v>-314.56751376007838</v>
      </c>
      <c r="AL40" s="49">
        <f ca="1">(AL6+AL7)*'P_Index Scores'!AL39*Parameters!$C$17/(Parameters!$C$36)</f>
        <v>-84.484546466998822</v>
      </c>
      <c r="AM40" s="49">
        <f ca="1">(AM6+AM7)*'P_Index Scores'!AM39*Parameters!$C$17/(Parameters!$C$36)</f>
        <v>-452.76411422511853</v>
      </c>
      <c r="AN40" s="49">
        <f ca="1">(AN6+AN7)*'P_Index Scores'!AN39*Parameters!$C$17/(Parameters!$C$36)</f>
        <v>-519.57547364739924</v>
      </c>
      <c r="AO40" s="445">
        <f t="shared" ca="1" si="5"/>
        <v>-13971.180852408939</v>
      </c>
    </row>
    <row r="41" spans="1:41" s="36" customFormat="1" ht="21" x14ac:dyDescent="0.35">
      <c r="A41" s="36" t="s">
        <v>903</v>
      </c>
      <c r="B41" s="49">
        <f ca="1">(B6+B8)*'P_Index Scores'!B40*Parameters!$C$17/(Parameters!$C$36)</f>
        <v>-6947.6926682344983</v>
      </c>
      <c r="C41" s="49">
        <f ca="1">(C6+C8)*'P_Index Scores'!C40*Parameters!$C$17/(Parameters!$C$36)</f>
        <v>-440.67043206716932</v>
      </c>
      <c r="D41" s="49">
        <f ca="1">(D6+D8)*'P_Index Scores'!D40*Parameters!$C$17/(Parameters!$C$36)</f>
        <v>-2681.8440288934735</v>
      </c>
      <c r="E41" s="49">
        <f ca="1">(E6+E8)*'P_Index Scores'!E40*Parameters!$C$17/(Parameters!$C$36)</f>
        <v>-2836.7142556986964</v>
      </c>
      <c r="F41" s="49">
        <f ca="1">(F6+F8)*'P_Index Scores'!F40*Parameters!$C$17/(Parameters!$C$36)</f>
        <v>-5726.2273971311233</v>
      </c>
      <c r="G41" s="49">
        <f ca="1">(G6+G8)*'P_Index Scores'!G40*Parameters!$C$17/(Parameters!$C$36)</f>
        <v>-7.6947625140046263</v>
      </c>
      <c r="H41" s="49">
        <f ca="1">(H6+H8)*'P_Index Scores'!H40*Parameters!$C$17/(Parameters!$C$36)</f>
        <v>-2672.2411267312186</v>
      </c>
      <c r="I41" s="49">
        <f ca="1">(I6+I8)*'P_Index Scores'!I40*Parameters!$C$17/(Parameters!$C$36)</f>
        <v>-8353.7232674393636</v>
      </c>
      <c r="J41" s="49">
        <f ca="1">(J6+J8)*'P_Index Scores'!J40*Parameters!$C$17/(Parameters!$C$36)</f>
        <v>-2057.3639816983032</v>
      </c>
      <c r="K41" s="49">
        <f ca="1">(K6+K8)*'P_Index Scores'!K40*Parameters!$C$17/(Parameters!$C$36)</f>
        <v>-4510.549550448739</v>
      </c>
      <c r="L41" s="49">
        <f ca="1">(L6+L8)*'P_Index Scores'!L40*Parameters!$C$17/(Parameters!$C$36)</f>
        <v>-54.121034845994785</v>
      </c>
      <c r="M41" s="49">
        <f ca="1">(M6+M8)*'P_Index Scores'!M40*Parameters!$C$17/(Parameters!$C$36)</f>
        <v>-1354.5377490867445</v>
      </c>
      <c r="N41" s="49">
        <f ca="1">(N6+N8)*'P_Index Scores'!N40*Parameters!$C$17/(Parameters!$C$36)</f>
        <v>-3899.284092123909</v>
      </c>
      <c r="O41" s="49">
        <f ca="1">(O6+O8)*'P_Index Scores'!O40*Parameters!$C$17/(Parameters!$C$36)</f>
        <v>-4880.189737983942</v>
      </c>
      <c r="P41" s="49">
        <f ca="1">(P6+P8)*'P_Index Scores'!P40*Parameters!$C$17/(Parameters!$C$36)</f>
        <v>-1440.3083585203476</v>
      </c>
      <c r="Q41" s="49">
        <f ca="1">(Q6+Q8)*'P_Index Scores'!Q40*Parameters!$C$17/(Parameters!$C$36)</f>
        <v>-1352.9500677186954</v>
      </c>
      <c r="R41" s="49">
        <f ca="1">(R6+R8)*'P_Index Scores'!R40*Parameters!$C$17/(Parameters!$C$36)</f>
        <v>-1.1043602823442027</v>
      </c>
      <c r="S41" s="49">
        <f ca="1">(S6+S8)*'P_Index Scores'!S40*Parameters!$C$17/(Parameters!$C$36)</f>
        <v>-825.53638471072873</v>
      </c>
      <c r="T41" s="49">
        <f ca="1">(T6+T8)*'P_Index Scores'!T40*Parameters!$C$17/(Parameters!$C$36)</f>
        <v>-1.5549036904505484</v>
      </c>
      <c r="U41" s="49">
        <f ca="1">(U6+U8)*'P_Index Scores'!U40*Parameters!$C$17/(Parameters!$C$36)</f>
        <v>-579.03215304759817</v>
      </c>
      <c r="V41" s="49">
        <f ca="1">(V6+V8)*'P_Index Scores'!V40*Parameters!$C$17/(Parameters!$C$36)</f>
        <v>-215.36360118724292</v>
      </c>
      <c r="W41" s="49">
        <f ca="1">(W6+W8)*'P_Index Scores'!W40*Parameters!$C$17/(Parameters!$C$36)</f>
        <v>-3036.8034146920063</v>
      </c>
      <c r="X41" s="49">
        <f ca="1">(X6+X8)*'P_Index Scores'!X40*Parameters!$C$17/(Parameters!$C$36)</f>
        <v>-249.68526801222652</v>
      </c>
      <c r="Y41" s="49">
        <f ca="1">(Y6+Y8)*'P_Index Scores'!Y40*Parameters!$C$17/(Parameters!$C$36)</f>
        <v>-4535.2063673429384</v>
      </c>
      <c r="Z41" s="49">
        <f ca="1">(Z6+Z8)*'P_Index Scores'!Z40*Parameters!$C$17/(Parameters!$C$36)</f>
        <v>-7767.5859713133004</v>
      </c>
      <c r="AA41" s="49">
        <f ca="1">(AA6+AA8)*'P_Index Scores'!AA40*Parameters!$C$17/(Parameters!$C$36)</f>
        <v>-1322.4292730215943</v>
      </c>
      <c r="AB41" s="49">
        <f ca="1">(AB6+AB8)*'P_Index Scores'!AB40*Parameters!$C$17/(Parameters!$C$36)</f>
        <v>-7058.0270058836286</v>
      </c>
      <c r="AC41" s="49">
        <f ca="1">(AC6+AC8)*'P_Index Scores'!AC40*Parameters!$C$17/(Parameters!$C$36)</f>
        <v>-56.478989567598717</v>
      </c>
      <c r="AD41" s="49">
        <f ca="1">(AD6+AD8)*'P_Index Scores'!AD40*Parameters!$C$17/(Parameters!$C$36)</f>
        <v>-186.1112874221682</v>
      </c>
      <c r="AE41" s="49">
        <f ca="1">(AE6+AE8)*'P_Index Scores'!AE40*Parameters!$C$17/(Parameters!$C$36)</f>
        <v>-273.81798165889671</v>
      </c>
      <c r="AF41" s="49">
        <f ca="1">(AF6+AF8)*'P_Index Scores'!AF40*Parameters!$C$17/(Parameters!$C$36)</f>
        <v>-552.02494976259038</v>
      </c>
      <c r="AG41" s="49">
        <f ca="1">(AG6+AG8)*'P_Index Scores'!AG40*Parameters!$C$17/(Parameters!$C$36)</f>
        <v>-184.69546016638932</v>
      </c>
      <c r="AH41" s="49">
        <f ca="1">(AH6+AH8)*'P_Index Scores'!AH40*Parameters!$C$17/(Parameters!$C$36)</f>
        <v>-5831.5777451813719</v>
      </c>
      <c r="AI41" s="49">
        <f ca="1">(AI6+AI8)*'P_Index Scores'!AI40*Parameters!$C$17/(Parameters!$C$36)</f>
        <v>-743.73065859698499</v>
      </c>
      <c r="AJ41" s="49">
        <f ca="1">(AJ6+AJ8)*'P_Index Scores'!AJ40*Parameters!$C$17/(Parameters!$C$36)</f>
        <v>-2046.790061128394</v>
      </c>
      <c r="AK41" s="49">
        <f ca="1">(AK6+AK8)*'P_Index Scores'!AK40*Parameters!$C$17/(Parameters!$C$36)</f>
        <v>-3323.4149466763151</v>
      </c>
      <c r="AL41" s="49">
        <f ca="1">(AL6+AL8)*'P_Index Scores'!AL40*Parameters!$C$17/(Parameters!$C$36)</f>
        <v>-4753.6687942538902</v>
      </c>
      <c r="AM41" s="49">
        <f ca="1">(AM6+AM8)*'P_Index Scores'!AM40*Parameters!$C$17/(Parameters!$C$36)</f>
        <v>-2964.1017433676857</v>
      </c>
      <c r="AN41" s="49">
        <f ca="1">(AN6+AN8)*'P_Index Scores'!AN40*Parameters!$C$17/(Parameters!$C$36)</f>
        <v>-3712.0324370290618</v>
      </c>
      <c r="AO41" s="445">
        <f t="shared" ca="1" si="5"/>
        <v>-99436.886269131646</v>
      </c>
    </row>
    <row r="42" spans="1:41" s="49" customFormat="1" ht="31.5" x14ac:dyDescent="0.35">
      <c r="A42" s="498" t="s">
        <v>849</v>
      </c>
      <c r="B42" s="444">
        <f t="shared" ref="B42:AN42" ca="1" si="6">B21+SUM(B32:B41)</f>
        <v>427061.52129159885</v>
      </c>
      <c r="C42" s="444">
        <f t="shared" ca="1" si="6"/>
        <v>31776.226717285197</v>
      </c>
      <c r="D42" s="444">
        <f t="shared" ca="1" si="6"/>
        <v>168241.60795392556</v>
      </c>
      <c r="E42" s="444">
        <f t="shared" ca="1" si="6"/>
        <v>192687.31065533319</v>
      </c>
      <c r="F42" s="444">
        <f t="shared" ca="1" si="6"/>
        <v>303755.48987828789</v>
      </c>
      <c r="G42" s="444">
        <f t="shared" ca="1" si="6"/>
        <v>4691.8836808666356</v>
      </c>
      <c r="H42" s="444">
        <f t="shared" ca="1" si="6"/>
        <v>165740.42695239931</v>
      </c>
      <c r="I42" s="444">
        <f t="shared" ca="1" si="6"/>
        <v>405716.36819818534</v>
      </c>
      <c r="J42" s="444">
        <f t="shared" ca="1" si="6"/>
        <v>115856.65799919286</v>
      </c>
      <c r="K42" s="444">
        <f t="shared" ca="1" si="6"/>
        <v>165822.24136879886</v>
      </c>
      <c r="L42" s="444">
        <f t="shared" ca="1" si="6"/>
        <v>12440.65178612333</v>
      </c>
      <c r="M42" s="444">
        <f t="shared" ca="1" si="6"/>
        <v>67398.024169301149</v>
      </c>
      <c r="N42" s="444">
        <f t="shared" ca="1" si="6"/>
        <v>302331.6240632679</v>
      </c>
      <c r="O42" s="444">
        <f t="shared" ca="1" si="6"/>
        <v>121813.58940382366</v>
      </c>
      <c r="P42" s="444">
        <f t="shared" ca="1" si="6"/>
        <v>100956.55923649255</v>
      </c>
      <c r="Q42" s="444">
        <f t="shared" ca="1" si="6"/>
        <v>28391.587237458512</v>
      </c>
      <c r="R42" s="444">
        <f t="shared" ca="1" si="6"/>
        <v>928.34208302137188</v>
      </c>
      <c r="S42" s="444">
        <f t="shared" ca="1" si="6"/>
        <v>48081.908914089094</v>
      </c>
      <c r="T42" s="444">
        <f t="shared" ca="1" si="6"/>
        <v>1398.8513422547335</v>
      </c>
      <c r="U42" s="444">
        <f t="shared" ca="1" si="6"/>
        <v>7338.199070521041</v>
      </c>
      <c r="V42" s="444">
        <f t="shared" ca="1" si="6"/>
        <v>11795.435413489711</v>
      </c>
      <c r="W42" s="444">
        <f t="shared" ca="1" si="6"/>
        <v>55922.781389389012</v>
      </c>
      <c r="X42" s="444">
        <f t="shared" ca="1" si="6"/>
        <v>17689.91849135936</v>
      </c>
      <c r="Y42" s="444">
        <f t="shared" ca="1" si="6"/>
        <v>271191.77623379853</v>
      </c>
      <c r="Z42" s="444">
        <f t="shared" ca="1" si="6"/>
        <v>763802.80215769657</v>
      </c>
      <c r="AA42" s="444">
        <f t="shared" ca="1" si="6"/>
        <v>83300.205235055735</v>
      </c>
      <c r="AB42" s="444">
        <f t="shared" ca="1" si="6"/>
        <v>401615.06705224991</v>
      </c>
      <c r="AC42" s="444">
        <f t="shared" ca="1" si="6"/>
        <v>10664.876679537118</v>
      </c>
      <c r="AD42" s="444">
        <f t="shared" ca="1" si="6"/>
        <v>23355.79692958021</v>
      </c>
      <c r="AE42" s="444">
        <f t="shared" ca="1" si="6"/>
        <v>26964.379709252873</v>
      </c>
      <c r="AF42" s="444">
        <f t="shared" ca="1" si="6"/>
        <v>55433.034004024652</v>
      </c>
      <c r="AG42" s="444">
        <f t="shared" ca="1" si="6"/>
        <v>10927.094506487632</v>
      </c>
      <c r="AH42" s="444">
        <f t="shared" ca="1" si="6"/>
        <v>358270.62598069943</v>
      </c>
      <c r="AI42" s="444">
        <f t="shared" ca="1" si="6"/>
        <v>32042.315830146246</v>
      </c>
      <c r="AJ42" s="444">
        <f t="shared" ca="1" si="6"/>
        <v>63969.230210592556</v>
      </c>
      <c r="AK42" s="444">
        <f t="shared" ca="1" si="6"/>
        <v>220523.24869002253</v>
      </c>
      <c r="AL42" s="444">
        <f t="shared" ca="1" si="6"/>
        <v>161586.62293466617</v>
      </c>
      <c r="AM42" s="444">
        <f t="shared" ca="1" si="6"/>
        <v>221799.07131865999</v>
      </c>
      <c r="AN42" s="444">
        <f t="shared" ca="1" si="6"/>
        <v>259377.41790932888</v>
      </c>
      <c r="AO42" s="445">
        <f t="shared" ref="AO42:AO50" ca="1" si="7">SUM(B42:AN42)</f>
        <v>5722660.7726782635</v>
      </c>
    </row>
    <row r="43" spans="1:41" s="49" customFormat="1" ht="21" x14ac:dyDescent="0.35">
      <c r="A43" s="498" t="s">
        <v>906</v>
      </c>
      <c r="B43" s="444">
        <f t="shared" ref="B43:AN43" ca="1" si="8">B42-B21</f>
        <v>-61457.668450180965</v>
      </c>
      <c r="C43" s="444">
        <f t="shared" ca="1" si="8"/>
        <v>-5136.9005428486889</v>
      </c>
      <c r="D43" s="444">
        <f t="shared" ca="1" si="8"/>
        <v>-18020.416435821186</v>
      </c>
      <c r="E43" s="444">
        <f t="shared" ca="1" si="8"/>
        <v>-17283.286546798568</v>
      </c>
      <c r="F43" s="444">
        <f t="shared" ca="1" si="8"/>
        <v>-78562.28999097785</v>
      </c>
      <c r="G43" s="444">
        <f t="shared" ca="1" si="8"/>
        <v>-13.630417856818895</v>
      </c>
      <c r="H43" s="444">
        <f t="shared" ca="1" si="8"/>
        <v>-17406.284810020734</v>
      </c>
      <c r="I43" s="444">
        <f t="shared" ca="1" si="8"/>
        <v>-145523.71981019096</v>
      </c>
      <c r="J43" s="444">
        <f t="shared" ca="1" si="8"/>
        <v>-47286.047337989468</v>
      </c>
      <c r="K43" s="444">
        <f t="shared" ca="1" si="8"/>
        <v>-48067.164043896162</v>
      </c>
      <c r="L43" s="444">
        <f t="shared" ca="1" si="8"/>
        <v>-775.71133396719233</v>
      </c>
      <c r="M43" s="444">
        <f t="shared" ca="1" si="8"/>
        <v>-5124.0147003020684</v>
      </c>
      <c r="N43" s="444">
        <f t="shared" ca="1" si="8"/>
        <v>-59277.345261867333</v>
      </c>
      <c r="O43" s="444">
        <f t="shared" ca="1" si="8"/>
        <v>-39226.289127557189</v>
      </c>
      <c r="P43" s="444">
        <f t="shared" ca="1" si="8"/>
        <v>-19395.326337253064</v>
      </c>
      <c r="Q43" s="444">
        <f t="shared" ca="1" si="8"/>
        <v>-18880.609267910422</v>
      </c>
      <c r="R43" s="444">
        <f t="shared" ca="1" si="8"/>
        <v>-3.2212584931633046</v>
      </c>
      <c r="S43" s="444">
        <f t="shared" ca="1" si="8"/>
        <v>-3414.6948769238443</v>
      </c>
      <c r="T43" s="444">
        <f t="shared" ca="1" si="8"/>
        <v>-4.3361732269620461</v>
      </c>
      <c r="U43" s="444">
        <f t="shared" ca="1" si="8"/>
        <v>-3299.3561014588995</v>
      </c>
      <c r="V43" s="444">
        <f t="shared" ca="1" si="8"/>
        <v>-4859.1047907448628</v>
      </c>
      <c r="W43" s="444">
        <f t="shared" ca="1" si="8"/>
        <v>-17899.692808774285</v>
      </c>
      <c r="X43" s="444">
        <f t="shared" ca="1" si="8"/>
        <v>-1994.3629706394022</v>
      </c>
      <c r="Y43" s="444">
        <f t="shared" ca="1" si="8"/>
        <v>-35017.44829330931</v>
      </c>
      <c r="Z43" s="444">
        <f t="shared" ca="1" si="8"/>
        <v>-129421.13487649802</v>
      </c>
      <c r="AA43" s="444">
        <f t="shared" ca="1" si="8"/>
        <v>-16708.012592401297</v>
      </c>
      <c r="AB43" s="444">
        <f t="shared" ca="1" si="8"/>
        <v>-75736.368855790468</v>
      </c>
      <c r="AC43" s="444">
        <f t="shared" ca="1" si="8"/>
        <v>-207.65761209034827</v>
      </c>
      <c r="AD43" s="444">
        <f t="shared" ca="1" si="8"/>
        <v>-3865.7768617213733</v>
      </c>
      <c r="AE43" s="444">
        <f t="shared" ca="1" si="8"/>
        <v>-4604.7862741829449</v>
      </c>
      <c r="AF43" s="444">
        <f t="shared" ca="1" si="8"/>
        <v>-7644.2312164324903</v>
      </c>
      <c r="AG43" s="444">
        <f t="shared" ca="1" si="8"/>
        <v>-1239.2454536852565</v>
      </c>
      <c r="AH43" s="444">
        <f t="shared" ca="1" si="8"/>
        <v>-138960.32588046265</v>
      </c>
      <c r="AI43" s="444">
        <f t="shared" ca="1" si="8"/>
        <v>-10623.136471146274</v>
      </c>
      <c r="AJ43" s="444">
        <f t="shared" ca="1" si="8"/>
        <v>-20171.020160952881</v>
      </c>
      <c r="AK43" s="444">
        <f t="shared" ca="1" si="8"/>
        <v>-35953.388840171858</v>
      </c>
      <c r="AL43" s="444">
        <f t="shared" ca="1" si="8"/>
        <v>-44858.538030588272</v>
      </c>
      <c r="AM43" s="444">
        <f t="shared" ca="1" si="8"/>
        <v>-80766.488995187217</v>
      </c>
      <c r="AN43" s="444">
        <f t="shared" ca="1" si="8"/>
        <v>-98987.582856408262</v>
      </c>
      <c r="AO43" s="445"/>
    </row>
    <row r="44" spans="1:41" s="36" customFormat="1" ht="31.5" x14ac:dyDescent="0.35">
      <c r="A44" s="534" t="s">
        <v>904</v>
      </c>
      <c r="B44" s="36">
        <f t="shared" ref="B44:AN44" ca="1" si="9">IFERROR(B42/B5,0)</f>
        <v>0.37523801793313771</v>
      </c>
      <c r="C44" s="36">
        <f t="shared" ca="1" si="9"/>
        <v>0.33302716690730988</v>
      </c>
      <c r="D44" s="36">
        <f t="shared" ca="1" si="9"/>
        <v>0.44080183817390561</v>
      </c>
      <c r="E44" s="36">
        <f t="shared" ca="1" si="9"/>
        <v>0.36650916303667525</v>
      </c>
      <c r="F44" s="36">
        <f t="shared" ca="1" si="9"/>
        <v>0.27933229065966469</v>
      </c>
      <c r="G44" s="36">
        <f t="shared" ca="1" si="9"/>
        <v>0.21548558670932585</v>
      </c>
      <c r="H44" s="36">
        <f t="shared" ca="1" si="9"/>
        <v>0.34851638517363187</v>
      </c>
      <c r="I44" s="36">
        <f t="shared" ca="1" si="9"/>
        <v>0.22951146672541484</v>
      </c>
      <c r="J44" s="36">
        <f t="shared" ca="1" si="9"/>
        <v>0.25641110534481659</v>
      </c>
      <c r="K44" s="36">
        <f t="shared" ca="1" si="9"/>
        <v>0.20472041612550682</v>
      </c>
      <c r="L44" s="36">
        <f t="shared" ca="1" si="9"/>
        <v>0.24971007824071967</v>
      </c>
      <c r="M44" s="36">
        <f t="shared" ca="1" si="9"/>
        <v>0.25502447407802792</v>
      </c>
      <c r="N44" s="36">
        <f t="shared" ca="1" si="9"/>
        <v>0.39289663066266423</v>
      </c>
      <c r="O44" s="36">
        <f t="shared" ca="1" si="9"/>
        <v>0.15023894930785803</v>
      </c>
      <c r="P44" s="36">
        <f t="shared" ca="1" si="9"/>
        <v>0.43166156752255336</v>
      </c>
      <c r="Q44" s="36">
        <f t="shared" ca="1" si="9"/>
        <v>0.11577002615360713</v>
      </c>
      <c r="R44" s="36">
        <f t="shared" ca="1" si="9"/>
        <v>0.21661138848896624</v>
      </c>
      <c r="S44" s="36">
        <f t="shared" ca="1" si="9"/>
        <v>0.27127613680260981</v>
      </c>
      <c r="T44" s="36">
        <f t="shared" ca="1" si="9"/>
        <v>0.2153570840667168</v>
      </c>
      <c r="U44" s="36">
        <f t="shared" ca="1" si="9"/>
        <v>6.8999082730587746E-2</v>
      </c>
      <c r="V44" s="36">
        <f t="shared" ca="1" si="9"/>
        <v>0.18375882205359673</v>
      </c>
      <c r="W44" s="36">
        <f t="shared" ca="1" si="9"/>
        <v>0.10500841240708489</v>
      </c>
      <c r="X44" s="36">
        <f t="shared" ca="1" si="9"/>
        <v>0.24393726128597629</v>
      </c>
      <c r="Y44" s="36">
        <f t="shared" ca="1" si="9"/>
        <v>0.47569436040960927</v>
      </c>
      <c r="Z44" s="36">
        <f t="shared" ca="1" si="9"/>
        <v>0.44529125327196623</v>
      </c>
      <c r="AA44" s="36">
        <f t="shared" ca="1" si="9"/>
        <v>0.26838500477853183</v>
      </c>
      <c r="AB44" s="36">
        <f t="shared" ca="1" si="9"/>
        <v>0.36166773468934948</v>
      </c>
      <c r="AC44" s="36">
        <f t="shared" ca="1" si="9"/>
        <v>0.2288383728566542</v>
      </c>
      <c r="AD44" s="36">
        <f t="shared" ca="1" si="9"/>
        <v>0.43399356987971388</v>
      </c>
      <c r="AE44" s="36">
        <f t="shared" ca="1" si="9"/>
        <v>0.41442529669869216</v>
      </c>
      <c r="AF44" s="36">
        <f t="shared" ca="1" si="9"/>
        <v>0.42419037962195993</v>
      </c>
      <c r="AG44" s="36">
        <f t="shared" ca="1" si="9"/>
        <v>0.4260472093443709</v>
      </c>
      <c r="AH44" s="36">
        <f t="shared" ca="1" si="9"/>
        <v>0.2804137681466935</v>
      </c>
      <c r="AI44" s="36">
        <f t="shared" ca="1" si="9"/>
        <v>0.25152087962279751</v>
      </c>
      <c r="AJ44" s="36">
        <f t="shared" ca="1" si="9"/>
        <v>0.1127552688207577</v>
      </c>
      <c r="AK44" s="36">
        <f t="shared" ca="1" si="9"/>
        <v>0.42977593709507905</v>
      </c>
      <c r="AL44" s="36">
        <f t="shared" ca="1" si="9"/>
        <v>0.1584000479365838</v>
      </c>
      <c r="AM44" s="36">
        <f t="shared" ca="1" si="9"/>
        <v>0.28584164682842556</v>
      </c>
      <c r="AN44" s="36">
        <f t="shared" ca="1" si="9"/>
        <v>0.28027425202035516</v>
      </c>
      <c r="AO44" s="445">
        <f ca="1">SUM(B44:AN44)</f>
        <v>11.227318332611897</v>
      </c>
    </row>
    <row r="45" spans="1:41" s="36" customFormat="1" ht="21" x14ac:dyDescent="0.35">
      <c r="A45" s="534" t="s">
        <v>1039</v>
      </c>
      <c r="B45" s="12">
        <f>IF('Fertilizer Rate'!B7&gt;0,('Fertilizer Rate'!B8+'Fertilizer Rate'!B10)/'Fertilizer Rate'!B7,0)</f>
        <v>0.68939643134973594</v>
      </c>
      <c r="C45" s="12">
        <f>IF('Fertilizer Rate'!C7&gt;0,('Fertilizer Rate'!C8+'Fertilizer Rate'!C10)/'Fertilizer Rate'!C7,0)</f>
        <v>0.57778619856888747</v>
      </c>
      <c r="D45" s="12">
        <f>IF('Fertilizer Rate'!D7&gt;0,('Fertilizer Rate'!D8+'Fertilizer Rate'!D10)/'Fertilizer Rate'!D7,0)</f>
        <v>0.71356621597067948</v>
      </c>
      <c r="E45" s="12">
        <f>IF('Fertilizer Rate'!E7&gt;0,('Fertilizer Rate'!E8+'Fertilizer Rate'!E10)/'Fertilizer Rate'!E7,0)</f>
        <v>0.63608458309554905</v>
      </c>
      <c r="F45" s="12">
        <f>IF('Fertilizer Rate'!F7&gt;0,('Fertilizer Rate'!F8+'Fertilizer Rate'!F10)/'Fertilizer Rate'!F7,0)</f>
        <v>0.94343314087983066</v>
      </c>
      <c r="G45" s="12">
        <f>IF('Fertilizer Rate'!G7&gt;0,('Fertilizer Rate'!G8+'Fertilizer Rate'!G10)/'Fertilizer Rate'!G7,0)</f>
        <v>3.5590103846503787E-5</v>
      </c>
      <c r="H45" s="12">
        <f>IF('Fertilizer Rate'!H7&gt;0,('Fertilizer Rate'!H8+'Fertilizer Rate'!H10)/'Fertilizer Rate'!H7,0)</f>
        <v>0.51845937331290437</v>
      </c>
      <c r="I45" s="12">
        <f>IF('Fertilizer Rate'!I7&gt;0,('Fertilizer Rate'!I8+'Fertilizer Rate'!I10)/'Fertilizer Rate'!I7,0)</f>
        <v>0.95280578418148998</v>
      </c>
      <c r="J45" s="12">
        <f>IF('Fertilizer Rate'!J7&gt;0,('Fertilizer Rate'!J8+'Fertilizer Rate'!J10)/'Fertilizer Rate'!J7,0)</f>
        <v>0.87503372736564566</v>
      </c>
      <c r="K45" s="12">
        <f>IF('Fertilizer Rate'!K7&gt;0,('Fertilizer Rate'!K8+'Fertilizer Rate'!K10)/'Fertilizer Rate'!K7,0)</f>
        <v>0.66899056583295335</v>
      </c>
      <c r="L45" s="12">
        <f>IF('Fertilizer Rate'!L7&gt;0,('Fertilizer Rate'!L8+'Fertilizer Rate'!L10)/'Fertilizer Rate'!L7,0)</f>
        <v>0.28420621877516045</v>
      </c>
      <c r="M45" s="12">
        <f>IF('Fertilizer Rate'!M7&gt;0,('Fertilizer Rate'!M8+'Fertilizer Rate'!M10)/'Fertilizer Rate'!M7,0)</f>
        <v>5.7813831766548834E-2</v>
      </c>
      <c r="N45" s="12">
        <f>IF('Fertilizer Rate'!N7&gt;0,('Fertilizer Rate'!N8+'Fertilizer Rate'!N10)/'Fertilizer Rate'!N7,0)</f>
        <v>0.9465788501833079</v>
      </c>
      <c r="O45" s="12">
        <f>IF('Fertilizer Rate'!O7&gt;0,('Fertilizer Rate'!O8+'Fertilizer Rate'!O10)/'Fertilizer Rate'!O7,0)</f>
        <v>0.46594075117312461</v>
      </c>
      <c r="P45" s="12">
        <f>IF('Fertilizer Rate'!P7&gt;0,('Fertilizer Rate'!P8+'Fertilizer Rate'!P10)/'Fertilizer Rate'!P7,0)</f>
        <v>0.93245713977427325</v>
      </c>
      <c r="Q45" s="12">
        <f>IF('Fertilizer Rate'!Q7&gt;0,('Fertilizer Rate'!Q8+'Fertilizer Rate'!Q10)/'Fertilizer Rate'!Q7,0)</f>
        <v>0.49717756386624384</v>
      </c>
      <c r="R45" s="12">
        <f>IF('Fertilizer Rate'!R7&gt;0,('Fertilizer Rate'!R8+'Fertilizer Rate'!R10)/'Fertilizer Rate'!R7,0)</f>
        <v>8.6790612017317078E-3</v>
      </c>
      <c r="S45" s="12">
        <f>IF('Fertilizer Rate'!S7&gt;0,('Fertilizer Rate'!S8+'Fertilizer Rate'!S10)/'Fertilizer Rate'!S7,0)</f>
        <v>0.19969470837316114</v>
      </c>
      <c r="T45" s="12">
        <f>IF('Fertilizer Rate'!T7&gt;0,('Fertilizer Rate'!T8+'Fertilizer Rate'!T10)/'Fertilizer Rate'!T7,0)</f>
        <v>4.891361025643276E-3</v>
      </c>
      <c r="U45" s="12">
        <f>IF('Fertilizer Rate'!U7&gt;0,('Fertilizer Rate'!U8+'Fertilizer Rate'!U10)/'Fertilizer Rate'!U7,0)</f>
        <v>7.2177482436028076E-2</v>
      </c>
      <c r="V45" s="12">
        <f>IF('Fertilizer Rate'!V7&gt;0,('Fertilizer Rate'!V8+'Fertilizer Rate'!V10)/'Fertilizer Rate'!V7,0)</f>
        <v>0.98491859664918435</v>
      </c>
      <c r="W45" s="12">
        <f>IF('Fertilizer Rate'!W7&gt;0,('Fertilizer Rate'!W8+'Fertilizer Rate'!W10)/'Fertilizer Rate'!W7,0)</f>
        <v>0.70416733211964988</v>
      </c>
      <c r="X45" s="12">
        <f>IF('Fertilizer Rate'!X7&gt;0,('Fertilizer Rate'!X8+'Fertilizer Rate'!X10)/'Fertilizer Rate'!X7,0)</f>
        <v>0.257768573624852</v>
      </c>
      <c r="Y45" s="12">
        <f>IF('Fertilizer Rate'!Y7&gt;0,('Fertilizer Rate'!Y8+'Fertilizer Rate'!Y10)/'Fertilizer Rate'!Y7,0)</f>
        <v>0.86508351133265271</v>
      </c>
      <c r="Z45" s="12">
        <f>IF('Fertilizer Rate'!Z7&gt;0,('Fertilizer Rate'!Z8+'Fertilizer Rate'!Z10)/'Fertilizer Rate'!Z7,0)</f>
        <v>0.90305854969865429</v>
      </c>
      <c r="AA45" s="12">
        <f>IF('Fertilizer Rate'!AA7&gt;0,('Fertilizer Rate'!AA8+'Fertilizer Rate'!AA10)/'Fertilizer Rate'!AA7,0)</f>
        <v>0.37727241398852834</v>
      </c>
      <c r="AB45" s="12">
        <f>IF('Fertilizer Rate'!AB7&gt;0,('Fertilizer Rate'!AB8+'Fertilizer Rate'!AB10)/'Fertilizer Rate'!AB7,0)</f>
        <v>0.65932472629010341</v>
      </c>
      <c r="AC45" s="12">
        <f>IF('Fertilizer Rate'!AC7&gt;0,('Fertilizer Rate'!AC8+'Fertilizer Rate'!AC10)/'Fertilizer Rate'!AC7,0)</f>
        <v>8.177266768463208E-2</v>
      </c>
      <c r="AD45" s="12">
        <f>IF('Fertilizer Rate'!AD7&gt;0,('Fertilizer Rate'!AD8+'Fertilizer Rate'!AD10)/'Fertilizer Rate'!AD7,0)</f>
        <v>0.96010535550066622</v>
      </c>
      <c r="AE45" s="12">
        <f>IF('Fertilizer Rate'!AE7&gt;0,('Fertilizer Rate'!AE8+'Fertilizer Rate'!AE10)/'Fertilizer Rate'!AE7,0)</f>
        <v>0.80559079104240927</v>
      </c>
      <c r="AF45" s="12">
        <f>IF('Fertilizer Rate'!AF7&gt;0,('Fertilizer Rate'!AF8+'Fertilizer Rate'!AF10)/'Fertilizer Rate'!AF7,0)</f>
        <v>0.72936354545925708</v>
      </c>
      <c r="AG45" s="12">
        <f>IF('Fertilizer Rate'!AG7&gt;0,('Fertilizer Rate'!AG8+'Fertilizer Rate'!AG10)/'Fertilizer Rate'!AG7,0)</f>
        <v>0.70953694401500844</v>
      </c>
      <c r="AH45" s="12">
        <f>IF('Fertilizer Rate'!AH7&gt;0,('Fertilizer Rate'!AH8+'Fertilizer Rate'!AH10)/'Fertilizer Rate'!AH7,0)</f>
        <v>0.86084287207038279</v>
      </c>
      <c r="AI45" s="12">
        <f>IF('Fertilizer Rate'!AI7&gt;0,('Fertilizer Rate'!AI8+'Fertilizer Rate'!AI10)/'Fertilizer Rate'!AI7,0)</f>
        <v>0.91358028657472912</v>
      </c>
      <c r="AJ45" s="12">
        <f>IF('Fertilizer Rate'!AJ7&gt;0,('Fertilizer Rate'!AJ8+'Fertilizer Rate'!AJ10)/'Fertilizer Rate'!AJ7,0)</f>
        <v>0.60059480538483967</v>
      </c>
      <c r="AK45" s="12">
        <f>IF('Fertilizer Rate'!AK7&gt;0,('Fertilizer Rate'!AK8+'Fertilizer Rate'!AK10)/'Fertilizer Rate'!AK7,0)</f>
        <v>0.92742052430409505</v>
      </c>
      <c r="AL45" s="12">
        <f>IF('Fertilizer Rate'!AL7&gt;0,('Fertilizer Rate'!AL8+'Fertilizer Rate'!AL10)/'Fertilizer Rate'!AL7,0)</f>
        <v>0.56659401048869773</v>
      </c>
      <c r="AM45" s="12">
        <f>IF('Fertilizer Rate'!AM7&gt;0,('Fertilizer Rate'!AM8+'Fertilizer Rate'!AM10)/'Fertilizer Rate'!AM7,0)</f>
        <v>0.9537944820266574</v>
      </c>
      <c r="AN45" s="12">
        <f>IF('Fertilizer Rate'!AN7&gt;0,('Fertilizer Rate'!AN8+'Fertilizer Rate'!AN10)/'Fertilizer Rate'!AN7,0)</f>
        <v>0.94457925726113423</v>
      </c>
      <c r="AO45" s="445"/>
    </row>
    <row r="46" spans="1:41" s="36" customFormat="1" ht="31.5" x14ac:dyDescent="0.35">
      <c r="A46" s="534" t="s">
        <v>1040</v>
      </c>
      <c r="B46" s="12">
        <f>IF('Fertilizer Rate'!B25&gt;0,('Fertilizer Rate'!B19+'Fertilizer Rate'!B21)/'Fertilizer Rate'!B25,0)</f>
        <v>0.82591317835547051</v>
      </c>
      <c r="C46" s="12">
        <f>IF('Fertilizer Rate'!C25&gt;0,('Fertilizer Rate'!C19+'Fertilizer Rate'!C21)/'Fertilizer Rate'!C25,0)</f>
        <v>0.84877682545732858</v>
      </c>
      <c r="D46" s="12">
        <f>IF('Fertilizer Rate'!D25&gt;0,('Fertilizer Rate'!D19+'Fertilizer Rate'!D21)/'Fertilizer Rate'!D25,0)</f>
        <v>0.98190059966447163</v>
      </c>
      <c r="E46" s="12">
        <f>IF('Fertilizer Rate'!E25&gt;0,('Fertilizer Rate'!E19+'Fertilizer Rate'!E21)/'Fertilizer Rate'!E25,0)</f>
        <v>0.92633434174479623</v>
      </c>
      <c r="F46" s="12">
        <f>IF('Fertilizer Rate'!F25&gt;0,('Fertilizer Rate'!F19+'Fertilizer Rate'!F21)/'Fertilizer Rate'!F25,0)</f>
        <v>0.96981705767351167</v>
      </c>
      <c r="G46" s="12">
        <f>IF('Fertilizer Rate'!G25&gt;0,('Fertilizer Rate'!G19+'Fertilizer Rate'!G21)/'Fertilizer Rate'!G25,0)</f>
        <v>1.53029525526405E-3</v>
      </c>
      <c r="H46" s="12">
        <f>IF('Fertilizer Rate'!H25&gt;0,('Fertilizer Rate'!H19+'Fertilizer Rate'!H21)/'Fertilizer Rate'!H25,0)</f>
        <v>0.90082317054671257</v>
      </c>
      <c r="I46" s="12">
        <f>IF('Fertilizer Rate'!I25&gt;0,('Fertilizer Rate'!I19+'Fertilizer Rate'!I21)/'Fertilizer Rate'!I25,0)</f>
        <v>0.95463580753358046</v>
      </c>
      <c r="J46" s="12">
        <f>IF('Fertilizer Rate'!J25&gt;0,('Fertilizer Rate'!J19+'Fertilizer Rate'!J21)/'Fertilizer Rate'!J25,0)</f>
        <v>0.81422237310250811</v>
      </c>
      <c r="K46" s="12">
        <f>IF('Fertilizer Rate'!K25&gt;0,('Fertilizer Rate'!K19+'Fertilizer Rate'!K21)/'Fertilizer Rate'!K25,0)</f>
        <v>0.52834269744479812</v>
      </c>
      <c r="L46" s="12">
        <f>IF('Fertilizer Rate'!L25&gt;0,('Fertilizer Rate'!L19+'Fertilizer Rate'!L21)/'Fertilizer Rate'!L25,0)</f>
        <v>0.45358944314880734</v>
      </c>
      <c r="M46" s="12">
        <f>IF('Fertilizer Rate'!M25&gt;0,('Fertilizer Rate'!M19+'Fertilizer Rate'!M21)/'Fertilizer Rate'!M25,0)</f>
        <v>9.4358983867054047E-2</v>
      </c>
      <c r="N46" s="12">
        <f>IF('Fertilizer Rate'!N25&gt;0,('Fertilizer Rate'!N19+'Fertilizer Rate'!N21)/'Fertilizer Rate'!N25,0)</f>
        <v>0.98927617941509571</v>
      </c>
      <c r="O46" s="12">
        <f>IF('Fertilizer Rate'!O25&gt;0,('Fertilizer Rate'!O19+'Fertilizer Rate'!O21)/'Fertilizer Rate'!O25,0)</f>
        <v>0.25475383930279183</v>
      </c>
      <c r="P46" s="12">
        <f>IF('Fertilizer Rate'!P25&gt;0,('Fertilizer Rate'!P19+'Fertilizer Rate'!P21)/'Fertilizer Rate'!P25,0)</f>
        <v>0.94036288576081239</v>
      </c>
      <c r="Q46" s="12">
        <f>IF('Fertilizer Rate'!Q25&gt;0,('Fertilizer Rate'!Q19+'Fertilizer Rate'!Q21)/'Fertilizer Rate'!Q25,0)</f>
        <v>0.30836230073816673</v>
      </c>
      <c r="R46" s="12">
        <f>IF('Fertilizer Rate'!R25&gt;0,('Fertilizer Rate'!R19+'Fertilizer Rate'!R21)/'Fertilizer Rate'!R25,0)</f>
        <v>0.16183374174602672</v>
      </c>
      <c r="S46" s="12">
        <f>IF('Fertilizer Rate'!S25&gt;0,('Fertilizer Rate'!S19+'Fertilizer Rate'!S21)/'Fertilizer Rate'!S25,0)</f>
        <v>0.32758472655739185</v>
      </c>
      <c r="T46" s="12">
        <f>IF('Fertilizer Rate'!T25&gt;0,('Fertilizer Rate'!T19+'Fertilizer Rate'!T21)/'Fertilizer Rate'!T25,0)</f>
        <v>0.17936006735773105</v>
      </c>
      <c r="U46" s="12">
        <f>IF('Fertilizer Rate'!U25&gt;0,('Fertilizer Rate'!U19+'Fertilizer Rate'!U21)/'Fertilizer Rate'!U25,0)</f>
        <v>4.9165730720111149E-2</v>
      </c>
      <c r="V46" s="12">
        <f>IF('Fertilizer Rate'!V25&gt;0,('Fertilizer Rate'!V19+'Fertilizer Rate'!V21)/'Fertilizer Rate'!V25,0)</f>
        <v>0.99409550961040483</v>
      </c>
      <c r="W46" s="12">
        <f>IF('Fertilizer Rate'!W25&gt;0,('Fertilizer Rate'!W19+'Fertilizer Rate'!W21)/'Fertilizer Rate'!W25,0)</f>
        <v>0.54130152358876638</v>
      </c>
      <c r="X46" s="12">
        <f>IF('Fertilizer Rate'!X25&gt;0,('Fertilizer Rate'!X19+'Fertilizer Rate'!X21)/'Fertilizer Rate'!X25,0)</f>
        <v>0.19908512127069206</v>
      </c>
      <c r="Y46" s="12">
        <f>IF('Fertilizer Rate'!Y25&gt;0,('Fertilizer Rate'!Y19+'Fertilizer Rate'!Y21)/'Fertilizer Rate'!Y25,0)</f>
        <v>0.97415329921011173</v>
      </c>
      <c r="Z46" s="12">
        <f>IF('Fertilizer Rate'!Z25&gt;0,('Fertilizer Rate'!Z19+'Fertilizer Rate'!Z21)/'Fertilizer Rate'!Z25,0)</f>
        <v>0.92244056314247269</v>
      </c>
      <c r="AA46" s="12">
        <f>IF('Fertilizer Rate'!AA25&gt;0,('Fertilizer Rate'!AA19+'Fertilizer Rate'!AA21)/'Fertilizer Rate'!AA25,0)</f>
        <v>0.24344262484728052</v>
      </c>
      <c r="AB46" s="12">
        <f>IF('Fertilizer Rate'!AB25&gt;0,('Fertilizer Rate'!AB19+'Fertilizer Rate'!AB21)/'Fertilizer Rate'!AB25,0)</f>
        <v>0.69113992840145511</v>
      </c>
      <c r="AC46" s="12">
        <f>IF('Fertilizer Rate'!AC25&gt;0,('Fertilizer Rate'!AC19+'Fertilizer Rate'!AC21)/'Fertilizer Rate'!AC25,0)</f>
        <v>0.83811529286660746</v>
      </c>
      <c r="AD46" s="12">
        <f>IF('Fertilizer Rate'!AD25&gt;0,('Fertilizer Rate'!AD19+'Fertilizer Rate'!AD21)/'Fertilizer Rate'!AD25,0)</f>
        <v>0.96833898060724266</v>
      </c>
      <c r="AE46" s="12">
        <f>IF('Fertilizer Rate'!AE25&gt;0,('Fertilizer Rate'!AE19+'Fertilizer Rate'!AE21)/'Fertilizer Rate'!AE25,0)</f>
        <v>0.74219661859204966</v>
      </c>
      <c r="AF46" s="12">
        <f>IF('Fertilizer Rate'!AF25&gt;0,('Fertilizer Rate'!AF19+'Fertilizer Rate'!AF21)/'Fertilizer Rate'!AF25,0)</f>
        <v>0.85003048083113331</v>
      </c>
      <c r="AG46" s="12">
        <f>IF('Fertilizer Rate'!AG25&gt;0,('Fertilizer Rate'!AG19+'Fertilizer Rate'!AG21)/'Fertilizer Rate'!AG25,0)</f>
        <v>0.9845480976557357</v>
      </c>
      <c r="AH46" s="12">
        <f>IF('Fertilizer Rate'!AH25&gt;0,('Fertilizer Rate'!AH19+'Fertilizer Rate'!AH21)/'Fertilizer Rate'!AH25,0)</f>
        <v>0.80633609977875342</v>
      </c>
      <c r="AI46" s="12">
        <f>IF('Fertilizer Rate'!AI25&gt;0,('Fertilizer Rate'!AI19+'Fertilizer Rate'!AI21)/'Fertilizer Rate'!AI25,0)</f>
        <v>0.90535549481156252</v>
      </c>
      <c r="AJ46" s="12">
        <f>IF('Fertilizer Rate'!AJ25&gt;0,('Fertilizer Rate'!AJ19+'Fertilizer Rate'!AJ21)/'Fertilizer Rate'!AJ25,0)</f>
        <v>0.31671609895089042</v>
      </c>
      <c r="AK46" s="12">
        <f>IF('Fertilizer Rate'!AK25&gt;0,('Fertilizer Rate'!AK19+'Fertilizer Rate'!AK21)/'Fertilizer Rate'!AK25,0)</f>
        <v>0.96516727698281302</v>
      </c>
      <c r="AL46" s="12">
        <f>IF('Fertilizer Rate'!AL25&gt;0,('Fertilizer Rate'!AL19+'Fertilizer Rate'!AL21)/'Fertilizer Rate'!AL25,0)</f>
        <v>0.32937187769391502</v>
      </c>
      <c r="AM46" s="12">
        <f>IF('Fertilizer Rate'!AM25&gt;0,('Fertilizer Rate'!AM19+'Fertilizer Rate'!AM21)/'Fertilizer Rate'!AM25,0)</f>
        <v>0.95530841755565188</v>
      </c>
      <c r="AN46" s="12">
        <f>IF('Fertilizer Rate'!AN25&gt;0,('Fertilizer Rate'!AN19+'Fertilizer Rate'!AN21)/'Fertilizer Rate'!AN25,0)</f>
        <v>0.94287647578474465</v>
      </c>
      <c r="AO46" s="445"/>
    </row>
    <row r="47" spans="1:41" s="36" customFormat="1" ht="31.5" x14ac:dyDescent="0.35">
      <c r="A47" s="534" t="s">
        <v>1041</v>
      </c>
      <c r="B47" s="36">
        <f ca="1">IF('Fertilizer Rate'!B8+'Fertilizer Rate'!B10&gt;0,B42*B46/('Fertilizer Rate'!B8+'Fertilizer Rate'!B10),0)</f>
        <v>0.43226145556323159</v>
      </c>
      <c r="C47" s="36">
        <f ca="1">IF('Fertilizer Rate'!C8+'Fertilizer Rate'!C10&gt;0,C42*C46/('Fertilizer Rate'!C8+'Fertilizer Rate'!C10),0)</f>
        <v>0.48749291574056147</v>
      </c>
      <c r="D47" s="36">
        <f ca="1">IF('Fertilizer Rate'!D8+'Fertilizer Rate'!D10&gt;0,D42*D46/('Fertilizer Rate'!D8+'Fertilizer Rate'!D10),0)</f>
        <v>0.60231644889313785</v>
      </c>
      <c r="E47" s="36">
        <f ca="1">IF('Fertilizer Rate'!E8+'Fertilizer Rate'!E10&gt;0,E42*E46/('Fertilizer Rate'!E8+'Fertilizer Rate'!E10),0)</f>
        <v>0.53297650877218128</v>
      </c>
      <c r="F47" s="36">
        <f ca="1">IF('Fertilizer Rate'!F8+'Fertilizer Rate'!F10&gt;0,F42*F46/('Fertilizer Rate'!F8+'Fertilizer Rate'!F10),0)</f>
        <v>0.28705650482538236</v>
      </c>
      <c r="G47" s="36">
        <f ca="1">IF('Fertilizer Rate'!G8+'Fertilizer Rate'!G10&gt;0,G42*G46/('Fertilizer Rate'!G8+'Fertilizer Rate'!G10),0)</f>
        <v>9.265400638932535</v>
      </c>
      <c r="H47" s="36">
        <f ca="1">IF('Fertilizer Rate'!H8+'Fertilizer Rate'!H10&gt;0,H42*H46/('Fertilizer Rate'!H8+'Fertilizer Rate'!H10),0)</f>
        <v>0.60375027930303626</v>
      </c>
      <c r="I47" s="36">
        <f ca="1">IF('Fertilizer Rate'!I8+'Fertilizer Rate'!I10&gt;0,I42*I46/('Fertilizer Rate'!I8+'Fertilizer Rate'!I10),0)</f>
        <v>0.22799917097590644</v>
      </c>
      <c r="J47" s="36">
        <f ca="1">IF('Fertilizer Rate'!J8+'Fertilizer Rate'!J10&gt;0,J42*J46/('Fertilizer Rate'!J8+'Fertilizer Rate'!J10),0)</f>
        <v>0.23516171157591659</v>
      </c>
      <c r="K47" s="36">
        <f ca="1">IF('Fertilizer Rate'!K8+'Fertilizer Rate'!K10&gt;0,K42*K46/('Fertilizer Rate'!K8+'Fertilizer Rate'!K10),0)</f>
        <v>0.15986786225009469</v>
      </c>
      <c r="L47" s="36">
        <f ca="1">IF('Fertilizer Rate'!L8+'Fertilizer Rate'!L10&gt;0,L42*L46/('Fertilizer Rate'!L8+'Fertilizer Rate'!L10),0)</f>
        <v>0.39837412561694341</v>
      </c>
      <c r="M47" s="36">
        <f ca="1">IF('Fertilizer Rate'!M8+'Fertilizer Rate'!M10&gt;0,M42*M46/('Fertilizer Rate'!M8+'Fertilizer Rate'!M10),0)</f>
        <v>0.41563476590254544</v>
      </c>
      <c r="N47" s="36">
        <f ca="1">IF('Fertilizer Rate'!N8+'Fertilizer Rate'!N10&gt;0,N42*N46/('Fertilizer Rate'!N8+'Fertilizer Rate'!N10),0)</f>
        <v>0.41049133149381023</v>
      </c>
      <c r="O47" s="36">
        <f ca="1">IF('Fertilizer Rate'!O8+'Fertilizer Rate'!O10&gt;0,O42*O46/('Fertilizer Rate'!O8+'Fertilizer Rate'!O10),0)</f>
        <v>8.03715273527464E-2</v>
      </c>
      <c r="P47" s="36">
        <f ca="1">IF('Fertilizer Rate'!P8+'Fertilizer Rate'!P10&gt;0,P42*P46/('Fertilizer Rate'!P8+'Fertilizer Rate'!P10),0)</f>
        <v>0.4210180641550213</v>
      </c>
      <c r="Q47" s="36">
        <f ca="1">IF('Fertilizer Rate'!Q8+'Fertilizer Rate'!Q10&gt;0,Q42*Q46/('Fertilizer Rate'!Q8+'Fertilizer Rate'!Q10),0)</f>
        <v>7.1345923165573033E-2</v>
      </c>
      <c r="R47" s="36">
        <f ca="1">IF('Fertilizer Rate'!R8+'Fertilizer Rate'!R10&gt;0,R42*R46/('Fertilizer Rate'!R8+'Fertilizer Rate'!R10),0)</f>
        <v>4.0390349473485916</v>
      </c>
      <c r="S47" s="36">
        <f ca="1">IF('Fertilizer Rate'!S8+'Fertilizer Rate'!S10&gt;0,S42*S46/('Fertilizer Rate'!S8+'Fertilizer Rate'!S10),0)</f>
        <v>0.4425040404581565</v>
      </c>
      <c r="T47" s="36">
        <f ca="1">IF('Fertilizer Rate'!T8+'Fertilizer Rate'!T10&gt;0,T42*T46/('Fertilizer Rate'!T8+'Fertilizer Rate'!T10),0)</f>
        <v>7.8968738765487085</v>
      </c>
      <c r="U47" s="36">
        <f ca="1">IF('Fertilizer Rate'!U8+'Fertilizer Rate'!U10&gt;0,U42*U46/('Fertilizer Rate'!U8+'Fertilizer Rate'!U10),0)</f>
        <v>4.6996676529547407E-2</v>
      </c>
      <c r="V47" s="36">
        <f ca="1">IF('Fertilizer Rate'!V8+'Fertilizer Rate'!V10&gt;0,V42*V46/('Fertilizer Rate'!V8+'Fertilizer Rate'!V10),0)</f>
        <v>0.18531724433722624</v>
      </c>
      <c r="W47" s="36">
        <f ca="1">IF('Fertilizer Rate'!W8+'Fertilizer Rate'!W10&gt;0,W42*W46/('Fertilizer Rate'!W8+'Fertilizer Rate'!W10),0)</f>
        <v>8.0373202552258688E-2</v>
      </c>
      <c r="X47" s="36">
        <f ca="1">IF('Fertilizer Rate'!X8+'Fertilizer Rate'!X10&gt;0,X42*X46/('Fertilizer Rate'!X8+'Fertilizer Rate'!X10),0)</f>
        <v>0.18795379790619474</v>
      </c>
      <c r="Y47" s="36">
        <f ca="1">IF('Fertilizer Rate'!Y8+'Fertilizer Rate'!Y10&gt;0,Y42*Y46/('Fertilizer Rate'!Y8+'Fertilizer Rate'!Y10),0)</f>
        <v>0.52794719008578739</v>
      </c>
      <c r="Z47" s="36">
        <f ca="1">IF('Fertilizer Rate'!Z8+'Fertilizer Rate'!Z10&gt;0,Z42*Z46/('Fertilizer Rate'!Z8+'Fertilizer Rate'!Z10),0)</f>
        <v>0.44825403652457763</v>
      </c>
      <c r="AA47" s="36">
        <f ca="1">IF('Fertilizer Rate'!AA8+'Fertilizer Rate'!AA10&gt;0,AA42*AA46/('Fertilizer Rate'!AA8+'Fertilizer Rate'!AA10),0)</f>
        <v>0.17311047880317287</v>
      </c>
      <c r="AB47" s="36">
        <f ca="1">IF('Fertilizer Rate'!AB8+'Fertilizer Rate'!AB10&gt;0,AB42*AB46/('Fertilizer Rate'!AB8+'Fertilizer Rate'!AB10),0)</f>
        <v>0.37647408155686429</v>
      </c>
      <c r="AC47" s="36">
        <f ca="1">IF('Fertilizer Rate'!AC8+'Fertilizer Rate'!AC10&gt;0,AC42*AC46/('Fertilizer Rate'!AC8+'Fertilizer Rate'!AC10),0)</f>
        <v>2.3452551577164882</v>
      </c>
      <c r="AD47" s="36">
        <f ca="1">IF('Fertilizer Rate'!AD8+'Fertilizer Rate'!AD10&gt;0,AD42*AD46/('Fertilizer Rate'!AD8+'Fertilizer Rate'!AD10),0)</f>
        <v>0.43268858078823297</v>
      </c>
      <c r="AE47" s="36">
        <f ca="1">IF('Fertilizer Rate'!AE8+'Fertilizer Rate'!AE10&gt;0,AE42*AE46/('Fertilizer Rate'!AE8+'Fertilizer Rate'!AE10),0)</f>
        <v>0.37833204549007149</v>
      </c>
      <c r="AF47" s="36">
        <f ca="1">IF('Fertilizer Rate'!AF8+'Fertilizer Rate'!AF10&gt;0,AF42*AF46/('Fertilizer Rate'!AF8+'Fertilizer Rate'!AF10),0)</f>
        <v>0.49335912602599435</v>
      </c>
      <c r="AG47" s="36">
        <f ca="1">IF('Fertilizer Rate'!AG8+'Fertilizer Rate'!AG10&gt;0,AG42*AG46/('Fertilizer Rate'!AG8+'Fertilizer Rate'!AG10),0)</f>
        <v>0.58846792810061799</v>
      </c>
      <c r="AH47" s="36">
        <f ca="1">IF('Fertilizer Rate'!AH8+'Fertilizer Rate'!AH10&gt;0,AH42*AH46/('Fertilizer Rate'!AH8+'Fertilizer Rate'!AH10),0)</f>
        <v>0.25031360318662577</v>
      </c>
      <c r="AI47" s="36">
        <f ca="1">IF('Fertilizer Rate'!AI8+'Fertilizer Rate'!AI10&gt;0,AI42*AI46/('Fertilizer Rate'!AI8+'Fertilizer Rate'!AI10),0)</f>
        <v>0.2473848125194256</v>
      </c>
      <c r="AJ47" s="36">
        <f ca="1">IF('Fertilizer Rate'!AJ8+'Fertilizer Rate'!AJ10&gt;0,AJ42*AJ46/('Fertilizer Rate'!AJ8+'Fertilizer Rate'!AJ10),0)</f>
        <v>5.8731387956591372E-2</v>
      </c>
      <c r="AK47" s="36">
        <f ca="1">IF('Fertilizer Rate'!AK8+'Fertilizer Rate'!AK10&gt;0,AK42*AK46/('Fertilizer Rate'!AK8+'Fertilizer Rate'!AK10),0)</f>
        <v>0.43922434693934359</v>
      </c>
      <c r="AL47" s="36">
        <f ca="1">IF('Fertilizer Rate'!AL8+'Fertilizer Rate'!AL10&gt;0,AL42*AL46/('Fertilizer Rate'!AL8+'Fertilizer Rate'!AL10),0)</f>
        <v>8.823940353093844E-2</v>
      </c>
      <c r="AM47" s="36">
        <f ca="1">IF('Fertilizer Rate'!AM8+'Fertilizer Rate'!AM10&gt;0,AM42*AM46/('Fertilizer Rate'!AM8+'Fertilizer Rate'!AM10),0)</f>
        <v>0.28120229881971748</v>
      </c>
      <c r="AN47" s="36">
        <f ca="1">IF('Fertilizer Rate'!AN8+'Fertilizer Rate'!AN10&gt;0,AN42*AN46/('Fertilizer Rate'!AN8+'Fertilizer Rate'!AN10),0)</f>
        <v>0.27261283892136418</v>
      </c>
      <c r="AO47" s="445"/>
    </row>
    <row r="48" spans="1:41" s="49" customFormat="1" ht="31.5" customHeight="1" x14ac:dyDescent="0.35">
      <c r="A48" s="498" t="s">
        <v>853</v>
      </c>
      <c r="B48" s="444">
        <f ca="1">-(Covercrop!$B$36*Watersheds!B31*Covercrop!$B$10+Covercrop!$C$36*Watersheds!B32*Covercrop!$C$10)*B47</f>
        <v>-2039.5988238321816</v>
      </c>
      <c r="C48" s="444">
        <f ca="1">-(Covercrop!$B$36*Watersheds!C31*Covercrop!$B$10+Covercrop!$C$36*Watersheds!C32*Covercrop!$C$10)*C47</f>
        <v>-157.94245462967856</v>
      </c>
      <c r="D48" s="444">
        <f ca="1">-(Covercrop!$B$36*Watersheds!D31*Covercrop!$B$10+Covercrop!$C$36*Watersheds!D32*Covercrop!$C$10)*D47</f>
        <v>-915.81475393193364</v>
      </c>
      <c r="E48" s="444">
        <f ca="1">-(Covercrop!$B$36*Watersheds!E31*Covercrop!$B$10+Covercrop!$C$36*Watersheds!E32*Covercrop!$C$10)*E47</f>
        <v>-1005.6428531709427</v>
      </c>
      <c r="F48" s="444">
        <f ca="1">-(Covercrop!$B$36*Watersheds!F31*Covercrop!$B$10+Covercrop!$C$36*Watersheds!F32*Covercrop!$C$10)*F47</f>
        <v>-1763.844493102933</v>
      </c>
      <c r="G48" s="444">
        <f ca="1">-(Covercrop!$B$36*Watersheds!G31*Covercrop!$B$10+Covercrop!$C$36*Watersheds!G32*Covercrop!$C$10)*G47</f>
        <v>-4.3079804010486236E-2</v>
      </c>
      <c r="H48" s="444">
        <f ca="1">-(Covercrop!$B$36*Watersheds!H31*Covercrop!$B$10+Covercrop!$C$36*Watersheds!H32*Covercrop!$C$10)*H47</f>
        <v>-823.78552148493714</v>
      </c>
      <c r="I48" s="444">
        <f ca="1">-(Covercrop!$B$36*Watersheds!I31*Covercrop!$B$10+Covercrop!$C$36*Watersheds!I32*Covercrop!$C$10)*I47</f>
        <v>-2319.8297199047211</v>
      </c>
      <c r="J48" s="444">
        <f ca="1">-(Covercrop!$B$36*Watersheds!J31*Covercrop!$B$10+Covercrop!$C$36*Watersheds!J32*Covercrop!$C$10)*J47</f>
        <v>-561.92512689840237</v>
      </c>
      <c r="K48" s="444">
        <f ca="1">-(Covercrop!$B$36*Watersheds!K31*Covercrop!$B$10+Covercrop!$C$36*Watersheds!K32*Covercrop!$C$10)*K47</f>
        <v>-522.35390674915948</v>
      </c>
      <c r="L48" s="444">
        <f ca="1">-(Covercrop!$B$36*Watersheds!L31*Covercrop!$B$10+Covercrop!$C$36*Watersheds!L32*Covercrop!$C$10)*L47</f>
        <v>-33.836983408912069</v>
      </c>
      <c r="M48" s="444">
        <f ca="1">-(Covercrop!$B$36*Watersheds!M31*Covercrop!$B$10+Covercrop!$C$36*Watersheds!M32*Covercrop!$C$10)*M47</f>
        <v>-20.618799116615214</v>
      </c>
      <c r="N48" s="444">
        <f ca="1">-(Covercrop!$B$36*Watersheds!N31*Covercrop!$B$10+Covercrop!$C$36*Watersheds!N32*Covercrop!$C$10)*N47</f>
        <v>-1793.4778560195639</v>
      </c>
      <c r="O48" s="444">
        <f ca="1">-(Covercrop!$B$36*Watersheds!O31*Covercrop!$B$10+Covercrop!$C$36*Watersheds!O32*Covercrop!$C$10)*O47</f>
        <v>-185.07325783686349</v>
      </c>
      <c r="P48" s="444">
        <f ca="1">-(Covercrop!$B$36*Watersheds!P31*Covercrop!$B$10+Covercrop!$C$36*Watersheds!P32*Covercrop!$C$10)*P47</f>
        <v>-563.34301023359421</v>
      </c>
      <c r="Q48" s="444">
        <f ca="1">-(Covercrop!$B$36*Watersheds!Q31*Covercrop!$B$10+Covercrop!$C$36*Watersheds!Q32*Covercrop!$C$10)*Q47</f>
        <v>-52.323468290344564</v>
      </c>
      <c r="R48" s="444">
        <f ca="1">-(Covercrop!$B$36*Watersheds!R31*Covercrop!$B$10+Covercrop!$C$36*Watersheds!R32*Covercrop!$C$10)*R47</f>
        <v>-0.90142243749389517</v>
      </c>
      <c r="S48" s="444">
        <f ca="1">-(Covercrop!$B$36*Watersheds!S31*Covercrop!$B$10+Covercrop!$C$36*Watersheds!S32*Covercrop!$C$10)*S47</f>
        <v>-83.46697201101253</v>
      </c>
      <c r="T48" s="444">
        <f ca="1">-(Covercrop!$B$36*Watersheds!T31*Covercrop!$B$10+Covercrop!$C$36*Watersheds!T32*Covercrop!$C$10)*T47</f>
        <v>-1.5053884258215688</v>
      </c>
      <c r="U48" s="444">
        <f ca="1">-(Covercrop!$B$36*Watersheds!U31*Covercrop!$B$10+Covercrop!$C$36*Watersheds!U32*Covercrop!$C$10)*U47</f>
        <v>-1.9471816653866294</v>
      </c>
      <c r="V48" s="444">
        <f ca="1">-(Covercrop!$B$36*Watersheds!V31*Covercrop!$B$10+Covercrop!$C$36*Watersheds!V32*Covercrop!$C$10)*V47</f>
        <v>-70.354736270698012</v>
      </c>
      <c r="W48" s="444">
        <f ca="1">-(Covercrop!$B$36*Watersheds!W31*Covercrop!$B$10+Covercrop!$C$36*Watersheds!W32*Covercrop!$C$10)*W47</f>
        <v>-181.43515061369047</v>
      </c>
      <c r="X48" s="444">
        <f ca="1">-(Covercrop!$B$36*Watersheds!X31*Covercrop!$B$10+Covercrop!$C$36*Watersheds!X32*Covercrop!$C$10)*X47</f>
        <v>-20.618335921583068</v>
      </c>
      <c r="Y48" s="444">
        <f ca="1">-(Covercrop!$B$36*Watersheds!Y31*Covercrop!$B$10+Covercrop!$C$36*Watersheds!Y32*Covercrop!$C$10)*Y47</f>
        <v>-1535.528957909115</v>
      </c>
      <c r="Z48" s="444">
        <f ca="1">-(Covercrop!$B$36*Watersheds!Z31*Covercrop!$B$10+Covercrop!$C$36*Watersheds!Z32*Covercrop!$C$10)*Z47</f>
        <v>-4210.2545021884143</v>
      </c>
      <c r="AA48" s="444">
        <f ca="1">-(Covercrop!$B$36*Watersheds!AA31*Covercrop!$B$10+Covercrop!$C$36*Watersheds!AA32*Covercrop!$C$10)*AA47</f>
        <v>-119.65342637389267</v>
      </c>
      <c r="AB48" s="444">
        <f ca="1">-(Covercrop!$B$36*Watersheds!AB31*Covercrop!$B$10+Covercrop!$C$36*Watersheds!AB32*Covercrop!$C$10)*AB47</f>
        <v>-1595.3329914088019</v>
      </c>
      <c r="AC48" s="444">
        <f ca="1">-(Covercrop!$B$36*Watersheds!AC31*Covercrop!$B$10+Covercrop!$C$36*Watersheds!AC32*Covercrop!$C$10)*AC47</f>
        <v>-29.57186980572024</v>
      </c>
      <c r="AD48" s="444">
        <f ca="1">-(Covercrop!$B$36*Watersheds!AD31*Covercrop!$B$10+Covercrop!$C$36*Watersheds!AD32*Covercrop!$C$10)*AD47</f>
        <v>-135.23084110459476</v>
      </c>
      <c r="AE48" s="444">
        <f ca="1">-(Covercrop!$B$36*Watersheds!AE31*Covercrop!$B$10+Covercrop!$C$36*Watersheds!AE32*Covercrop!$C$10)*AE47</f>
        <v>-118.45541910160885</v>
      </c>
      <c r="AF48" s="444">
        <f ca="1">-(Covercrop!$B$36*Watersheds!AF31*Covercrop!$B$10+Covercrop!$C$36*Watersheds!AF32*Covercrop!$C$10)*AF47</f>
        <v>-274.48832830697415</v>
      </c>
      <c r="AG48" s="444">
        <f ca="1">-(Covercrop!$B$36*Watersheds!AG31*Covercrop!$B$10+Covercrop!$C$36*Watersheds!AG32*Covercrop!$C$10)*AG47</f>
        <v>-59.288612116890306</v>
      </c>
      <c r="AH48" s="444">
        <f ca="1">-(Covercrop!$B$36*Watersheds!AH31*Covercrop!$B$10+Covercrop!$C$36*Watersheds!AH32*Covercrop!$C$10)*AH47</f>
        <v>-1725.2898891974612</v>
      </c>
      <c r="AI48" s="444">
        <f ca="1">-(Covercrop!$B$36*Watersheds!AI31*Covercrop!$B$10+Covercrop!$C$36*Watersheds!AI32*Covercrop!$C$10)*AI47</f>
        <v>-173.7714782723244</v>
      </c>
      <c r="AJ48" s="444">
        <f ca="1">-(Covercrop!$B$36*Watersheds!AJ31*Covercrop!$B$10+Covercrop!$C$36*Watersheds!AJ32*Covercrop!$C$10)*AJ47</f>
        <v>-121.20515601315824</v>
      </c>
      <c r="AK48" s="444">
        <f ca="1">-(Covercrop!$B$36*Watersheds!AK31*Covercrop!$B$10+Covercrop!$C$36*Watersheds!AK32*Covercrop!$C$10)*AK47</f>
        <v>-1257.6826402749055</v>
      </c>
      <c r="AL48" s="444">
        <f ca="1">-(Covercrop!$B$36*Watersheds!AL31*Covercrop!$B$10+Covercrop!$C$36*Watersheds!AL32*Covercrop!$C$10)*AL47</f>
        <v>-318.35504216314791</v>
      </c>
      <c r="AM48" s="444">
        <f ca="1">-(Covercrop!$B$36*Watersheds!AM31*Covercrop!$B$10+Covercrop!$C$36*Watersheds!AM32*Covercrop!$C$10)*AM47</f>
        <v>-1264.3315296444505</v>
      </c>
      <c r="AN48" s="444">
        <f ca="1">-(Covercrop!$B$36*Watersheds!AN31*Covercrop!$B$10+Covercrop!$C$36*Watersheds!AN32*Covercrop!$C$10)*AN47</f>
        <v>-1466.052315890397</v>
      </c>
      <c r="AO48" s="445">
        <f t="shared" ca="1" si="7"/>
        <v>-27524.176295532339</v>
      </c>
    </row>
    <row r="49" spans="1:41" s="49" customFormat="1" ht="33" customHeight="1" x14ac:dyDescent="0.35">
      <c r="A49" s="498" t="s">
        <v>854</v>
      </c>
      <c r="B49" s="444">
        <f ca="1">-Covercrop!$E$36*Watersheds!B34*B47*Main!$C$167</f>
        <v>-542.0181904128176</v>
      </c>
      <c r="C49" s="444">
        <f ca="1">-Covercrop!$E$36*Watersheds!C34*C47*Main!$C$167</f>
        <v>-84.366947841715557</v>
      </c>
      <c r="D49" s="444">
        <f ca="1">-Covercrop!$E$36*Watersheds!D34*D47*Main!$C$167</f>
        <v>0</v>
      </c>
      <c r="E49" s="444">
        <f ca="1">-Covercrop!$E$36*Watersheds!E34*E47*Main!$C$167</f>
        <v>-55.931914411801259</v>
      </c>
      <c r="F49" s="444">
        <f ca="1">-Covercrop!$E$36*Watersheds!F34*F47*Main!$C$167</f>
        <v>-29.115251108345063</v>
      </c>
      <c r="G49" s="444">
        <f ca="1">-Covercrop!$E$36*Watersheds!G34*G47*Main!$C$167</f>
        <v>0</v>
      </c>
      <c r="H49" s="444">
        <f ca="1">-Covercrop!$E$36*Watersheds!H34*H47*Main!$C$167</f>
        <v>-59.278881872367997</v>
      </c>
      <c r="I49" s="444">
        <f ca="1">-Covercrop!$E$36*Watersheds!I34*I47*Main!$C$167</f>
        <v>-152.96895404690522</v>
      </c>
      <c r="J49" s="444">
        <f ca="1">-Covercrop!$E$36*Watersheds!J34*J47*Main!$C$167</f>
        <v>-541.62539622619477</v>
      </c>
      <c r="K49" s="444">
        <f ca="1">-Covercrop!$E$36*Watersheds!K34*K47*Main!$C$167</f>
        <v>-802.78256165327264</v>
      </c>
      <c r="L49" s="444">
        <f ca="1">-Covercrop!$E$36*Watersheds!L34*L47*Main!$C$167</f>
        <v>0</v>
      </c>
      <c r="M49" s="444">
        <f ca="1">-Covercrop!$E$36*Watersheds!M34*M47*Main!$C$167</f>
        <v>-741.72867558068765</v>
      </c>
      <c r="N49" s="444">
        <f ca="1">-Covercrop!$E$36*Watersheds!N34*N47*Main!$C$167</f>
        <v>0</v>
      </c>
      <c r="O49" s="444">
        <f ca="1">-Covercrop!$E$36*Watersheds!O34*O47*Main!$C$167</f>
        <v>-642.95776616969374</v>
      </c>
      <c r="P49" s="444">
        <f ca="1">-Covercrop!$E$36*Watersheds!P34*P47*Main!$C$167</f>
        <v>0</v>
      </c>
      <c r="Q49" s="444">
        <f ca="1">-Covercrop!$E$36*Watersheds!Q34*Q47*Main!$C$167</f>
        <v>-139.93738191365225</v>
      </c>
      <c r="R49" s="444">
        <f ca="1">-Covercrop!$E$36*Watersheds!R34*R47*Main!$C$167</f>
        <v>0</v>
      </c>
      <c r="S49" s="444">
        <f ca="1">-Covercrop!$E$36*Watersheds!S34*S47*Main!$C$167</f>
        <v>-291.63319957593092</v>
      </c>
      <c r="T49" s="444">
        <f ca="1">-Covercrop!$E$36*Watersheds!T34*T47*Main!$C$167</f>
        <v>0</v>
      </c>
      <c r="U49" s="444">
        <f ca="1">-Covercrop!$E$36*Watersheds!U34*U47*Main!$C$167</f>
        <v>-6.8341557833712603</v>
      </c>
      <c r="V49" s="444">
        <f ca="1">-Covercrop!$E$36*Watersheds!V34*V47*Main!$C$167</f>
        <v>0</v>
      </c>
      <c r="W49" s="444">
        <f ca="1">-Covercrop!$E$36*Watersheds!W34*W47*Main!$C$167</f>
        <v>-314.82133363778581</v>
      </c>
      <c r="X49" s="444">
        <f ca="1">-Covercrop!$E$36*Watersheds!X34*X47*Main!$C$167</f>
        <v>-48.305681120545891</v>
      </c>
      <c r="Y49" s="444">
        <f ca="1">-Covercrop!$E$36*Watersheds!Y34*Y47*Main!$C$167</f>
        <v>0</v>
      </c>
      <c r="Z49" s="444">
        <f ca="1">-Covercrop!$E$36*Watersheds!Z34*Z47*Main!$C$167</f>
        <v>-448.91281588859374</v>
      </c>
      <c r="AA49" s="444">
        <f ca="1">-Covercrop!$E$36*Watersheds!AA34*AA47*Main!$C$167</f>
        <v>-68.442776619351335</v>
      </c>
      <c r="AB49" s="444">
        <f ca="1">-Covercrop!$E$36*Watersheds!AB34*AB47*Main!$C$167</f>
        <v>-1419.4108828221742</v>
      </c>
      <c r="AC49" s="444">
        <f ca="1">-Covercrop!$E$36*Watersheds!AC34*AC47*Main!$C$167</f>
        <v>0</v>
      </c>
      <c r="AD49" s="444">
        <f ca="1">-Covercrop!$E$36*Watersheds!AD34*AD47*Main!$C$167</f>
        <v>-2.6079304848143829</v>
      </c>
      <c r="AE49" s="444">
        <f ca="1">-Covercrop!$E$36*Watersheds!AE34*AE47*Main!$C$167</f>
        <v>-257.83765966385369</v>
      </c>
      <c r="AF49" s="444">
        <f ca="1">-Covercrop!$E$36*Watersheds!AF34*AF47*Main!$C$167</f>
        <v>-6.8927945323529176</v>
      </c>
      <c r="AG49" s="444">
        <f ca="1">-Covercrop!$E$36*Watersheds!AG34*AG47*Main!$C$167</f>
        <v>0</v>
      </c>
      <c r="AH49" s="444">
        <f ca="1">-Covercrop!$E$36*Watersheds!AH34*AH47*Main!$C$167</f>
        <v>-1421.5994862471889</v>
      </c>
      <c r="AI49" s="444">
        <f ca="1">-Covercrop!$E$36*Watersheds!AI34*AI47*Main!$C$167</f>
        <v>-34.004226117457797</v>
      </c>
      <c r="AJ49" s="444">
        <f ca="1">-Covercrop!$E$36*Watersheds!AJ34*AJ47*Main!$C$167</f>
        <v>-291.78307388278284</v>
      </c>
      <c r="AK49" s="444">
        <f ca="1">-Covercrop!$E$36*Watersheds!AK34*AK47*Main!$C$167</f>
        <v>0</v>
      </c>
      <c r="AL49" s="444">
        <f ca="1">-Covercrop!$E$36*Watersheds!AL34*AL47*Main!$C$167</f>
        <v>-644.25334920479747</v>
      </c>
      <c r="AM49" s="444">
        <f ca="1">-Covercrop!$E$36*Watersheds!AM34*AM47*Main!$C$167</f>
        <v>-51.03307793258179</v>
      </c>
      <c r="AN49" s="444">
        <f ca="1">-Covercrop!$E$36*Watersheds!AN34*AN47*Main!$C$167</f>
        <v>-51.316373042895698</v>
      </c>
      <c r="AO49" s="445">
        <f t="shared" ca="1" si="7"/>
        <v>-9152.4007377939306</v>
      </c>
    </row>
    <row r="50" spans="1:41" s="49" customFormat="1" ht="33.75" customHeight="1" x14ac:dyDescent="0.35">
      <c r="A50" s="498" t="s">
        <v>855</v>
      </c>
      <c r="B50" s="444">
        <f ca="1">-Covercrop!$F$36*Watersheds!B35*B47*Main!$C$167</f>
        <v>-7242.3543259555445</v>
      </c>
      <c r="C50" s="444">
        <f ca="1">-Covercrop!$F$36*Watersheds!C35*C47*Main!$C$167</f>
        <v>-363.18786020255186</v>
      </c>
      <c r="D50" s="444">
        <f ca="1">-Covercrop!$F$36*Watersheds!D35*D47*Main!$C$167</f>
        <v>-1993.0482218911491</v>
      </c>
      <c r="E50" s="444">
        <f ca="1">-Covercrop!$F$36*Watersheds!E35*E47*Main!$C$167</f>
        <v>-2659.3884910191928</v>
      </c>
      <c r="F50" s="444">
        <f ca="1">-Covercrop!$F$36*Watersheds!F35*F47*Main!$C$167</f>
        <v>-809.76064359341979</v>
      </c>
      <c r="G50" s="444">
        <f ca="1">-Covercrop!$F$36*Watersheds!G35*G47*Main!$C$167</f>
        <v>-630.77842088218154</v>
      </c>
      <c r="H50" s="444">
        <f ca="1">-Covercrop!$F$36*Watersheds!H35*H47*Main!$C$167</f>
        <v>-3150.8656918846355</v>
      </c>
      <c r="I50" s="444">
        <f ca="1">-Covercrop!$F$36*Watersheds!I35*I47*Main!$C$167</f>
        <v>-1347.0421665777646</v>
      </c>
      <c r="J50" s="444">
        <f ca="1">-Covercrop!$F$36*Watersheds!J35*J47*Main!$C$167</f>
        <v>-1031.0035197057682</v>
      </c>
      <c r="K50" s="444">
        <f ca="1">-Covercrop!$F$36*Watersheds!K35*K47*Main!$C$167</f>
        <v>-3878.6761282189455</v>
      </c>
      <c r="L50" s="444">
        <f ca="1">-Covercrop!$F$36*Watersheds!L35*L47*Main!$C$167</f>
        <v>-200.75864284482111</v>
      </c>
      <c r="M50" s="444">
        <f ca="1">-Covercrop!$F$36*Watersheds!M35*M47*Main!$C$167</f>
        <v>-5730.6927686112285</v>
      </c>
      <c r="N50" s="444">
        <f ca="1">-Covercrop!$F$36*Watersheds!N35*N47*Main!$C$167</f>
        <v>-307.31300660731307</v>
      </c>
      <c r="O50" s="444">
        <f ca="1">-Covercrop!$F$36*Watersheds!O35*O47*Main!$C$167</f>
        <v>-3407.8656661654668</v>
      </c>
      <c r="P50" s="444">
        <f ca="1">-Covercrop!$F$36*Watersheds!P35*P47*Main!$C$167</f>
        <v>-612.2482260108967</v>
      </c>
      <c r="Q50" s="444">
        <f ca="1">-Covercrop!$F$36*Watersheds!Q35*Q47*Main!$C$167</f>
        <v>-809.76946314171994</v>
      </c>
      <c r="R50" s="444">
        <f ca="1">-Covercrop!$F$36*Watersheds!R35*R47*Main!$C$167</f>
        <v>-48.911922475603653</v>
      </c>
      <c r="S50" s="444">
        <f ca="1">-Covercrop!$F$36*Watersheds!S35*S47*Main!$C$167</f>
        <v>-2822.1358745420471</v>
      </c>
      <c r="T50" s="444">
        <f ca="1">-Covercrop!$F$36*Watersheds!T35*T47*Main!$C$167</f>
        <v>-112.38965900026705</v>
      </c>
      <c r="U50" s="444">
        <f ca="1">-Covercrop!$F$36*Watersheds!U35*U47*Main!$C$167</f>
        <v>-284.44803262303526</v>
      </c>
      <c r="V50" s="444">
        <f ca="1">-Covercrop!$F$36*Watersheds!V35*V47*Main!$C$167</f>
        <v>-5.6517398691811964</v>
      </c>
      <c r="W50" s="444">
        <f ca="1">-Covercrop!$F$36*Watersheds!W35*W47*Main!$C$167</f>
        <v>-1212.4871699447722</v>
      </c>
      <c r="X50" s="444">
        <f ca="1">-Covercrop!$F$36*Watersheds!X35*X47*Main!$C$167</f>
        <v>-441.01854700260998</v>
      </c>
      <c r="Y50" s="444">
        <f ca="1">-Covercrop!$F$36*Watersheds!Y35*Y47*Main!$C$167</f>
        <v>-1768.8832124509588</v>
      </c>
      <c r="Z50" s="444">
        <f ca="1">-Covercrop!$F$36*Watersheds!Z35*Z47*Main!$C$167</f>
        <v>-4431.5307064213848</v>
      </c>
      <c r="AA50" s="444">
        <f ca="1">-Covercrop!$F$36*Watersheds!AA35*AA47*Main!$C$167</f>
        <v>-2142.299596417643</v>
      </c>
      <c r="AB50" s="444">
        <f ca="1">-Covercrop!$F$36*Watersheds!AB35*AB47*Main!$C$167</f>
        <v>-9588.0916187979419</v>
      </c>
      <c r="AC50" s="444">
        <f ca="1">-Covercrop!$F$36*Watersheds!AC35*AC47*Main!$C$167</f>
        <v>-754.85264552567583</v>
      </c>
      <c r="AD50" s="444">
        <f ca="1">-Covercrop!$F$36*Watersheds!AD35*AD47*Main!$C$167</f>
        <v>-64.349174461778006</v>
      </c>
      <c r="AE50" s="444">
        <f ca="1">-Covercrop!$F$36*Watersheds!AE35*AE47*Main!$C$167</f>
        <v>-179.34345198794404</v>
      </c>
      <c r="AF50" s="444">
        <f ca="1">-Covercrop!$F$36*Watersheds!AF35*AF47*Main!$C$167</f>
        <v>-564.24574397272477</v>
      </c>
      <c r="AG50" s="444">
        <f ca="1">-Covercrop!$F$36*Watersheds!AG35*AG47*Main!$C$167</f>
        <v>-135.48878199352384</v>
      </c>
      <c r="AH50" s="444">
        <f ca="1">-Covercrop!$F$36*Watersheds!AH35*AH47*Main!$C$167</f>
        <v>-3744.836399457306</v>
      </c>
      <c r="AI50" s="444">
        <f ca="1">-Covercrop!$F$36*Watersheds!AI35*AI47*Main!$C$167</f>
        <v>-206.42218335046965</v>
      </c>
      <c r="AJ50" s="444">
        <f ca="1">-Covercrop!$F$36*Watersheds!AJ35*AJ47*Main!$C$167</f>
        <v>-1280.4827277250079</v>
      </c>
      <c r="AK50" s="444">
        <f ca="1">-Covercrop!$F$36*Watersheds!AK35*AK47*Main!$C$167</f>
        <v>-1047.787241541809</v>
      </c>
      <c r="AL50" s="444">
        <f ca="1">-Covercrop!$F$36*Watersheds!AL35*AL47*Main!$C$167</f>
        <v>-3930.0945268010873</v>
      </c>
      <c r="AM50" s="444">
        <f ca="1">-Covercrop!$F$36*Watersheds!AM35*AM47*Main!$C$167</f>
        <v>-878.02139151467316</v>
      </c>
      <c r="AN50" s="444">
        <f ca="1">-Covercrop!$F$36*Watersheds!AN35*AN47*Main!$C$167</f>
        <v>-1137.5668520609256</v>
      </c>
      <c r="AO50" s="445">
        <f t="shared" ca="1" si="7"/>
        <v>-70956.092443250978</v>
      </c>
    </row>
    <row r="51" spans="1:41" s="49" customFormat="1" ht="31.5" x14ac:dyDescent="0.35">
      <c r="A51" s="498" t="s">
        <v>850</v>
      </c>
      <c r="B51" s="49">
        <f ca="1">B42+SUM(B48:B50)</f>
        <v>417237.54995139828</v>
      </c>
      <c r="C51" s="49">
        <f t="shared" ref="C51:AN51" ca="1" si="10">C42+SUM(C48:C50)</f>
        <v>31170.72945461125</v>
      </c>
      <c r="D51" s="49">
        <f t="shared" ca="1" si="10"/>
        <v>165332.74497810248</v>
      </c>
      <c r="E51" s="49">
        <f t="shared" ca="1" si="10"/>
        <v>188966.34739673126</v>
      </c>
      <c r="F51" s="49">
        <f t="shared" ca="1" si="10"/>
        <v>301152.76949048322</v>
      </c>
      <c r="G51" s="49">
        <f t="shared" ca="1" si="10"/>
        <v>4061.0621801804436</v>
      </c>
      <c r="H51" s="49">
        <f t="shared" ca="1" si="10"/>
        <v>161706.49685715738</v>
      </c>
      <c r="I51" s="49">
        <f t="shared" ca="1" si="10"/>
        <v>401896.52735765593</v>
      </c>
      <c r="J51" s="49">
        <f t="shared" ca="1" si="10"/>
        <v>113722.10395636249</v>
      </c>
      <c r="K51" s="49">
        <f t="shared" ca="1" si="10"/>
        <v>160618.42877217749</v>
      </c>
      <c r="L51" s="49">
        <f t="shared" ca="1" si="10"/>
        <v>12206.056159869597</v>
      </c>
      <c r="M51" s="49">
        <f t="shared" ca="1" si="10"/>
        <v>60904.983925992616</v>
      </c>
      <c r="N51" s="49">
        <f t="shared" ca="1" si="10"/>
        <v>300230.83320064103</v>
      </c>
      <c r="O51" s="49">
        <f t="shared" ca="1" si="10"/>
        <v>117577.69271365163</v>
      </c>
      <c r="P51" s="49">
        <f t="shared" ca="1" si="10"/>
        <v>99780.96800024806</v>
      </c>
      <c r="Q51" s="49">
        <f t="shared" ca="1" si="10"/>
        <v>27389.556924112796</v>
      </c>
      <c r="R51" s="49">
        <f t="shared" ca="1" si="10"/>
        <v>878.5287381082743</v>
      </c>
      <c r="S51" s="49">
        <f t="shared" ca="1" si="10"/>
        <v>44884.6728679601</v>
      </c>
      <c r="T51" s="49">
        <f t="shared" ca="1" si="10"/>
        <v>1284.9562948286448</v>
      </c>
      <c r="U51" s="49">
        <f t="shared" ca="1" si="10"/>
        <v>7044.9697004492482</v>
      </c>
      <c r="V51" s="49">
        <f t="shared" ca="1" si="10"/>
        <v>11719.428937349832</v>
      </c>
      <c r="W51" s="49">
        <f t="shared" ca="1" si="10"/>
        <v>54214.037735192767</v>
      </c>
      <c r="X51" s="49">
        <f t="shared" ca="1" si="10"/>
        <v>17179.975927314619</v>
      </c>
      <c r="Y51" s="49">
        <f t="shared" ca="1" si="10"/>
        <v>267887.36406343844</v>
      </c>
      <c r="Z51" s="49">
        <f t="shared" ca="1" si="10"/>
        <v>754712.10413319815</v>
      </c>
      <c r="AA51" s="49">
        <f t="shared" ca="1" si="10"/>
        <v>80969.809435644842</v>
      </c>
      <c r="AB51" s="49">
        <f t="shared" ca="1" si="10"/>
        <v>389012.23155922099</v>
      </c>
      <c r="AC51" s="49">
        <f t="shared" ca="1" si="10"/>
        <v>9880.4521642057207</v>
      </c>
      <c r="AD51" s="49">
        <f t="shared" ca="1" si="10"/>
        <v>23153.608983529022</v>
      </c>
      <c r="AE51" s="49">
        <f t="shared" ca="1" si="10"/>
        <v>26408.743178499466</v>
      </c>
      <c r="AF51" s="49">
        <f t="shared" ca="1" si="10"/>
        <v>54587.407137212598</v>
      </c>
      <c r="AG51" s="49">
        <f t="shared" ca="1" si="10"/>
        <v>10732.317112377219</v>
      </c>
      <c r="AH51" s="49">
        <f t="shared" ca="1" si="10"/>
        <v>351378.90020579746</v>
      </c>
      <c r="AI51" s="49">
        <f t="shared" ca="1" si="10"/>
        <v>31628.117942405996</v>
      </c>
      <c r="AJ51" s="49">
        <f t="shared" ca="1" si="10"/>
        <v>62275.759252971606</v>
      </c>
      <c r="AK51" s="49">
        <f t="shared" ca="1" si="10"/>
        <v>218217.77880820583</v>
      </c>
      <c r="AL51" s="49">
        <f t="shared" ca="1" si="10"/>
        <v>156693.92001649714</v>
      </c>
      <c r="AM51" s="49">
        <f t="shared" ca="1" si="10"/>
        <v>219605.68531956829</v>
      </c>
      <c r="AN51" s="49">
        <f t="shared" ca="1" si="10"/>
        <v>256722.48236833466</v>
      </c>
      <c r="AO51" s="445">
        <f ca="1">SUM(B51:AN51)</f>
        <v>5615028.1032016855</v>
      </c>
    </row>
    <row r="53" spans="1:41" ht="21" x14ac:dyDescent="0.35">
      <c r="A53" t="s">
        <v>787</v>
      </c>
      <c r="B53" s="182">
        <f t="shared" ref="B53:AO53" ca="1" si="11">B51-B21</f>
        <v>-71281.639790381538</v>
      </c>
      <c r="C53" s="182">
        <f t="shared" ca="1" si="11"/>
        <v>-5742.3978055226362</v>
      </c>
      <c r="D53" s="182">
        <f t="shared" ca="1" si="11"/>
        <v>-20929.279411644267</v>
      </c>
      <c r="E53" s="182">
        <f t="shared" ca="1" si="11"/>
        <v>-21004.249805400497</v>
      </c>
      <c r="F53" s="182">
        <f t="shared" ca="1" si="11"/>
        <v>-81165.010378782521</v>
      </c>
      <c r="G53" s="182">
        <f t="shared" ca="1" si="11"/>
        <v>-644.45191854301083</v>
      </c>
      <c r="H53" s="182">
        <f t="shared" ca="1" si="11"/>
        <v>-21440.214905262663</v>
      </c>
      <c r="I53" s="182">
        <f t="shared" ca="1" si="11"/>
        <v>-149343.56065072038</v>
      </c>
      <c r="J53" s="182">
        <f t="shared" ca="1" si="11"/>
        <v>-49420.601380819833</v>
      </c>
      <c r="K53" s="182">
        <f t="shared" ca="1" si="11"/>
        <v>-53270.976640517532</v>
      </c>
      <c r="L53" s="182">
        <f t="shared" ca="1" si="11"/>
        <v>-1010.3069602209252</v>
      </c>
      <c r="M53" s="182">
        <f t="shared" ca="1" si="11"/>
        <v>-11617.054943610601</v>
      </c>
      <c r="N53" s="182">
        <f t="shared" ca="1" si="11"/>
        <v>-61378.136124494195</v>
      </c>
      <c r="O53" s="182">
        <f t="shared" ca="1" si="11"/>
        <v>-43462.185817729216</v>
      </c>
      <c r="P53" s="182">
        <f t="shared" ca="1" si="11"/>
        <v>-20570.917573497558</v>
      </c>
      <c r="Q53" s="182">
        <f t="shared" ca="1" si="11"/>
        <v>-19882.639581256139</v>
      </c>
      <c r="R53" s="182">
        <f t="shared" ca="1" si="11"/>
        <v>-53.034603406260885</v>
      </c>
      <c r="S53" s="182">
        <f t="shared" ca="1" si="11"/>
        <v>-6611.9309230528379</v>
      </c>
      <c r="T53" s="182">
        <f t="shared" ca="1" si="11"/>
        <v>-118.23122065305074</v>
      </c>
      <c r="U53" s="182">
        <f t="shared" ca="1" si="11"/>
        <v>-3592.5854715306923</v>
      </c>
      <c r="V53" s="182">
        <f t="shared" ca="1" si="11"/>
        <v>-4935.1112668847418</v>
      </c>
      <c r="W53" s="182">
        <f t="shared" ca="1" si="11"/>
        <v>-19608.436462970531</v>
      </c>
      <c r="X53" s="182">
        <f t="shared" ca="1" si="11"/>
        <v>-2504.3055346841429</v>
      </c>
      <c r="Y53" s="182">
        <f t="shared" ca="1" si="11"/>
        <v>-38321.860463669407</v>
      </c>
      <c r="Z53" s="182">
        <f t="shared" ca="1" si="11"/>
        <v>-138511.83290099644</v>
      </c>
      <c r="AA53" s="182">
        <f t="shared" ca="1" si="11"/>
        <v>-19038.408391812191</v>
      </c>
      <c r="AB53" s="182">
        <f t="shared" ca="1" si="11"/>
        <v>-88339.204348819389</v>
      </c>
      <c r="AC53" s="182">
        <f t="shared" ca="1" si="11"/>
        <v>-992.0821274217451</v>
      </c>
      <c r="AD53" s="182">
        <f t="shared" ca="1" si="11"/>
        <v>-4067.9648077725615</v>
      </c>
      <c r="AE53" s="182">
        <f t="shared" ca="1" si="11"/>
        <v>-5160.4228049363519</v>
      </c>
      <c r="AF53" s="182">
        <f t="shared" ca="1" si="11"/>
        <v>-8489.8580832445441</v>
      </c>
      <c r="AG53" s="182">
        <f t="shared" ca="1" si="11"/>
        <v>-1434.0228477956698</v>
      </c>
      <c r="AH53" s="182">
        <f t="shared" ca="1" si="11"/>
        <v>-145852.05165536463</v>
      </c>
      <c r="AI53" s="182">
        <f t="shared" ca="1" si="11"/>
        <v>-11037.334358886525</v>
      </c>
      <c r="AJ53" s="182">
        <f t="shared" ca="1" si="11"/>
        <v>-21864.491118573831</v>
      </c>
      <c r="AK53" s="182">
        <f t="shared" ca="1" si="11"/>
        <v>-38258.858721988567</v>
      </c>
      <c r="AL53" s="182">
        <f t="shared" ca="1" si="11"/>
        <v>-49751.240948757302</v>
      </c>
      <c r="AM53" s="182">
        <f t="shared" ca="1" si="11"/>
        <v>-82959.874994278915</v>
      </c>
      <c r="AN53" s="182">
        <f t="shared" ca="1" si="11"/>
        <v>-101642.51839740248</v>
      </c>
      <c r="AO53" s="535">
        <f t="shared" ca="1" si="11"/>
        <v>-1425309.2861433085</v>
      </c>
    </row>
    <row r="55" spans="1:41" x14ac:dyDescent="0.25">
      <c r="B55" s="2"/>
    </row>
    <row r="56" spans="1:41" x14ac:dyDescent="0.25">
      <c r="B56" s="2"/>
    </row>
    <row r="57" spans="1:41" x14ac:dyDescent="0.25">
      <c r="B57" s="2"/>
    </row>
  </sheetData>
  <sheetProtection algorithmName="SHA-512" hashValue="vFUkhVdSivDn68rWk2Y8obRtGOj5Sla8AqMmqQJeMzIDsrhRS6tVEQgcX1tuXZ95Td0H/F99dv/EB4ErJ+jKng==" saltValue="4n2QtGicajXhl+PLZGsFRg==" spinCount="100000" sheet="1" objects="1" scenarios="1"/>
  <pageMargins left="0.7" right="0.7" top="0.75" bottom="0.75" header="0.3" footer="0.3"/>
  <pageSetup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
  <dimension ref="A1:AO41"/>
  <sheetViews>
    <sheetView topLeftCell="A13" workbookViewId="0">
      <selection activeCell="C24" sqref="C24:AN27"/>
    </sheetView>
  </sheetViews>
  <sheetFormatPr defaultRowHeight="15" x14ac:dyDescent="0.25"/>
  <cols>
    <col min="1" max="1" width="30.28515625" customWidth="1"/>
    <col min="2" max="2" width="11.42578125" customWidth="1"/>
    <col min="41" max="41" width="20.7109375" customWidth="1"/>
  </cols>
  <sheetData>
    <row r="1" spans="1:41" x14ac:dyDescent="0.25">
      <c r="A1" t="s">
        <v>62</v>
      </c>
      <c r="B1">
        <v>1</v>
      </c>
      <c r="C1">
        <v>2</v>
      </c>
      <c r="D1">
        <v>3</v>
      </c>
      <c r="E1">
        <v>4</v>
      </c>
      <c r="F1">
        <v>5</v>
      </c>
      <c r="G1">
        <v>6</v>
      </c>
      <c r="H1">
        <v>7</v>
      </c>
      <c r="I1">
        <v>8</v>
      </c>
      <c r="J1">
        <v>9</v>
      </c>
      <c r="K1">
        <v>10</v>
      </c>
      <c r="L1">
        <v>11</v>
      </c>
      <c r="M1">
        <v>12</v>
      </c>
      <c r="N1">
        <v>13</v>
      </c>
      <c r="O1">
        <v>14</v>
      </c>
      <c r="P1">
        <v>15</v>
      </c>
      <c r="Q1">
        <v>16</v>
      </c>
      <c r="R1">
        <v>17</v>
      </c>
      <c r="S1">
        <v>18</v>
      </c>
      <c r="T1">
        <v>19</v>
      </c>
      <c r="U1">
        <v>20</v>
      </c>
      <c r="V1">
        <v>21</v>
      </c>
      <c r="W1">
        <v>22</v>
      </c>
      <c r="X1">
        <v>23</v>
      </c>
      <c r="Y1">
        <v>24</v>
      </c>
      <c r="Z1">
        <v>25</v>
      </c>
      <c r="AA1">
        <v>26</v>
      </c>
      <c r="AB1">
        <v>27</v>
      </c>
      <c r="AC1">
        <v>28</v>
      </c>
      <c r="AD1">
        <v>29</v>
      </c>
      <c r="AE1">
        <v>30</v>
      </c>
      <c r="AF1">
        <v>31</v>
      </c>
      <c r="AG1">
        <v>32</v>
      </c>
      <c r="AH1">
        <v>33</v>
      </c>
      <c r="AI1">
        <v>34</v>
      </c>
      <c r="AJ1">
        <v>35</v>
      </c>
      <c r="AK1">
        <v>36</v>
      </c>
      <c r="AL1">
        <v>37</v>
      </c>
      <c r="AM1">
        <v>38</v>
      </c>
      <c r="AN1">
        <v>39</v>
      </c>
    </row>
    <row r="2" spans="1:41" s="32" customFormat="1" ht="15" customHeight="1" x14ac:dyDescent="0.3">
      <c r="A2" s="32" t="s">
        <v>61</v>
      </c>
      <c r="B2" s="32" t="s">
        <v>60</v>
      </c>
      <c r="C2" s="32" t="s">
        <v>59</v>
      </c>
      <c r="D2" s="32" t="s">
        <v>58</v>
      </c>
      <c r="E2" s="32" t="s">
        <v>57</v>
      </c>
      <c r="F2" s="32" t="s">
        <v>56</v>
      </c>
      <c r="G2" s="32" t="s">
        <v>55</v>
      </c>
      <c r="H2" s="32" t="s">
        <v>54</v>
      </c>
      <c r="I2" s="32" t="s">
        <v>53</v>
      </c>
      <c r="J2" s="32" t="s">
        <v>52</v>
      </c>
      <c r="K2" s="32" t="s">
        <v>51</v>
      </c>
      <c r="L2" s="32" t="s">
        <v>50</v>
      </c>
      <c r="M2" s="32" t="s">
        <v>49</v>
      </c>
      <c r="N2" s="32" t="s">
        <v>48</v>
      </c>
      <c r="O2" s="32" t="s">
        <v>47</v>
      </c>
      <c r="P2" s="32" t="s">
        <v>46</v>
      </c>
      <c r="Q2" s="32" t="s">
        <v>45</v>
      </c>
      <c r="R2" s="32" t="s">
        <v>44</v>
      </c>
      <c r="S2" s="32" t="s">
        <v>43</v>
      </c>
      <c r="T2" s="32" t="s">
        <v>42</v>
      </c>
      <c r="U2" s="32" t="s">
        <v>41</v>
      </c>
      <c r="V2" s="32" t="s">
        <v>40</v>
      </c>
      <c r="W2" s="32" t="s">
        <v>39</v>
      </c>
      <c r="X2" s="32" t="s">
        <v>38</v>
      </c>
      <c r="Y2" s="32" t="s">
        <v>37</v>
      </c>
      <c r="Z2" s="32" t="s">
        <v>36</v>
      </c>
      <c r="AA2" s="32" t="s">
        <v>35</v>
      </c>
      <c r="AB2" s="32" t="s">
        <v>34</v>
      </c>
      <c r="AC2" s="32" t="s">
        <v>33</v>
      </c>
      <c r="AD2" s="32" t="s">
        <v>32</v>
      </c>
      <c r="AE2" s="32" t="s">
        <v>31</v>
      </c>
      <c r="AF2" s="32" t="s">
        <v>30</v>
      </c>
      <c r="AG2" s="32" t="s">
        <v>29</v>
      </c>
      <c r="AH2" s="32" t="s">
        <v>28</v>
      </c>
      <c r="AI2" s="32" t="s">
        <v>27</v>
      </c>
      <c r="AJ2" s="32" t="s">
        <v>26</v>
      </c>
      <c r="AK2" s="32" t="s">
        <v>25</v>
      </c>
      <c r="AL2" s="32" t="s">
        <v>24</v>
      </c>
      <c r="AM2" s="32" t="s">
        <v>23</v>
      </c>
      <c r="AN2" s="32" t="s">
        <v>22</v>
      </c>
      <c r="AO2" s="406" t="s">
        <v>75</v>
      </c>
    </row>
    <row r="3" spans="1:41" ht="15" customHeight="1" x14ac:dyDescent="0.3">
      <c r="A3" s="112" t="s">
        <v>788</v>
      </c>
      <c r="AO3" s="23"/>
    </row>
    <row r="4" spans="1:41" ht="18.75" x14ac:dyDescent="0.3">
      <c r="A4" s="26" t="s">
        <v>73</v>
      </c>
      <c r="B4" s="20">
        <f>IFERROR(Erosion!C66,0)</f>
        <v>6.4116535349397328</v>
      </c>
      <c r="C4" s="20">
        <f>IFERROR(Erosion!D66,0)</f>
        <v>6.9282337180042308</v>
      </c>
      <c r="D4" s="20">
        <f>IFERROR(Erosion!E66,0)</f>
        <v>11.119280320543922</v>
      </c>
      <c r="E4" s="20">
        <f>IFERROR(Erosion!F66,0)</f>
        <v>6.8911318696430417</v>
      </c>
      <c r="F4" s="20">
        <f>IFERROR(Erosion!G66,0)</f>
        <v>7.803039915805881</v>
      </c>
      <c r="G4" s="20">
        <f>IFERROR(Erosion!H66,0)</f>
        <v>2.4517000218924192</v>
      </c>
      <c r="H4" s="20">
        <f>IFERROR(Erosion!I66,0)</f>
        <v>6.1427081306029176</v>
      </c>
      <c r="I4" s="20">
        <f>IFERROR(Erosion!J66,0)</f>
        <v>7.0410755787525616</v>
      </c>
      <c r="J4" s="20">
        <f>IFERROR(Erosion!K66,0)</f>
        <v>7.3130243143579197</v>
      </c>
      <c r="K4" s="20">
        <f>IFERROR(Erosion!L66,0)</f>
        <v>7.095591879731824</v>
      </c>
      <c r="L4" s="20">
        <f>IFERROR(Erosion!M66,0)</f>
        <v>1.7224398990709506</v>
      </c>
      <c r="M4" s="20">
        <f>IFERROR(Erosion!N66,0)</f>
        <v>5.442762910896394</v>
      </c>
      <c r="N4" s="20">
        <f>IFERROR(Erosion!O66,0)</f>
        <v>7.598225131351235</v>
      </c>
      <c r="O4" s="20">
        <f>IFERROR(Erosion!P66,0)</f>
        <v>5.2346756311616423</v>
      </c>
      <c r="P4" s="20">
        <f>IFERROR(Erosion!Q66,0)</f>
        <v>7.3415635294671606</v>
      </c>
      <c r="Q4" s="20">
        <f>IFERROR(Erosion!R66,0)</f>
        <v>5.9800630079913812</v>
      </c>
      <c r="R4" s="20">
        <f>IFERROR(Erosion!S66,0)</f>
        <v>3.6439267200958438</v>
      </c>
      <c r="S4" s="20">
        <f>IFERROR(Erosion!T66,0)</f>
        <v>4.9989453535934176</v>
      </c>
      <c r="T4" s="20">
        <f>IFERROR(Erosion!U66,0)</f>
        <v>1.4108698059192719</v>
      </c>
      <c r="U4" s="20">
        <f>IFERROR(Erosion!V66,0)</f>
        <v>1.8033791630156446</v>
      </c>
      <c r="V4" s="20">
        <f>IFERROR(Erosion!W66,0)</f>
        <v>7.3064845945054939</v>
      </c>
      <c r="W4" s="20">
        <f>IFERROR(Erosion!X66,0)</f>
        <v>6.4944034626590312</v>
      </c>
      <c r="X4" s="20">
        <f>IFERROR(Erosion!Y66,0)</f>
        <v>2.1782536935244319</v>
      </c>
      <c r="Y4" s="20">
        <f>IFERROR(Erosion!Z66,0)</f>
        <v>8.7893825793650251</v>
      </c>
      <c r="Z4" s="20">
        <f>IFERROR(Erosion!AA66,0)</f>
        <v>9.0074950955000137</v>
      </c>
      <c r="AA4" s="20">
        <f>IFERROR(Erosion!AB66,0)</f>
        <v>3.1724853241476469</v>
      </c>
      <c r="AB4" s="20">
        <f>IFERROR(Erosion!AC66,0)</f>
        <v>7.4248810263234795</v>
      </c>
      <c r="AC4" s="20">
        <f>IFERROR(Erosion!AD66,0)</f>
        <v>6.3946442298208677</v>
      </c>
      <c r="AD4" s="20">
        <f>IFERROR(Erosion!AE66,0)</f>
        <v>7.0118625835654669</v>
      </c>
      <c r="AE4" s="20">
        <f>IFERROR(Erosion!AF66,0)</f>
        <v>8.942008522912511</v>
      </c>
      <c r="AF4" s="20">
        <f>IFERROR(Erosion!AG66,0)</f>
        <v>8.850358831559797</v>
      </c>
      <c r="AG4" s="20">
        <f>IFERROR(Erosion!AH66,0)</f>
        <v>9.9435231991365089</v>
      </c>
      <c r="AH4" s="20">
        <f>IFERROR(Erosion!AI66,0)</f>
        <v>7.4742842760673875</v>
      </c>
      <c r="AI4" s="20">
        <f>IFERROR(Erosion!AJ66,0)</f>
        <v>6.6401713845999435</v>
      </c>
      <c r="AJ4" s="20">
        <f>IFERROR(Erosion!AK66,0)</f>
        <v>5.3846577318056976</v>
      </c>
      <c r="AK4" s="20">
        <f>IFERROR(Erosion!AL66,0)</f>
        <v>7.6411494173953685</v>
      </c>
      <c r="AL4" s="20">
        <f>IFERROR(Erosion!AM66,0)</f>
        <v>5.1775749297564637</v>
      </c>
      <c r="AM4" s="20">
        <f>IFERROR(Erosion!AN66,0)</f>
        <v>7.6545766869582348</v>
      </c>
      <c r="AN4" s="20">
        <f>IFERROR(Erosion!AO66,0)</f>
        <v>7.14606210071749</v>
      </c>
      <c r="AO4" s="23">
        <f t="shared" ref="AO4:AO14" si="0">SUM(B4:AN4)</f>
        <v>247.00855010715827</v>
      </c>
    </row>
    <row r="5" spans="1:41" ht="18.75" x14ac:dyDescent="0.3">
      <c r="A5" s="26" t="s">
        <v>72</v>
      </c>
      <c r="B5" s="20">
        <f>Runoff!B14</f>
        <v>3.0046800000000005</v>
      </c>
      <c r="C5" s="20">
        <f>Runoff!C14</f>
        <v>3.0351599999999994</v>
      </c>
      <c r="D5" s="20">
        <f>Runoff!D14</f>
        <v>4</v>
      </c>
      <c r="E5" s="20">
        <f>Runoff!E14</f>
        <v>4</v>
      </c>
      <c r="F5" s="20">
        <f>Runoff!F14</f>
        <v>0.85044199999999992</v>
      </c>
      <c r="G5" s="20">
        <f>Runoff!G14</f>
        <v>4</v>
      </c>
      <c r="H5" s="20">
        <f>Runoff!H14</f>
        <v>2.9107000000000003</v>
      </c>
      <c r="I5" s="20">
        <f>Runoff!I14</f>
        <v>0.89997200000000022</v>
      </c>
      <c r="J5" s="20">
        <f>Runoff!J14</f>
        <v>0.60330000000000017</v>
      </c>
      <c r="K5" s="20">
        <f>Runoff!K14</f>
        <v>0.47766111111111104</v>
      </c>
      <c r="L5" s="20">
        <f>Runoff!L14</f>
        <v>3.5114099999999997</v>
      </c>
      <c r="M5" s="20">
        <f>Runoff!M14</f>
        <v>2.4547699999999999</v>
      </c>
      <c r="N5" s="20">
        <f>Runoff!N14</f>
        <v>0.89362200000000014</v>
      </c>
      <c r="O5" s="20">
        <f>Runoff!O14</f>
        <v>0.39426444444444447</v>
      </c>
      <c r="P5" s="20">
        <f>Runoff!P14</f>
        <v>4</v>
      </c>
      <c r="Q5" s="20">
        <f>Runoff!Q14</f>
        <v>0.50119199999999997</v>
      </c>
      <c r="R5" s="20">
        <f>Runoff!R14</f>
        <v>4</v>
      </c>
      <c r="S5" s="20">
        <f>Runoff!S14</f>
        <v>3.8289099999999987</v>
      </c>
      <c r="T5" s="20">
        <f>Runoff!T14</f>
        <v>4</v>
      </c>
      <c r="U5" s="20">
        <f>Runoff!U14</f>
        <v>0.83545599999999998</v>
      </c>
      <c r="V5" s="20">
        <f>Runoff!V14</f>
        <v>1.225373333333333</v>
      </c>
      <c r="W5" s="20">
        <f>Runoff!W14</f>
        <v>0.4128911111111111</v>
      </c>
      <c r="X5" s="20">
        <f>Runoff!X14</f>
        <v>0.75442999999999993</v>
      </c>
      <c r="Y5" s="20">
        <f>Runoff!Y14</f>
        <v>4</v>
      </c>
      <c r="Z5" s="20">
        <f>Runoff!Z14</f>
        <v>3.6549200000000006</v>
      </c>
      <c r="AA5" s="20">
        <f>Runoff!AA14</f>
        <v>2.3442800000000013</v>
      </c>
      <c r="AB5" s="20">
        <f>Runoff!AB14</f>
        <v>0.80853200000000003</v>
      </c>
      <c r="AC5" s="20">
        <f>Runoff!AC14</f>
        <v>4</v>
      </c>
      <c r="AD5" s="20">
        <f>Runoff!AD14</f>
        <v>2.8865700000000007</v>
      </c>
      <c r="AE5" s="20">
        <f>Runoff!AE14</f>
        <v>1.1313933333333335</v>
      </c>
      <c r="AF5" s="20">
        <f>Runoff!AF14</f>
        <v>3.765410000000001</v>
      </c>
      <c r="AG5" s="20">
        <f>Runoff!AG14</f>
        <v>4</v>
      </c>
      <c r="AH5" s="20">
        <f>Runoff!AH14</f>
        <v>0.91470400000000007</v>
      </c>
      <c r="AI5" s="20">
        <f>Runoff!AI14</f>
        <v>0.65943400000000008</v>
      </c>
      <c r="AJ5" s="20">
        <f>Runoff!AJ14</f>
        <v>0.32822444444444449</v>
      </c>
      <c r="AK5" s="20">
        <f>Runoff!AK14</f>
        <v>4</v>
      </c>
      <c r="AL5" s="20">
        <f>Runoff!AL14</f>
        <v>0.40089666666666668</v>
      </c>
      <c r="AM5" s="20">
        <f>Runoff!AM14</f>
        <v>1.8900066666666668</v>
      </c>
      <c r="AN5" s="20">
        <f>Runoff!AN14</f>
        <v>2.7862400000000012</v>
      </c>
      <c r="AO5" s="23">
        <f t="shared" si="0"/>
        <v>88.16484511111112</v>
      </c>
    </row>
    <row r="6" spans="1:41" ht="18.75" x14ac:dyDescent="0.3">
      <c r="A6" s="26" t="s">
        <v>71</v>
      </c>
      <c r="B6" s="20">
        <f>Buffer!B53</f>
        <v>12</v>
      </c>
      <c r="C6" s="20">
        <f>Buffer!C53</f>
        <v>12</v>
      </c>
      <c r="D6" s="20">
        <f>Buffer!D53</f>
        <v>12</v>
      </c>
      <c r="E6" s="20">
        <f>Buffer!E53</f>
        <v>12</v>
      </c>
      <c r="F6" s="20">
        <f>Buffer!F53</f>
        <v>7.0763743207036036</v>
      </c>
      <c r="G6" s="20">
        <f>Buffer!G53</f>
        <v>12</v>
      </c>
      <c r="H6" s="20">
        <f>Buffer!H53</f>
        <v>12</v>
      </c>
      <c r="I6" s="20">
        <f>Buffer!I53</f>
        <v>4.6638680272553952</v>
      </c>
      <c r="J6" s="20">
        <f>Buffer!J53</f>
        <v>6.2605621528250115</v>
      </c>
      <c r="K6" s="20">
        <f>Buffer!K53</f>
        <v>6.419776752318489</v>
      </c>
      <c r="L6" s="20">
        <f>Buffer!L53</f>
        <v>12</v>
      </c>
      <c r="M6" s="20">
        <f>Buffer!M53</f>
        <v>12</v>
      </c>
      <c r="N6" s="20">
        <f>Buffer!N53</f>
        <v>11.624379653753703</v>
      </c>
      <c r="O6" s="20">
        <f>Buffer!O53</f>
        <v>5.8883703728064649</v>
      </c>
      <c r="P6" s="20">
        <f>Buffer!P53</f>
        <v>12</v>
      </c>
      <c r="Q6" s="20">
        <f>Buffer!Q53</f>
        <v>1.7316659199796685</v>
      </c>
      <c r="R6" s="20">
        <f>Buffer!R53</f>
        <v>12</v>
      </c>
      <c r="S6" s="20">
        <f>Buffer!S53</f>
        <v>12</v>
      </c>
      <c r="T6" s="20">
        <f>Buffer!T53</f>
        <v>12</v>
      </c>
      <c r="U6" s="20">
        <f>Buffer!U53</f>
        <v>2.9542284909253871</v>
      </c>
      <c r="V6" s="20">
        <f>Buffer!V53</f>
        <v>1.6133535426123498</v>
      </c>
      <c r="W6" s="20">
        <f>Buffer!W53</f>
        <v>2.6442788963540136</v>
      </c>
      <c r="X6" s="20">
        <f>Buffer!X53</f>
        <v>12</v>
      </c>
      <c r="Y6" s="20">
        <f>Buffer!Y53</f>
        <v>12</v>
      </c>
      <c r="Z6" s="20">
        <f>Buffer!Z53</f>
        <v>12</v>
      </c>
      <c r="AA6" s="20">
        <f>Buffer!AA53</f>
        <v>10.702031588124356</v>
      </c>
      <c r="AB6" s="20">
        <f>Buffer!AB53</f>
        <v>12</v>
      </c>
      <c r="AC6" s="20">
        <f>Buffer!AC53</f>
        <v>12</v>
      </c>
      <c r="AD6" s="20">
        <f>Buffer!AD53</f>
        <v>12</v>
      </c>
      <c r="AE6" s="20">
        <f>Buffer!AE53</f>
        <v>12</v>
      </c>
      <c r="AF6" s="20">
        <f>Buffer!AF53</f>
        <v>12</v>
      </c>
      <c r="AG6" s="20">
        <f>Buffer!AG53</f>
        <v>12</v>
      </c>
      <c r="AH6" s="20">
        <f>Buffer!AH53</f>
        <v>7.7272791926481137</v>
      </c>
      <c r="AI6" s="20">
        <f>Buffer!AI53</f>
        <v>6.3119964238028219</v>
      </c>
      <c r="AJ6" s="20">
        <f>Buffer!AJ53</f>
        <v>4.887244467849162</v>
      </c>
      <c r="AK6" s="20">
        <f>Buffer!AK53</f>
        <v>12</v>
      </c>
      <c r="AL6" s="20">
        <f>Buffer!AL53</f>
        <v>7.1287386101042429</v>
      </c>
      <c r="AM6" s="20">
        <f>Buffer!AM53</f>
        <v>5.2817482916810397</v>
      </c>
      <c r="AN6" s="20">
        <f>Buffer!AN53</f>
        <v>5.0306627089128835</v>
      </c>
      <c r="AO6" s="23">
        <f t="shared" si="0"/>
        <v>361.9465594126566</v>
      </c>
    </row>
    <row r="7" spans="1:41" ht="18.75" x14ac:dyDescent="0.3">
      <c r="A7" s="26" t="s">
        <v>1021</v>
      </c>
      <c r="B7" s="20">
        <f>C_Drain!B20</f>
        <v>1.2345523646751613</v>
      </c>
      <c r="C7" s="20">
        <f>C_Drain!C20</f>
        <v>0.77515031394349765</v>
      </c>
      <c r="D7" s="20">
        <f>C_Drain!D20</f>
        <v>1.6270406494109067E-2</v>
      </c>
      <c r="E7" s="20">
        <f>C_Drain!E20</f>
        <v>0.8047158835050523</v>
      </c>
      <c r="F7" s="20">
        <f>C_Drain!F20</f>
        <v>0.75868964278718432</v>
      </c>
      <c r="G7" s="20">
        <f>C_Drain!G20</f>
        <v>2.7577809863328761E-3</v>
      </c>
      <c r="H7" s="20">
        <f>C_Drain!H20</f>
        <v>0.6744885027911417</v>
      </c>
      <c r="I7" s="20">
        <f>C_Drain!I20</f>
        <v>1.5343301964395668</v>
      </c>
      <c r="J7" s="20">
        <f>C_Drain!J20</f>
        <v>2.0407548635897452</v>
      </c>
      <c r="K7" s="20">
        <f>C_Drain!K20</f>
        <v>0</v>
      </c>
      <c r="L7" s="20">
        <f>C_Drain!L20</f>
        <v>2.8733980572287234</v>
      </c>
      <c r="M7" s="20">
        <f>C_Drain!M20</f>
        <v>2.5671392958274752E-2</v>
      </c>
      <c r="N7" s="20">
        <f>C_Drain!N20</f>
        <v>0.34679921149256726</v>
      </c>
      <c r="O7" s="20">
        <f>C_Drain!O20</f>
        <v>0</v>
      </c>
      <c r="P7" s="20">
        <f>C_Drain!P20</f>
        <v>1.4965258566527884</v>
      </c>
      <c r="Q7" s="20">
        <f>C_Drain!Q20</f>
        <v>2.1515652411196684</v>
      </c>
      <c r="R7" s="20">
        <f>C_Drain!R20</f>
        <v>1.9718862730819409E-2</v>
      </c>
      <c r="S7" s="20">
        <f>C_Drain!S20</f>
        <v>0.13573518740823035</v>
      </c>
      <c r="T7" s="20">
        <f>C_Drain!T20</f>
        <v>5.2042266852605761E-2</v>
      </c>
      <c r="U7" s="20">
        <f>C_Drain!U20</f>
        <v>3.0891989757122884</v>
      </c>
      <c r="V7" s="20">
        <f>C_Drain!V20</f>
        <v>2.9122546066512793</v>
      </c>
      <c r="W7" s="20">
        <f>C_Drain!W20</f>
        <v>0</v>
      </c>
      <c r="X7" s="20">
        <f>C_Drain!X20</f>
        <v>3.6684480444424015</v>
      </c>
      <c r="Y7" s="20">
        <f>C_Drain!Y20</f>
        <v>3.8059321268912351E-2</v>
      </c>
      <c r="Z7" s="20">
        <f>C_Drain!Z20</f>
        <v>0.9016268619021951</v>
      </c>
      <c r="AA7" s="20">
        <f>C_Drain!AA20</f>
        <v>8</v>
      </c>
      <c r="AB7" s="20">
        <f>C_Drain!AB20</f>
        <v>0.27965020023494735</v>
      </c>
      <c r="AC7" s="20">
        <f>C_Drain!AC20</f>
        <v>0.11442287623855132</v>
      </c>
      <c r="AD7" s="20">
        <f>C_Drain!AD20</f>
        <v>0.95483928590203393</v>
      </c>
      <c r="AE7" s="20">
        <f>C_Drain!AE20</f>
        <v>0.61062541133591308</v>
      </c>
      <c r="AF7" s="20">
        <f>C_Drain!AF20</f>
        <v>0.19278054917613119</v>
      </c>
      <c r="AG7" s="20">
        <f>C_Drain!AG20</f>
        <v>0.16080296373275318</v>
      </c>
      <c r="AH7" s="20">
        <f>C_Drain!AH20</f>
        <v>1.4360231119521687</v>
      </c>
      <c r="AI7" s="20">
        <f>C_Drain!AI20</f>
        <v>1.7733300806057937</v>
      </c>
      <c r="AJ7" s="20">
        <f>C_Drain!AJ20</f>
        <v>0</v>
      </c>
      <c r="AK7" s="20">
        <f>C_Drain!AK20</f>
        <v>0.48613635813112738</v>
      </c>
      <c r="AL7" s="20">
        <f>C_Drain!AL20</f>
        <v>0</v>
      </c>
      <c r="AM7" s="20">
        <f>C_Drain!AM20</f>
        <v>2.0089300303137825</v>
      </c>
      <c r="AN7" s="20">
        <f>C_Drain!AN20</f>
        <v>2.4132690325320318</v>
      </c>
      <c r="AO7" s="23">
        <f t="shared" si="0"/>
        <v>43.983563741787762</v>
      </c>
    </row>
    <row r="8" spans="1:41" ht="18.75" x14ac:dyDescent="0.3">
      <c r="A8" s="26" t="s">
        <v>70</v>
      </c>
      <c r="B8" s="20">
        <f>Inlets!B25</f>
        <v>0.32770321145720943</v>
      </c>
      <c r="C8" s="20">
        <f>Inlets!C25</f>
        <v>0.3603179343040927</v>
      </c>
      <c r="D8" s="20">
        <f>Inlets!D25</f>
        <v>9.4898702809304743E-3</v>
      </c>
      <c r="E8" s="20">
        <f>Inlets!E25</f>
        <v>0.57397039979732833</v>
      </c>
      <c r="F8" s="20">
        <f>Inlets!F25</f>
        <v>1.2111135274164186</v>
      </c>
      <c r="G8" s="20">
        <f>Inlets!G25</f>
        <v>2.3465139565627697E-4</v>
      </c>
      <c r="H8" s="20">
        <f>Inlets!H25</f>
        <v>0.32122845947805462</v>
      </c>
      <c r="I8" s="20">
        <f>Inlets!I25</f>
        <v>2.0209359973692229</v>
      </c>
      <c r="J8" s="20">
        <f>Inlets!J25</f>
        <v>2.1440974026968469</v>
      </c>
      <c r="K8" s="20">
        <f>Inlets!K25</f>
        <v>1.9199999980800061E-6</v>
      </c>
      <c r="L8" s="20">
        <f>Inlets!L25</f>
        <v>8.7167710997151746E-2</v>
      </c>
      <c r="M8" s="20">
        <f>Inlets!M25</f>
        <v>4.5335503527858013E-3</v>
      </c>
      <c r="N8" s="20">
        <f>Inlets!N25</f>
        <v>1.0446695834401494</v>
      </c>
      <c r="O8" s="20">
        <f>Inlets!O25</f>
        <v>1.9199999980800061E-6</v>
      </c>
      <c r="P8" s="20">
        <f>Inlets!P25</f>
        <v>2.4947148263483503</v>
      </c>
      <c r="Q8" s="20">
        <f>Inlets!Q25</f>
        <v>2.508161276576629</v>
      </c>
      <c r="R8" s="20">
        <f>Inlets!R25</f>
        <v>2.8169075085075415E-4</v>
      </c>
      <c r="S8" s="20">
        <f>Inlets!S25</f>
        <v>2.5673480238809266E-2</v>
      </c>
      <c r="T8" s="20">
        <f>Inlets!T25</f>
        <v>5.8126082148859883E-4</v>
      </c>
      <c r="U8" s="20">
        <f>Inlets!U25</f>
        <v>9.4304851256007363E-2</v>
      </c>
      <c r="V8" s="20">
        <f>Inlets!V25</f>
        <v>2.7319999337158407</v>
      </c>
      <c r="W8" s="20">
        <f>Inlets!W25</f>
        <v>1.9199999980800061E-6</v>
      </c>
      <c r="X8" s="20">
        <f>Inlets!X25</f>
        <v>0.19778280705217885</v>
      </c>
      <c r="Y8" s="20">
        <f>Inlets!Y25</f>
        <v>0.10220840759586861</v>
      </c>
      <c r="Z8" s="20">
        <f>Inlets!Z25</f>
        <v>1.1010956168158317</v>
      </c>
      <c r="AA8" s="20">
        <f>Inlets!AA25</f>
        <v>0.58743106573798853</v>
      </c>
      <c r="AB8" s="20">
        <f>Inlets!AB25</f>
        <v>0.29535613954120538</v>
      </c>
      <c r="AC8" s="20">
        <f>Inlets!AC25</f>
        <v>2.7857131557538148E-2</v>
      </c>
      <c r="AD8" s="20">
        <f>Inlets!AD25</f>
        <v>0.82897384464786539</v>
      </c>
      <c r="AE8" s="20">
        <f>Inlets!AE25</f>
        <v>0.21731069684028365</v>
      </c>
      <c r="AF8" s="20">
        <f>Inlets!AF25</f>
        <v>0.17058462090775567</v>
      </c>
      <c r="AG8" s="20">
        <f>Inlets!AG25</f>
        <v>7.1551311761162056E-2</v>
      </c>
      <c r="AH8" s="20">
        <f>Inlets!AH25</f>
        <v>2.1502544134911772</v>
      </c>
      <c r="AI8" s="20">
        <f>Inlets!AI25</f>
        <v>1.579516276723123</v>
      </c>
      <c r="AJ8" s="20">
        <f>Inlets!AJ25</f>
        <v>1.9199999980800061E-6</v>
      </c>
      <c r="AK8" s="20">
        <f>Inlets!AK25</f>
        <v>1.5683156400963543</v>
      </c>
      <c r="AL8" s="20">
        <f>Inlets!AL25</f>
        <v>1.9199999980800061E-6</v>
      </c>
      <c r="AM8" s="20">
        <f>Inlets!AM25</f>
        <v>2.1364877074899873</v>
      </c>
      <c r="AN8" s="20">
        <f>Inlets!AN25</f>
        <v>2.68051949142989</v>
      </c>
      <c r="AO8" s="23">
        <f t="shared" si="0"/>
        <v>29.676434390382028</v>
      </c>
    </row>
    <row r="9" spans="1:41" ht="18.75" x14ac:dyDescent="0.3">
      <c r="A9" s="25" t="s">
        <v>69</v>
      </c>
      <c r="B9" s="20">
        <f>STP!B17</f>
        <v>5.3777866054222043</v>
      </c>
      <c r="C9" s="20">
        <f>STP!C17</f>
        <v>3.2099645913750159</v>
      </c>
      <c r="D9" s="20">
        <f>STP!D17</f>
        <v>3.7998393622010989</v>
      </c>
      <c r="E9" s="20">
        <f>STP!E17</f>
        <v>6</v>
      </c>
      <c r="F9" s="20">
        <f>STP!F17</f>
        <v>0.6163341766335656</v>
      </c>
      <c r="G9" s="20">
        <f>STP!G17</f>
        <v>1.2287558546058832</v>
      </c>
      <c r="H9" s="20">
        <f>STP!H17</f>
        <v>5.1585402627637755</v>
      </c>
      <c r="I9" s="20">
        <f>STP!I17</f>
        <v>1.1023305986194205</v>
      </c>
      <c r="J9" s="20">
        <f>STP!J17</f>
        <v>3.4602079836619262</v>
      </c>
      <c r="K9" s="20">
        <f>STP!K17</f>
        <v>2.360843880715338</v>
      </c>
      <c r="L9" s="20">
        <f>STP!L17</f>
        <v>1.0798174154697768</v>
      </c>
      <c r="M9" s="20">
        <f>STP!M17</f>
        <v>4.4695832154407844</v>
      </c>
      <c r="N9" s="20">
        <f>STP!N17</f>
        <v>0.56954169352856177</v>
      </c>
      <c r="O9" s="20">
        <f>STP!O17</f>
        <v>0.69894574648137697</v>
      </c>
      <c r="P9" s="20">
        <f>STP!P17</f>
        <v>1.4940904806117108</v>
      </c>
      <c r="Q9" s="20">
        <f>STP!Q17</f>
        <v>1.1461356803650691</v>
      </c>
      <c r="R9" s="20">
        <f>STP!R17</f>
        <v>3.8338108884728541</v>
      </c>
      <c r="S9" s="20">
        <f>STP!S17</f>
        <v>2.9974134639095826</v>
      </c>
      <c r="T9" s="20">
        <f>STP!T17</f>
        <v>1.0033649942171863</v>
      </c>
      <c r="U9" s="20">
        <f>STP!U17</f>
        <v>0.80509909947265557</v>
      </c>
      <c r="V9" s="20">
        <f>STP!V17</f>
        <v>0.77260187913884448</v>
      </c>
      <c r="W9" s="20">
        <f>STP!W17</f>
        <v>0.80597196364804602</v>
      </c>
      <c r="X9" s="20">
        <f>STP!X17</f>
        <v>1.4102572117507646</v>
      </c>
      <c r="Y9" s="20">
        <f>STP!Y17</f>
        <v>3.6250168116833015</v>
      </c>
      <c r="Z9" s="20">
        <f>STP!Z17</f>
        <v>3.0765484843807949</v>
      </c>
      <c r="AA9" s="20">
        <f>STP!AA17</f>
        <v>2.1602617875390671</v>
      </c>
      <c r="AB9" s="20">
        <f>STP!AB17</f>
        <v>3.2654460760061248</v>
      </c>
      <c r="AC9" s="20">
        <f>STP!AC17</f>
        <v>4.8496650140645414</v>
      </c>
      <c r="AD9" s="20">
        <f>STP!AD17</f>
        <v>3.003833890629044</v>
      </c>
      <c r="AE9" s="20">
        <f>STP!AE17</f>
        <v>4.5183189627276032</v>
      </c>
      <c r="AF9" s="20">
        <f>STP!AF17</f>
        <v>4.838196452184488</v>
      </c>
      <c r="AG9" s="20">
        <f>STP!AG17</f>
        <v>3.370113710270437</v>
      </c>
      <c r="AH9" s="20">
        <f>STP!AH17</f>
        <v>1.9630976440222225</v>
      </c>
      <c r="AI9" s="20">
        <f>STP!AI17</f>
        <v>0.7059247797649072</v>
      </c>
      <c r="AJ9" s="20">
        <f>STP!AJ17</f>
        <v>0.78781956174501655</v>
      </c>
      <c r="AK9" s="20">
        <f>STP!AK17</f>
        <v>2.0440906561790726</v>
      </c>
      <c r="AL9" s="20">
        <f>STP!AL17</f>
        <v>0.68409577695763946</v>
      </c>
      <c r="AM9" s="20">
        <f>STP!AM17</f>
        <v>4.9222288366508993</v>
      </c>
      <c r="AN9" s="20">
        <f>STP!AN17</f>
        <v>2.7602344223420374</v>
      </c>
      <c r="AO9" s="23">
        <f t="shared" si="0"/>
        <v>99.976129915652635</v>
      </c>
    </row>
    <row r="10" spans="1:41" ht="18.75" x14ac:dyDescent="0.3">
      <c r="A10" s="25" t="s">
        <v>68</v>
      </c>
      <c r="B10" s="20">
        <f>'Fertilizer Rate'!B87</f>
        <v>2.5052678324049156</v>
      </c>
      <c r="C10" s="20">
        <f>'Fertilizer Rate'!C87</f>
        <v>1.6295276596012243</v>
      </c>
      <c r="D10" s="20">
        <f>'Fertilizer Rate'!D87</f>
        <v>2.415202365169689</v>
      </c>
      <c r="E10" s="20">
        <f>'Fertilizer Rate'!E87</f>
        <v>1.8527308794204331</v>
      </c>
      <c r="F10" s="20">
        <f>'Fertilizer Rate'!F87</f>
        <v>2.7753448010259989</v>
      </c>
      <c r="G10" s="20">
        <f>'Fertilizer Rate'!G87</f>
        <v>7.7566037705717794E-2</v>
      </c>
      <c r="H10" s="20">
        <f>'Fertilizer Rate'!H87</f>
        <v>1.8044916066908576</v>
      </c>
      <c r="I10" s="20">
        <f>'Fertilizer Rate'!I87</f>
        <v>2.9233493347707951</v>
      </c>
      <c r="J10" s="20">
        <f>'Fertilizer Rate'!J87</f>
        <v>3.4762893689160927</v>
      </c>
      <c r="K10" s="20">
        <f>'Fertilizer Rate'!K87</f>
        <v>2.951076614158219</v>
      </c>
      <c r="L10" s="20">
        <f>'Fertilizer Rate'!L87</f>
        <v>0.45774470998718797</v>
      </c>
      <c r="M10" s="20">
        <f>'Fertilizer Rate'!M87</f>
        <v>1.9136168425357569</v>
      </c>
      <c r="N10" s="20">
        <f>'Fertilizer Rate'!N87</f>
        <v>2.8854191665780791</v>
      </c>
      <c r="O10" s="20">
        <f>'Fertilizer Rate'!O87</f>
        <v>3.3249296067291909</v>
      </c>
      <c r="P10" s="20">
        <f>'Fertilizer Rate'!P87</f>
        <v>3.0310664604648778</v>
      </c>
      <c r="Q10" s="20">
        <f>'Fertilizer Rate'!Q87</f>
        <v>3.0253374020509201</v>
      </c>
      <c r="R10" s="20">
        <f>'Fertilizer Rate'!R87</f>
        <v>8.3469543784036856E-2</v>
      </c>
      <c r="S10" s="20">
        <f>'Fertilizer Rate'!S87</f>
        <v>1.6711275456527768</v>
      </c>
      <c r="T10" s="20">
        <f>'Fertilizer Rate'!T87</f>
        <v>6.6107989141874116E-2</v>
      </c>
      <c r="U10" s="20">
        <f>'Fertilizer Rate'!U87</f>
        <v>1.6875087718971646</v>
      </c>
      <c r="V10" s="20">
        <f>'Fertilizer Rate'!V87</f>
        <v>2.7778213253758226</v>
      </c>
      <c r="W10" s="20">
        <f>'Fertilizer Rate'!W87</f>
        <v>3.1575491331364973</v>
      </c>
      <c r="X10" s="20">
        <f>'Fertilizer Rate'!X87</f>
        <v>1.2222301330874943</v>
      </c>
      <c r="Y10" s="20">
        <f>'Fertilizer Rate'!Y87</f>
        <v>3.3466227496061478</v>
      </c>
      <c r="Z10" s="20">
        <f>'Fertilizer Rate'!Z87</f>
        <v>3.0359389713776466</v>
      </c>
      <c r="AA10" s="20">
        <f>'Fertilizer Rate'!AA87</f>
        <v>1.4615893045613579</v>
      </c>
      <c r="AB10" s="20">
        <f>'Fertilizer Rate'!AB87</f>
        <v>2.8657471213423578</v>
      </c>
      <c r="AC10" s="20">
        <f>'Fertilizer Rate'!AC87</f>
        <v>0.29946769387849564</v>
      </c>
      <c r="AD10" s="20">
        <f>'Fertilizer Rate'!AD87</f>
        <v>2.8353369846606897</v>
      </c>
      <c r="AE10" s="20">
        <f>'Fertilizer Rate'!AE87</f>
        <v>3.5107198542275277</v>
      </c>
      <c r="AF10" s="20">
        <f>'Fertilizer Rate'!AF87</f>
        <v>2.7313425478144859</v>
      </c>
      <c r="AG10" s="20">
        <f>'Fertilizer Rate'!AG87</f>
        <v>2.4713565152774613</v>
      </c>
      <c r="AH10" s="20">
        <f>'Fertilizer Rate'!AH87</f>
        <v>3.5915235081645172</v>
      </c>
      <c r="AI10" s="20">
        <f>'Fertilizer Rate'!AI87</f>
        <v>3.0458622399122079</v>
      </c>
      <c r="AJ10" s="20">
        <f>'Fertilizer Rate'!AJ87</f>
        <v>2.4258504310056406</v>
      </c>
      <c r="AK10" s="20">
        <f>'Fertilizer Rate'!AK87</f>
        <v>2.8900253333253922</v>
      </c>
      <c r="AL10" s="20">
        <f>'Fertilizer Rate'!AL87</f>
        <v>2.6595937890846235</v>
      </c>
      <c r="AM10" s="20">
        <f>'Fertilizer Rate'!AM87</f>
        <v>3.0773418846241221</v>
      </c>
      <c r="AN10" s="20">
        <f>'Fertilizer Rate'!AN87</f>
        <v>3.1136950753800967</v>
      </c>
      <c r="AO10" s="23">
        <f t="shared" si="0"/>
        <v>91.076789134528411</v>
      </c>
    </row>
    <row r="11" spans="1:41" s="531" customFormat="1" ht="18.75" x14ac:dyDescent="0.3">
      <c r="A11" s="530" t="s">
        <v>67</v>
      </c>
      <c r="B11" s="531">
        <f>'Fertilizer Method'!C37</f>
        <v>0.31990000000000002</v>
      </c>
      <c r="C11" s="531">
        <f>'Fertilizer Method'!D37</f>
        <v>0.31990000000000002</v>
      </c>
      <c r="D11" s="531">
        <f>'Fertilizer Method'!E37</f>
        <v>0.52470000000000006</v>
      </c>
      <c r="E11" s="531">
        <f>'Fertilizer Method'!F37</f>
        <v>0.31990000000000002</v>
      </c>
      <c r="F11" s="531">
        <f>'Fertilizer Method'!G37</f>
        <v>0.77210000000000001</v>
      </c>
      <c r="G11" s="531">
        <f>'Fertilizer Method'!H37</f>
        <v>0.62429999999999997</v>
      </c>
      <c r="H11" s="531">
        <f>'Fertilizer Method'!I37</f>
        <v>0.31990000000000002</v>
      </c>
      <c r="I11" s="531">
        <f>'Fertilizer Method'!J37</f>
        <v>0.77210000000000001</v>
      </c>
      <c r="J11" s="531">
        <f>'Fertilizer Method'!K37</f>
        <v>0.77210000000000001</v>
      </c>
      <c r="K11" s="531">
        <f>'Fertilizer Method'!L37</f>
        <v>0.80125000000000002</v>
      </c>
      <c r="L11" s="531">
        <f>'Fertilizer Method'!M37</f>
        <v>0.62429999999999997</v>
      </c>
      <c r="M11" s="531">
        <f>'Fertilizer Method'!N37</f>
        <v>0.62429999999999997</v>
      </c>
      <c r="N11" s="531">
        <f>'Fertilizer Method'!O37</f>
        <v>0.77210000000000001</v>
      </c>
      <c r="O11" s="531">
        <f>'Fertilizer Method'!P37</f>
        <v>0.80125000000000002</v>
      </c>
      <c r="P11" s="531">
        <f>'Fertilizer Method'!Q37</f>
        <v>0.52470000000000006</v>
      </c>
      <c r="Q11" s="531">
        <f>'Fertilizer Method'!R37</f>
        <v>0.80125000000000002</v>
      </c>
      <c r="R11" s="531">
        <f>'Fertilizer Method'!S37</f>
        <v>0.62429999999999997</v>
      </c>
      <c r="S11" s="531">
        <f>'Fertilizer Method'!T37</f>
        <v>0.62429999999999997</v>
      </c>
      <c r="T11" s="531">
        <f>'Fertilizer Method'!U37</f>
        <v>0.62429999999999997</v>
      </c>
      <c r="U11" s="531">
        <f>'Fertilizer Method'!V37</f>
        <v>0.80125000000000002</v>
      </c>
      <c r="V11" s="531">
        <f>'Fertilizer Method'!W37</f>
        <v>0.77210000000000001</v>
      </c>
      <c r="W11" s="531">
        <f>'Fertilizer Method'!X37</f>
        <v>0.80125000000000002</v>
      </c>
      <c r="X11" s="531">
        <f>'Fertilizer Method'!Y37</f>
        <v>0.80125000000000002</v>
      </c>
      <c r="Y11" s="531">
        <f>'Fertilizer Method'!Z37</f>
        <v>0.52470000000000006</v>
      </c>
      <c r="Z11" s="531">
        <f>'Fertilizer Method'!AA37</f>
        <v>0.78754999999999997</v>
      </c>
      <c r="AA11" s="531">
        <f>'Fertilizer Method'!AB37</f>
        <v>0.62429999999999997</v>
      </c>
      <c r="AB11" s="531">
        <f>'Fertilizer Method'!AC37</f>
        <v>0.31990000000000002</v>
      </c>
      <c r="AC11" s="531">
        <f>'Fertilizer Method'!AD37</f>
        <v>0.62429999999999997</v>
      </c>
      <c r="AD11" s="531">
        <f>'Fertilizer Method'!AE37</f>
        <v>0.78754999999999997</v>
      </c>
      <c r="AE11" s="531">
        <f>'Fertilizer Method'!AF37</f>
        <v>0.78754999999999997</v>
      </c>
      <c r="AF11" s="531">
        <f>'Fertilizer Method'!AG37</f>
        <v>0.78754999999999997</v>
      </c>
      <c r="AG11" s="531">
        <f>'Fertilizer Method'!AH37</f>
        <v>0.52470000000000006</v>
      </c>
      <c r="AH11" s="531">
        <f>'Fertilizer Method'!AI37</f>
        <v>0.78754999999999997</v>
      </c>
      <c r="AI11" s="531">
        <f>'Fertilizer Method'!AJ37</f>
        <v>0.77210000000000001</v>
      </c>
      <c r="AJ11" s="531">
        <f>'Fertilizer Method'!AK37</f>
        <v>0.80125000000000002</v>
      </c>
      <c r="AK11" s="531">
        <f>'Fertilizer Method'!AL37</f>
        <v>0.52470000000000006</v>
      </c>
      <c r="AL11" s="531">
        <f>'Fertilizer Method'!AM37</f>
        <v>0.80125000000000002</v>
      </c>
      <c r="AM11" s="531">
        <f>'Fertilizer Method'!AN37</f>
        <v>0.78754999999999997</v>
      </c>
      <c r="AN11" s="531">
        <f>'Fertilizer Method'!AO37</f>
        <v>0.78754999999999997</v>
      </c>
      <c r="AO11" s="532">
        <f t="shared" si="0"/>
        <v>25.772849999999995</v>
      </c>
    </row>
    <row r="12" spans="1:41" ht="18.75" x14ac:dyDescent="0.3">
      <c r="A12" s="25" t="s">
        <v>66</v>
      </c>
      <c r="B12" s="20">
        <f>'Manure Rate'!B22</f>
        <v>1.3900676093464246</v>
      </c>
      <c r="C12" s="20">
        <f>'Manure Rate'!C22</f>
        <v>0.49921110111138689</v>
      </c>
      <c r="D12" s="20">
        <f>'Manure Rate'!D22</f>
        <v>4</v>
      </c>
      <c r="E12" s="20">
        <f>'Manure Rate'!E22</f>
        <v>4</v>
      </c>
      <c r="F12" s="20">
        <f>'Manure Rate'!F22</f>
        <v>0.74253940620769476</v>
      </c>
      <c r="G12" s="20">
        <f>'Manure Rate'!G22</f>
        <v>1.3926775134330571E-3</v>
      </c>
      <c r="H12" s="20">
        <f>'Manure Rate'!H22</f>
        <v>4</v>
      </c>
      <c r="I12" s="20">
        <f>'Manure Rate'!I22</f>
        <v>0.55802422025797349</v>
      </c>
      <c r="J12" s="20">
        <f>'Manure Rate'!J22</f>
        <v>0.58094317775825832</v>
      </c>
      <c r="K12" s="20">
        <f>'Manure Rate'!K22</f>
        <v>0.24108282041546658</v>
      </c>
      <c r="L12" s="20">
        <f>'Manure Rate'!L22</f>
        <v>0.52439781692805698</v>
      </c>
      <c r="M12" s="20">
        <f>'Manure Rate'!M22</f>
        <v>0.65026836961898637</v>
      </c>
      <c r="N12" s="20">
        <f>'Manure Rate'!N22</f>
        <v>3.2233748939340572</v>
      </c>
      <c r="O12" s="20">
        <f>'Manure Rate'!O22</f>
        <v>0.15729265403615841</v>
      </c>
      <c r="P12" s="20">
        <f>'Manure Rate'!P22</f>
        <v>0.91097939725743937</v>
      </c>
      <c r="Q12" s="20">
        <f>'Manure Rate'!Q22</f>
        <v>0.11535402323941571</v>
      </c>
      <c r="R12" s="20">
        <f>'Manure Rate'!R22</f>
        <v>0.69820401041060831</v>
      </c>
      <c r="S12" s="20">
        <f>'Manure Rate'!S22</f>
        <v>1.6719787513108679</v>
      </c>
      <c r="T12" s="20">
        <f>'Manure Rate'!T22</f>
        <v>0.22022499840091897</v>
      </c>
      <c r="U12" s="20">
        <f>'Manure Rate'!U22</f>
        <v>0.17876888321666462</v>
      </c>
      <c r="V12" s="20">
        <f>'Manure Rate'!V22</f>
        <v>0.47217957368159619</v>
      </c>
      <c r="W12" s="20">
        <f>'Manure Rate'!W22</f>
        <v>8.9270498335055196E-2</v>
      </c>
      <c r="X12" s="20">
        <f>'Manure Rate'!X22</f>
        <v>0.31803334587532678</v>
      </c>
      <c r="Y12" s="20">
        <f>'Manure Rate'!Y22</f>
        <v>4</v>
      </c>
      <c r="Z12" s="20">
        <f>'Manure Rate'!Z22</f>
        <v>0.9026063809370547</v>
      </c>
      <c r="AA12" s="20">
        <f>'Manure Rate'!AA22</f>
        <v>0.30700171121480258</v>
      </c>
      <c r="AB12" s="20">
        <f>'Manure Rate'!AB22</f>
        <v>2.6751007573939525</v>
      </c>
      <c r="AC12" s="20">
        <f>'Manure Rate'!AC22</f>
        <v>0.64692792384518483</v>
      </c>
      <c r="AD12" s="20">
        <f>'Manure Rate'!AD22</f>
        <v>1.4105629527383186</v>
      </c>
      <c r="AE12" s="20">
        <f>'Manure Rate'!AE22</f>
        <v>1.6703342942083692</v>
      </c>
      <c r="AF12" s="20">
        <f>'Manure Rate'!AF22</f>
        <v>2.3613981469171783</v>
      </c>
      <c r="AG12" s="20">
        <f>'Manure Rate'!AG22</f>
        <v>4</v>
      </c>
      <c r="AH12" s="20">
        <f>'Manure Rate'!AH22</f>
        <v>0.80128864395985577</v>
      </c>
      <c r="AI12" s="20">
        <f>'Manure Rate'!AI22</f>
        <v>0.85892435268558354</v>
      </c>
      <c r="AJ12" s="20">
        <f>'Manure Rate'!AJ22</f>
        <v>5.1848156871755043E-2</v>
      </c>
      <c r="AK12" s="20">
        <f>'Manure Rate'!AK22</f>
        <v>0.86187120715479126</v>
      </c>
      <c r="AL12" s="20">
        <f>'Manure Rate'!AL22</f>
        <v>0.18774731765490796</v>
      </c>
      <c r="AM12" s="20">
        <f>'Manure Rate'!AM22</f>
        <v>0.79334228855565991</v>
      </c>
      <c r="AN12" s="20">
        <f>'Manure Rate'!AN22</f>
        <v>0.74825067024508363</v>
      </c>
      <c r="AO12" s="23">
        <f t="shared" si="0"/>
        <v>47.520793033238284</v>
      </c>
    </row>
    <row r="13" spans="1:41" s="531" customFormat="1" ht="18.75" x14ac:dyDescent="0.3">
      <c r="A13" s="530" t="s">
        <v>65</v>
      </c>
      <c r="B13" s="531">
        <f>'Manure Method'!D57</f>
        <v>2.7843528722255306</v>
      </c>
      <c r="C13" s="531">
        <f>'Manure Method'!E57</f>
        <v>2.8015909571974738</v>
      </c>
      <c r="D13" s="531">
        <f>'Manure Method'!F57</f>
        <v>2.8867659020857532</v>
      </c>
      <c r="E13" s="531">
        <f>'Manure Method'!G57</f>
        <v>2.6927455463723722</v>
      </c>
      <c r="F13" s="531">
        <f>'Manure Method'!H57</f>
        <v>2.5669031168591685</v>
      </c>
      <c r="G13" s="531">
        <f>'Manure Method'!I57</f>
        <v>3.4174563102382951</v>
      </c>
      <c r="H13" s="531">
        <f>'Manure Method'!J57</f>
        <v>2.7701716654102704</v>
      </c>
      <c r="I13" s="531">
        <f>'Manure Method'!K57</f>
        <v>2.3401294947897981</v>
      </c>
      <c r="J13" s="531">
        <f>'Manure Method'!L57</f>
        <v>2.2344111706896417</v>
      </c>
      <c r="K13" s="531">
        <f>'Manure Method'!M57</f>
        <v>2.7680706300265676</v>
      </c>
      <c r="L13" s="531">
        <f>'Manure Method'!N57</f>
        <v>3.0647436298598469</v>
      </c>
      <c r="M13" s="531">
        <f>'Manure Method'!O57</f>
        <v>2.943081666862537</v>
      </c>
      <c r="N13" s="531">
        <f>'Manure Method'!P57</f>
        <v>2.4322670736898719</v>
      </c>
      <c r="O13" s="531">
        <f>'Manure Method'!Q57</f>
        <v>2.9940948577120845</v>
      </c>
      <c r="P13" s="531">
        <f>'Manure Method'!R57</f>
        <v>2.48601460079992</v>
      </c>
      <c r="Q13" s="531">
        <f>'Manure Method'!S57</f>
        <v>2.7470191680291984</v>
      </c>
      <c r="R13" s="531">
        <f>'Manure Method'!T57</f>
        <v>2.5133796330698921</v>
      </c>
      <c r="S13" s="531">
        <f>'Manure Method'!U57</f>
        <v>2.907084105463305</v>
      </c>
      <c r="T13" s="531">
        <f>'Manure Method'!V57</f>
        <v>2.8269075728731341</v>
      </c>
      <c r="U13" s="531">
        <f>'Manure Method'!W57</f>
        <v>2.9394002973049833</v>
      </c>
      <c r="V13" s="531">
        <f>'Manure Method'!X57</f>
        <v>1.8802806270743975</v>
      </c>
      <c r="W13" s="531">
        <f>'Manure Method'!Y57</f>
        <v>2.7376883578933007</v>
      </c>
      <c r="X13" s="531">
        <f>'Manure Method'!Z57</f>
        <v>3.1576169316041951</v>
      </c>
      <c r="Y13" s="531">
        <f>'Manure Method'!AA57</f>
        <v>2.7982467997149501</v>
      </c>
      <c r="Z13" s="531">
        <f>'Manure Method'!AB57</f>
        <v>2.2124303080577237</v>
      </c>
      <c r="AA13" s="531">
        <f>'Manure Method'!AC57</f>
        <v>3.0691393285138919</v>
      </c>
      <c r="AB13" s="531">
        <f>'Manure Method'!AD57</f>
        <v>2.7908434624040033</v>
      </c>
      <c r="AC13" s="531">
        <f>'Manure Method'!AE57</f>
        <v>3.0930851265675479</v>
      </c>
      <c r="AD13" s="531">
        <f>'Manure Method'!AF57</f>
        <v>1.8835477381119456</v>
      </c>
      <c r="AE13" s="531">
        <f>'Manure Method'!AG57</f>
        <v>2.3172524221162094</v>
      </c>
      <c r="AF13" s="531">
        <f>'Manure Method'!AH57</f>
        <v>2.3071165991379821</v>
      </c>
      <c r="AG13" s="531">
        <f>'Manure Method'!AI57</f>
        <v>2.8959667501861923</v>
      </c>
      <c r="AH13" s="531">
        <f>'Manure Method'!AJ57</f>
        <v>2.206149885049236</v>
      </c>
      <c r="AI13" s="531">
        <f>'Manure Method'!AK57</f>
        <v>2.6909137847696218</v>
      </c>
      <c r="AJ13" s="531">
        <f>'Manure Method'!AL57</f>
        <v>2.3139653416645212</v>
      </c>
      <c r="AK13" s="531">
        <f>'Manure Method'!AM57</f>
        <v>2.6404189845605903</v>
      </c>
      <c r="AL13" s="531">
        <f>'Manure Method'!AN57</f>
        <v>2.7454136114000871</v>
      </c>
      <c r="AM13" s="531">
        <f>'Manure Method'!AO57</f>
        <v>1.9504725449339113</v>
      </c>
      <c r="AN13" s="531">
        <f>'Manure Method'!AP57</f>
        <v>2.010761383893223</v>
      </c>
      <c r="AO13" s="532">
        <f t="shared" si="0"/>
        <v>102.81790025921319</v>
      </c>
    </row>
    <row r="14" spans="1:41" ht="18.75" x14ac:dyDescent="0.3">
      <c r="A14" s="24" t="s">
        <v>64</v>
      </c>
      <c r="B14" s="29">
        <f t="shared" ref="B14:AN14" si="1">SUM(B4:B13)</f>
        <v>35.355964030471178</v>
      </c>
      <c r="C14" s="29">
        <f t="shared" si="1"/>
        <v>31.559056275536921</v>
      </c>
      <c r="D14" s="29">
        <f t="shared" si="1"/>
        <v>40.771548226775508</v>
      </c>
      <c r="E14" s="29">
        <f t="shared" si="1"/>
        <v>39.135194578738222</v>
      </c>
      <c r="F14" s="29">
        <f t="shared" si="1"/>
        <v>25.172880907439513</v>
      </c>
      <c r="G14" s="29">
        <f t="shared" si="1"/>
        <v>23.804163334337737</v>
      </c>
      <c r="H14" s="29">
        <f t="shared" si="1"/>
        <v>36.10222862773702</v>
      </c>
      <c r="I14" s="29">
        <f t="shared" si="1"/>
        <v>23.856115448254737</v>
      </c>
      <c r="J14" s="29">
        <f t="shared" si="1"/>
        <v>28.885690434495444</v>
      </c>
      <c r="K14" s="29">
        <f t="shared" si="1"/>
        <v>23.115355608477014</v>
      </c>
      <c r="L14" s="29">
        <f t="shared" si="1"/>
        <v>25.945419239541696</v>
      </c>
      <c r="M14" s="29">
        <f t="shared" si="1"/>
        <v>30.528587948665518</v>
      </c>
      <c r="N14" s="29">
        <f t="shared" si="1"/>
        <v>31.390398407768224</v>
      </c>
      <c r="O14" s="29">
        <f t="shared" si="1"/>
        <v>19.493825233371361</v>
      </c>
      <c r="P14" s="29">
        <f t="shared" si="1"/>
        <v>35.779655151602249</v>
      </c>
      <c r="Q14" s="29">
        <f t="shared" si="1"/>
        <v>20.707743719351949</v>
      </c>
      <c r="R14" s="29">
        <f t="shared" si="1"/>
        <v>27.417091349314909</v>
      </c>
      <c r="S14" s="29">
        <f t="shared" si="1"/>
        <v>30.86116788757699</v>
      </c>
      <c r="T14" s="29">
        <f t="shared" si="1"/>
        <v>22.204398888226478</v>
      </c>
      <c r="U14" s="29">
        <f t="shared" si="1"/>
        <v>15.188594532800794</v>
      </c>
      <c r="V14" s="29">
        <f t="shared" si="1"/>
        <v>22.464449416088957</v>
      </c>
      <c r="W14" s="29">
        <f t="shared" si="1"/>
        <v>17.143305343137051</v>
      </c>
      <c r="X14" s="29">
        <f t="shared" si="1"/>
        <v>25.70830216733679</v>
      </c>
      <c r="Y14" s="29">
        <f t="shared" si="1"/>
        <v>39.224236669234209</v>
      </c>
      <c r="Z14" s="29">
        <f t="shared" si="1"/>
        <v>36.680211718971265</v>
      </c>
      <c r="AA14" s="29">
        <f t="shared" si="1"/>
        <v>32.428520109839113</v>
      </c>
      <c r="AB14" s="29">
        <f t="shared" si="1"/>
        <v>32.725456783246074</v>
      </c>
      <c r="AC14" s="29">
        <f t="shared" si="1"/>
        <v>32.05036999597273</v>
      </c>
      <c r="AD14" s="29">
        <f t="shared" si="1"/>
        <v>33.603077280255356</v>
      </c>
      <c r="AE14" s="29">
        <f t="shared" si="1"/>
        <v>35.705513497701752</v>
      </c>
      <c r="AF14" s="29">
        <f t="shared" si="1"/>
        <v>38.004737747697831</v>
      </c>
      <c r="AG14" s="29">
        <f t="shared" si="1"/>
        <v>39.438014450364513</v>
      </c>
      <c r="AH14" s="29">
        <f t="shared" si="1"/>
        <v>29.052154675354675</v>
      </c>
      <c r="AI14" s="29">
        <f t="shared" si="1"/>
        <v>25.038173322863997</v>
      </c>
      <c r="AJ14" s="29">
        <f t="shared" si="1"/>
        <v>16.980862055386233</v>
      </c>
      <c r="AK14" s="29">
        <f t="shared" si="1"/>
        <v>34.656707596842693</v>
      </c>
      <c r="AL14" s="29">
        <f t="shared" si="1"/>
        <v>19.785312621624627</v>
      </c>
      <c r="AM14" s="29">
        <f t="shared" si="1"/>
        <v>30.502684937874303</v>
      </c>
      <c r="AN14" s="29">
        <f t="shared" si="1"/>
        <v>29.477244885452738</v>
      </c>
      <c r="AO14" s="28">
        <f t="shared" si="0"/>
        <v>1137.9444151057285</v>
      </c>
    </row>
    <row r="16" spans="1:41" ht="21" x14ac:dyDescent="0.35">
      <c r="A16" s="19" t="s">
        <v>74</v>
      </c>
    </row>
    <row r="17" spans="1:41" ht="18.75" x14ac:dyDescent="0.3">
      <c r="A17" s="112" t="s">
        <v>788</v>
      </c>
      <c r="B17" s="12"/>
      <c r="AO17" s="23"/>
    </row>
    <row r="18" spans="1:41" s="20" customFormat="1" ht="18.75" x14ac:dyDescent="0.3">
      <c r="A18" s="26" t="s">
        <v>73</v>
      </c>
      <c r="B18" s="20">
        <f ca="1">IF(Erosion!C13&gt;0,(Erosion!C107*(Erosion!C92+Buffer!B72)+Erosion!C148*(Erosion!C13-Erosion!C92-Buffer!B72))/Erosion!C13,0)</f>
        <v>4.4422465969883973</v>
      </c>
      <c r="C18" s="20">
        <f ca="1">IF(Erosion!D13&gt;0,(Erosion!D107*(Erosion!D92+Buffer!C72)+Erosion!D148*(Erosion!D13-Erosion!D92-Buffer!C72))/Erosion!D13,0)</f>
        <v>4.225161562493974</v>
      </c>
      <c r="D18" s="20">
        <f ca="1">IF(Erosion!E13&gt;0,(Erosion!E107*(Erosion!E92+Buffer!D72)+Erosion!E148*(Erosion!E13-Erosion!E92-Buffer!D72))/Erosion!E13,0)</f>
        <v>9.2898859557520801</v>
      </c>
      <c r="E18" s="20">
        <f ca="1">IF(Erosion!F13&gt;0,(Erosion!F107*(Erosion!F92+Buffer!E72)+Erosion!F148*(Erosion!F13-Erosion!F92-Buffer!E72))/Erosion!F13,0)</f>
        <v>5.3414427980097301</v>
      </c>
      <c r="F18" s="20">
        <f ca="1">IF(Erosion!G13&gt;0,(Erosion!G107*(Erosion!G92+Buffer!F72)+Erosion!G148*(Erosion!G13-Erosion!G92-Buffer!F72))/Erosion!G13,0)</f>
        <v>6.7576032308993721</v>
      </c>
      <c r="G18" s="20">
        <f ca="1">IF(Erosion!H13&gt;0,(Erosion!H107*(Erosion!H92+Buffer!G72)+Erosion!H148*(Erosion!H13-Erosion!H92-Buffer!G72))/Erosion!H13,0)</f>
        <v>2.0058170724911877</v>
      </c>
      <c r="H18" s="20">
        <f ca="1">IF(Erosion!I13&gt;0,(Erosion!I107*(Erosion!I92+Buffer!H72)+Erosion!I148*(Erosion!I13-Erosion!I92-Buffer!H72))/Erosion!I13,0)</f>
        <v>4.5939559169752506</v>
      </c>
      <c r="I18" s="20">
        <f ca="1">IF(Erosion!J13&gt;0,(Erosion!J107*(Erosion!J92+Buffer!I72)+Erosion!J148*(Erosion!J13-Erosion!J92-Buffer!I72))/Erosion!J13,0)</f>
        <v>6.0245514160405502</v>
      </c>
      <c r="J18" s="20">
        <f ca="1">IF(Erosion!K13&gt;0,(Erosion!K107*(Erosion!K92+Buffer!J72)+Erosion!K148*(Erosion!K13-Erosion!K92-Buffer!J72))/Erosion!K13,0)</f>
        <v>6.0695131611839734</v>
      </c>
      <c r="K18" s="20">
        <f ca="1">IF(Erosion!L13&gt;0,(Erosion!L107*(Erosion!L92+Buffer!K72)+Erosion!L148*(Erosion!L13-Erosion!L92-Buffer!K72))/Erosion!L13,0)</f>
        <v>5.9321416692350555</v>
      </c>
      <c r="L18" s="20">
        <f ca="1">IF(Erosion!M13&gt;0,(Erosion!M107*(Erosion!M92+Buffer!L72)+Erosion!M148*(Erosion!M13-Erosion!M92-Buffer!L72))/Erosion!M13,0)</f>
        <v>1.5129163041433797</v>
      </c>
      <c r="M18" s="20">
        <f ca="1">IF(Erosion!N13&gt;0,(Erosion!N107*(Erosion!N92+Buffer!M72)+Erosion!N148*(Erosion!N13-Erosion!N92-Buffer!M72))/Erosion!N13,0)</f>
        <v>4.1621536010038671</v>
      </c>
      <c r="N18" s="20">
        <f ca="1">IF(Erosion!O13&gt;0,(Erosion!O107*(Erosion!O92+Buffer!N72)+Erosion!O148*(Erosion!O13-Erosion!O92-Buffer!N72))/Erosion!O13,0)</f>
        <v>6.5850602507568921</v>
      </c>
      <c r="O18" s="20">
        <f ca="1">IF(Erosion!P13&gt;0,(Erosion!P107*(Erosion!P92+Buffer!O72)+Erosion!P148*(Erosion!P13-Erosion!P92-Buffer!O72))/Erosion!P13,0)</f>
        <v>4.0618571011815252</v>
      </c>
      <c r="P18" s="20">
        <f ca="1">IF(Erosion!Q13&gt;0,(Erosion!Q107*(Erosion!Q92+Buffer!P72)+Erosion!Q148*(Erosion!Q13-Erosion!Q92-Buffer!P72))/Erosion!Q13,0)</f>
        <v>6.2116416703436359</v>
      </c>
      <c r="Q18" s="20">
        <f ca="1">IF(Erosion!R13&gt;0,(Erosion!R107*(Erosion!R92+Buffer!Q72)+Erosion!R148*(Erosion!R13-Erosion!R92-Buffer!Q72))/Erosion!R13,0)</f>
        <v>5.0370575313605883</v>
      </c>
      <c r="R18" s="20">
        <f ca="1">IF(Erosion!S13&gt;0,(Erosion!S107*(Erosion!S92+Buffer!R72)+Erosion!S148*(Erosion!S13-Erosion!S92-Buffer!R72))/Erosion!S13,0)</f>
        <v>3.1774386195761628</v>
      </c>
      <c r="S18" s="20">
        <f ca="1">IF(Erosion!T13&gt;0,(Erosion!T107*(Erosion!T92+Buffer!S72)+Erosion!T148*(Erosion!T13-Erosion!T92-Buffer!S72))/Erosion!T13,0)</f>
        <v>3.9995561534910355</v>
      </c>
      <c r="T18" s="20">
        <f ca="1">IF(Erosion!U13&gt;0,(Erosion!U107*(Erosion!U92+Buffer!T72)+Erosion!U148*(Erosion!U13-Erosion!U92-Buffer!T72))/Erosion!U13,0)</f>
        <v>1.2256482197641065</v>
      </c>
      <c r="U18" s="20">
        <f ca="1">IF(Erosion!V13&gt;0,(Erosion!V107*(Erosion!V92+Buffer!U72)+Erosion!V148*(Erosion!V13-Erosion!V92-Buffer!U72))/Erosion!V13,0)</f>
        <v>1.4334520610074688</v>
      </c>
      <c r="V18" s="20">
        <f ca="1">IF(Erosion!W13&gt;0,(Erosion!W107*(Erosion!W92+Buffer!V72)+Erosion!W148*(Erosion!W13-Erosion!W92-Buffer!V72))/Erosion!W13,0)</f>
        <v>6.2816827013788723</v>
      </c>
      <c r="W18" s="20">
        <f ca="1">IF(Erosion!X13&gt;0,(Erosion!X107*(Erosion!X92+Buffer!W72)+Erosion!X148*(Erosion!X13-Erosion!X92-Buffer!W72))/Erosion!X13,0)</f>
        <v>5.38806306043326</v>
      </c>
      <c r="X18" s="20">
        <f ca="1">IF(Erosion!Y13&gt;0,(Erosion!Y107*(Erosion!Y92+Buffer!X72)+Erosion!Y148*(Erosion!Y13-Erosion!Y92-Buffer!X72))/Erosion!Y13,0)</f>
        <v>1.4492992587583138</v>
      </c>
      <c r="Y18" s="20">
        <f ca="1">IF(Erosion!Z13&gt;0,(Erosion!Z107*(Erosion!Z92+Buffer!Y72)+Erosion!Z148*(Erosion!Z13-Erosion!Z92-Buffer!Y72))/Erosion!Z13,0)</f>
        <v>7.3725992872409396</v>
      </c>
      <c r="Z18" s="20">
        <f ca="1">IF(Erosion!AA13&gt;0,(Erosion!AA107*(Erosion!AA92+Buffer!Z72)+Erosion!AA148*(Erosion!AA13-Erosion!AA92-Buffer!Z72))/Erosion!AA13,0)</f>
        <v>7.3606478958045205</v>
      </c>
      <c r="AA18" s="20">
        <f ca="1">IF(Erosion!AB13&gt;0,(Erosion!AB107*(Erosion!AB92+Buffer!AA72)+Erosion!AB148*(Erosion!AB13-Erosion!AB92-Buffer!AA72))/Erosion!AB13,0)</f>
        <v>2.4747932256673</v>
      </c>
      <c r="AB18" s="20">
        <f ca="1">IF(Erosion!AC13&gt;0,(Erosion!AC107*(Erosion!AC92+Buffer!AB72)+Erosion!AC148*(Erosion!AC13-Erosion!AC92-Buffer!AB72))/Erosion!AC13,0)</f>
        <v>5.7303009284245947</v>
      </c>
      <c r="AC18" s="20">
        <f ca="1">IF(Erosion!AD13&gt;0,(Erosion!AD107*(Erosion!AD92+Buffer!AC72)+Erosion!AD148*(Erosion!AD13-Erosion!AD92-Buffer!AC72))/Erosion!AD13,0)</f>
        <v>3.2848974795573738</v>
      </c>
      <c r="AD18" s="20">
        <f ca="1">IF(Erosion!AE13&gt;0,(Erosion!AE107*(Erosion!AE92+Buffer!AD72)+Erosion!AE148*(Erosion!AE13-Erosion!AE92-Buffer!AD72))/Erosion!AE13,0)</f>
        <v>5.6080851133464042</v>
      </c>
      <c r="AE18" s="20">
        <f ca="1">IF(Erosion!AF13&gt;0,(Erosion!AF107*(Erosion!AF92+Buffer!AE72)+Erosion!AF148*(Erosion!AF13-Erosion!AF92-Buffer!AE72))/Erosion!AF13,0)</f>
        <v>7.1903725308353748</v>
      </c>
      <c r="AF18" s="20">
        <f ca="1">IF(Erosion!AG13&gt;0,(Erosion!AG107*(Erosion!AG92+Buffer!AF72)+Erosion!AG148*(Erosion!AG13-Erosion!AG92-Buffer!AF72))/Erosion!AG13,0)</f>
        <v>6.8990397622133433</v>
      </c>
      <c r="AG18" s="20">
        <f ca="1">IF(Erosion!AH13&gt;0,(Erosion!AH107*(Erosion!AH92+Buffer!AG72)+Erosion!AH148*(Erosion!AH13-Erosion!AH92-Buffer!AG72))/Erosion!AH13,0)</f>
        <v>8.0935766592918448</v>
      </c>
      <c r="AH18" s="20">
        <f ca="1">IF(Erosion!AI13&gt;0,(Erosion!AI107*(Erosion!AI92+Buffer!AH72)+Erosion!AI148*(Erosion!AI13-Erosion!AI92-Buffer!AH72))/Erosion!AI13,0)</f>
        <v>6.2459255654032066</v>
      </c>
      <c r="AI18" s="20">
        <f ca="1">IF(Erosion!AJ13&gt;0,(Erosion!AJ107*(Erosion!AJ92+Buffer!AI72)+Erosion!AJ148*(Erosion!AJ13-Erosion!AJ92-Buffer!AI72))/Erosion!AJ13,0)</f>
        <v>5.3591858989403871</v>
      </c>
      <c r="AJ18" s="20">
        <f ca="1">IF(Erosion!AK13&gt;0,(Erosion!AK107*(Erosion!AK92+Buffer!AJ72)+Erosion!AK148*(Erosion!AK13-Erosion!AK92-Buffer!AJ72))/Erosion!AK13,0)</f>
        <v>4.4377757581185051</v>
      </c>
      <c r="AK18" s="20">
        <f ca="1">IF(Erosion!AL13&gt;0,(Erosion!AL107*(Erosion!AL92+Buffer!AK72)+Erosion!AL148*(Erosion!AL13-Erosion!AL92-Buffer!AK72))/Erosion!AL13,0)</f>
        <v>6.445135086377686</v>
      </c>
      <c r="AL18" s="20">
        <f ca="1">IF(Erosion!AM13&gt;0,(Erosion!AM107*(Erosion!AM92+Buffer!AL72)+Erosion!AM148*(Erosion!AM13-Erosion!AM92-Buffer!AL72))/Erosion!AM13,0)</f>
        <v>4.2644866694802062</v>
      </c>
      <c r="AM18" s="20">
        <f ca="1">IF(Erosion!AN13&gt;0,(Erosion!AN107*(Erosion!AN92+Buffer!AM72)+Erosion!AN148*(Erosion!AN13-Erosion!AN92-Buffer!AM72))/Erosion!AN13,0)</f>
        <v>6.4685913869057092</v>
      </c>
      <c r="AN18" s="20">
        <f ca="1">IF(Erosion!AO13&gt;0,(Erosion!AO107*(Erosion!AO92+Buffer!AN72)+Erosion!AO148*(Erosion!AO13-Erosion!AO92-Buffer!AN72))/Erosion!AO13,0)</f>
        <v>5.9662190340224726</v>
      </c>
      <c r="AO18" s="23">
        <f t="shared" ref="AO18:AO19" ca="1" si="2">SUM(B18:AN18)</f>
        <v>198.40977819489854</v>
      </c>
    </row>
    <row r="19" spans="1:41" ht="18.75" x14ac:dyDescent="0.3">
      <c r="A19" s="26" t="s">
        <v>72</v>
      </c>
      <c r="B19" s="20">
        <f ca="1">B5*(1-(Main!$C$14*Main!$C$165+Main!$C$13*Main!$C$164)*Main!$D$51)</f>
        <v>2.954619808089562</v>
      </c>
      <c r="C19" s="20">
        <f ca="1">C5*(1-(Main!$C$14*Main!$C$165+Main!$C$13*Main!$C$164)*Main!$D$51)</f>
        <v>2.9845919887379395</v>
      </c>
      <c r="D19" s="20">
        <f ca="1">D5*(1-(Main!$C$14*Main!$C$165+Main!$C$13*Main!$C$164)*Main!$D$51)</f>
        <v>3.9333570404696161</v>
      </c>
      <c r="E19" s="20">
        <f ca="1">E5*(1-(Main!$C$14*Main!$C$165+Main!$C$13*Main!$C$164)*Main!$D$51)</f>
        <v>3.9333570404696161</v>
      </c>
      <c r="F19" s="20">
        <f ca="1">F5*(1-(Main!$C$14*Main!$C$165+Main!$C$13*Main!$C$164)*Main!$D$51)</f>
        <v>0.83627300705276519</v>
      </c>
      <c r="G19" s="20">
        <f ca="1">G5*(1-(Main!$C$14*Main!$C$165+Main!$C$13*Main!$C$164)*Main!$D$51)</f>
        <v>3.9333570404696161</v>
      </c>
      <c r="H19" s="20">
        <f ca="1">H5*(1-(Main!$C$14*Main!$C$165+Main!$C$13*Main!$C$164)*Main!$D$51)</f>
        <v>2.862205584423728</v>
      </c>
      <c r="I19" s="20">
        <f ca="1">I5*(1-(Main!$C$14*Main!$C$165+Main!$C$13*Main!$C$164)*Main!$D$51)</f>
        <v>0.88497780060638054</v>
      </c>
      <c r="J19" s="20">
        <f ca="1">J5*(1-(Main!$C$14*Main!$C$165+Main!$C$13*Main!$C$164)*Main!$D$51)</f>
        <v>0.59324857562883004</v>
      </c>
      <c r="K19" s="20">
        <f ca="1">K5*(1-(Main!$C$14*Main!$C$165+Main!$C$13*Main!$C$164)*Main!$D$51)</f>
        <v>0.46970292358685706</v>
      </c>
      <c r="L19" s="20">
        <f ca="1">L5*(1-(Main!$C$14*Main!$C$165+Main!$C$13*Main!$C$164)*Main!$D$51)</f>
        <v>3.4529073113688535</v>
      </c>
      <c r="M19" s="20">
        <f ca="1">M5*(1-(Main!$C$14*Main!$C$165+Main!$C$13*Main!$C$164)*Main!$D$51)</f>
        <v>2.4138717155584</v>
      </c>
      <c r="N19" s="20">
        <f ca="1">N5*(1-(Main!$C$14*Main!$C$165+Main!$C$13*Main!$C$164)*Main!$D$51)</f>
        <v>0.87873359630463499</v>
      </c>
      <c r="O19" s="20">
        <f ca="1">O5*(1-(Main!$C$14*Main!$C$165+Main!$C$13*Main!$C$164)*Main!$D$51)</f>
        <v>0.38769570709059936</v>
      </c>
      <c r="P19" s="20">
        <f ca="1">P5*(1-(Main!$C$14*Main!$C$165+Main!$C$13*Main!$C$164)*Main!$D$51)</f>
        <v>3.9333570404696161</v>
      </c>
      <c r="Q19" s="20">
        <f ca="1">Q5*(1-(Main!$C$14*Main!$C$165+Main!$C$13*Main!$C$164)*Main!$D$51)</f>
        <v>0.49284177045676192</v>
      </c>
      <c r="R19" s="20">
        <f ca="1">R5*(1-(Main!$C$14*Main!$C$165+Main!$C$13*Main!$C$164)*Main!$D$51)</f>
        <v>3.9333570404696161</v>
      </c>
      <c r="S19" s="20">
        <f ca="1">S5*(1-(Main!$C$14*Main!$C$165+Main!$C$13*Main!$C$164)*Main!$D$51)</f>
        <v>3.7651175264561281</v>
      </c>
      <c r="T19" s="20">
        <f ca="1">T5*(1-(Main!$C$14*Main!$C$165+Main!$C$13*Main!$C$164)*Main!$D$51)</f>
        <v>3.9333570404696161</v>
      </c>
      <c r="U19" s="20">
        <f ca="1">U5*(1-(Main!$C$14*Main!$C$165+Main!$C$13*Main!$C$164)*Main!$D$51)</f>
        <v>0.82153668490064591</v>
      </c>
      <c r="V19" s="20">
        <f ca="1">V5*(1-(Main!$C$14*Main!$C$165+Main!$C$13*Main!$C$164)*Main!$D$51)</f>
        <v>1.2049577069675967</v>
      </c>
      <c r="W19" s="20">
        <f ca="1">W5*(1-(Main!$C$14*Main!$C$165+Main!$C$13*Main!$C$164)*Main!$D$51)</f>
        <v>0.40601203970905286</v>
      </c>
      <c r="X19" s="20">
        <f ca="1">X5*(1-(Main!$C$14*Main!$C$165+Main!$C$13*Main!$C$164)*Main!$D$51)</f>
        <v>0.74186063801037305</v>
      </c>
      <c r="Y19" s="20">
        <f ca="1">Y5*(1-(Main!$C$14*Main!$C$165+Main!$C$13*Main!$C$164)*Main!$D$51)</f>
        <v>3.9333570404696161</v>
      </c>
      <c r="Z19" s="20">
        <f ca="1">Z5*(1-(Main!$C$14*Main!$C$165+Main!$C$13*Main!$C$164)*Main!$D$51)</f>
        <v>3.5940263285883027</v>
      </c>
      <c r="AA19" s="20">
        <f ca="1">AA5*(1-(Main!$C$14*Main!$C$165+Main!$C$13*Main!$C$164)*Main!$D$51)</f>
        <v>2.305222560708029</v>
      </c>
      <c r="AB19" s="20">
        <f ca="1">AB5*(1-(Main!$C$14*Main!$C$165+Main!$C$13*Main!$C$164)*Main!$D$51)</f>
        <v>0.79506125866124489</v>
      </c>
      <c r="AC19" s="20">
        <f ca="1">AC5*(1-(Main!$C$14*Main!$C$165+Main!$C$13*Main!$C$164)*Main!$D$51)</f>
        <v>3.9333570404696161</v>
      </c>
      <c r="AD19" s="20">
        <f ca="1">AD5*(1-(Main!$C$14*Main!$C$165+Main!$C$13*Main!$C$164)*Main!$D$51)</f>
        <v>2.8384776080770955</v>
      </c>
      <c r="AE19" s="20">
        <f ca="1">AE5*(1-(Main!$C$14*Main!$C$165+Main!$C$13*Main!$C$164)*Main!$D$51)</f>
        <v>1.1125434833017636</v>
      </c>
      <c r="AF19" s="20">
        <f ca="1">AF5*(1-(Main!$C$14*Main!$C$165+Main!$C$13*Main!$C$164)*Main!$D$51)</f>
        <v>3.7026754834386755</v>
      </c>
      <c r="AG19" s="20">
        <f ca="1">AG5*(1-(Main!$C$14*Main!$C$165+Main!$C$13*Main!$C$164)*Main!$D$51)</f>
        <v>3.9333570404696161</v>
      </c>
      <c r="AH19" s="20">
        <f ca="1">AH5*(1-(Main!$C$14*Main!$C$165+Main!$C$13*Main!$C$164)*Main!$D$51)</f>
        <v>0.89946435458643004</v>
      </c>
      <c r="AI19" s="20">
        <f ca="1">AI5*(1-(Main!$C$14*Main!$C$165+Main!$C$13*Main!$C$164)*Main!$D$51)</f>
        <v>0.64844734165626028</v>
      </c>
      <c r="AJ19" s="20">
        <f ca="1">AJ5*(1-(Main!$C$14*Main!$C$165+Main!$C$13*Main!$C$164)*Main!$D$51)</f>
        <v>0.32275598235244601</v>
      </c>
      <c r="AK19" s="20">
        <f ca="1">AK5*(1-(Main!$C$14*Main!$C$165+Main!$C$13*Main!$C$164)*Main!$D$51)</f>
        <v>3.9333570404696161</v>
      </c>
      <c r="AL19" s="20">
        <f ca="1">AL5*(1-(Main!$C$14*Main!$C$165+Main!$C$13*Main!$C$164)*Main!$D$51)</f>
        <v>0.39421743158353356</v>
      </c>
      <c r="AM19" s="20">
        <f ca="1">AM5*(1-(Main!$C$14*Main!$C$165+Main!$C$13*Main!$C$164)*Main!$D$51)</f>
        <v>1.8585177572169613</v>
      </c>
      <c r="AN19" s="20">
        <f ca="1">AN5*(1-(Main!$C$14*Main!$C$165+Main!$C$13*Main!$C$164)*Main!$D$51)</f>
        <v>2.7398191801095169</v>
      </c>
      <c r="AO19" s="23">
        <f t="shared" ca="1" si="2"/>
        <v>86.695953559925556</v>
      </c>
    </row>
    <row r="20" spans="1:41" ht="18.75" x14ac:dyDescent="0.3">
      <c r="A20" s="26" t="s">
        <v>71</v>
      </c>
      <c r="B20" s="20">
        <f ca="1">Buffer!B71</f>
        <v>12</v>
      </c>
      <c r="C20" s="20">
        <f ca="1">Buffer!C71</f>
        <v>12</v>
      </c>
      <c r="D20" s="20">
        <f ca="1">Buffer!D71</f>
        <v>12</v>
      </c>
      <c r="E20" s="20">
        <f ca="1">Buffer!E71</f>
        <v>12</v>
      </c>
      <c r="F20" s="20">
        <f ca="1">Buffer!F71</f>
        <v>6.0319778127990693</v>
      </c>
      <c r="G20" s="20">
        <f ca="1">Buffer!G71</f>
        <v>12</v>
      </c>
      <c r="H20" s="20">
        <f ca="1">Buffer!H71</f>
        <v>12</v>
      </c>
      <c r="I20" s="20">
        <f ca="1">Buffer!I71</f>
        <v>3.9744185739103943</v>
      </c>
      <c r="J20" s="20">
        <f ca="1">Buffer!J71</f>
        <v>5.3818280944625609</v>
      </c>
      <c r="K20" s="20">
        <f ca="1">Buffer!K71</f>
        <v>5.4260696708750746</v>
      </c>
      <c r="L20" s="20">
        <f ca="1">Buffer!L71</f>
        <v>12</v>
      </c>
      <c r="M20" s="20">
        <f ca="1">Buffer!M71</f>
        <v>12</v>
      </c>
      <c r="N20" s="20">
        <f ca="1">Buffer!N71</f>
        <v>10.330034132416241</v>
      </c>
      <c r="O20" s="20">
        <f ca="1">Buffer!O71</f>
        <v>5.0559647894005764</v>
      </c>
      <c r="P20" s="20">
        <f ca="1">Buffer!P71</f>
        <v>12</v>
      </c>
      <c r="Q20" s="20">
        <f ca="1">Buffer!Q71</f>
        <v>1.626291345261786</v>
      </c>
      <c r="R20" s="20">
        <f ca="1">Buffer!R71</f>
        <v>12</v>
      </c>
      <c r="S20" s="20">
        <f ca="1">Buffer!S71</f>
        <v>12</v>
      </c>
      <c r="T20" s="20">
        <f ca="1">Buffer!T71</f>
        <v>12</v>
      </c>
      <c r="U20" s="20">
        <f ca="1">Buffer!U71</f>
        <v>2.8197650611478675</v>
      </c>
      <c r="V20" s="20">
        <f ca="1">Buffer!V71</f>
        <v>1.5314011456748644</v>
      </c>
      <c r="W20" s="20">
        <f ca="1">Buffer!W71</f>
        <v>2.4283358595983255</v>
      </c>
      <c r="X20" s="20">
        <f ca="1">Buffer!X71</f>
        <v>12</v>
      </c>
      <c r="Y20" s="20">
        <f ca="1">Buffer!Y71</f>
        <v>12</v>
      </c>
      <c r="Z20" s="20">
        <f ca="1">Buffer!Z71</f>
        <v>12</v>
      </c>
      <c r="AA20" s="20">
        <f ca="1">Buffer!AA71</f>
        <v>10.072684175213586</v>
      </c>
      <c r="AB20" s="20">
        <f ca="1">Buffer!AB71</f>
        <v>11.412171787522762</v>
      </c>
      <c r="AC20" s="20">
        <f ca="1">Buffer!AC71</f>
        <v>12</v>
      </c>
      <c r="AD20" s="20">
        <f ca="1">Buffer!AD71</f>
        <v>12</v>
      </c>
      <c r="AE20" s="20">
        <f ca="1">Buffer!AE71</f>
        <v>12</v>
      </c>
      <c r="AF20" s="20">
        <f ca="1">Buffer!AF71</f>
        <v>12</v>
      </c>
      <c r="AG20" s="20">
        <f ca="1">Buffer!AG71</f>
        <v>12</v>
      </c>
      <c r="AH20" s="20">
        <f ca="1">Buffer!AH71</f>
        <v>6.5110490950217432</v>
      </c>
      <c r="AI20" s="20">
        <f ca="1">Buffer!AI71</f>
        <v>5.4840724786217718</v>
      </c>
      <c r="AJ20" s="20">
        <f ca="1">Buffer!AJ71</f>
        <v>4.0174307601881925</v>
      </c>
      <c r="AK20" s="20">
        <f ca="1">Buffer!AK71</f>
        <v>12</v>
      </c>
      <c r="AL20" s="20">
        <f ca="1">Buffer!AL71</f>
        <v>6.010341286974171</v>
      </c>
      <c r="AM20" s="20">
        <f ca="1">Buffer!AM71</f>
        <v>4.4705480163469957</v>
      </c>
      <c r="AN20" s="20">
        <f ca="1">Buffer!AN71</f>
        <v>4.2802953166629427</v>
      </c>
      <c r="AO20" s="23">
        <f t="shared" ref="AO20:AO28" ca="1" si="3">SUM(B20:AN20)</f>
        <v>348.86467940209894</v>
      </c>
    </row>
    <row r="21" spans="1:41" ht="18.75" x14ac:dyDescent="0.3">
      <c r="A21" s="26" t="s">
        <v>1021</v>
      </c>
      <c r="B21" s="20">
        <f ca="1">C_Drain!B33</f>
        <v>0.98764189174012906</v>
      </c>
      <c r="C21" s="20">
        <f ca="1">C_Drain!C33</f>
        <v>0.62012025115479819</v>
      </c>
      <c r="D21" s="20">
        <f ca="1">C_Drain!D33</f>
        <v>1.3016325195287252E-2</v>
      </c>
      <c r="E21" s="20">
        <f ca="1">C_Drain!E33</f>
        <v>0.64377270680404197</v>
      </c>
      <c r="F21" s="20">
        <f ca="1">C_Drain!F33</f>
        <v>0.60695171422974736</v>
      </c>
      <c r="G21" s="20">
        <f ca="1">C_Drain!G33</f>
        <v>2.2062247890663011E-3</v>
      </c>
      <c r="H21" s="20">
        <f ca="1">C_Drain!H33</f>
        <v>0.53959080223291334</v>
      </c>
      <c r="I21" s="20">
        <f ca="1">C_Drain!I33</f>
        <v>1.2274641571516534</v>
      </c>
      <c r="J21" s="20">
        <f ca="1">C_Drain!J33</f>
        <v>1.6326038908717964</v>
      </c>
      <c r="K21" s="20">
        <f ca="1">C_Drain!K33</f>
        <v>0</v>
      </c>
      <c r="L21" s="20">
        <f ca="1">C_Drain!L33</f>
        <v>2.2987184457829786</v>
      </c>
      <c r="M21" s="20">
        <f ca="1">C_Drain!M33</f>
        <v>2.0537114366619803E-2</v>
      </c>
      <c r="N21" s="20">
        <f ca="1">C_Drain!N33</f>
        <v>0.27743936919405376</v>
      </c>
      <c r="O21" s="20">
        <f ca="1">C_Drain!O33</f>
        <v>0</v>
      </c>
      <c r="P21" s="20">
        <f ca="1">C_Drain!P33</f>
        <v>1.1972206853222307</v>
      </c>
      <c r="Q21" s="20">
        <f ca="1">C_Drain!Q33</f>
        <v>1.7212521928957347</v>
      </c>
      <c r="R21" s="20">
        <f ca="1">C_Drain!R33</f>
        <v>1.5775090184655529E-2</v>
      </c>
      <c r="S21" s="20">
        <f ca="1">C_Drain!S33</f>
        <v>0.1085881499265843</v>
      </c>
      <c r="T21" s="20">
        <f ca="1">C_Drain!T33</f>
        <v>4.1633813482084614E-2</v>
      </c>
      <c r="U21" s="20">
        <f ca="1">C_Drain!U33</f>
        <v>2.4713591805698312</v>
      </c>
      <c r="V21" s="20">
        <f ca="1">C_Drain!V33</f>
        <v>2.3298036853210236</v>
      </c>
      <c r="W21" s="20">
        <f ca="1">C_Drain!W33</f>
        <v>0</v>
      </c>
      <c r="X21" s="20">
        <f ca="1">C_Drain!X33</f>
        <v>2.9347584355539209</v>
      </c>
      <c r="Y21" s="20">
        <f ca="1">C_Drain!Y33</f>
        <v>3.0447457015129881E-2</v>
      </c>
      <c r="Z21" s="20">
        <f ca="1">C_Drain!Z33</f>
        <v>0.7213014895217561</v>
      </c>
      <c r="AA21" s="20">
        <f ca="1">C_Drain!AA33</f>
        <v>7.0486732668789696</v>
      </c>
      <c r="AB21" s="20">
        <f ca="1">C_Drain!AB33</f>
        <v>0.2237201601879579</v>
      </c>
      <c r="AC21" s="20">
        <f ca="1">C_Drain!AC33</f>
        <v>9.1538300990841065E-2</v>
      </c>
      <c r="AD21" s="20">
        <f ca="1">C_Drain!AD33</f>
        <v>0.76387142872162705</v>
      </c>
      <c r="AE21" s="20">
        <f ca="1">C_Drain!AE33</f>
        <v>0.48850032906873042</v>
      </c>
      <c r="AF21" s="20">
        <f ca="1">C_Drain!AF33</f>
        <v>0.15422443934090493</v>
      </c>
      <c r="AG21" s="20">
        <f ca="1">C_Drain!AG33</f>
        <v>0.12864237098620254</v>
      </c>
      <c r="AH21" s="20">
        <f ca="1">C_Drain!AH33</f>
        <v>1.148818489561735</v>
      </c>
      <c r="AI21" s="20">
        <f ca="1">C_Drain!AI33</f>
        <v>1.4186640644846349</v>
      </c>
      <c r="AJ21" s="20">
        <f ca="1">C_Drain!AJ33</f>
        <v>0</v>
      </c>
      <c r="AK21" s="20">
        <f ca="1">C_Drain!AK33</f>
        <v>0.38890908650490191</v>
      </c>
      <c r="AL21" s="20">
        <f ca="1">C_Drain!AL33</f>
        <v>0</v>
      </c>
      <c r="AM21" s="20">
        <f ca="1">C_Drain!AM33</f>
        <v>1.607144024251026</v>
      </c>
      <c r="AN21" s="20">
        <f ca="1">C_Drain!AN33</f>
        <v>1.9306152260256257</v>
      </c>
      <c r="AO21" s="23">
        <f t="shared" ca="1" si="3"/>
        <v>35.835524260309192</v>
      </c>
    </row>
    <row r="22" spans="1:41" ht="18.75" x14ac:dyDescent="0.3">
      <c r="A22" s="26" t="s">
        <v>70</v>
      </c>
      <c r="B22" s="20">
        <f ca="1">Inlets!B41</f>
        <v>6.5540642291440326E-2</v>
      </c>
      <c r="C22" s="20">
        <f ca="1">Inlets!C41</f>
        <v>7.2063586860816972E-2</v>
      </c>
      <c r="D22" s="20">
        <f ca="1">Inlets!D41</f>
        <v>1.8979740561845594E-3</v>
      </c>
      <c r="E22" s="20">
        <f ca="1">Inlets!E41</f>
        <v>0.1147940799594641</v>
      </c>
      <c r="F22" s="20">
        <f ca="1">Inlets!F41</f>
        <v>0.24222270548328267</v>
      </c>
      <c r="G22" s="20">
        <f ca="1">Inlets!G41</f>
        <v>4.6930279129719385E-5</v>
      </c>
      <c r="H22" s="20">
        <f ca="1">Inlets!H41</f>
        <v>6.42456918956094E-2</v>
      </c>
      <c r="I22" s="20">
        <f ca="1">Inlets!I41</f>
        <v>0.40418719947384385</v>
      </c>
      <c r="J22" s="20">
        <f ca="1">Inlets!J41</f>
        <v>0.42881948053936908</v>
      </c>
      <c r="K22" s="20">
        <f>Inlets!K41</f>
        <v>0</v>
      </c>
      <c r="L22" s="20">
        <f ca="1">Inlets!L41</f>
        <v>1.7433542199428814E-2</v>
      </c>
      <c r="M22" s="20">
        <f ca="1">Inlets!M41</f>
        <v>9.0671007055562387E-4</v>
      </c>
      <c r="N22" s="20">
        <f ca="1">Inlets!N41</f>
        <v>0.2089339166880286</v>
      </c>
      <c r="O22" s="20">
        <f>Inlets!O41</f>
        <v>0</v>
      </c>
      <c r="P22" s="20">
        <f ca="1">Inlets!P41</f>
        <v>0.4989429652696693</v>
      </c>
      <c r="Q22" s="20">
        <f ca="1">Inlets!Q41</f>
        <v>0.50163225531532563</v>
      </c>
      <c r="R22" s="20">
        <f ca="1">Inlets!R41</f>
        <v>5.6338150168614843E-5</v>
      </c>
      <c r="S22" s="20">
        <f ca="1">Inlets!S41</f>
        <v>5.1346960477603159E-3</v>
      </c>
      <c r="T22" s="20">
        <f ca="1">Inlets!T41</f>
        <v>1.1625216429618363E-4</v>
      </c>
      <c r="U22" s="20">
        <f ca="1">Inlets!U41</f>
        <v>1.8860970251199916E-2</v>
      </c>
      <c r="V22" s="20">
        <f ca="1">Inlets!V41</f>
        <v>0.54639998674316781</v>
      </c>
      <c r="W22" s="20">
        <f>Inlets!W41</f>
        <v>0</v>
      </c>
      <c r="X22" s="20">
        <f ca="1">Inlets!X41</f>
        <v>3.9556561410434211E-2</v>
      </c>
      <c r="Y22" s="20">
        <f ca="1">Inlets!Y41</f>
        <v>2.0441681519172177E-2</v>
      </c>
      <c r="Z22" s="20">
        <f ca="1">Inlets!Z41</f>
        <v>0.22021912336316513</v>
      </c>
      <c r="AA22" s="20">
        <f ca="1">Inlets!AA41</f>
        <v>0.11748621314759618</v>
      </c>
      <c r="AB22" s="20">
        <f ca="1">Inlets!AB41</f>
        <v>5.9071227908239522E-2</v>
      </c>
      <c r="AC22" s="20">
        <f ca="1">Inlets!AC41</f>
        <v>5.5714263115060917E-3</v>
      </c>
      <c r="AD22" s="20">
        <f ca="1">Inlets!AD41</f>
        <v>0.16579476892957173</v>
      </c>
      <c r="AE22" s="20">
        <f ca="1">Inlets!AE41</f>
        <v>4.3462139368055208E-2</v>
      </c>
      <c r="AF22" s="20">
        <f ca="1">Inlets!AF41</f>
        <v>3.4116924181549581E-2</v>
      </c>
      <c r="AG22" s="20">
        <f ca="1">Inlets!AG41</f>
        <v>1.4310262352230874E-2</v>
      </c>
      <c r="AH22" s="20">
        <f ca="1">Inlets!AH41</f>
        <v>0.43005088269823488</v>
      </c>
      <c r="AI22" s="20">
        <f ca="1">Inlets!AI41</f>
        <v>0.31590325534462371</v>
      </c>
      <c r="AJ22" s="20">
        <f>Inlets!AJ41</f>
        <v>0</v>
      </c>
      <c r="AK22" s="20">
        <f ca="1">Inlets!AK41</f>
        <v>0.31366312801926993</v>
      </c>
      <c r="AL22" s="20">
        <f>Inlets!AL41</f>
        <v>0</v>
      </c>
      <c r="AM22" s="20">
        <f ca="1">Inlets!AM41</f>
        <v>0.42729754149799704</v>
      </c>
      <c r="AN22" s="20">
        <f ca="1">Inlets!AN41</f>
        <v>0.53610389828597738</v>
      </c>
      <c r="AO22" s="23">
        <f t="shared" ca="1" si="3"/>
        <v>5.9352849580763642</v>
      </c>
    </row>
    <row r="23" spans="1:41" ht="18.75" x14ac:dyDescent="0.3">
      <c r="A23" s="25" t="s">
        <v>69</v>
      </c>
      <c r="B23" s="20">
        <f ca="1">STP!B27*MAX((1-(Main!$C$14*Main!$C$165+Main!$C$13*Main!$C$164)*Main!$D$52+Main!$C$12*Main!$C$163*Main!$C$52*Erosion!C147),0)</f>
        <v>4.6851062636642462</v>
      </c>
      <c r="C23" s="20">
        <f ca="1">STP!C27*MAX((1-(Main!$C$14*Main!$C$165+Main!$C$13*Main!$C$164)*Main!$D$52+Main!$C$12*Main!$C$163*Main!$C$52*Erosion!D147),0)</f>
        <v>2.6999800738904813</v>
      </c>
      <c r="D23" s="20">
        <f ca="1">STP!D27*MAX((1-(Main!$C$14*Main!$C$165+Main!$C$13*Main!$C$164)*Main!$D$52+Main!$C$12*Main!$C$163*Main!$C$52*Erosion!E147),0)</f>
        <v>3.1984573093267969</v>
      </c>
      <c r="E23" s="20">
        <f ca="1">STP!E27*MAX((1-(Main!$C$14*Main!$C$165+Main!$C$13*Main!$C$164)*Main!$D$52+Main!$C$12*Main!$C$163*Main!$C$52*Erosion!F147),0)</f>
        <v>5.7287171788243558</v>
      </c>
      <c r="F23" s="20">
        <f ca="1">STP!F27*MAX((1-(Main!$C$14*Main!$C$165+Main!$C$13*Main!$C$164)*Main!$D$52+Main!$C$12*Main!$C$163*Main!$C$52*Erosion!G147),0)</f>
        <v>0.57946235995876361</v>
      </c>
      <c r="G23" s="20">
        <f ca="1">STP!G27*MAX((1-(Main!$C$14*Main!$C$165+Main!$C$13*Main!$C$164)*Main!$D$52+Main!$C$12*Main!$C$163*Main!$C$52*Erosion!H147),0)</f>
        <v>1.0668043830266705</v>
      </c>
      <c r="H23" s="20">
        <f ca="1">STP!H27*MAX((1-(Main!$C$14*Main!$C$165+Main!$C$13*Main!$C$164)*Main!$D$52+Main!$C$12*Main!$C$163*Main!$C$52*Erosion!I147),0)</f>
        <v>4.4590717957755421</v>
      </c>
      <c r="I23" s="20">
        <f ca="1">STP!I27*MAX((1-(Main!$C$14*Main!$C$165+Main!$C$13*Main!$C$164)*Main!$D$52+Main!$C$12*Main!$C$163*Main!$C$52*Erosion!J147),0)</f>
        <v>0.99928044221797951</v>
      </c>
      <c r="J23" s="20">
        <f ca="1">STP!J27*MAX((1-(Main!$C$14*Main!$C$165+Main!$C$13*Main!$C$164)*Main!$D$52+Main!$C$12*Main!$C$163*Main!$C$52*Erosion!K147),0)</f>
        <v>2.9053249270897155</v>
      </c>
      <c r="K23" s="20">
        <f ca="1">STP!K27*MAX((1-(Main!$C$14*Main!$C$165+Main!$C$13*Main!$C$164)*Main!$D$52+Main!$C$12*Main!$C$163*Main!$C$52*Erosion!L147),0)</f>
        <v>2.0048511605938653</v>
      </c>
      <c r="L23" s="20">
        <f ca="1">STP!L27*MAX((1-(Main!$C$14*Main!$C$165+Main!$C$13*Main!$C$164)*Main!$D$52+Main!$C$12*Main!$C$163*Main!$C$52*Erosion!M147),0)</f>
        <v>0.9472818043611767</v>
      </c>
      <c r="M23" s="20">
        <f ca="1">STP!M27*MAX((1-(Main!$C$14*Main!$C$165+Main!$C$13*Main!$C$164)*Main!$D$52+Main!$C$12*Main!$C$163*Main!$C$52*Erosion!N147),0)</f>
        <v>3.8178754807731266</v>
      </c>
      <c r="N23" s="20">
        <f ca="1">STP!N27*MAX((1-(Main!$C$14*Main!$C$165+Main!$C$13*Main!$C$164)*Main!$D$52+Main!$C$12*Main!$C$163*Main!$C$52*Erosion!O147),0)</f>
        <v>0.5313895645075718</v>
      </c>
      <c r="O23" s="20">
        <f ca="1">STP!O27*MAX((1-(Main!$C$14*Main!$C$165+Main!$C$13*Main!$C$164)*Main!$D$52+Main!$C$12*Main!$C$163*Main!$C$52*Erosion!P147),0)</f>
        <v>0.64468069606618406</v>
      </c>
      <c r="P23" s="20">
        <f ca="1">STP!P27*MAX((1-(Main!$C$14*Main!$C$165+Main!$C$13*Main!$C$164)*Main!$D$52+Main!$C$12*Main!$C$163*Main!$C$52*Erosion!Q147),0)</f>
        <v>1.3522152482291201</v>
      </c>
      <c r="Q23" s="20">
        <f ca="1">STP!Q27*MAX((1-(Main!$C$14*Main!$C$165+Main!$C$13*Main!$C$164)*Main!$D$52+Main!$C$12*Main!$C$163*Main!$C$52*Erosion!R147),0)</f>
        <v>1.0182913141828698</v>
      </c>
      <c r="R23" s="20">
        <f ca="1">STP!R27*MAX((1-(Main!$C$14*Main!$C$165+Main!$C$13*Main!$C$164)*Main!$D$52+Main!$C$12*Main!$C$163*Main!$C$52*Erosion!S147),0)</f>
        <v>3.2356136426080928</v>
      </c>
      <c r="S23" s="20">
        <f ca="1">STP!S27*MAX((1-(Main!$C$14*Main!$C$165+Main!$C$13*Main!$C$164)*Main!$D$52+Main!$C$12*Main!$C$163*Main!$C$52*Erosion!T147),0)</f>
        <v>2.5607405423607377</v>
      </c>
      <c r="T23" s="20">
        <f ca="1">STP!T27*MAX((1-(Main!$C$14*Main!$C$165+Main!$C$13*Main!$C$164)*Main!$D$52+Main!$C$12*Main!$C$163*Main!$C$52*Erosion!U147),0)</f>
        <v>0.85011668843529486</v>
      </c>
      <c r="U23" s="20">
        <f ca="1">STP!U27*MAX((1-(Main!$C$14*Main!$C$165+Main!$C$13*Main!$C$164)*Main!$D$52+Main!$C$12*Main!$C$163*Main!$C$52*Erosion!V147),0)</f>
        <v>0.70365926431734349</v>
      </c>
      <c r="V23" s="20">
        <f ca="1">STP!V27*MAX((1-(Main!$C$14*Main!$C$165+Main!$C$13*Main!$C$164)*Main!$D$52+Main!$C$12*Main!$C$163*Main!$C$52*Erosion!W147),0)</f>
        <v>0.71424573808429392</v>
      </c>
      <c r="W23" s="20">
        <f ca="1">STP!W27*MAX((1-(Main!$C$14*Main!$C$165+Main!$C$13*Main!$C$164)*Main!$D$52+Main!$C$12*Main!$C$163*Main!$C$52*Erosion!X147),0)</f>
        <v>0.7158374100451298</v>
      </c>
      <c r="X23" s="20">
        <f ca="1">STP!X27*MAX((1-(Main!$C$14*Main!$C$165+Main!$C$13*Main!$C$164)*Main!$D$52+Main!$C$12*Main!$C$163*Main!$C$52*Erosion!Y147),0)</f>
        <v>1.2587196564587784</v>
      </c>
      <c r="Y23" s="20">
        <f ca="1">STP!Y27*MAX((1-(Main!$C$14*Main!$C$165+Main!$C$13*Main!$C$164)*Main!$D$52+Main!$C$12*Main!$C$163*Main!$C$52*Erosion!Z147),0)</f>
        <v>3.0343421251306375</v>
      </c>
      <c r="Z23" s="20">
        <f ca="1">STP!Z27*MAX((1-(Main!$C$14*Main!$C$165+Main!$C$13*Main!$C$164)*Main!$D$52+Main!$C$12*Main!$C$163*Main!$C$52*Erosion!AA147),0)</f>
        <v>2.6290835978483758</v>
      </c>
      <c r="AA23" s="20">
        <f ca="1">STP!AA27*MAX((1-(Main!$C$14*Main!$C$165+Main!$C$13*Main!$C$164)*Main!$D$52+Main!$C$12*Main!$C$163*Main!$C$52*Erosion!AB147),0)</f>
        <v>1.7981205708418013</v>
      </c>
      <c r="AB23" s="20">
        <f ca="1">STP!AB27*MAX((1-(Main!$C$14*Main!$C$165+Main!$C$13*Main!$C$164)*Main!$D$52+Main!$C$12*Main!$C$163*Main!$C$52*Erosion!AC147),0)</f>
        <v>2.7441622049767513</v>
      </c>
      <c r="AC23" s="20">
        <f ca="1">STP!AC27*MAX((1-(Main!$C$14*Main!$C$165+Main!$C$13*Main!$C$164)*Main!$D$52+Main!$C$12*Main!$C$163*Main!$C$52*Erosion!AD147),0)</f>
        <v>4.1618012937559357</v>
      </c>
      <c r="AD23" s="20">
        <f ca="1">STP!AD27*MAX((1-(Main!$C$14*Main!$C$165+Main!$C$13*Main!$C$164)*Main!$D$52+Main!$C$12*Main!$C$163*Main!$C$52*Erosion!AE147),0)</f>
        <v>2.5913950896847093</v>
      </c>
      <c r="AE23" s="20">
        <f ca="1">STP!AE27*MAX((1-(Main!$C$14*Main!$C$165+Main!$C$13*Main!$C$164)*Main!$D$52+Main!$C$12*Main!$C$163*Main!$C$52*Erosion!AF147),0)</f>
        <v>3.8898784441485299</v>
      </c>
      <c r="AF23" s="20">
        <f ca="1">STP!AF27*MAX((1-(Main!$C$14*Main!$C$165+Main!$C$13*Main!$C$164)*Main!$D$52+Main!$C$12*Main!$C$163*Main!$C$52*Erosion!AG147),0)</f>
        <v>4.1762158212910849</v>
      </c>
      <c r="AG23" s="20">
        <f ca="1">STP!AG27*MAX((1-(Main!$C$14*Main!$C$165+Main!$C$13*Main!$C$164)*Main!$D$52+Main!$C$12*Main!$C$163*Main!$C$52*Erosion!AH147),0)</f>
        <v>2.8122428714413594</v>
      </c>
      <c r="AH23" s="20">
        <f ca="1">STP!AH27*MAX((1-(Main!$C$14*Main!$C$165+Main!$C$13*Main!$C$164)*Main!$D$52+Main!$C$12*Main!$C$163*Main!$C$52*Erosion!AI147),0)</f>
        <v>1.6261311886765939</v>
      </c>
      <c r="AI23" s="20">
        <f ca="1">STP!AI27*MAX((1-(Main!$C$14*Main!$C$165+Main!$C$13*Main!$C$164)*Main!$D$52+Main!$C$12*Main!$C$163*Main!$C$52*Erosion!AJ147),0)</f>
        <v>0.6572926927670889</v>
      </c>
      <c r="AJ23" s="20">
        <f ca="1">STP!AJ27*MAX((1-(Main!$C$14*Main!$C$165+Main!$C$13*Main!$C$164)*Main!$D$52+Main!$C$12*Main!$C$163*Main!$C$52*Erosion!AK147),0)</f>
        <v>0.70997525407292528</v>
      </c>
      <c r="AK23" s="20">
        <f ca="1">STP!AK27*MAX((1-(Main!$C$14*Main!$C$165+Main!$C$13*Main!$C$164)*Main!$D$52+Main!$C$12*Main!$C$163*Main!$C$52*Erosion!AL147),0)</f>
        <v>1.7195897849464212</v>
      </c>
      <c r="AL23" s="20">
        <f ca="1">STP!AL27*MAX((1-(Main!$C$14*Main!$C$165+Main!$C$13*Main!$C$164)*Main!$D$52+Main!$C$12*Main!$C$163*Main!$C$52*Erosion!AM147),0)</f>
        <v>0.63352619511315122</v>
      </c>
      <c r="AM23" s="20">
        <f ca="1">STP!AM27*MAX((1-(Main!$C$14*Main!$C$165+Main!$C$13*Main!$C$164)*Main!$D$52+Main!$C$12*Main!$C$163*Main!$C$52*Erosion!AN147),0)</f>
        <v>4.2774940590136694</v>
      </c>
      <c r="AN23" s="20">
        <f ca="1">STP!AN27*MAX((1-(Main!$C$14*Main!$C$165+Main!$C$13*Main!$C$164)*Main!$D$52+Main!$C$12*Main!$C$163*Main!$C$52*Erosion!AO147),0)</f>
        <v>2.353981213017363</v>
      </c>
      <c r="AO23" s="23">
        <f t="shared" ca="1" si="3"/>
        <v>86.492955351524529</v>
      </c>
    </row>
    <row r="24" spans="1:41" ht="18.75" x14ac:dyDescent="0.3">
      <c r="A24" s="25" t="s">
        <v>68</v>
      </c>
      <c r="B24" s="20">
        <f ca="1">'Fertilizer Rate'!B108*MAX((1-(Main!$C$14*Main!$C$165+Main!$C$13*Main!$C$164)*Main!$D$53+Main!$C$12*Main!$C$163*Main!$C$53*Erosion!C147),0)</f>
        <v>0.41692961632923536</v>
      </c>
      <c r="C24" s="20">
        <f ca="1">'Fertilizer Rate'!C108*MAX((1-(Main!$C$14*Main!$C$165+Main!$C$13*Main!$C$164)*Main!$D$53+Main!$C$12*Main!$C$163*Main!$C$53*Erosion!D147),0)</f>
        <v>0.35708372701945301</v>
      </c>
      <c r="D24" s="20">
        <f ca="1">'Fertilizer Rate'!D108*MAX((1-(Main!$C$14*Main!$C$165+Main!$C$13*Main!$C$164)*Main!$D$53+Main!$C$12*Main!$C$163*Main!$C$53*Erosion!E147),0)</f>
        <v>0.44090326007835168</v>
      </c>
      <c r="E24" s="20">
        <f ca="1">'Fertilizer Rate'!E108*MAX((1-(Main!$C$14*Main!$C$165+Main!$C$13*Main!$C$164)*Main!$D$53+Main!$C$12*Main!$C$163*Main!$C$53*Erosion!F147),0)</f>
        <v>0.31308359024039112</v>
      </c>
      <c r="F24" s="20">
        <f ca="1">'Fertilizer Rate'!F108*MAX((1-(Main!$C$14*Main!$C$165+Main!$C$13*Main!$C$164)*Main!$D$53+Main!$C$12*Main!$C$163*Main!$C$53*Erosion!G147),0)</f>
        <v>1.6996078837069126</v>
      </c>
      <c r="G24" s="20">
        <f ca="1">'Fertilizer Rate'!G108*MAX((1-(Main!$C$14*Main!$C$165+Main!$C$13*Main!$C$164)*Main!$D$53+Main!$C$12*Main!$C$163*Main!$C$53*Erosion!H147),0)</f>
        <v>1.9752301255493224E-2</v>
      </c>
      <c r="H24" s="20">
        <f ca="1">'Fertilizer Rate'!H108*MAX((1-(Main!$C$14*Main!$C$165+Main!$C$13*Main!$C$164)*Main!$D$53+Main!$C$12*Main!$C$163*Main!$C$53*Erosion!I147),0)</f>
        <v>0.3228694646197342</v>
      </c>
      <c r="I24" s="20">
        <f ca="1">'Fertilizer Rate'!I108*MAX((1-(Main!$C$14*Main!$C$165+Main!$C$13*Main!$C$164)*Main!$D$53+Main!$C$12*Main!$C$163*Main!$C$53*Erosion!J147),0)</f>
        <v>1.3127482034182625</v>
      </c>
      <c r="J24" s="20">
        <f ca="1">'Fertilizer Rate'!J108*MAX((1-(Main!$C$14*Main!$C$165+Main!$C$13*Main!$C$164)*Main!$D$53+Main!$C$12*Main!$C$163*Main!$C$53*Erosion!K147),0)</f>
        <v>0.67249087393297313</v>
      </c>
      <c r="K24" s="20">
        <f ca="1">'Fertilizer Rate'!K108*MAX((1-(Main!$C$14*Main!$C$165+Main!$C$13*Main!$C$164)*Main!$D$53+Main!$C$12*Main!$C$163*Main!$C$53*Erosion!L147),0)</f>
        <v>0.75775554219332442</v>
      </c>
      <c r="L24" s="20">
        <f ca="1">'Fertilizer Rate'!L108*MAX((1-(Main!$C$14*Main!$C$165+Main!$C$13*Main!$C$164)*Main!$D$53+Main!$C$12*Main!$C$163*Main!$C$53*Erosion!M147),0)</f>
        <v>0.17433719128720138</v>
      </c>
      <c r="M24" s="20">
        <f ca="1">'Fertilizer Rate'!M108*MAX((1-(Main!$C$14*Main!$C$165+Main!$C$13*Main!$C$164)*Main!$D$53+Main!$C$12*Main!$C$163*Main!$C$53*Erosion!N147),0)</f>
        <v>0.3563793344236344</v>
      </c>
      <c r="N24" s="20">
        <f ca="1">'Fertilizer Rate'!N108*MAX((1-(Main!$C$14*Main!$C$165+Main!$C$13*Main!$C$164)*Main!$D$53+Main!$C$12*Main!$C$163*Main!$C$53*Erosion!O147),0)</f>
        <v>1.5653615719276799</v>
      </c>
      <c r="O24" s="20">
        <f ca="1">'Fertilizer Rate'!O108*MAX((1-(Main!$C$14*Main!$C$165+Main!$C$13*Main!$C$164)*Main!$D$53+Main!$C$12*Main!$C$163*Main!$C$53*Erosion!P147),0)</f>
        <v>1.1579072372170396</v>
      </c>
      <c r="P24" s="20">
        <f ca="1">'Fertilizer Rate'!P108*MAX((1-(Main!$C$14*Main!$C$165+Main!$C$13*Main!$C$164)*Main!$D$53+Main!$C$12*Main!$C$163*Main!$C$53*Erosion!Q147),0)</f>
        <v>0.94641281363230056</v>
      </c>
      <c r="Q24" s="20">
        <f ca="1">'Fertilizer Rate'!Q108*MAX((1-(Main!$C$14*Main!$C$165+Main!$C$13*Main!$C$164)*Main!$D$53+Main!$C$12*Main!$C$163*Main!$C$53*Erosion!R147),0)</f>
        <v>0.93575329996168388</v>
      </c>
      <c r="R24" s="20">
        <f ca="1">'Fertilizer Rate'!R108*MAX((1-(Main!$C$14*Main!$C$165+Main!$C$13*Main!$C$164)*Main!$D$53+Main!$C$12*Main!$C$163*Main!$C$53*Erosion!S147),0)</f>
        <v>1.9950679074576799E-2</v>
      </c>
      <c r="S24" s="20">
        <f ca="1">'Fertilizer Rate'!S108*MAX((1-(Main!$C$14*Main!$C$165+Main!$C$13*Main!$C$164)*Main!$D$53+Main!$C$12*Main!$C$163*Main!$C$53*Erosion!T147),0)</f>
        <v>0.36472036089820092</v>
      </c>
      <c r="T24" s="20">
        <f ca="1">'Fertilizer Rate'!T108*MAX((1-(Main!$C$14*Main!$C$165+Main!$C$13*Main!$C$164)*Main!$D$53+Main!$C$12*Main!$C$163*Main!$C$53*Erosion!U147),0)</f>
        <v>1.5111800413136166E-2</v>
      </c>
      <c r="U24" s="20">
        <f ca="1">'Fertilizer Rate'!U108*MAX((1-(Main!$C$14*Main!$C$165+Main!$C$13*Main!$C$164)*Main!$D$53+Main!$C$12*Main!$C$163*Main!$C$53*Erosion!V147),0)</f>
        <v>0.50103721408459367</v>
      </c>
      <c r="V24" s="20">
        <f ca="1">'Fertilizer Rate'!V108*MAX((1-(Main!$C$14*Main!$C$165+Main!$C$13*Main!$C$164)*Main!$D$53+Main!$C$12*Main!$C$163*Main!$C$53*Erosion!W147),0)</f>
        <v>1.6601865372601952</v>
      </c>
      <c r="W24" s="20">
        <f ca="1">'Fertilizer Rate'!W108*MAX((1-(Main!$C$14*Main!$C$165+Main!$C$13*Main!$C$164)*Main!$D$53+Main!$C$12*Main!$C$163*Main!$C$53*Erosion!X147),0)</f>
        <v>1.3035581091037871</v>
      </c>
      <c r="X24" s="20">
        <f ca="1">'Fertilizer Rate'!X108*MAX((1-(Main!$C$14*Main!$C$165+Main!$C$13*Main!$C$164)*Main!$D$53+Main!$C$12*Main!$C$163*Main!$C$53*Erosion!Y147),0)</f>
        <v>0.40424305442309821</v>
      </c>
      <c r="Y24" s="20">
        <f ca="1">'Fertilizer Rate'!Y108*MAX((1-(Main!$C$14*Main!$C$165+Main!$C$13*Main!$C$164)*Main!$D$53+Main!$C$12*Main!$C$163*Main!$C$53*Erosion!Z147),0)</f>
        <v>0.5406044563224921</v>
      </c>
      <c r="Z24" s="20">
        <f ca="1">'Fertilizer Rate'!Z108*MAX((1-(Main!$C$14*Main!$C$165+Main!$C$13*Main!$C$164)*Main!$D$53+Main!$C$12*Main!$C$163*Main!$C$53*Erosion!AA147),0)</f>
        <v>0.58716308055479582</v>
      </c>
      <c r="AA24" s="20">
        <f ca="1">'Fertilizer Rate'!AA108*MAX((1-(Main!$C$14*Main!$C$165+Main!$C$13*Main!$C$164)*Main!$D$53+Main!$C$12*Main!$C$163*Main!$C$53*Erosion!AB147),0)</f>
        <v>0.430838207982148</v>
      </c>
      <c r="AB24" s="20">
        <f ca="1">'Fertilizer Rate'!AB108*MAX((1-(Main!$C$14*Main!$C$165+Main!$C$13*Main!$C$164)*Main!$D$53+Main!$C$12*Main!$C$163*Main!$C$53*Erosion!AC147),0)</f>
        <v>0.52779986438890958</v>
      </c>
      <c r="AC24" s="20">
        <f ca="1">'Fertilizer Rate'!AC108*MAX((1-(Main!$C$14*Main!$C$165+Main!$C$13*Main!$C$164)*Main!$D$53+Main!$C$12*Main!$C$163*Main!$C$53*Erosion!AD147),0)</f>
        <v>5.8780524864498182E-2</v>
      </c>
      <c r="AD24" s="20">
        <f ca="1">'Fertilizer Rate'!AD108*MAX((1-(Main!$C$14*Main!$C$165+Main!$C$13*Main!$C$164)*Main!$D$53+Main!$C$12*Main!$C$163*Main!$C$53*Erosion!AE147),0)</f>
        <v>0.61483871827882652</v>
      </c>
      <c r="AE24" s="20">
        <f ca="1">'Fertilizer Rate'!AE108*MAX((1-(Main!$C$14*Main!$C$165+Main!$C$13*Main!$C$164)*Main!$D$53+Main!$C$12*Main!$C$163*Main!$C$53*Erosion!AF147),0)</f>
        <v>0.56567423035833719</v>
      </c>
      <c r="AF24" s="20">
        <f ca="1">'Fertilizer Rate'!AF108*MAX((1-(Main!$C$14*Main!$C$165+Main!$C$13*Main!$C$164)*Main!$D$53+Main!$C$12*Main!$C$163*Main!$C$53*Erosion!AG147),0)</f>
        <v>0.44543900158704658</v>
      </c>
      <c r="AG24" s="20">
        <f ca="1">'Fertilizer Rate'!AG108*MAX((1-(Main!$C$14*Main!$C$165+Main!$C$13*Main!$C$164)*Main!$D$53+Main!$C$12*Main!$C$163*Main!$C$53*Erosion!AH147),0)</f>
        <v>0.44695741116272536</v>
      </c>
      <c r="AH24" s="20">
        <f ca="1">'Fertilizer Rate'!AH108*MAX((1-(Main!$C$14*Main!$C$165+Main!$C$13*Main!$C$164)*Main!$D$53+Main!$C$12*Main!$C$163*Main!$C$53*Erosion!AI147),0)</f>
        <v>0.85851370521277803</v>
      </c>
      <c r="AI24" s="20">
        <f ca="1">'Fertilizer Rate'!AI108*MAX((1-(Main!$C$14*Main!$C$165+Main!$C$13*Main!$C$164)*Main!$D$53+Main!$C$12*Main!$C$163*Main!$C$53*Erosion!AJ147),0)</f>
        <v>1.4216928191803313</v>
      </c>
      <c r="AJ24" s="20">
        <f ca="1">'Fertilizer Rate'!AJ108*MAX((1-(Main!$C$14*Main!$C$165+Main!$C$13*Main!$C$164)*Main!$D$53+Main!$C$12*Main!$C$163*Main!$C$53*Erosion!AK147),0)</f>
        <v>1.1030628298276728</v>
      </c>
      <c r="AK24" s="20">
        <f ca="1">'Fertilizer Rate'!AK108*MAX((1-(Main!$C$14*Main!$C$165+Main!$C$13*Main!$C$164)*Main!$D$53+Main!$C$12*Main!$C$163*Main!$C$53*Erosion!AL147),0)</f>
        <v>0.83288526053432166</v>
      </c>
      <c r="AL24" s="20">
        <f ca="1">'Fertilizer Rate'!AL108*MAX((1-(Main!$C$14*Main!$C$165+Main!$C$13*Main!$C$164)*Main!$D$53+Main!$C$12*Main!$C$163*Main!$C$53*Erosion!AM147),0)</f>
        <v>1.1359521149686813</v>
      </c>
      <c r="AM24" s="20">
        <f ca="1">'Fertilizer Rate'!AM108*MAX((1-(Main!$C$14*Main!$C$165+Main!$C$13*Main!$C$164)*Main!$D$53+Main!$C$12*Main!$C$163*Main!$C$53*Erosion!AN147),0)</f>
        <v>0.52314322298821259</v>
      </c>
      <c r="AN24" s="20">
        <f ca="1">'Fertilizer Rate'!AN108*MAX((1-(Main!$C$14*Main!$C$165+Main!$C$13*Main!$C$164)*Main!$D$53+Main!$C$12*Main!$C$163*Main!$C$53*Erosion!AO147),0)</f>
        <v>0.61860738245919866</v>
      </c>
      <c r="AO24" s="23">
        <f t="shared" ca="1" si="3"/>
        <v>26.430136497172239</v>
      </c>
    </row>
    <row r="25" spans="1:41" s="20" customFormat="1" ht="18.75" x14ac:dyDescent="0.3">
      <c r="A25" s="533" t="s">
        <v>67</v>
      </c>
      <c r="B25" s="20">
        <f ca="1">'Fertilizer Method'!C70*MAX((1-(Main!$C$14*Main!$C$165+Main!$C$13*Main!$C$164)*Main!$D$54+Main!$C$12*Main!$C$163*Main!$C$54*Erosion!C147),0)</f>
        <v>7.3943644726902472E-2</v>
      </c>
      <c r="C25" s="20">
        <f ca="1">'Fertilizer Method'!D70*MAX((1-(Main!$C$14*Main!$C$165+Main!$C$13*Main!$C$164)*Main!$D$54+Main!$C$12*Main!$C$163*Main!$C$54*Erosion!D147),0)</f>
        <v>7.3897917950594028E-2</v>
      </c>
      <c r="D25" s="20">
        <f ca="1">'Fertilizer Method'!E70*MAX((1-(Main!$C$14*Main!$C$165+Main!$C$13*Main!$C$164)*Main!$D$54+Main!$C$12*Main!$C$163*Main!$C$54*Erosion!E147),0)</f>
        <v>9.1161099644553684E-2</v>
      </c>
      <c r="E25" s="20">
        <f ca="1">'Fertilizer Method'!F70*MAX((1-(Main!$C$14*Main!$C$165+Main!$C$13*Main!$C$164)*Main!$D$54+Main!$C$12*Main!$C$163*Main!$C$54*Erosion!F147),0)</f>
        <v>5.6842241420688194E-2</v>
      </c>
      <c r="F25" s="20">
        <f ca="1">'Fertilizer Method'!G70*MAX((1-(Main!$C$14*Main!$C$165+Main!$C$13*Main!$C$164)*Main!$D$54+Main!$C$12*Main!$C$163*Main!$C$54*Erosion!G147),0)</f>
        <v>0.32882340261944853</v>
      </c>
      <c r="G25" s="20">
        <f ca="1">'Fertilizer Method'!H70*MAX((1-(Main!$C$14*Main!$C$165+Main!$C$13*Main!$C$164)*Main!$D$54+Main!$C$12*Main!$C$163*Main!$C$54*Erosion!H147),0)</f>
        <v>0.12242485977007615</v>
      </c>
      <c r="H25" s="20">
        <f ca="1">'Fertilizer Method'!I70*MAX((1-(Main!$C$14*Main!$C$165+Main!$C$13*Main!$C$164)*Main!$D$54+Main!$C$12*Main!$C$163*Main!$C$54*Erosion!I147),0)</f>
        <v>7.3801807017486148E-2</v>
      </c>
      <c r="I25" s="20">
        <f ca="1">'Fertilizer Method'!J70*MAX((1-(Main!$C$14*Main!$C$165+Main!$C$13*Main!$C$164)*Main!$D$54+Main!$C$12*Main!$C$163*Main!$C$54*Erosion!J147),0)</f>
        <v>0.32859529439849411</v>
      </c>
      <c r="J25" s="20">
        <f ca="1">'Fertilizer Method'!K70*MAX((1-(Main!$C$14*Main!$C$165+Main!$C$13*Main!$C$164)*Main!$D$54+Main!$C$12*Main!$C$163*Main!$C$54*Erosion!K147),0)</f>
        <v>0.32809020803423478</v>
      </c>
      <c r="K25" s="20">
        <f ca="1">'Fertilizer Method'!L70*MAX((1-(Main!$C$14*Main!$C$165+Main!$C$13*Main!$C$164)*Main!$D$54+Main!$C$12*Main!$C$163*Main!$C$54*Erosion!L147),0)</f>
        <v>0.39848992005793088</v>
      </c>
      <c r="L25" s="20">
        <f ca="1">'Fertilizer Method'!M70*MAX((1-(Main!$C$14*Main!$C$165+Main!$C$13*Main!$C$164)*Main!$D$54+Main!$C$12*Main!$C$163*Main!$C$54*Erosion!M147),0)</f>
        <v>0.12290701483726005</v>
      </c>
      <c r="M25" s="20">
        <f ca="1">'Fertilizer Method'!N70*MAX((1-(Main!$C$14*Main!$C$165+Main!$C$13*Main!$C$164)*Main!$D$54+Main!$C$12*Main!$C$163*Main!$C$54*Erosion!N147),0)</f>
        <v>0.1225054667849098</v>
      </c>
      <c r="N25" s="20">
        <f ca="1">'Fertilizer Method'!O70*MAX((1-(Main!$C$14*Main!$C$165+Main!$C$13*Main!$C$164)*Main!$D$54+Main!$C$12*Main!$C$163*Main!$C$54*Erosion!O147),0)</f>
        <v>0.32893105325172017</v>
      </c>
      <c r="O25" s="20">
        <f ca="1">'Fertilizer Method'!P70*MAX((1-(Main!$C$14*Main!$C$165+Main!$C$13*Main!$C$164)*Main!$D$54+Main!$C$12*Main!$C$163*Main!$C$54*Erosion!P147),0)</f>
        <v>0.39873548533439213</v>
      </c>
      <c r="P25" s="20">
        <f ca="1">'Fertilizer Method'!Q70*MAX((1-(Main!$C$14*Main!$C$165+Main!$C$13*Main!$C$164)*Main!$D$54+Main!$C$12*Main!$C$163*Main!$C$54*Erosion!Q147),0)</f>
        <v>0.27620805639228069</v>
      </c>
      <c r="Q25" s="20">
        <f ca="1">'Fertilizer Method'!R70*MAX((1-(Main!$C$14*Main!$C$165+Main!$C$13*Main!$C$164)*Main!$D$54+Main!$C$12*Main!$C$163*Main!$C$54*Erosion!R147),0)</f>
        <v>0.3985949693819355</v>
      </c>
      <c r="R25" s="20">
        <f ca="1">'Fertilizer Method'!S70*MAX((1-(Main!$C$14*Main!$C$165+Main!$C$13*Main!$C$164)*Main!$D$54+Main!$C$12*Main!$C$163*Main!$C$54*Erosion!S147),0)</f>
        <v>0.1228461655253734</v>
      </c>
      <c r="S25" s="20">
        <f ca="1">'Fertilizer Method'!T70*MAX((1-(Main!$C$14*Main!$C$165+Main!$C$13*Main!$C$164)*Main!$D$54+Main!$C$12*Main!$C$163*Main!$C$54*Erosion!T147),0)</f>
        <v>0.12252648748884389</v>
      </c>
      <c r="T25" s="20">
        <f ca="1">'Fertilizer Method'!U70*MAX((1-(Main!$C$14*Main!$C$165+Main!$C$13*Main!$C$164)*Main!$D$54+Main!$C$12*Main!$C$163*Main!$C$54*Erosion!U147),0)</f>
        <v>0.12280988210219117</v>
      </c>
      <c r="U25" s="20">
        <f ca="1">'Fertilizer Method'!V70*MAX((1-(Main!$C$14*Main!$C$165+Main!$C$13*Main!$C$164)*Main!$D$54+Main!$C$12*Main!$C$163*Main!$C$54*Erosion!V147),0)</f>
        <v>0.15934333762349051</v>
      </c>
      <c r="V25" s="20">
        <f ca="1">'Fertilizer Method'!W70*MAX((1-(Main!$C$14*Main!$C$165+Main!$C$13*Main!$C$164)*Main!$D$54+Main!$C$12*Main!$C$163*Main!$C$54*Erosion!W147),0)</f>
        <v>0.32873154830025508</v>
      </c>
      <c r="W25" s="20">
        <f ca="1">'Fertilizer Method'!X70*MAX((1-(Main!$C$14*Main!$C$165+Main!$C$13*Main!$C$164)*Main!$D$54+Main!$C$12*Main!$C$163*Main!$C$54*Erosion!X147),0)</f>
        <v>0.39877344359331407</v>
      </c>
      <c r="X25" s="20">
        <f ca="1">'Fertilizer Method'!Y70*MAX((1-(Main!$C$14*Main!$C$165+Main!$C$13*Main!$C$164)*Main!$D$54+Main!$C$12*Main!$C$163*Main!$C$54*Erosion!Y147),0)</f>
        <v>0.15942691707553316</v>
      </c>
      <c r="Y25" s="20">
        <f ca="1">'Fertilizer Method'!Z70*MAX((1-(Main!$C$14*Main!$C$165+Main!$C$13*Main!$C$164)*Main!$D$54+Main!$C$12*Main!$C$163*Main!$C$54*Erosion!Z147),0)</f>
        <v>0.11729229821447658</v>
      </c>
      <c r="Z25" s="20">
        <f ca="1">'Fertilizer Method'!AA70*MAX((1-(Main!$C$14*Main!$C$165+Main!$C$13*Main!$C$164)*Main!$D$54+Main!$C$12*Main!$C$163*Main!$C$54*Erosion!AA147),0)</f>
        <v>0.34652604133242493</v>
      </c>
      <c r="AA25" s="20">
        <f ca="1">'Fertilizer Method'!AB70*MAX((1-(Main!$C$14*Main!$C$165+Main!$C$13*Main!$C$164)*Main!$D$54+Main!$C$12*Main!$C$163*Main!$C$54*Erosion!AB147),0)</f>
        <v>0.12286326610698556</v>
      </c>
      <c r="AB25" s="20">
        <f ca="1">'Fertilizer Method'!AC70*MAX((1-(Main!$C$14*Main!$C$165+Main!$C$13*Main!$C$164)*Main!$D$54+Main!$C$12*Main!$C$163*Main!$C$54*Erosion!AC147),0)</f>
        <v>7.3955595763549917E-2</v>
      </c>
      <c r="AC25" s="20">
        <f ca="1">'Fertilizer Method'!AD70*MAX((1-(Main!$C$14*Main!$C$165+Main!$C$13*Main!$C$164)*Main!$D$54+Main!$C$12*Main!$C$163*Main!$C$54*Erosion!AD147),0)</f>
        <v>0.12220113876900542</v>
      </c>
      <c r="AD25" s="20">
        <f ca="1">'Fertilizer Method'!AE70*MAX((1-(Main!$C$14*Main!$C$165+Main!$C$13*Main!$C$164)*Main!$D$54+Main!$C$12*Main!$C$163*Main!$C$54*Erosion!AE147),0)</f>
        <v>0.133865460430837</v>
      </c>
      <c r="AE25" s="20">
        <f ca="1">'Fertilizer Method'!AF70*MAX((1-(Main!$C$14*Main!$C$165+Main!$C$13*Main!$C$164)*Main!$D$54+Main!$C$12*Main!$C$163*Main!$C$54*Erosion!AF147),0)</f>
        <v>0.13393127948155278</v>
      </c>
      <c r="AF25" s="20">
        <f ca="1">'Fertilizer Method'!AG70*MAX((1-(Main!$C$14*Main!$C$165+Main!$C$13*Main!$C$164)*Main!$D$54+Main!$C$12*Main!$C$163*Main!$C$54*Erosion!AG147),0)</f>
        <v>0.13376228788243394</v>
      </c>
      <c r="AG25" s="20">
        <f ca="1">'Fertilizer Method'!AH70*MAX((1-(Main!$C$14*Main!$C$165+Main!$C$13*Main!$C$164)*Main!$D$54+Main!$C$12*Main!$C$163*Main!$C$54*Erosion!AH147),0)</f>
        <v>9.1120433097733433E-2</v>
      </c>
      <c r="AH25" s="20">
        <f ca="1">'Fertilizer Method'!AI70*MAX((1-(Main!$C$14*Main!$C$165+Main!$C$13*Main!$C$164)*Main!$D$54+Main!$C$12*Main!$C$163*Main!$C$54*Erosion!AI147),0)</f>
        <v>0.34673938578488384</v>
      </c>
      <c r="AI25" s="20">
        <f ca="1">'Fertilizer Method'!AJ70*MAX((1-(Main!$C$14*Main!$C$165+Main!$C$13*Main!$C$164)*Main!$D$54+Main!$C$12*Main!$C$163*Main!$C$54*Erosion!AJ147),0)</f>
        <v>0.32829470399133448</v>
      </c>
      <c r="AJ25" s="20">
        <f ca="1">'Fertilizer Method'!AK70*MAX((1-(Main!$C$14*Main!$C$165+Main!$C$13*Main!$C$164)*Main!$D$54+Main!$C$12*Main!$C$163*Main!$C$54*Erosion!AK147),0)</f>
        <v>0.39886226060166063</v>
      </c>
      <c r="AK25" s="20">
        <f ca="1">'Fertilizer Method'!AL70*MAX((1-(Main!$C$14*Main!$C$165+Main!$C$13*Main!$C$164)*Main!$D$54+Main!$C$12*Main!$C$163*Main!$C$54*Erosion!AL147),0)</f>
        <v>0.27627757503616646</v>
      </c>
      <c r="AL25" s="20">
        <f ca="1">'Fertilizer Method'!AM70*MAX((1-(Main!$C$14*Main!$C$165+Main!$C$13*Main!$C$164)*Main!$D$54+Main!$C$12*Main!$C$163*Main!$C$54*Erosion!AM147),0)</f>
        <v>0.39888099625113765</v>
      </c>
      <c r="AM25" s="20">
        <f ca="1">'Fertilizer Method'!AN70*MAX((1-(Main!$C$14*Main!$C$165+Main!$C$13*Main!$C$164)*Main!$D$54+Main!$C$12*Main!$C$163*Main!$C$54*Erosion!AN147),0)</f>
        <v>0.13399055449515465</v>
      </c>
      <c r="AN25" s="20">
        <f ca="1">'Fertilizer Method'!AO70*MAX((1-(Main!$C$14*Main!$C$165+Main!$C$13*Main!$C$164)*Main!$D$54+Main!$C$12*Main!$C$163*Main!$C$54*Erosion!AO147),0)</f>
        <v>0.34665113290044502</v>
      </c>
      <c r="AO25" s="23">
        <f t="shared" ca="1" si="3"/>
        <v>8.4436246334716927</v>
      </c>
    </row>
    <row r="26" spans="1:41" s="20" customFormat="1" ht="18.75" x14ac:dyDescent="0.3">
      <c r="A26" s="533" t="s">
        <v>66</v>
      </c>
      <c r="B26" s="20">
        <f ca="1">B12*MAX((1-(Main!$C$14*Main!$C$165+Main!$C$13*Main!$C$164)*Main!$D$55+Main!$C$12*Main!$C$163*Main!$C$55*Erosion!C147),0)</f>
        <v>1.3276843298959764</v>
      </c>
      <c r="C26" s="20">
        <f ca="1">C12*MAX((1-(Main!$C$14*Main!$C$165+Main!$C$13*Main!$C$164)*Main!$D$55+Main!$C$12*Main!$C$163*Main!$C$55*Erosion!D147),0)</f>
        <v>0.47651271009267837</v>
      </c>
      <c r="D26" s="20">
        <f ca="1">D12*MAX((1-(Main!$C$14*Main!$C$165+Main!$C$13*Main!$C$164)*Main!$D$55+Main!$C$12*Main!$C$163*Main!$C$55*Erosion!E147),0)</f>
        <v>3.8336406591693892</v>
      </c>
      <c r="E26" s="20">
        <f ca="1">E12*MAX((1-(Main!$C$14*Main!$C$165+Main!$C$13*Main!$C$164)*Main!$D$55+Main!$C$12*Main!$C$163*Main!$C$55*Erosion!F147),0)</f>
        <v>3.8191447858829037</v>
      </c>
      <c r="F26" s="20">
        <f ca="1">F12*MAX((1-(Main!$C$14*Main!$C$165+Main!$C$13*Main!$C$164)*Main!$D$55+Main!$C$12*Main!$C$163*Main!$C$55*Erosion!G147),0)</f>
        <v>0.71205696741976987</v>
      </c>
      <c r="G26" s="20">
        <f ca="1">G12*MAX((1-(Main!$C$14*Main!$C$165+Main!$C$13*Main!$C$164)*Main!$D$55+Main!$C$12*Main!$C$163*Main!$C$55*Erosion!H147),0)</f>
        <v>1.3301478334137959E-3</v>
      </c>
      <c r="H26" s="20">
        <f ca="1">H12*MAX((1-(Main!$C$14*Main!$C$165+Main!$C$13*Main!$C$164)*Main!$D$55+Main!$C$12*Main!$C$163*Main!$C$55*Erosion!I147),0)</f>
        <v>3.8131600928717426</v>
      </c>
      <c r="I26" s="20">
        <f ca="1">I12*MAX((1-(Main!$C$14*Main!$C$165+Main!$C$13*Main!$C$164)*Main!$D$55+Main!$C$12*Main!$C$163*Main!$C$55*Erosion!J147),0)</f>
        <v>0.53474521124864083</v>
      </c>
      <c r="J26" s="20">
        <f ca="1">J12*MAX((1-(Main!$C$14*Main!$C$165+Main!$C$13*Main!$C$164)*Main!$D$55+Main!$C$12*Main!$C$163*Main!$C$55*Erosion!K147),0)</f>
        <v>0.5558523419270236</v>
      </c>
      <c r="K26" s="20">
        <f ca="1">K12*MAX((1-(Main!$C$14*Main!$C$165+Main!$C$13*Main!$C$164)*Main!$D$55+Main!$C$12*Main!$C$163*Main!$C$55*Erosion!L147),0)</f>
        <v>0.23077661471848632</v>
      </c>
      <c r="L26" s="20">
        <f ca="1">L12*MAX((1-(Main!$C$14*Main!$C$165+Main!$C$13*Main!$C$164)*Main!$D$55+Main!$C$12*Main!$C$163*Main!$C$55*Erosion!M147),0)</f>
        <v>0.50282548186771325</v>
      </c>
      <c r="M26" s="20">
        <f ca="1">M12*MAX((1-(Main!$C$14*Main!$C$165+Main!$C$13*Main!$C$164)*Main!$D$55+Main!$C$12*Main!$C$163*Main!$C$55*Erosion!N147),0)</f>
        <v>0.62148096548319698</v>
      </c>
      <c r="N26" s="20">
        <f ca="1">N12*MAX((1-(Main!$C$14*Main!$C$165+Main!$C$13*Main!$C$164)*Main!$D$55+Main!$C$12*Main!$C$163*Main!$C$55*Erosion!O147),0)</f>
        <v>3.0920621139891549</v>
      </c>
      <c r="O26" s="20">
        <f ca="1">O12*MAX((1-(Main!$C$14*Main!$C$165+Main!$C$13*Main!$C$164)*Main!$D$55+Main!$C$12*Main!$C$163*Main!$C$55*Erosion!P147),0)</f>
        <v>0.15066123469595966</v>
      </c>
      <c r="P26" s="20">
        <f ca="1">P12*MAX((1-(Main!$C$14*Main!$C$165+Main!$C$13*Main!$C$164)*Main!$D$55+Main!$C$12*Main!$C$163*Main!$C$55*Erosion!Q147),0)</f>
        <v>0.87230796257930632</v>
      </c>
      <c r="Q26" s="20">
        <f ca="1">Q12*MAX((1-(Main!$C$14*Main!$C$165+Main!$C$13*Main!$C$164)*Main!$D$55+Main!$C$12*Main!$C$163*Main!$C$55*Erosion!R147),0)</f>
        <v>0.11045178882114215</v>
      </c>
      <c r="R26" s="20">
        <f ca="1">R12*MAX((1-(Main!$C$14*Main!$C$165+Main!$C$13*Main!$C$164)*Main!$D$55+Main!$C$12*Main!$C$163*Main!$C$55*Erosion!S147),0)</f>
        <v>0.66915029983914132</v>
      </c>
      <c r="S26" s="20">
        <f ca="1">S12*MAX((1-(Main!$C$14*Main!$C$165+Main!$C$13*Main!$C$164)*Main!$D$55+Main!$C$12*Main!$C$163*Main!$C$55*Erosion!T147),0)</f>
        <v>1.5982343856615999</v>
      </c>
      <c r="T26" s="20">
        <f ca="1">T12*MAX((1-(Main!$C$14*Main!$C$165+Main!$C$13*Main!$C$164)*Main!$D$55+Main!$C$12*Main!$C$163*Main!$C$55*Erosion!U147),0)</f>
        <v>0.21099864323273598</v>
      </c>
      <c r="U26" s="20">
        <f ca="1">U12*MAX((1-(Main!$C$14*Main!$C$165+Main!$C$13*Main!$C$164)*Main!$D$55+Main!$C$12*Main!$C$163*Main!$C$55*Erosion!V147),0)</f>
        <v>0.1713009231761822</v>
      </c>
      <c r="V26" s="20">
        <f ca="1">V12*MAX((1-(Main!$C$14*Main!$C$165+Main!$C$13*Main!$C$164)*Main!$D$55+Main!$C$12*Main!$C$163*Main!$C$55*Erosion!W147),0)</f>
        <v>0.45266935646574946</v>
      </c>
      <c r="W26" s="20">
        <f ca="1">W12*MAX((1-(Main!$C$14*Main!$C$165+Main!$C$13*Main!$C$164)*Main!$D$55+Main!$C$12*Main!$C$163*Main!$C$55*Erosion!X147),0)</f>
        <v>8.5515016196463914E-2</v>
      </c>
      <c r="X26" s="20">
        <f ca="1">X12*MAX((1-(Main!$C$14*Main!$C$165+Main!$C$13*Main!$C$164)*Main!$D$55+Main!$C$12*Main!$C$163*Main!$C$55*Erosion!Y147),0)</f>
        <v>0.3049075462151668</v>
      </c>
      <c r="Y26" s="20">
        <f ca="1">Y12*MAX((1-(Main!$C$14*Main!$C$165+Main!$C$13*Main!$C$164)*Main!$D$55+Main!$C$12*Main!$C$163*Main!$C$55*Erosion!Z147),0)</f>
        <v>3.8314226099638757</v>
      </c>
      <c r="Z26" s="20">
        <f ca="1">Z12*MAX((1-(Main!$C$14*Main!$C$165+Main!$C$13*Main!$C$164)*Main!$D$55+Main!$C$12*Main!$C$163*Main!$C$55*Erosion!AA147),0)</f>
        <v>0.86314158475454461</v>
      </c>
      <c r="AA26" s="20">
        <f ca="1">AA12*MAX((1-(Main!$C$14*Main!$C$165+Main!$C$13*Main!$C$164)*Main!$D$55+Main!$C$12*Main!$C$163*Main!$C$55*Erosion!AB147),0)</f>
        <v>0.29426769340212378</v>
      </c>
      <c r="AB26" s="20">
        <f ca="1">AB12*MAX((1-(Main!$C$14*Main!$C$165+Main!$C$13*Main!$C$164)*Main!$D$55+Main!$C$12*Main!$C$163*Main!$C$55*Erosion!AC147),0)</f>
        <v>2.5554608778396939</v>
      </c>
      <c r="AC26" s="20">
        <f ca="1">AC12*MAX((1-(Main!$C$14*Main!$C$165+Main!$C$13*Main!$C$164)*Main!$D$55+Main!$C$12*Main!$C$163*Main!$C$55*Erosion!AD147),0)</f>
        <v>0.61675244964386022</v>
      </c>
      <c r="AD26" s="20">
        <f ca="1">AD12*MAX((1-(Main!$C$14*Main!$C$165+Main!$C$13*Main!$C$164)*Main!$D$55+Main!$C$12*Main!$C$163*Main!$C$55*Erosion!AE147),0)</f>
        <v>1.3494294228185233</v>
      </c>
      <c r="AE26" s="20">
        <f ca="1">AE12*MAX((1-(Main!$C$14*Main!$C$165+Main!$C$13*Main!$C$164)*Main!$D$55+Main!$C$12*Main!$C$163*Main!$C$55*Erosion!AF147),0)</f>
        <v>1.5987280010379714</v>
      </c>
      <c r="AF26" s="20">
        <f ca="1">AF12*MAX((1-(Main!$C$14*Main!$C$165+Main!$C$13*Main!$C$164)*Main!$D$55+Main!$C$12*Main!$C$163*Main!$C$55*Erosion!AG147),0)</f>
        <v>2.2573145053453989</v>
      </c>
      <c r="AG26" s="20">
        <f ca="1">AG12*MAX((1-(Main!$C$14*Main!$C$165+Main!$C$13*Main!$C$164)*Main!$D$55+Main!$C$12*Main!$C$163*Main!$C$55*Erosion!AH147),0)</f>
        <v>3.8319304897224873</v>
      </c>
      <c r="AH26" s="20">
        <f ca="1">AH12*MAX((1-(Main!$C$14*Main!$C$165+Main!$C$13*Main!$C$164)*Main!$D$55+Main!$C$12*Main!$C$163*Main!$C$55*Erosion!AI147),0)</f>
        <v>0.76672553534520749</v>
      </c>
      <c r="AI26" s="20">
        <f ca="1">AI12*MAX((1-(Main!$C$14*Main!$C$165+Main!$C$13*Main!$C$164)*Main!$D$55+Main!$C$12*Main!$C$163*Main!$C$55*Erosion!AJ147),0)</f>
        <v>0.82233979619674047</v>
      </c>
      <c r="AJ26" s="20">
        <f ca="1">AJ12*MAX((1-(Main!$C$14*Main!$C$165+Main!$C$13*Main!$C$164)*Main!$D$55+Main!$C$12*Main!$C$163*Main!$C$55*Erosion!AK147),0)</f>
        <v>4.9678041197392518E-2</v>
      </c>
      <c r="AK26" s="20">
        <f ca="1">AK12*MAX((1-(Main!$C$14*Main!$C$165+Main!$C$13*Main!$C$164)*Main!$D$55+Main!$C$12*Main!$C$163*Main!$C$55*Erosion!AL147),0)</f>
        <v>0.82549214986919595</v>
      </c>
      <c r="AL26" s="20">
        <f ca="1">AL12*MAX((1-(Main!$C$14*Main!$C$165+Main!$C$13*Main!$C$164)*Main!$D$55+Main!$C$12*Main!$C$163*Main!$C$55*Erosion!AM147),0)</f>
        <v>0.17989756347719713</v>
      </c>
      <c r="AM26" s="20">
        <f ca="1">AM12*MAX((1-(Main!$C$14*Main!$C$165+Main!$C$13*Main!$C$164)*Main!$D$55+Main!$C$12*Main!$C$163*Main!$C$55*Erosion!AN147),0)</f>
        <v>0.7596682137356382</v>
      </c>
      <c r="AN26" s="20">
        <f ca="1">AN12*MAX((1-(Main!$C$14*Main!$C$165+Main!$C$13*Main!$C$164)*Main!$D$55+Main!$C$12*Main!$C$163*Main!$C$55*Erosion!AO147),0)</f>
        <v>0.7157930914092655</v>
      </c>
      <c r="AO26" s="23">
        <f t="shared" ca="1" si="3"/>
        <v>45.465511605042657</v>
      </c>
    </row>
    <row r="27" spans="1:41" s="20" customFormat="1" ht="18.75" x14ac:dyDescent="0.3">
      <c r="A27" s="533" t="s">
        <v>65</v>
      </c>
      <c r="B27" s="20">
        <f ca="1">'Manure Method'!D90*MAX((1-(Main!$C$14*Main!$C$165+Main!$C$13*Main!$C$164)*Main!$D$56+Main!$C$12*Main!$C$163*Main!$C$56*Erosion!C147),0)</f>
        <v>2.0802912489860614</v>
      </c>
      <c r="C27" s="20">
        <f ca="1">'Manure Method'!E90*MAX((1-(Main!$C$14*Main!$C$165+Main!$C$13*Main!$C$164)*Main!$D$56+Main!$C$12*Main!$C$163*Main!$C$56*Erosion!D147),0)</f>
        <v>2.0930497119877343</v>
      </c>
      <c r="D27" s="20">
        <f ca="1">'Manure Method'!F90*MAX((1-(Main!$C$14*Main!$C$165+Main!$C$13*Main!$C$164)*Main!$D$56+Main!$C$12*Main!$C$163*Main!$C$56*Erosion!E147),0)</f>
        <v>2.1425492343928645</v>
      </c>
      <c r="E27" s="20">
        <f ca="1">'Manure Method'!G90*MAX((1-(Main!$C$14*Main!$C$165+Main!$C$13*Main!$C$164)*Main!$D$56+Main!$C$12*Main!$C$163*Main!$C$56*Erosion!F147),0)</f>
        <v>2.0049016075865209</v>
      </c>
      <c r="F27" s="20">
        <f ca="1">'Manure Method'!H90*MAX((1-(Main!$C$14*Main!$C$165+Main!$C$13*Main!$C$164)*Main!$D$56+Main!$C$12*Main!$C$163*Main!$C$56*Erosion!G147),0)</f>
        <v>2.0026725181323868</v>
      </c>
      <c r="G27" s="20">
        <f ca="1">'Manure Method'!I90*MAX((1-(Main!$C$14*Main!$C$165+Main!$C$13*Main!$C$164)*Main!$D$56+Main!$C$12*Main!$C$163*Main!$C$56*Erosion!H147),0)</f>
        <v>2.5634593394000285</v>
      </c>
      <c r="H27" s="20">
        <f ca="1">'Manure Method'!J90*MAX((1-(Main!$C$14*Main!$C$165+Main!$C$13*Main!$C$164)*Main!$D$56+Main!$C$12*Main!$C$163*Main!$C$56*Erosion!I147),0)</f>
        <v>2.0647615981942988</v>
      </c>
      <c r="I27" s="20">
        <f ca="1">'Manure Method'!K90*MAX((1-(Main!$C$14*Main!$C$165+Main!$C$13*Main!$C$164)*Main!$D$56+Main!$C$12*Main!$C$163*Main!$C$56*Erosion!J147),0)</f>
        <v>1.8411305194429761</v>
      </c>
      <c r="J27" s="20">
        <f ca="1">'Manure Method'!L90*MAX((1-(Main!$C$14*Main!$C$165+Main!$C$13*Main!$C$164)*Main!$D$56+Main!$C$12*Main!$C$163*Main!$C$56*Erosion!K147),0)</f>
        <v>1.7637545641413539</v>
      </c>
      <c r="K27" s="20">
        <f ca="1">'Manure Method'!M90*MAX((1-(Main!$C$14*Main!$C$165+Main!$C$13*Main!$C$164)*Main!$D$56+Main!$C$12*Main!$C$163*Main!$C$56*Erosion!L147),0)</f>
        <v>2.0836395105623873</v>
      </c>
      <c r="L27" s="20">
        <f ca="1">'Manure Method'!N90*MAX((1-(Main!$C$14*Main!$C$165+Main!$C$13*Main!$C$164)*Main!$D$56+Main!$C$12*Main!$C$163*Main!$C$56*Erosion!M147),0)</f>
        <v>2.3139615382013496</v>
      </c>
      <c r="M27" s="20">
        <f ca="1">'Manure Method'!O90*MAX((1-(Main!$C$14*Main!$C$165+Main!$C$13*Main!$C$164)*Main!$D$56+Main!$C$12*Main!$C$163*Main!$C$56*Erosion!N147),0)</f>
        <v>2.2171519480354549</v>
      </c>
      <c r="N27" s="20">
        <f ca="1">'Manure Method'!P90*MAX((1-(Main!$C$14*Main!$C$165+Main!$C$13*Main!$C$164)*Main!$D$56+Main!$C$12*Main!$C$163*Main!$C$56*Erosion!O147),0)</f>
        <v>1.9081479435585011</v>
      </c>
      <c r="O27" s="20">
        <f ca="1">'Manure Method'!Q90*MAX((1-(Main!$C$14*Main!$C$165+Main!$C$13*Main!$C$164)*Main!$D$56+Main!$C$12*Main!$C$163*Main!$C$56*Erosion!P147),0)</f>
        <v>2.2618666441730846</v>
      </c>
      <c r="P27" s="20">
        <f ca="1">'Manure Method'!R90*MAX((1-(Main!$C$14*Main!$C$165+Main!$C$13*Main!$C$164)*Main!$D$56+Main!$C$12*Main!$C$163*Main!$C$56*Erosion!Q147),0)</f>
        <v>1.845600095699514</v>
      </c>
      <c r="Q27" s="20">
        <f ca="1">'Manure Method'!S90*MAX((1-(Main!$C$14*Main!$C$165+Main!$C$13*Main!$C$164)*Main!$D$56+Main!$C$12*Main!$C$163*Main!$C$56*Erosion!R147),0)</f>
        <v>2.0677144629127704</v>
      </c>
      <c r="R27" s="20">
        <f ca="1">'Manure Method'!T90*MAX((1-(Main!$C$14*Main!$C$165+Main!$C$13*Main!$C$164)*Main!$D$56+Main!$C$12*Main!$C$163*Main!$C$56*Erosion!S147),0)</f>
        <v>1.9072174161488009</v>
      </c>
      <c r="S27" s="20">
        <f ca="1">'Manure Method'!U90*MAX((1-(Main!$C$14*Main!$C$165+Main!$C$13*Main!$C$164)*Main!$D$56+Main!$C$12*Main!$C$163*Main!$C$56*Erosion!T147),0)</f>
        <v>2.1911205030101417</v>
      </c>
      <c r="T27" s="20">
        <f ca="1">'Manure Method'!V90*MAX((1-(Main!$C$14*Main!$C$165+Main!$C$13*Main!$C$164)*Main!$D$56+Main!$C$12*Main!$C$163*Main!$C$56*Erosion!U147),0)</f>
        <v>2.1372257592956094</v>
      </c>
      <c r="U27" s="20">
        <f ca="1">'Manure Method'!W90*MAX((1-(Main!$C$14*Main!$C$165+Main!$C$13*Main!$C$164)*Main!$D$56+Main!$C$12*Main!$C$163*Main!$C$56*Erosion!V147),0)</f>
        <v>2.2199417867314457</v>
      </c>
      <c r="V27" s="20">
        <f ca="1">'Manure Method'!X90*MAX((1-(Main!$C$14*Main!$C$165+Main!$C$13*Main!$C$164)*Main!$D$56+Main!$C$12*Main!$C$163*Main!$C$56*Erosion!W147),0)</f>
        <v>1.5170034941833741</v>
      </c>
      <c r="W27" s="20">
        <f ca="1">'Manure Method'!Y90*MAX((1-(Main!$C$14*Main!$C$165+Main!$C$13*Main!$C$164)*Main!$D$56+Main!$C$12*Main!$C$163*Main!$C$56*Erosion!X147),0)</f>
        <v>2.061334977275024</v>
      </c>
      <c r="X27" s="20">
        <f ca="1">'Manure Method'!Z90*MAX((1-(Main!$C$14*Main!$C$165+Main!$C$13*Main!$C$164)*Main!$D$56+Main!$C$12*Main!$C$163*Main!$C$56*Erosion!Y147),0)</f>
        <v>2.3920955079232376</v>
      </c>
      <c r="Y27" s="20">
        <f ca="1">'Manure Method'!AA90*MAX((1-(Main!$C$14*Main!$C$165+Main!$C$13*Main!$C$164)*Main!$D$56+Main!$C$12*Main!$C$163*Main!$C$56*Erosion!Z147),0)</f>
        <v>2.076122733785108</v>
      </c>
      <c r="Z27" s="20">
        <f ca="1">'Manure Method'!AB90*MAX((1-(Main!$C$14*Main!$C$165+Main!$C$13*Main!$C$164)*Main!$D$56+Main!$C$12*Main!$C$163*Main!$C$56*Erosion!AA147),0)</f>
        <v>1.7458641455080461</v>
      </c>
      <c r="AA27" s="20">
        <f ca="1">'Manure Method'!AC90*MAX((1-(Main!$C$14*Main!$C$165+Main!$C$13*Main!$C$164)*Main!$D$56+Main!$C$12*Main!$C$163*Main!$C$56*Erosion!AB147),0)</f>
        <v>2.3163719309213722</v>
      </c>
      <c r="AB27" s="20">
        <f ca="1">'Manure Method'!AD90*MAX((1-(Main!$C$14*Main!$C$165+Main!$C$13*Main!$C$164)*Main!$D$56+Main!$C$12*Main!$C$163*Main!$C$56*Erosion!AC147),0)</f>
        <v>2.0859198790710938</v>
      </c>
      <c r="AC27" s="20">
        <f ca="1">'Manure Method'!AE90*MAX((1-(Main!$C$14*Main!$C$165+Main!$C$13*Main!$C$164)*Main!$D$56+Main!$C$12*Main!$C$163*Main!$C$56*Erosion!AD147),0)</f>
        <v>2.3214113739986031</v>
      </c>
      <c r="AD27" s="20">
        <f ca="1">'Manure Method'!AF90*MAX((1-(Main!$C$14*Main!$C$165+Main!$C$13*Main!$C$164)*Main!$D$56+Main!$C$12*Main!$C$163*Main!$C$56*Erosion!AE147),0)</f>
        <v>1.510987625678192</v>
      </c>
      <c r="AE27" s="20">
        <f ca="1">'Manure Method'!AG90*MAX((1-(Main!$C$14*Main!$C$165+Main!$C$13*Main!$C$164)*Main!$D$56+Main!$C$12*Main!$C$163*Main!$C$56*Erosion!AF147),0)</f>
        <v>1.8225430573124324</v>
      </c>
      <c r="AF27" s="20">
        <f ca="1">'Manure Method'!AH90*MAX((1-(Main!$C$14*Main!$C$165+Main!$C$13*Main!$C$164)*Main!$D$56+Main!$C$12*Main!$C$163*Main!$C$56*Erosion!AG147),0)</f>
        <v>1.8129887852126354</v>
      </c>
      <c r="AG27" s="20">
        <f ca="1">'Manure Method'!AI90*MAX((1-(Main!$C$14*Main!$C$165+Main!$C$13*Main!$C$164)*Main!$D$56+Main!$C$12*Main!$C$163*Main!$C$56*Erosion!AH147),0)</f>
        <v>2.1483700020799632</v>
      </c>
      <c r="AH27" s="20">
        <f ca="1">'Manure Method'!AJ90*MAX((1-(Main!$C$14*Main!$C$165+Main!$C$13*Main!$C$164)*Main!$D$56+Main!$C$12*Main!$C$163*Main!$C$56*Erosion!AI147),0)</f>
        <v>1.7424394245856381</v>
      </c>
      <c r="AI27" s="20">
        <f ca="1">'Manure Method'!AK90*MAX((1-(Main!$C$14*Main!$C$165+Main!$C$13*Main!$C$164)*Main!$D$56+Main!$C$12*Main!$C$163*Main!$C$56*Erosion!AJ147),0)</f>
        <v>2.0869515793727107</v>
      </c>
      <c r="AJ27" s="20">
        <f ca="1">'Manure Method'!AL90*MAX((1-(Main!$C$14*Main!$C$165+Main!$C$13*Main!$C$164)*Main!$D$56+Main!$C$12*Main!$C$163*Main!$C$56*Erosion!AK147),0)</f>
        <v>1.7299769745972222</v>
      </c>
      <c r="AK27" s="20">
        <f ca="1">'Manure Method'!AM90*MAX((1-(Main!$C$14*Main!$C$165+Main!$C$13*Main!$C$164)*Main!$D$56+Main!$C$12*Main!$C$163*Main!$C$56*Erosion!AL147),0)</f>
        <v>1.9597627366633861</v>
      </c>
      <c r="AL27" s="20">
        <f ca="1">'Manure Method'!AN90*MAX((1-(Main!$C$14*Main!$C$165+Main!$C$13*Main!$C$164)*Main!$D$56+Main!$C$12*Main!$C$163*Main!$C$56*Erosion!AM147),0)</f>
        <v>2.0679408604744811</v>
      </c>
      <c r="AM27" s="20">
        <f ca="1">'Manure Method'!AO90*MAX((1-(Main!$C$14*Main!$C$165+Main!$C$13*Main!$C$164)*Main!$D$56+Main!$C$12*Main!$C$163*Main!$C$56*Erosion!AN147),0)</f>
        <v>1.5603821954040253</v>
      </c>
      <c r="AN27" s="20">
        <f ca="1">'Manure Method'!AP90*MAX((1-(Main!$C$14*Main!$C$165+Main!$C$13*Main!$C$164)*Main!$D$56+Main!$C$12*Main!$C$163*Main!$C$56*Erosion!AO147),0)</f>
        <v>1.6020460386149609</v>
      </c>
      <c r="AO27" s="23">
        <f t="shared" ca="1" si="3"/>
        <v>78.270671273254791</v>
      </c>
    </row>
    <row r="28" spans="1:41" s="20" customFormat="1" ht="18.75" x14ac:dyDescent="0.3">
      <c r="A28" s="29" t="s">
        <v>64</v>
      </c>
      <c r="B28" s="20">
        <f t="shared" ref="B28:AN28" ca="1" si="4">SUM(B18:B27)</f>
        <v>29.034004042711949</v>
      </c>
      <c r="C28" s="20">
        <f t="shared" ca="1" si="4"/>
        <v>25.602461530188467</v>
      </c>
      <c r="D28" s="20">
        <f t="shared" ca="1" si="4"/>
        <v>34.94486885808513</v>
      </c>
      <c r="E28" s="20">
        <f t="shared" ca="1" si="4"/>
        <v>33.956056029197718</v>
      </c>
      <c r="F28" s="20">
        <f t="shared" ca="1" si="4"/>
        <v>19.797651602301517</v>
      </c>
      <c r="G28" s="20">
        <f t="shared" ca="1" si="4"/>
        <v>21.715198299314686</v>
      </c>
      <c r="H28" s="20">
        <f t="shared" ca="1" si="4"/>
        <v>30.793662754006309</v>
      </c>
      <c r="I28" s="20">
        <f t="shared" ca="1" si="4"/>
        <v>17.532098817909176</v>
      </c>
      <c r="J28" s="20">
        <f t="shared" ca="1" si="4"/>
        <v>20.33152611781183</v>
      </c>
      <c r="K28" s="20">
        <f t="shared" ca="1" si="4"/>
        <v>17.303427011822983</v>
      </c>
      <c r="L28" s="20">
        <f t="shared" ca="1" si="4"/>
        <v>23.34328863404934</v>
      </c>
      <c r="M28" s="20">
        <f t="shared" ca="1" si="4"/>
        <v>25.732862336499764</v>
      </c>
      <c r="N28" s="20">
        <f t="shared" ca="1" si="4"/>
        <v>25.706093512594475</v>
      </c>
      <c r="O28" s="20">
        <f t="shared" ca="1" si="4"/>
        <v>14.11936889515936</v>
      </c>
      <c r="P28" s="20">
        <f t="shared" ca="1" si="4"/>
        <v>29.133906537937676</v>
      </c>
      <c r="Q28" s="20">
        <f t="shared" ca="1" si="4"/>
        <v>13.909880930550598</v>
      </c>
      <c r="R28" s="20">
        <f t="shared" ca="1" si="4"/>
        <v>25.081405291576591</v>
      </c>
      <c r="S28" s="20">
        <f t="shared" ca="1" si="4"/>
        <v>26.715738805341033</v>
      </c>
      <c r="T28" s="20">
        <f t="shared" ca="1" si="4"/>
        <v>20.537018099359077</v>
      </c>
      <c r="U28" s="20">
        <f t="shared" ca="1" si="4"/>
        <v>11.32025648381007</v>
      </c>
      <c r="V28" s="20">
        <f t="shared" ca="1" si="4"/>
        <v>16.567081900379392</v>
      </c>
      <c r="W28" s="20">
        <f t="shared" ca="1" si="4"/>
        <v>12.787429915954355</v>
      </c>
      <c r="X28" s="20">
        <f t="shared" ca="1" si="4"/>
        <v>21.684867575828857</v>
      </c>
      <c r="Y28" s="20">
        <f t="shared" ca="1" si="4"/>
        <v>32.956629689661447</v>
      </c>
      <c r="Z28" s="20">
        <f t="shared" ca="1" si="4"/>
        <v>30.067973287275933</v>
      </c>
      <c r="AA28" s="20">
        <f t="shared" ca="1" si="4"/>
        <v>26.981321110869906</v>
      </c>
      <c r="AB28" s="20">
        <f t="shared" ca="1" si="4"/>
        <v>26.207623784744797</v>
      </c>
      <c r="AC28" s="20">
        <f t="shared" ca="1" si="4"/>
        <v>26.596311028361239</v>
      </c>
      <c r="AD28" s="20">
        <f t="shared" ca="1" si="4"/>
        <v>27.576745235965788</v>
      </c>
      <c r="AE28" s="20">
        <f t="shared" ca="1" si="4"/>
        <v>28.84563349491275</v>
      </c>
      <c r="AF28" s="20">
        <f t="shared" ca="1" si="4"/>
        <v>31.615777010493069</v>
      </c>
      <c r="AG28" s="20">
        <f t="shared" ca="1" si="4"/>
        <v>33.500507540604161</v>
      </c>
      <c r="AH28" s="20">
        <f t="shared" ca="1" si="4"/>
        <v>20.575857626876452</v>
      </c>
      <c r="AI28" s="20">
        <f t="shared" ca="1" si="4"/>
        <v>18.542844630555884</v>
      </c>
      <c r="AJ28" s="20">
        <f t="shared" ca="1" si="4"/>
        <v>12.769517860956014</v>
      </c>
      <c r="AK28" s="20">
        <f t="shared" ca="1" si="4"/>
        <v>28.695071848420966</v>
      </c>
      <c r="AL28" s="20">
        <f t="shared" ca="1" si="4"/>
        <v>15.085243118322561</v>
      </c>
      <c r="AM28" s="20">
        <f t="shared" ca="1" si="4"/>
        <v>22.086776971855389</v>
      </c>
      <c r="AN28" s="20">
        <f t="shared" ca="1" si="4"/>
        <v>21.090131513507771</v>
      </c>
      <c r="AO28" s="23">
        <f t="shared" ca="1" si="3"/>
        <v>920.84411973577437</v>
      </c>
    </row>
    <row r="30" spans="1:41" x14ac:dyDescent="0.25">
      <c r="A30" s="25" t="s">
        <v>768</v>
      </c>
    </row>
    <row r="31" spans="1:41" ht="18.75" x14ac:dyDescent="0.3">
      <c r="A31" s="26" t="s">
        <v>73</v>
      </c>
      <c r="B31" s="20">
        <f t="shared" ref="B31:AN31" ca="1" si="5">B18-B4</f>
        <v>-1.9694069379513355</v>
      </c>
      <c r="C31" s="20">
        <f t="shared" ca="1" si="5"/>
        <v>-2.7030721555102568</v>
      </c>
      <c r="D31" s="20">
        <f t="shared" ca="1" si="5"/>
        <v>-1.8293943647918418</v>
      </c>
      <c r="E31" s="20">
        <f t="shared" ca="1" si="5"/>
        <v>-1.5496890716333116</v>
      </c>
      <c r="F31" s="20">
        <f t="shared" ca="1" si="5"/>
        <v>-1.0454366849065089</v>
      </c>
      <c r="G31" s="20">
        <f t="shared" ca="1" si="5"/>
        <v>-0.44588294940123152</v>
      </c>
      <c r="H31" s="20">
        <f t="shared" ca="1" si="5"/>
        <v>-1.548752213627667</v>
      </c>
      <c r="I31" s="20">
        <f t="shared" ca="1" si="5"/>
        <v>-1.0165241627120114</v>
      </c>
      <c r="J31" s="20">
        <f t="shared" ca="1" si="5"/>
        <v>-1.2435111531739462</v>
      </c>
      <c r="K31" s="20">
        <f t="shared" ca="1" si="5"/>
        <v>-1.1634502104967686</v>
      </c>
      <c r="L31" s="20">
        <f t="shared" ca="1" si="5"/>
        <v>-0.20952359492757089</v>
      </c>
      <c r="M31" s="20">
        <f t="shared" ca="1" si="5"/>
        <v>-1.2806093098925269</v>
      </c>
      <c r="N31" s="20">
        <f t="shared" ca="1" si="5"/>
        <v>-1.013164880594343</v>
      </c>
      <c r="O31" s="20">
        <f t="shared" ca="1" si="5"/>
        <v>-1.172818529980117</v>
      </c>
      <c r="P31" s="20">
        <f t="shared" ca="1" si="5"/>
        <v>-1.1299218591235247</v>
      </c>
      <c r="Q31" s="20">
        <f t="shared" ca="1" si="5"/>
        <v>-0.94300547663079293</v>
      </c>
      <c r="R31" s="20">
        <f t="shared" ca="1" si="5"/>
        <v>-0.46648810051968104</v>
      </c>
      <c r="S31" s="20">
        <f t="shared" ca="1" si="5"/>
        <v>-0.99938920010238208</v>
      </c>
      <c r="T31" s="20">
        <f t="shared" ca="1" si="5"/>
        <v>-0.18522158615516537</v>
      </c>
      <c r="U31" s="20">
        <f t="shared" ca="1" si="5"/>
        <v>-0.3699271020081758</v>
      </c>
      <c r="V31" s="20">
        <f t="shared" ca="1" si="5"/>
        <v>-1.0248018931266216</v>
      </c>
      <c r="W31" s="20">
        <f t="shared" ca="1" si="5"/>
        <v>-1.1063404022257712</v>
      </c>
      <c r="X31" s="20">
        <f t="shared" ca="1" si="5"/>
        <v>-0.7289544347661181</v>
      </c>
      <c r="Y31" s="20">
        <f t="shared" ca="1" si="5"/>
        <v>-1.4167832921240855</v>
      </c>
      <c r="Z31" s="20">
        <f t="shared" ca="1" si="5"/>
        <v>-1.6468471996954932</v>
      </c>
      <c r="AA31" s="20">
        <f t="shared" ca="1" si="5"/>
        <v>-0.69769209848034697</v>
      </c>
      <c r="AB31" s="20">
        <f t="shared" ca="1" si="5"/>
        <v>-1.6945800978988848</v>
      </c>
      <c r="AC31" s="20">
        <f t="shared" ca="1" si="5"/>
        <v>-3.1097467502634939</v>
      </c>
      <c r="AD31" s="20">
        <f t="shared" ca="1" si="5"/>
        <v>-1.4037774702190626</v>
      </c>
      <c r="AE31" s="20">
        <f t="shared" ca="1" si="5"/>
        <v>-1.7516359920771363</v>
      </c>
      <c r="AF31" s="20">
        <f t="shared" ca="1" si="5"/>
        <v>-1.9513190693464537</v>
      </c>
      <c r="AG31" s="20">
        <f t="shared" ca="1" si="5"/>
        <v>-1.8499465398446642</v>
      </c>
      <c r="AH31" s="20">
        <f t="shared" ca="1" si="5"/>
        <v>-1.2283587106641809</v>
      </c>
      <c r="AI31" s="20">
        <f t="shared" ca="1" si="5"/>
        <v>-1.2809854856595564</v>
      </c>
      <c r="AJ31" s="20">
        <f t="shared" ca="1" si="5"/>
        <v>-0.94688197368719251</v>
      </c>
      <c r="AK31" s="20">
        <f t="shared" ca="1" si="5"/>
        <v>-1.1960143310176825</v>
      </c>
      <c r="AL31" s="20">
        <f t="shared" ca="1" si="5"/>
        <v>-0.91308826027625756</v>
      </c>
      <c r="AM31" s="20">
        <f t="shared" ca="1" si="5"/>
        <v>-1.1859853000525256</v>
      </c>
      <c r="AN31" s="20">
        <f t="shared" ca="1" si="5"/>
        <v>-1.1798430666950175</v>
      </c>
      <c r="AO31" s="23">
        <f t="shared" ref="AO31:AO41" ca="1" si="6">SUM(B31:AN31)</f>
        <v>-48.598771912259693</v>
      </c>
    </row>
    <row r="32" spans="1:41" ht="18.75" x14ac:dyDescent="0.3">
      <c r="A32" s="26" t="s">
        <v>72</v>
      </c>
      <c r="B32" s="20">
        <f t="shared" ref="B32:AN32" ca="1" si="7">B19-B5</f>
        <v>-5.0060191910438423E-2</v>
      </c>
      <c r="C32" s="20">
        <f t="shared" ca="1" si="7"/>
        <v>-5.0568011262059898E-2</v>
      </c>
      <c r="D32" s="20">
        <f t="shared" ca="1" si="7"/>
        <v>-6.6642959530383905E-2</v>
      </c>
      <c r="E32" s="20">
        <f t="shared" ca="1" si="7"/>
        <v>-6.6642959530383905E-2</v>
      </c>
      <c r="F32" s="20">
        <f t="shared" ca="1" si="7"/>
        <v>-1.4168992947234726E-2</v>
      </c>
      <c r="G32" s="20">
        <f t="shared" ca="1" si="7"/>
        <v>-6.6642959530383905E-2</v>
      </c>
      <c r="H32" s="20">
        <f t="shared" ca="1" si="7"/>
        <v>-4.8494415576272321E-2</v>
      </c>
      <c r="I32" s="20">
        <f t="shared" ca="1" si="7"/>
        <v>-1.4994199393619678E-2</v>
      </c>
      <c r="J32" s="20">
        <f t="shared" ca="1" si="7"/>
        <v>-1.0051424371170126E-2</v>
      </c>
      <c r="K32" s="20">
        <f t="shared" ca="1" si="7"/>
        <v>-7.958187524253979E-3</v>
      </c>
      <c r="L32" s="20">
        <f t="shared" ca="1" si="7"/>
        <v>-5.850268863114616E-2</v>
      </c>
      <c r="M32" s="20">
        <f t="shared" ca="1" si="7"/>
        <v>-4.089828444159993E-2</v>
      </c>
      <c r="N32" s="20">
        <f t="shared" ca="1" si="7"/>
        <v>-1.4888403695365149E-2</v>
      </c>
      <c r="O32" s="20">
        <f t="shared" ca="1" si="7"/>
        <v>-6.568737353845111E-3</v>
      </c>
      <c r="P32" s="20">
        <f t="shared" ca="1" si="7"/>
        <v>-6.6642959530383905E-2</v>
      </c>
      <c r="Q32" s="20">
        <f t="shared" ca="1" si="7"/>
        <v>-8.3502295432380524E-3</v>
      </c>
      <c r="R32" s="20">
        <f t="shared" ca="1" si="7"/>
        <v>-6.6642959530383905E-2</v>
      </c>
      <c r="S32" s="20">
        <f t="shared" ca="1" si="7"/>
        <v>-6.3792473543870631E-2</v>
      </c>
      <c r="T32" s="20">
        <f t="shared" ca="1" si="7"/>
        <v>-6.6642959530383905E-2</v>
      </c>
      <c r="U32" s="20">
        <f t="shared" ca="1" si="7"/>
        <v>-1.3919315099354068E-2</v>
      </c>
      <c r="V32" s="20">
        <f t="shared" ca="1" si="7"/>
        <v>-2.0415626365736239E-2</v>
      </c>
      <c r="W32" s="20">
        <f t="shared" ca="1" si="7"/>
        <v>-6.8790714020582344E-3</v>
      </c>
      <c r="X32" s="20">
        <f t="shared" ca="1" si="7"/>
        <v>-1.2569361989626882E-2</v>
      </c>
      <c r="Y32" s="20">
        <f t="shared" ca="1" si="7"/>
        <v>-6.6642959530383905E-2</v>
      </c>
      <c r="Z32" s="20">
        <f t="shared" ca="1" si="7"/>
        <v>-6.0893671411697881E-2</v>
      </c>
      <c r="AA32" s="20">
        <f t="shared" ca="1" si="7"/>
        <v>-3.9057439291972251E-2</v>
      </c>
      <c r="AB32" s="20">
        <f t="shared" ca="1" si="7"/>
        <v>-1.3470741338755143E-2</v>
      </c>
      <c r="AC32" s="20">
        <f t="shared" ca="1" si="7"/>
        <v>-6.6642959530383905E-2</v>
      </c>
      <c r="AD32" s="20">
        <f t="shared" ca="1" si="7"/>
        <v>-4.8092391922905264E-2</v>
      </c>
      <c r="AE32" s="20">
        <f t="shared" ca="1" si="7"/>
        <v>-1.8849850031569915E-2</v>
      </c>
      <c r="AF32" s="20">
        <f t="shared" ca="1" si="7"/>
        <v>-6.273451656132556E-2</v>
      </c>
      <c r="AG32" s="20">
        <f t="shared" ca="1" si="7"/>
        <v>-6.6642959530383905E-2</v>
      </c>
      <c r="AH32" s="20">
        <f t="shared" ca="1" si="7"/>
        <v>-1.5239645413570035E-2</v>
      </c>
      <c r="AI32" s="20">
        <f t="shared" ca="1" si="7"/>
        <v>-1.0986658343739797E-2</v>
      </c>
      <c r="AJ32" s="20">
        <f t="shared" ca="1" si="7"/>
        <v>-5.4684620919984717E-3</v>
      </c>
      <c r="AK32" s="20">
        <f t="shared" ca="1" si="7"/>
        <v>-6.6642959530383905E-2</v>
      </c>
      <c r="AL32" s="20">
        <f t="shared" ca="1" si="7"/>
        <v>-6.6792350831331171E-3</v>
      </c>
      <c r="AM32" s="20">
        <f t="shared" ca="1" si="7"/>
        <v>-3.1488909449705504E-2</v>
      </c>
      <c r="AN32" s="20">
        <f t="shared" ca="1" si="7"/>
        <v>-4.6420819890484299E-2</v>
      </c>
      <c r="AO32" s="23">
        <f t="shared" ca="1" si="6"/>
        <v>-1.468891551185586</v>
      </c>
    </row>
    <row r="33" spans="1:41" ht="18.75" x14ac:dyDescent="0.3">
      <c r="A33" s="26" t="s">
        <v>71</v>
      </c>
      <c r="B33" s="20">
        <f t="shared" ref="B33:AN33" ca="1" si="8">B20-B6</f>
        <v>0</v>
      </c>
      <c r="C33" s="20">
        <f t="shared" ca="1" si="8"/>
        <v>0</v>
      </c>
      <c r="D33" s="20">
        <f t="shared" ca="1" si="8"/>
        <v>0</v>
      </c>
      <c r="E33" s="20">
        <f t="shared" ca="1" si="8"/>
        <v>0</v>
      </c>
      <c r="F33" s="20">
        <f t="shared" ca="1" si="8"/>
        <v>-1.0443965079045343</v>
      </c>
      <c r="G33" s="20">
        <f t="shared" ca="1" si="8"/>
        <v>0</v>
      </c>
      <c r="H33" s="20">
        <f t="shared" ca="1" si="8"/>
        <v>0</v>
      </c>
      <c r="I33" s="20">
        <f t="shared" ca="1" si="8"/>
        <v>-0.68944945334500085</v>
      </c>
      <c r="J33" s="20">
        <f t="shared" ca="1" si="8"/>
        <v>-0.87873405836245055</v>
      </c>
      <c r="K33" s="20">
        <f t="shared" ca="1" si="8"/>
        <v>-0.99370708144341435</v>
      </c>
      <c r="L33" s="20">
        <f t="shared" ca="1" si="8"/>
        <v>0</v>
      </c>
      <c r="M33" s="20">
        <f t="shared" ca="1" si="8"/>
        <v>0</v>
      </c>
      <c r="N33" s="20">
        <f t="shared" ca="1" si="8"/>
        <v>-1.2943455213374619</v>
      </c>
      <c r="O33" s="20">
        <f t="shared" ca="1" si="8"/>
        <v>-0.83240558340588855</v>
      </c>
      <c r="P33" s="20">
        <f t="shared" ca="1" si="8"/>
        <v>0</v>
      </c>
      <c r="Q33" s="20">
        <f t="shared" ca="1" si="8"/>
        <v>-0.10537457471788247</v>
      </c>
      <c r="R33" s="20">
        <f t="shared" ca="1" si="8"/>
        <v>0</v>
      </c>
      <c r="S33" s="20">
        <f t="shared" ca="1" si="8"/>
        <v>0</v>
      </c>
      <c r="T33" s="20">
        <f t="shared" ca="1" si="8"/>
        <v>0</v>
      </c>
      <c r="U33" s="20">
        <f t="shared" ca="1" si="8"/>
        <v>-0.13446342977751957</v>
      </c>
      <c r="V33" s="20">
        <f t="shared" ca="1" si="8"/>
        <v>-8.195239693748535E-2</v>
      </c>
      <c r="W33" s="20">
        <f t="shared" ca="1" si="8"/>
        <v>-0.21594303675568804</v>
      </c>
      <c r="X33" s="20">
        <f t="shared" ca="1" si="8"/>
        <v>0</v>
      </c>
      <c r="Y33" s="20">
        <f t="shared" ca="1" si="8"/>
        <v>0</v>
      </c>
      <c r="Z33" s="20">
        <f t="shared" ca="1" si="8"/>
        <v>0</v>
      </c>
      <c r="AA33" s="20">
        <f t="shared" ca="1" si="8"/>
        <v>-0.62934741291076968</v>
      </c>
      <c r="AB33" s="20">
        <f t="shared" ca="1" si="8"/>
        <v>-0.5878282124772376</v>
      </c>
      <c r="AC33" s="20">
        <f t="shared" ca="1" si="8"/>
        <v>0</v>
      </c>
      <c r="AD33" s="20">
        <f t="shared" ca="1" si="8"/>
        <v>0</v>
      </c>
      <c r="AE33" s="20">
        <f t="shared" ca="1" si="8"/>
        <v>0</v>
      </c>
      <c r="AF33" s="20">
        <f t="shared" ca="1" si="8"/>
        <v>0</v>
      </c>
      <c r="AG33" s="20">
        <f t="shared" ca="1" si="8"/>
        <v>0</v>
      </c>
      <c r="AH33" s="20">
        <f t="shared" ca="1" si="8"/>
        <v>-1.2162300976263705</v>
      </c>
      <c r="AI33" s="20">
        <f t="shared" ca="1" si="8"/>
        <v>-0.82792394518105006</v>
      </c>
      <c r="AJ33" s="20">
        <f t="shared" ca="1" si="8"/>
        <v>-0.86981370766096955</v>
      </c>
      <c r="AK33" s="20">
        <f t="shared" ca="1" si="8"/>
        <v>0</v>
      </c>
      <c r="AL33" s="20">
        <f t="shared" ca="1" si="8"/>
        <v>-1.1183973231300719</v>
      </c>
      <c r="AM33" s="20">
        <f t="shared" ca="1" si="8"/>
        <v>-0.81120027533404393</v>
      </c>
      <c r="AN33" s="20">
        <f t="shared" ca="1" si="8"/>
        <v>-0.75036739224994076</v>
      </c>
      <c r="AO33" s="23">
        <f t="shared" ca="1" si="6"/>
        <v>-13.081880010557782</v>
      </c>
    </row>
    <row r="34" spans="1:41" ht="18.75" x14ac:dyDescent="0.3">
      <c r="A34" s="26" t="s">
        <v>1021</v>
      </c>
      <c r="B34" s="20">
        <f t="shared" ref="B34:AN34" ca="1" si="9">B21-B7</f>
        <v>-0.24691047293503221</v>
      </c>
      <c r="C34" s="20">
        <f t="shared" ca="1" si="9"/>
        <v>-0.15503006278869946</v>
      </c>
      <c r="D34" s="20">
        <f t="shared" ca="1" si="9"/>
        <v>-3.2540812988218152E-3</v>
      </c>
      <c r="E34" s="20">
        <f t="shared" ca="1" si="9"/>
        <v>-0.16094317670101033</v>
      </c>
      <c r="F34" s="20">
        <f t="shared" ca="1" si="9"/>
        <v>-0.15173792855743695</v>
      </c>
      <c r="G34" s="20">
        <f t="shared" ca="1" si="9"/>
        <v>-5.5155619726657496E-4</v>
      </c>
      <c r="H34" s="20">
        <f t="shared" ca="1" si="9"/>
        <v>-0.13489770055822836</v>
      </c>
      <c r="I34" s="20">
        <f t="shared" ca="1" si="9"/>
        <v>-0.30686603928791345</v>
      </c>
      <c r="J34" s="20">
        <f t="shared" ca="1" si="9"/>
        <v>-0.40815097271794887</v>
      </c>
      <c r="K34" s="20">
        <f t="shared" ca="1" si="9"/>
        <v>0</v>
      </c>
      <c r="L34" s="20">
        <f t="shared" ca="1" si="9"/>
        <v>-0.57467961144574486</v>
      </c>
      <c r="M34" s="20">
        <f t="shared" ca="1" si="9"/>
        <v>-5.1342785916549498E-3</v>
      </c>
      <c r="N34" s="20">
        <f t="shared" ca="1" si="9"/>
        <v>-6.9359842298513497E-2</v>
      </c>
      <c r="O34" s="20">
        <f t="shared" ca="1" si="9"/>
        <v>0</v>
      </c>
      <c r="P34" s="20">
        <f t="shared" ca="1" si="9"/>
        <v>-0.29930517133055767</v>
      </c>
      <c r="Q34" s="20">
        <f t="shared" ca="1" si="9"/>
        <v>-0.43031304822393368</v>
      </c>
      <c r="R34" s="20">
        <f t="shared" ca="1" si="9"/>
        <v>-3.9437725461638796E-3</v>
      </c>
      <c r="S34" s="20">
        <f t="shared" ca="1" si="9"/>
        <v>-2.7147037481646041E-2</v>
      </c>
      <c r="T34" s="20">
        <f t="shared" ca="1" si="9"/>
        <v>-1.0408453370521147E-2</v>
      </c>
      <c r="U34" s="20">
        <f t="shared" ca="1" si="9"/>
        <v>-0.61783979514245724</v>
      </c>
      <c r="V34" s="20">
        <f t="shared" ca="1" si="9"/>
        <v>-0.58245092133025578</v>
      </c>
      <c r="W34" s="20">
        <f t="shared" ca="1" si="9"/>
        <v>0</v>
      </c>
      <c r="X34" s="20">
        <f t="shared" ca="1" si="9"/>
        <v>-0.73368960888848056</v>
      </c>
      <c r="Y34" s="20">
        <f t="shared" ca="1" si="9"/>
        <v>-7.6118642537824702E-3</v>
      </c>
      <c r="Z34" s="20">
        <f t="shared" ca="1" si="9"/>
        <v>-0.180325372380439</v>
      </c>
      <c r="AA34" s="20">
        <f t="shared" ca="1" si="9"/>
        <v>-0.95132673312103044</v>
      </c>
      <c r="AB34" s="20">
        <f t="shared" ca="1" si="9"/>
        <v>-5.5930040046989454E-2</v>
      </c>
      <c r="AC34" s="20">
        <f t="shared" ca="1" si="9"/>
        <v>-2.2884575247710259E-2</v>
      </c>
      <c r="AD34" s="20">
        <f t="shared" ca="1" si="9"/>
        <v>-0.19096785718040687</v>
      </c>
      <c r="AE34" s="20">
        <f t="shared" ca="1" si="9"/>
        <v>-0.12212508226718266</v>
      </c>
      <c r="AF34" s="20">
        <f t="shared" ca="1" si="9"/>
        <v>-3.8556109835226254E-2</v>
      </c>
      <c r="AG34" s="20">
        <f t="shared" ca="1" si="9"/>
        <v>-3.2160592746550642E-2</v>
      </c>
      <c r="AH34" s="20">
        <f t="shared" ca="1" si="9"/>
        <v>-0.28720462239043365</v>
      </c>
      <c r="AI34" s="20">
        <f t="shared" ca="1" si="9"/>
        <v>-0.35466601612115878</v>
      </c>
      <c r="AJ34" s="20">
        <f t="shared" ca="1" si="9"/>
        <v>0</v>
      </c>
      <c r="AK34" s="20">
        <f t="shared" ca="1" si="9"/>
        <v>-9.7227271626225464E-2</v>
      </c>
      <c r="AL34" s="20">
        <f t="shared" ca="1" si="9"/>
        <v>0</v>
      </c>
      <c r="AM34" s="20">
        <f t="shared" ca="1" si="9"/>
        <v>-0.4017860060627565</v>
      </c>
      <c r="AN34" s="20">
        <f t="shared" ca="1" si="9"/>
        <v>-0.4826538065064061</v>
      </c>
      <c r="AO34" s="23">
        <f t="shared" ca="1" si="6"/>
        <v>-8.1480394814785875</v>
      </c>
    </row>
    <row r="35" spans="1:41" ht="18.75" x14ac:dyDescent="0.3">
      <c r="A35" s="26" t="s">
        <v>70</v>
      </c>
      <c r="B35" s="20">
        <f t="shared" ref="B35:AN35" ca="1" si="10">B22-B8</f>
        <v>-0.26216256916576908</v>
      </c>
      <c r="C35" s="20">
        <f t="shared" ca="1" si="10"/>
        <v>-0.28825434744327572</v>
      </c>
      <c r="D35" s="20">
        <f t="shared" ca="1" si="10"/>
        <v>-7.5918962247459153E-3</v>
      </c>
      <c r="E35" s="20">
        <f t="shared" ca="1" si="10"/>
        <v>-0.45917631983786422</v>
      </c>
      <c r="F35" s="20">
        <f t="shared" ca="1" si="10"/>
        <v>-0.96889082193313603</v>
      </c>
      <c r="G35" s="20">
        <f t="shared" ca="1" si="10"/>
        <v>-1.877211165265576E-4</v>
      </c>
      <c r="H35" s="20">
        <f t="shared" ca="1" si="10"/>
        <v>-0.2569827675824452</v>
      </c>
      <c r="I35" s="20">
        <f t="shared" ca="1" si="10"/>
        <v>-1.616748797895379</v>
      </c>
      <c r="J35" s="20">
        <f t="shared" ca="1" si="10"/>
        <v>-1.7152779221574779</v>
      </c>
      <c r="K35" s="20">
        <f t="shared" si="10"/>
        <v>-1.9199999980800061E-6</v>
      </c>
      <c r="L35" s="20">
        <f t="shared" ca="1" si="10"/>
        <v>-6.9734168797722929E-2</v>
      </c>
      <c r="M35" s="20">
        <f t="shared" ca="1" si="10"/>
        <v>-3.6268402822301777E-3</v>
      </c>
      <c r="N35" s="20">
        <f t="shared" ca="1" si="10"/>
        <v>-0.83573566675212074</v>
      </c>
      <c r="O35" s="20">
        <f t="shared" si="10"/>
        <v>-1.9199999980800061E-6</v>
      </c>
      <c r="P35" s="20">
        <f t="shared" ca="1" si="10"/>
        <v>-1.995771861078681</v>
      </c>
      <c r="Q35" s="20">
        <f t="shared" ca="1" si="10"/>
        <v>-2.0065290212613034</v>
      </c>
      <c r="R35" s="20">
        <f t="shared" ca="1" si="10"/>
        <v>-2.2535260068213932E-4</v>
      </c>
      <c r="S35" s="20">
        <f t="shared" ca="1" si="10"/>
        <v>-2.0538784191048952E-2</v>
      </c>
      <c r="T35" s="20">
        <f t="shared" ca="1" si="10"/>
        <v>-4.6500865719241522E-4</v>
      </c>
      <c r="U35" s="20">
        <f t="shared" ca="1" si="10"/>
        <v>-7.544388100480745E-2</v>
      </c>
      <c r="V35" s="20">
        <f t="shared" ca="1" si="10"/>
        <v>-2.185599946972673</v>
      </c>
      <c r="W35" s="20">
        <f t="shared" si="10"/>
        <v>-1.9199999980800061E-6</v>
      </c>
      <c r="X35" s="20">
        <f t="shared" ca="1" si="10"/>
        <v>-0.15822624564174465</v>
      </c>
      <c r="Y35" s="20">
        <f t="shared" ca="1" si="10"/>
        <v>-8.1766726076696425E-2</v>
      </c>
      <c r="Z35" s="20">
        <f t="shared" ca="1" si="10"/>
        <v>-0.8808764934526665</v>
      </c>
      <c r="AA35" s="20">
        <f t="shared" ca="1" si="10"/>
        <v>-0.46994485259039237</v>
      </c>
      <c r="AB35" s="20">
        <f t="shared" ca="1" si="10"/>
        <v>-0.23628491163296586</v>
      </c>
      <c r="AC35" s="20">
        <f t="shared" ca="1" si="10"/>
        <v>-2.2285705246032055E-2</v>
      </c>
      <c r="AD35" s="20">
        <f t="shared" ca="1" si="10"/>
        <v>-0.6631790757182936</v>
      </c>
      <c r="AE35" s="20">
        <f t="shared" ca="1" si="10"/>
        <v>-0.17384855747222844</v>
      </c>
      <c r="AF35" s="20">
        <f t="shared" ca="1" si="10"/>
        <v>-0.13646769672620609</v>
      </c>
      <c r="AG35" s="20">
        <f t="shared" ca="1" si="10"/>
        <v>-5.7241049408931183E-2</v>
      </c>
      <c r="AH35" s="20">
        <f t="shared" ca="1" si="10"/>
        <v>-1.7202035307929422</v>
      </c>
      <c r="AI35" s="20">
        <f t="shared" ca="1" si="10"/>
        <v>-1.2636130213784993</v>
      </c>
      <c r="AJ35" s="20">
        <f t="shared" si="10"/>
        <v>-1.9199999980800061E-6</v>
      </c>
      <c r="AK35" s="20">
        <f t="shared" ca="1" si="10"/>
        <v>-1.2546525120770844</v>
      </c>
      <c r="AL35" s="20">
        <f t="shared" si="10"/>
        <v>-1.9199999980800061E-6</v>
      </c>
      <c r="AM35" s="20">
        <f t="shared" ca="1" si="10"/>
        <v>-1.7091901659919904</v>
      </c>
      <c r="AN35" s="20">
        <f t="shared" ca="1" si="10"/>
        <v>-2.1444155931439126</v>
      </c>
      <c r="AO35" s="23">
        <f t="shared" ca="1" si="6"/>
        <v>-23.741149432305654</v>
      </c>
    </row>
    <row r="36" spans="1:41" ht="18.75" x14ac:dyDescent="0.3">
      <c r="A36" s="25" t="s">
        <v>69</v>
      </c>
      <c r="B36" s="20">
        <f t="shared" ref="B36:AN36" ca="1" si="11">B23-B9</f>
        <v>-0.69268034175795812</v>
      </c>
      <c r="C36" s="20">
        <f t="shared" ca="1" si="11"/>
        <v>-0.50998451748453455</v>
      </c>
      <c r="D36" s="20">
        <f t="shared" ca="1" si="11"/>
        <v>-0.60138205287430191</v>
      </c>
      <c r="E36" s="20">
        <f t="shared" ca="1" si="11"/>
        <v>-0.27128282117564417</v>
      </c>
      <c r="F36" s="20">
        <f t="shared" ca="1" si="11"/>
        <v>-3.6871816674801994E-2</v>
      </c>
      <c r="G36" s="20">
        <f t="shared" ca="1" si="11"/>
        <v>-0.16195147157921275</v>
      </c>
      <c r="H36" s="20">
        <f t="shared" ca="1" si="11"/>
        <v>-0.69946846698823339</v>
      </c>
      <c r="I36" s="20">
        <f t="shared" ca="1" si="11"/>
        <v>-0.103050156401441</v>
      </c>
      <c r="J36" s="20">
        <f t="shared" ca="1" si="11"/>
        <v>-0.55488305657221071</v>
      </c>
      <c r="K36" s="20">
        <f t="shared" ca="1" si="11"/>
        <v>-0.35599272012147276</v>
      </c>
      <c r="L36" s="20">
        <f t="shared" ca="1" si="11"/>
        <v>-0.13253561110860013</v>
      </c>
      <c r="M36" s="20">
        <f t="shared" ca="1" si="11"/>
        <v>-0.65170773466765786</v>
      </c>
      <c r="N36" s="20">
        <f t="shared" ca="1" si="11"/>
        <v>-3.8152129020989967E-2</v>
      </c>
      <c r="O36" s="20">
        <f t="shared" ca="1" si="11"/>
        <v>-5.4265050415192917E-2</v>
      </c>
      <c r="P36" s="20">
        <f t="shared" ca="1" si="11"/>
        <v>-0.1418752323825907</v>
      </c>
      <c r="Q36" s="20">
        <f t="shared" ca="1" si="11"/>
        <v>-0.1278443661821993</v>
      </c>
      <c r="R36" s="20">
        <f t="shared" ca="1" si="11"/>
        <v>-0.59819724586476131</v>
      </c>
      <c r="S36" s="20">
        <f t="shared" ca="1" si="11"/>
        <v>-0.43667292154884496</v>
      </c>
      <c r="T36" s="20">
        <f t="shared" ca="1" si="11"/>
        <v>-0.15324830578189141</v>
      </c>
      <c r="U36" s="20">
        <f t="shared" ca="1" si="11"/>
        <v>-0.10143983515531207</v>
      </c>
      <c r="V36" s="20">
        <f t="shared" ca="1" si="11"/>
        <v>-5.8356141054550559E-2</v>
      </c>
      <c r="W36" s="20">
        <f t="shared" ca="1" si="11"/>
        <v>-9.0134553602916223E-2</v>
      </c>
      <c r="X36" s="20">
        <f t="shared" ca="1" si="11"/>
        <v>-0.1515375552919862</v>
      </c>
      <c r="Y36" s="20">
        <f t="shared" ca="1" si="11"/>
        <v>-0.59067468655266397</v>
      </c>
      <c r="Z36" s="20">
        <f t="shared" ca="1" si="11"/>
        <v>-0.44746488653241911</v>
      </c>
      <c r="AA36" s="20">
        <f t="shared" ca="1" si="11"/>
        <v>-0.36214121669726573</v>
      </c>
      <c r="AB36" s="20">
        <f t="shared" ca="1" si="11"/>
        <v>-0.52128387102937346</v>
      </c>
      <c r="AC36" s="20">
        <f t="shared" ca="1" si="11"/>
        <v>-0.68786372030860576</v>
      </c>
      <c r="AD36" s="20">
        <f t="shared" ca="1" si="11"/>
        <v>-0.41243880094433472</v>
      </c>
      <c r="AE36" s="20">
        <f t="shared" ca="1" si="11"/>
        <v>-0.62844051857907335</v>
      </c>
      <c r="AF36" s="20">
        <f t="shared" ca="1" si="11"/>
        <v>-0.66198063089340309</v>
      </c>
      <c r="AG36" s="20">
        <f t="shared" ca="1" si="11"/>
        <v>-0.55787083882907762</v>
      </c>
      <c r="AH36" s="20">
        <f t="shared" ca="1" si="11"/>
        <v>-0.33696645534562863</v>
      </c>
      <c r="AI36" s="20">
        <f t="shared" ca="1" si="11"/>
        <v>-4.8632086997818291E-2</v>
      </c>
      <c r="AJ36" s="20">
        <f t="shared" ca="1" si="11"/>
        <v>-7.7844307672091273E-2</v>
      </c>
      <c r="AK36" s="20">
        <f t="shared" ca="1" si="11"/>
        <v>-0.32450087123265137</v>
      </c>
      <c r="AL36" s="20">
        <f t="shared" ca="1" si="11"/>
        <v>-5.0569581844488232E-2</v>
      </c>
      <c r="AM36" s="20">
        <f t="shared" ca="1" si="11"/>
        <v>-0.64473477763722986</v>
      </c>
      <c r="AN36" s="20">
        <f t="shared" ca="1" si="11"/>
        <v>-0.40625320932467446</v>
      </c>
      <c r="AO36" s="23">
        <f t="shared" ca="1" si="6"/>
        <v>-13.483174564128102</v>
      </c>
    </row>
    <row r="37" spans="1:41" ht="18.75" x14ac:dyDescent="0.3">
      <c r="A37" s="25" t="s">
        <v>68</v>
      </c>
      <c r="B37" s="20">
        <f t="shared" ref="B37:AN37" ca="1" si="12">B24-B10</f>
        <v>-2.0883382160756803</v>
      </c>
      <c r="C37" s="20">
        <f t="shared" ca="1" si="12"/>
        <v>-1.2724439325817714</v>
      </c>
      <c r="D37" s="20">
        <f t="shared" ca="1" si="12"/>
        <v>-1.9742991050913372</v>
      </c>
      <c r="E37" s="20">
        <f t="shared" ca="1" si="12"/>
        <v>-1.5396472891800421</v>
      </c>
      <c r="F37" s="20">
        <f t="shared" ca="1" si="12"/>
        <v>-1.0757369173190863</v>
      </c>
      <c r="G37" s="20">
        <f t="shared" ca="1" si="12"/>
        <v>-5.781373645022457E-2</v>
      </c>
      <c r="H37" s="20">
        <f t="shared" ca="1" si="12"/>
        <v>-1.4816221420711235</v>
      </c>
      <c r="I37" s="20">
        <f t="shared" ca="1" si="12"/>
        <v>-1.6106011313525326</v>
      </c>
      <c r="J37" s="20">
        <f t="shared" ca="1" si="12"/>
        <v>-2.8037984949831198</v>
      </c>
      <c r="K37" s="20">
        <f t="shared" ca="1" si="12"/>
        <v>-2.1933210719648946</v>
      </c>
      <c r="L37" s="20">
        <f t="shared" ca="1" si="12"/>
        <v>-0.28340751869998659</v>
      </c>
      <c r="M37" s="20">
        <f t="shared" ca="1" si="12"/>
        <v>-1.5572375081121226</v>
      </c>
      <c r="N37" s="20">
        <f t="shared" ca="1" si="12"/>
        <v>-1.3200575946503992</v>
      </c>
      <c r="O37" s="20">
        <f t="shared" ca="1" si="12"/>
        <v>-2.1670223695121513</v>
      </c>
      <c r="P37" s="20">
        <f t="shared" ca="1" si="12"/>
        <v>-2.0846536468325771</v>
      </c>
      <c r="Q37" s="20">
        <f t="shared" ca="1" si="12"/>
        <v>-2.0895841020892361</v>
      </c>
      <c r="R37" s="20">
        <f t="shared" ca="1" si="12"/>
        <v>-6.3518864709460054E-2</v>
      </c>
      <c r="S37" s="20">
        <f t="shared" ca="1" si="12"/>
        <v>-1.3064071847545757</v>
      </c>
      <c r="T37" s="20">
        <f t="shared" ca="1" si="12"/>
        <v>-5.099618872873795E-2</v>
      </c>
      <c r="U37" s="20">
        <f t="shared" ca="1" si="12"/>
        <v>-1.1864715578125709</v>
      </c>
      <c r="V37" s="20">
        <f t="shared" ca="1" si="12"/>
        <v>-1.1176347881156274</v>
      </c>
      <c r="W37" s="20">
        <f t="shared" ca="1" si="12"/>
        <v>-1.8539910240327102</v>
      </c>
      <c r="X37" s="20">
        <f t="shared" ca="1" si="12"/>
        <v>-0.81798707866439613</v>
      </c>
      <c r="Y37" s="20">
        <f t="shared" ca="1" si="12"/>
        <v>-2.8060182932836559</v>
      </c>
      <c r="Z37" s="20">
        <f t="shared" ca="1" si="12"/>
        <v>-2.4487758908228505</v>
      </c>
      <c r="AA37" s="20">
        <f t="shared" ca="1" si="12"/>
        <v>-1.0307510965792099</v>
      </c>
      <c r="AB37" s="20">
        <f t="shared" ca="1" si="12"/>
        <v>-2.3379472569534481</v>
      </c>
      <c r="AC37" s="20">
        <f t="shared" ca="1" si="12"/>
        <v>-0.24068716901399745</v>
      </c>
      <c r="AD37" s="20">
        <f t="shared" ca="1" si="12"/>
        <v>-2.2204982663818633</v>
      </c>
      <c r="AE37" s="20">
        <f t="shared" ca="1" si="12"/>
        <v>-2.9450456238691904</v>
      </c>
      <c r="AF37" s="20">
        <f t="shared" ca="1" si="12"/>
        <v>-2.2859035462274395</v>
      </c>
      <c r="AG37" s="20">
        <f t="shared" ca="1" si="12"/>
        <v>-2.0243991041147358</v>
      </c>
      <c r="AH37" s="20">
        <f t="shared" ca="1" si="12"/>
        <v>-2.7330098029517389</v>
      </c>
      <c r="AI37" s="20">
        <f t="shared" ca="1" si="12"/>
        <v>-1.6241694207318766</v>
      </c>
      <c r="AJ37" s="20">
        <f t="shared" ca="1" si="12"/>
        <v>-1.3227876011779678</v>
      </c>
      <c r="AK37" s="20">
        <f t="shared" ca="1" si="12"/>
        <v>-2.0571400727910705</v>
      </c>
      <c r="AL37" s="20">
        <f t="shared" ca="1" si="12"/>
        <v>-1.5236416741159422</v>
      </c>
      <c r="AM37" s="20">
        <f t="shared" ca="1" si="12"/>
        <v>-2.5541986616359096</v>
      </c>
      <c r="AN37" s="20">
        <f t="shared" ca="1" si="12"/>
        <v>-2.4950876929208983</v>
      </c>
      <c r="AO37" s="23">
        <f t="shared" ca="1" si="6"/>
        <v>-64.646652637356155</v>
      </c>
    </row>
    <row r="38" spans="1:41" ht="18.75" x14ac:dyDescent="0.3">
      <c r="A38" s="25" t="s">
        <v>67</v>
      </c>
      <c r="B38" s="20">
        <f t="shared" ref="B38:AN38" ca="1" si="13">B25-B11</f>
        <v>-0.24595635527309756</v>
      </c>
      <c r="C38" s="20">
        <f t="shared" ca="1" si="13"/>
        <v>-0.24600208204940599</v>
      </c>
      <c r="D38" s="20">
        <f t="shared" ca="1" si="13"/>
        <v>-0.4335389003554464</v>
      </c>
      <c r="E38" s="20">
        <f t="shared" ca="1" si="13"/>
        <v>-0.2630577585793118</v>
      </c>
      <c r="F38" s="20">
        <f t="shared" ca="1" si="13"/>
        <v>-0.44327659738055147</v>
      </c>
      <c r="G38" s="20">
        <f t="shared" ca="1" si="13"/>
        <v>-0.50187514022992386</v>
      </c>
      <c r="H38" s="20">
        <f t="shared" ca="1" si="13"/>
        <v>-0.24609819298251387</v>
      </c>
      <c r="I38" s="20">
        <f t="shared" ca="1" si="13"/>
        <v>-0.4435047056015059</v>
      </c>
      <c r="J38" s="20">
        <f t="shared" ca="1" si="13"/>
        <v>-0.44400979196576523</v>
      </c>
      <c r="K38" s="20">
        <f t="shared" ca="1" si="13"/>
        <v>-0.40276007994206914</v>
      </c>
      <c r="L38" s="20">
        <f t="shared" ca="1" si="13"/>
        <v>-0.50139298516273989</v>
      </c>
      <c r="M38" s="20">
        <f t="shared" ca="1" si="13"/>
        <v>-0.50179453321509015</v>
      </c>
      <c r="N38" s="20">
        <f t="shared" ca="1" si="13"/>
        <v>-0.44316894674827984</v>
      </c>
      <c r="O38" s="20">
        <f t="shared" ca="1" si="13"/>
        <v>-0.40251451466560789</v>
      </c>
      <c r="P38" s="20">
        <f t="shared" ca="1" si="13"/>
        <v>-0.24849194360771937</v>
      </c>
      <c r="Q38" s="20">
        <f t="shared" ca="1" si="13"/>
        <v>-0.40265503061806451</v>
      </c>
      <c r="R38" s="20">
        <f t="shared" ca="1" si="13"/>
        <v>-0.50145383447462655</v>
      </c>
      <c r="S38" s="20">
        <f t="shared" ca="1" si="13"/>
        <v>-0.50177351251115609</v>
      </c>
      <c r="T38" s="20">
        <f t="shared" ca="1" si="13"/>
        <v>-0.50149011789780884</v>
      </c>
      <c r="U38" s="20">
        <f t="shared" ca="1" si="13"/>
        <v>-0.64190666237650951</v>
      </c>
      <c r="V38" s="20">
        <f t="shared" ca="1" si="13"/>
        <v>-0.44336845169974493</v>
      </c>
      <c r="W38" s="20">
        <f t="shared" ca="1" si="13"/>
        <v>-0.40247655640668595</v>
      </c>
      <c r="X38" s="20">
        <f t="shared" ca="1" si="13"/>
        <v>-0.64182308292446688</v>
      </c>
      <c r="Y38" s="20">
        <f t="shared" ca="1" si="13"/>
        <v>-0.40740770178552349</v>
      </c>
      <c r="Z38" s="20">
        <f t="shared" ca="1" si="13"/>
        <v>-0.44102395866757504</v>
      </c>
      <c r="AA38" s="20">
        <f t="shared" ca="1" si="13"/>
        <v>-0.50143673389301435</v>
      </c>
      <c r="AB38" s="20">
        <f t="shared" ca="1" si="13"/>
        <v>-0.24594440423645009</v>
      </c>
      <c r="AC38" s="20">
        <f t="shared" ca="1" si="13"/>
        <v>-0.50209886123099456</v>
      </c>
      <c r="AD38" s="20">
        <f t="shared" ca="1" si="13"/>
        <v>-0.65368453956916295</v>
      </c>
      <c r="AE38" s="20">
        <f t="shared" ca="1" si="13"/>
        <v>-0.65361872051844716</v>
      </c>
      <c r="AF38" s="20">
        <f t="shared" ca="1" si="13"/>
        <v>-0.65378771211756603</v>
      </c>
      <c r="AG38" s="20">
        <f t="shared" ca="1" si="13"/>
        <v>-0.43357956690226662</v>
      </c>
      <c r="AH38" s="20">
        <f t="shared" ca="1" si="13"/>
        <v>-0.44081061421511614</v>
      </c>
      <c r="AI38" s="20">
        <f t="shared" ca="1" si="13"/>
        <v>-0.44380529600866553</v>
      </c>
      <c r="AJ38" s="20">
        <f t="shared" ca="1" si="13"/>
        <v>-0.40238773939833938</v>
      </c>
      <c r="AK38" s="20">
        <f t="shared" ca="1" si="13"/>
        <v>-0.2484224249638336</v>
      </c>
      <c r="AL38" s="20">
        <f t="shared" ca="1" si="13"/>
        <v>-0.40236900374886236</v>
      </c>
      <c r="AM38" s="20">
        <f t="shared" ca="1" si="13"/>
        <v>-0.65355944550484535</v>
      </c>
      <c r="AN38" s="20">
        <f t="shared" ca="1" si="13"/>
        <v>-0.44089886709955495</v>
      </c>
      <c r="AO38" s="23">
        <f t="shared" ca="1" si="6"/>
        <v>-17.329225366528313</v>
      </c>
    </row>
    <row r="39" spans="1:41" ht="18.75" x14ac:dyDescent="0.3">
      <c r="A39" s="25" t="s">
        <v>66</v>
      </c>
      <c r="B39" s="20">
        <f t="shared" ref="B39:AN39" ca="1" si="14">B26-B12</f>
        <v>-6.2383279450448192E-2</v>
      </c>
      <c r="C39" s="20">
        <f t="shared" ca="1" si="14"/>
        <v>-2.2698391018708519E-2</v>
      </c>
      <c r="D39" s="20">
        <f t="shared" ca="1" si="14"/>
        <v>-0.16635934083061077</v>
      </c>
      <c r="E39" s="20">
        <f t="shared" ca="1" si="14"/>
        <v>-0.18085521411709626</v>
      </c>
      <c r="F39" s="20">
        <f t="shared" ca="1" si="14"/>
        <v>-3.0482438787924893E-2</v>
      </c>
      <c r="G39" s="20">
        <f t="shared" ca="1" si="14"/>
        <v>-6.252968001926114E-5</v>
      </c>
      <c r="H39" s="20">
        <f t="shared" ca="1" si="14"/>
        <v>-0.18683990712825738</v>
      </c>
      <c r="I39" s="20">
        <f t="shared" ca="1" si="14"/>
        <v>-2.3279009009332663E-2</v>
      </c>
      <c r="J39" s="20">
        <f t="shared" ca="1" si="14"/>
        <v>-2.5090835831234726E-2</v>
      </c>
      <c r="K39" s="20">
        <f t="shared" ca="1" si="14"/>
        <v>-1.0306205696980264E-2</v>
      </c>
      <c r="L39" s="20">
        <f t="shared" ca="1" si="14"/>
        <v>-2.1572335060343728E-2</v>
      </c>
      <c r="M39" s="20">
        <f t="shared" ca="1" si="14"/>
        <v>-2.8787404135789396E-2</v>
      </c>
      <c r="N39" s="20">
        <f t="shared" ca="1" si="14"/>
        <v>-0.13131277994490231</v>
      </c>
      <c r="O39" s="20">
        <f t="shared" ca="1" si="14"/>
        <v>-6.6314193401987576E-3</v>
      </c>
      <c r="P39" s="20">
        <f t="shared" ca="1" si="14"/>
        <v>-3.8671434678133054E-2</v>
      </c>
      <c r="Q39" s="20">
        <f t="shared" ca="1" si="14"/>
        <v>-4.90223441827356E-3</v>
      </c>
      <c r="R39" s="20">
        <f t="shared" ca="1" si="14"/>
        <v>-2.9053710571466995E-2</v>
      </c>
      <c r="S39" s="20">
        <f t="shared" ca="1" si="14"/>
        <v>-7.3744365649268007E-2</v>
      </c>
      <c r="T39" s="20">
        <f t="shared" ca="1" si="14"/>
        <v>-9.226355168182987E-3</v>
      </c>
      <c r="U39" s="20">
        <f t="shared" ca="1" si="14"/>
        <v>-7.4679600404824187E-3</v>
      </c>
      <c r="V39" s="20">
        <f t="shared" ca="1" si="14"/>
        <v>-1.9510217215846726E-2</v>
      </c>
      <c r="W39" s="20">
        <f t="shared" ca="1" si="14"/>
        <v>-3.7554821385912818E-3</v>
      </c>
      <c r="X39" s="20">
        <f t="shared" ca="1" si="14"/>
        <v>-1.3125799660159976E-2</v>
      </c>
      <c r="Y39" s="20">
        <f t="shared" ca="1" si="14"/>
        <v>-0.16857739003612426</v>
      </c>
      <c r="Z39" s="20">
        <f t="shared" ca="1" si="14"/>
        <v>-3.9464796182510087E-2</v>
      </c>
      <c r="AA39" s="20">
        <f t="shared" ca="1" si="14"/>
        <v>-1.27340178126788E-2</v>
      </c>
      <c r="AB39" s="20">
        <f t="shared" ca="1" si="14"/>
        <v>-0.11963987955425859</v>
      </c>
      <c r="AC39" s="20">
        <f t="shared" ca="1" si="14"/>
        <v>-3.0175474201324604E-2</v>
      </c>
      <c r="AD39" s="20">
        <f t="shared" ca="1" si="14"/>
        <v>-6.113352991979526E-2</v>
      </c>
      <c r="AE39" s="20">
        <f t="shared" ca="1" si="14"/>
        <v>-7.1606293170397795E-2</v>
      </c>
      <c r="AF39" s="20">
        <f t="shared" ca="1" si="14"/>
        <v>-0.10408364157177941</v>
      </c>
      <c r="AG39" s="20">
        <f t="shared" ca="1" si="14"/>
        <v>-0.16806951027751271</v>
      </c>
      <c r="AH39" s="20">
        <f t="shared" ca="1" si="14"/>
        <v>-3.4563108614648286E-2</v>
      </c>
      <c r="AI39" s="20">
        <f t="shared" ca="1" si="14"/>
        <v>-3.6584556488843067E-2</v>
      </c>
      <c r="AJ39" s="20">
        <f t="shared" ca="1" si="14"/>
        <v>-2.1701156743625244E-3</v>
      </c>
      <c r="AK39" s="20">
        <f t="shared" ca="1" si="14"/>
        <v>-3.6379057285595318E-2</v>
      </c>
      <c r="AL39" s="20">
        <f t="shared" ca="1" si="14"/>
        <v>-7.8497541777108326E-3</v>
      </c>
      <c r="AM39" s="20">
        <f t="shared" ca="1" si="14"/>
        <v>-3.3674074820021715E-2</v>
      </c>
      <c r="AN39" s="20">
        <f t="shared" ca="1" si="14"/>
        <v>-3.2457578835818124E-2</v>
      </c>
      <c r="AO39" s="23">
        <f t="shared" ca="1" si="6"/>
        <v>-2.0552814281956335</v>
      </c>
    </row>
    <row r="40" spans="1:41" ht="18.75" x14ac:dyDescent="0.3">
      <c r="A40" s="25" t="s">
        <v>65</v>
      </c>
      <c r="B40" s="20">
        <f t="shared" ref="B40:AN40" ca="1" si="15">B27-B13</f>
        <v>-0.70406162323946919</v>
      </c>
      <c r="C40" s="20">
        <f t="shared" ca="1" si="15"/>
        <v>-0.70854124520973949</v>
      </c>
      <c r="D40" s="20">
        <f t="shared" ca="1" si="15"/>
        <v>-0.74421666769288874</v>
      </c>
      <c r="E40" s="20">
        <f t="shared" ca="1" si="15"/>
        <v>-0.68784393878585126</v>
      </c>
      <c r="F40" s="20">
        <f t="shared" ca="1" si="15"/>
        <v>-0.56423059872678172</v>
      </c>
      <c r="G40" s="20">
        <f t="shared" ca="1" si="15"/>
        <v>-0.85399697083826664</v>
      </c>
      <c r="H40" s="20">
        <f t="shared" ca="1" si="15"/>
        <v>-0.70541006721597155</v>
      </c>
      <c r="I40" s="20">
        <f t="shared" ca="1" si="15"/>
        <v>-0.49899897534682203</v>
      </c>
      <c r="J40" s="20">
        <f t="shared" ca="1" si="15"/>
        <v>-0.47065660654828778</v>
      </c>
      <c r="K40" s="20">
        <f t="shared" ca="1" si="15"/>
        <v>-0.68443111946418034</v>
      </c>
      <c r="L40" s="20">
        <f t="shared" ca="1" si="15"/>
        <v>-0.7507820916584973</v>
      </c>
      <c r="M40" s="20">
        <f t="shared" ca="1" si="15"/>
        <v>-0.72592971882708213</v>
      </c>
      <c r="N40" s="20">
        <f t="shared" ca="1" si="15"/>
        <v>-0.52411913013137079</v>
      </c>
      <c r="O40" s="20">
        <f t="shared" ca="1" si="15"/>
        <v>-0.73222821353899992</v>
      </c>
      <c r="P40" s="20">
        <f t="shared" ca="1" si="15"/>
        <v>-0.64041450510040598</v>
      </c>
      <c r="Q40" s="20">
        <f t="shared" ca="1" si="15"/>
        <v>-0.67930470511642804</v>
      </c>
      <c r="R40" s="20">
        <f t="shared" ca="1" si="15"/>
        <v>-0.60616221692109118</v>
      </c>
      <c r="S40" s="20">
        <f t="shared" ca="1" si="15"/>
        <v>-0.71596360245316326</v>
      </c>
      <c r="T40" s="20">
        <f t="shared" ca="1" si="15"/>
        <v>-0.68968181357752467</v>
      </c>
      <c r="U40" s="20">
        <f t="shared" ca="1" si="15"/>
        <v>-0.7194585105735376</v>
      </c>
      <c r="V40" s="20">
        <f t="shared" ca="1" si="15"/>
        <v>-0.36327713289102337</v>
      </c>
      <c r="W40" s="20">
        <f t="shared" ca="1" si="15"/>
        <v>-0.67635338061827666</v>
      </c>
      <c r="X40" s="20">
        <f t="shared" ca="1" si="15"/>
        <v>-0.76552142368095755</v>
      </c>
      <c r="Y40" s="20">
        <f t="shared" ca="1" si="15"/>
        <v>-0.72212406592984202</v>
      </c>
      <c r="Z40" s="20">
        <f t="shared" ca="1" si="15"/>
        <v>-0.46656616254967753</v>
      </c>
      <c r="AA40" s="20">
        <f t="shared" ca="1" si="15"/>
        <v>-0.75276739759251976</v>
      </c>
      <c r="AB40" s="20">
        <f t="shared" ca="1" si="15"/>
        <v>-0.7049235833329095</v>
      </c>
      <c r="AC40" s="20">
        <f t="shared" ca="1" si="15"/>
        <v>-0.77167375256894477</v>
      </c>
      <c r="AD40" s="20">
        <f t="shared" ca="1" si="15"/>
        <v>-0.37256011243375364</v>
      </c>
      <c r="AE40" s="20">
        <f t="shared" ca="1" si="15"/>
        <v>-0.49470936480377703</v>
      </c>
      <c r="AF40" s="20">
        <f t="shared" ca="1" si="15"/>
        <v>-0.49412781392534666</v>
      </c>
      <c r="AG40" s="20">
        <f t="shared" ca="1" si="15"/>
        <v>-0.74759674810622911</v>
      </c>
      <c r="AH40" s="20">
        <f t="shared" ca="1" si="15"/>
        <v>-0.46371046046359798</v>
      </c>
      <c r="AI40" s="20">
        <f t="shared" ca="1" si="15"/>
        <v>-0.60396220539691114</v>
      </c>
      <c r="AJ40" s="20">
        <f t="shared" ca="1" si="15"/>
        <v>-0.58398836706729895</v>
      </c>
      <c r="AK40" s="20">
        <f t="shared" ca="1" si="15"/>
        <v>-0.68065624789720425</v>
      </c>
      <c r="AL40" s="20">
        <f t="shared" ca="1" si="15"/>
        <v>-0.67747275092560599</v>
      </c>
      <c r="AM40" s="20">
        <f t="shared" ca="1" si="15"/>
        <v>-0.39009034952988597</v>
      </c>
      <c r="AN40" s="20">
        <f t="shared" ca="1" si="15"/>
        <v>-0.40871534527826214</v>
      </c>
      <c r="AO40" s="23">
        <f t="shared" ca="1" si="6"/>
        <v>-24.547228985958384</v>
      </c>
    </row>
    <row r="41" spans="1:41" ht="18.75" x14ac:dyDescent="0.3">
      <c r="A41" s="24" t="s">
        <v>64</v>
      </c>
      <c r="B41" s="20">
        <f t="shared" ref="B41:AN41" ca="1" si="16">SUM(B31:B40)</f>
        <v>-6.3219599877592287</v>
      </c>
      <c r="C41" s="20">
        <f t="shared" ca="1" si="16"/>
        <v>-5.9565947453484522</v>
      </c>
      <c r="D41" s="20">
        <f t="shared" ca="1" si="16"/>
        <v>-5.8266793686903782</v>
      </c>
      <c r="E41" s="20">
        <f t="shared" ca="1" si="16"/>
        <v>-5.1791385495405162</v>
      </c>
      <c r="F41" s="20">
        <f t="shared" ca="1" si="16"/>
        <v>-5.3752293051379976</v>
      </c>
      <c r="G41" s="20">
        <f t="shared" ca="1" si="16"/>
        <v>-2.0889650350230555</v>
      </c>
      <c r="H41" s="20">
        <f t="shared" ca="1" si="16"/>
        <v>-5.3085658737307124</v>
      </c>
      <c r="I41" s="20">
        <f t="shared" ca="1" si="16"/>
        <v>-6.3240166303455583</v>
      </c>
      <c r="J41" s="20">
        <f t="shared" ca="1" si="16"/>
        <v>-8.554164316683611</v>
      </c>
      <c r="K41" s="20">
        <f t="shared" ca="1" si="16"/>
        <v>-5.8119285966540328</v>
      </c>
      <c r="L41" s="20">
        <f t="shared" ca="1" si="16"/>
        <v>-2.6021306054923525</v>
      </c>
      <c r="M41" s="20">
        <f t="shared" ca="1" si="16"/>
        <v>-4.7957256121657537</v>
      </c>
      <c r="N41" s="20">
        <f t="shared" ca="1" si="16"/>
        <v>-5.6843048951737476</v>
      </c>
      <c r="O41" s="20">
        <f t="shared" ca="1" si="16"/>
        <v>-5.3744563382120001</v>
      </c>
      <c r="P41" s="20">
        <f t="shared" ca="1" si="16"/>
        <v>-6.6457486136645736</v>
      </c>
      <c r="Q41" s="20">
        <f t="shared" ca="1" si="16"/>
        <v>-6.7978627888013516</v>
      </c>
      <c r="R41" s="20">
        <f t="shared" ca="1" si="16"/>
        <v>-2.3356860577383172</v>
      </c>
      <c r="S41" s="20">
        <f t="shared" ca="1" si="16"/>
        <v>-4.1454290822359559</v>
      </c>
      <c r="T41" s="20">
        <f t="shared" ca="1" si="16"/>
        <v>-1.6673807888674088</v>
      </c>
      <c r="U41" s="20">
        <f t="shared" ca="1" si="16"/>
        <v>-3.8683380489907271</v>
      </c>
      <c r="V41" s="20">
        <f t="shared" ca="1" si="16"/>
        <v>-5.8973675157095649</v>
      </c>
      <c r="W41" s="20">
        <f t="shared" ca="1" si="16"/>
        <v>-4.3558754271826956</v>
      </c>
      <c r="X41" s="20">
        <f t="shared" ca="1" si="16"/>
        <v>-4.0234345915079368</v>
      </c>
      <c r="Y41" s="20">
        <f t="shared" ca="1" si="16"/>
        <v>-6.2676069795727578</v>
      </c>
      <c r="Z41" s="20">
        <f t="shared" ca="1" si="16"/>
        <v>-6.612238431695328</v>
      </c>
      <c r="AA41" s="20">
        <f t="shared" ca="1" si="16"/>
        <v>-5.4471989989692009</v>
      </c>
      <c r="AB41" s="20">
        <f t="shared" ca="1" si="16"/>
        <v>-6.5178329985012731</v>
      </c>
      <c r="AC41" s="20">
        <f t="shared" ca="1" si="16"/>
        <v>-5.4540589676114868</v>
      </c>
      <c r="AD41" s="20">
        <f t="shared" ca="1" si="16"/>
        <v>-6.0263320442895782</v>
      </c>
      <c r="AE41" s="20">
        <f t="shared" ca="1" si="16"/>
        <v>-6.8598800027890032</v>
      </c>
      <c r="AF41" s="20">
        <f t="shared" ca="1" si="16"/>
        <v>-6.388960737204747</v>
      </c>
      <c r="AG41" s="20">
        <f t="shared" ca="1" si="16"/>
        <v>-5.9375069097603514</v>
      </c>
      <c r="AH41" s="20">
        <f t="shared" ca="1" si="16"/>
        <v>-8.4762970484782265</v>
      </c>
      <c r="AI41" s="20">
        <f t="shared" ca="1" si="16"/>
        <v>-6.4953286923081199</v>
      </c>
      <c r="AJ41" s="20">
        <f t="shared" ca="1" si="16"/>
        <v>-4.2113441944302181</v>
      </c>
      <c r="AK41" s="20">
        <f t="shared" ca="1" si="16"/>
        <v>-5.9616357484217302</v>
      </c>
      <c r="AL41" s="20">
        <f t="shared" ca="1" si="16"/>
        <v>-4.7000695033020703</v>
      </c>
      <c r="AM41" s="20">
        <f t="shared" ca="1" si="16"/>
        <v>-8.4159079660189136</v>
      </c>
      <c r="AN41" s="20">
        <f t="shared" ca="1" si="16"/>
        <v>-8.3871133719449702</v>
      </c>
      <c r="AO41" s="23">
        <f t="shared" ca="1" si="6"/>
        <v>-217.10029536995387</v>
      </c>
    </row>
  </sheetData>
  <sheetProtection algorithmName="SHA-512" hashValue="4V1rH+S6Gu6cNw0jVgSBtW72uQYqOMHGcWmGRfwSnrN/aybsTo8A3L8O6V5s5dKRnEkaJZhoJ6+SCcYlA75QVg==" saltValue="siEZLWFzyLe+Mpe5oVqZbA==" spinCount="100000" sheet="1" objects="1" scenarios="1"/>
  <pageMargins left="0.7" right="0.7" top="0.75" bottom="0.75" header="0.3" footer="0.3"/>
  <pageSetup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6"/>
  <dimension ref="A1:AQ199"/>
  <sheetViews>
    <sheetView zoomScaleNormal="100" workbookViewId="0">
      <pane xSplit="2" ySplit="2" topLeftCell="AI123" activePane="bottomRight" state="frozen"/>
      <selection pane="topRight" activeCell="C1" sqref="C1"/>
      <selection pane="bottomLeft" activeCell="A3" sqref="A3"/>
      <selection pane="bottomRight" activeCell="C139" sqref="C139"/>
    </sheetView>
  </sheetViews>
  <sheetFormatPr defaultColWidth="9.140625" defaultRowHeight="15" x14ac:dyDescent="0.25"/>
  <cols>
    <col min="1" max="1" width="37.7109375" style="21" customWidth="1"/>
    <col min="2" max="2" width="8.5703125" style="21" customWidth="1"/>
    <col min="3" max="3" width="20.42578125" style="21" bestFit="1" customWidth="1"/>
    <col min="4" max="4" width="14.28515625" style="21" customWidth="1"/>
    <col min="5" max="6" width="13.5703125" style="21" bestFit="1" customWidth="1"/>
    <col min="7" max="7" width="14.28515625" style="21" bestFit="1" customWidth="1"/>
    <col min="8" max="8" width="12.42578125" style="21" customWidth="1"/>
    <col min="9" max="9" width="13.5703125" style="21" bestFit="1" customWidth="1"/>
    <col min="10" max="10" width="14.28515625" style="21" bestFit="1" customWidth="1"/>
    <col min="11" max="11" width="13.5703125" style="21" bestFit="1" customWidth="1"/>
    <col min="12" max="12" width="13.85546875" style="21" customWidth="1"/>
    <col min="13" max="13" width="12" style="21" bestFit="1" customWidth="1"/>
    <col min="14" max="14" width="12.140625" style="21" customWidth="1"/>
    <col min="15" max="15" width="13.7109375" style="21" bestFit="1" customWidth="1"/>
    <col min="16" max="16" width="16.42578125" style="21" customWidth="1"/>
    <col min="17" max="17" width="13.5703125" style="21" bestFit="1" customWidth="1"/>
    <col min="18" max="18" width="12.42578125" style="21" customWidth="1"/>
    <col min="19" max="19" width="14.85546875" style="21" customWidth="1"/>
    <col min="20" max="20" width="12.140625" style="21" bestFit="1" customWidth="1"/>
    <col min="21" max="21" width="11" style="21" bestFit="1" customWidth="1"/>
    <col min="22" max="22" width="11.42578125" style="21" bestFit="1" customWidth="1"/>
    <col min="23" max="23" width="12.42578125" style="21" bestFit="1" customWidth="1"/>
    <col min="24" max="24" width="10.85546875" style="21" customWidth="1"/>
    <col min="25" max="25" width="12.140625" style="21" bestFit="1" customWidth="1"/>
    <col min="26" max="26" width="13.5703125" style="21" bestFit="1" customWidth="1"/>
    <col min="27" max="27" width="14.28515625" style="21" bestFit="1" customWidth="1"/>
    <col min="28" max="28" width="12.42578125" style="21" bestFit="1" customWidth="1"/>
    <col min="29" max="29" width="13.7109375" style="21" bestFit="1" customWidth="1"/>
    <col min="30" max="30" width="12.7109375" style="21" customWidth="1"/>
    <col min="31" max="32" width="12.42578125" style="21" bestFit="1" customWidth="1"/>
    <col min="33" max="33" width="13.28515625" style="21" bestFit="1" customWidth="1"/>
    <col min="34" max="34" width="12.42578125" style="21" bestFit="1" customWidth="1"/>
    <col min="35" max="35" width="14.28515625" style="21" bestFit="1" customWidth="1"/>
    <col min="36" max="36" width="13.28515625" style="21" bestFit="1" customWidth="1"/>
    <col min="37" max="37" width="13.42578125" style="21" bestFit="1" customWidth="1"/>
    <col min="38" max="38" width="13.7109375" style="21" bestFit="1" customWidth="1"/>
    <col min="39" max="39" width="13.42578125" style="21" bestFit="1" customWidth="1"/>
    <col min="40" max="41" width="13.7109375" style="21" bestFit="1" customWidth="1"/>
    <col min="42" max="42" width="16" style="21" customWidth="1"/>
    <col min="43" max="16384" width="9.140625" style="21"/>
  </cols>
  <sheetData>
    <row r="1" spans="1:43" ht="33" customHeight="1" x14ac:dyDescent="0.25">
      <c r="A1" s="21" t="s">
        <v>61</v>
      </c>
      <c r="C1" s="21">
        <v>1</v>
      </c>
      <c r="D1" s="21">
        <v>2</v>
      </c>
      <c r="E1" s="21">
        <v>3</v>
      </c>
      <c r="F1" s="21">
        <v>4</v>
      </c>
      <c r="G1" s="21">
        <v>5</v>
      </c>
      <c r="H1" s="21">
        <v>6</v>
      </c>
      <c r="I1" s="21">
        <v>7</v>
      </c>
      <c r="J1" s="21">
        <v>8</v>
      </c>
      <c r="K1" s="21">
        <v>9</v>
      </c>
      <c r="L1" s="21">
        <v>10</v>
      </c>
      <c r="M1" s="21">
        <v>11</v>
      </c>
      <c r="N1" s="21">
        <v>12</v>
      </c>
      <c r="O1" s="21">
        <v>13</v>
      </c>
      <c r="P1" s="21">
        <v>14</v>
      </c>
      <c r="Q1" s="21">
        <v>15</v>
      </c>
      <c r="R1" s="21">
        <v>16</v>
      </c>
      <c r="S1" s="21">
        <v>17</v>
      </c>
      <c r="T1" s="21">
        <v>18</v>
      </c>
      <c r="U1" s="21">
        <v>19</v>
      </c>
      <c r="V1" s="21">
        <v>20</v>
      </c>
      <c r="W1" s="21">
        <v>21</v>
      </c>
      <c r="X1" s="21">
        <v>22</v>
      </c>
      <c r="Y1" s="21">
        <v>23</v>
      </c>
      <c r="Z1" s="21">
        <v>24</v>
      </c>
      <c r="AA1" s="21">
        <v>25</v>
      </c>
      <c r="AB1" s="21">
        <v>26</v>
      </c>
      <c r="AC1" s="21">
        <v>27</v>
      </c>
      <c r="AD1" s="21">
        <v>28</v>
      </c>
      <c r="AE1" s="21">
        <v>29</v>
      </c>
      <c r="AF1" s="21">
        <v>30</v>
      </c>
      <c r="AG1" s="21">
        <v>31</v>
      </c>
      <c r="AH1" s="21">
        <v>32</v>
      </c>
      <c r="AI1" s="21">
        <v>33</v>
      </c>
      <c r="AJ1" s="21">
        <v>34</v>
      </c>
      <c r="AK1" s="21">
        <v>35</v>
      </c>
      <c r="AL1" s="21">
        <v>36</v>
      </c>
      <c r="AM1" s="21">
        <v>37</v>
      </c>
      <c r="AN1" s="21">
        <v>38</v>
      </c>
      <c r="AO1" s="21">
        <v>39</v>
      </c>
    </row>
    <row r="2" spans="1:43" s="32" customFormat="1" ht="60" x14ac:dyDescent="0.25">
      <c r="A2" s="32" t="s">
        <v>111</v>
      </c>
      <c r="C2" s="32" t="s">
        <v>60</v>
      </c>
      <c r="D2" s="32" t="s">
        <v>59</v>
      </c>
      <c r="E2" s="32" t="s">
        <v>58</v>
      </c>
      <c r="F2" s="32" t="s">
        <v>57</v>
      </c>
      <c r="G2" s="32" t="s">
        <v>56</v>
      </c>
      <c r="H2" s="32" t="s">
        <v>55</v>
      </c>
      <c r="I2" s="32" t="s">
        <v>54</v>
      </c>
      <c r="J2" s="32" t="s">
        <v>53</v>
      </c>
      <c r="K2" s="32" t="s">
        <v>52</v>
      </c>
      <c r="L2" s="32" t="s">
        <v>51</v>
      </c>
      <c r="M2" s="32" t="s">
        <v>50</v>
      </c>
      <c r="N2" s="32" t="s">
        <v>49</v>
      </c>
      <c r="O2" s="32" t="s">
        <v>48</v>
      </c>
      <c r="P2" s="32" t="s">
        <v>47</v>
      </c>
      <c r="Q2" s="32" t="s">
        <v>46</v>
      </c>
      <c r="R2" s="32" t="s">
        <v>45</v>
      </c>
      <c r="S2" s="32" t="s">
        <v>44</v>
      </c>
      <c r="T2" s="32" t="s">
        <v>43</v>
      </c>
      <c r="U2" s="32" t="s">
        <v>42</v>
      </c>
      <c r="V2" s="32" t="s">
        <v>41</v>
      </c>
      <c r="W2" s="32" t="s">
        <v>40</v>
      </c>
      <c r="X2" s="32" t="s">
        <v>39</v>
      </c>
      <c r="Y2" s="32" t="s">
        <v>38</v>
      </c>
      <c r="Z2" s="32" t="s">
        <v>37</v>
      </c>
      <c r="AA2" s="32" t="s">
        <v>36</v>
      </c>
      <c r="AB2" s="32" t="s">
        <v>35</v>
      </c>
      <c r="AC2" s="32" t="s">
        <v>34</v>
      </c>
      <c r="AD2" s="32" t="s">
        <v>33</v>
      </c>
      <c r="AE2" s="32" t="s">
        <v>32</v>
      </c>
      <c r="AF2" s="32" t="s">
        <v>31</v>
      </c>
      <c r="AG2" s="32" t="s">
        <v>30</v>
      </c>
      <c r="AH2" s="32" t="s">
        <v>29</v>
      </c>
      <c r="AI2" s="32" t="s">
        <v>28</v>
      </c>
      <c r="AJ2" s="32" t="s">
        <v>27</v>
      </c>
      <c r="AK2" s="32" t="s">
        <v>26</v>
      </c>
      <c r="AL2" s="32" t="s">
        <v>25</v>
      </c>
      <c r="AM2" s="32" t="s">
        <v>24</v>
      </c>
      <c r="AN2" s="32" t="s">
        <v>23</v>
      </c>
      <c r="AO2" s="32" t="s">
        <v>22</v>
      </c>
      <c r="AP2" s="32" t="s">
        <v>110</v>
      </c>
    </row>
    <row r="3" spans="1:43" x14ac:dyDescent="0.25">
      <c r="A3" s="21" t="str">
        <f>INDEX(watershed_list,Main!B7)</f>
        <v>Statewide</v>
      </c>
      <c r="C3" s="405">
        <f>Watersheds!B122</f>
        <v>1</v>
      </c>
      <c r="D3" s="22">
        <f>Watersheds!C122</f>
        <v>1</v>
      </c>
      <c r="E3" s="22">
        <f>Watersheds!D122</f>
        <v>1</v>
      </c>
      <c r="F3" s="22">
        <f>Watersheds!E122</f>
        <v>1</v>
      </c>
      <c r="G3" s="22">
        <f>Watersheds!F122</f>
        <v>1</v>
      </c>
      <c r="H3" s="22">
        <f>Watersheds!G122</f>
        <v>1</v>
      </c>
      <c r="I3" s="22">
        <f>Watersheds!H122</f>
        <v>1</v>
      </c>
      <c r="J3" s="22">
        <f>Watersheds!I122</f>
        <v>1</v>
      </c>
      <c r="K3" s="22">
        <f>Watersheds!J122</f>
        <v>1</v>
      </c>
      <c r="L3" s="22">
        <f>Watersheds!K122</f>
        <v>1</v>
      </c>
      <c r="M3" s="22">
        <f>Watersheds!L122</f>
        <v>1</v>
      </c>
      <c r="N3" s="22">
        <f>Watersheds!M122</f>
        <v>1</v>
      </c>
      <c r="O3" s="22">
        <f>Watersheds!N122</f>
        <v>1</v>
      </c>
      <c r="P3" s="22">
        <f>Watersheds!O122</f>
        <v>1</v>
      </c>
      <c r="Q3" s="22">
        <f>Watersheds!P122</f>
        <v>1</v>
      </c>
      <c r="R3" s="22">
        <f>Watersheds!Q122</f>
        <v>1</v>
      </c>
      <c r="S3" s="22">
        <f>Watersheds!R122</f>
        <v>1</v>
      </c>
      <c r="T3" s="22">
        <f>Watersheds!S122</f>
        <v>1</v>
      </c>
      <c r="U3" s="22">
        <f>Watersheds!T122</f>
        <v>1</v>
      </c>
      <c r="V3" s="22">
        <f>Watersheds!U122</f>
        <v>1</v>
      </c>
      <c r="W3" s="22">
        <f>Watersheds!V122</f>
        <v>1</v>
      </c>
      <c r="X3" s="22">
        <f>Watersheds!W122</f>
        <v>1</v>
      </c>
      <c r="Y3" s="22">
        <f>Watersheds!X122</f>
        <v>1</v>
      </c>
      <c r="Z3" s="22">
        <f>Watersheds!Y122</f>
        <v>1</v>
      </c>
      <c r="AA3" s="22">
        <f>Watersheds!Z122</f>
        <v>1</v>
      </c>
      <c r="AB3" s="22">
        <f>Watersheds!AA122</f>
        <v>1</v>
      </c>
      <c r="AC3" s="22">
        <f>Watersheds!AB122</f>
        <v>1</v>
      </c>
      <c r="AD3" s="22">
        <f>Watersheds!AC122</f>
        <v>1</v>
      </c>
      <c r="AE3" s="22">
        <f>Watersheds!AD122</f>
        <v>1</v>
      </c>
      <c r="AF3" s="22">
        <f>Watersheds!AE122</f>
        <v>1</v>
      </c>
      <c r="AG3" s="22">
        <f>Watersheds!AF122</f>
        <v>1</v>
      </c>
      <c r="AH3" s="22">
        <f>Watersheds!AG122</f>
        <v>1</v>
      </c>
      <c r="AI3" s="22">
        <f>Watersheds!AH122</f>
        <v>1</v>
      </c>
      <c r="AJ3" s="22">
        <f>Watersheds!AI122</f>
        <v>1</v>
      </c>
      <c r="AK3" s="22">
        <f>Watersheds!AJ122</f>
        <v>1</v>
      </c>
      <c r="AL3" s="22">
        <f>Watersheds!AK122</f>
        <v>1</v>
      </c>
      <c r="AM3" s="22">
        <f>Watersheds!AL122</f>
        <v>1</v>
      </c>
      <c r="AN3" s="22">
        <f>Watersheds!AM122</f>
        <v>1</v>
      </c>
      <c r="AO3" s="22">
        <f>Watersheds!AN122</f>
        <v>1</v>
      </c>
      <c r="AP3" s="22"/>
      <c r="AQ3"/>
    </row>
    <row r="4" spans="1:43" x14ac:dyDescent="0.25">
      <c r="A4" s="21" t="s">
        <v>109</v>
      </c>
      <c r="C4" s="60">
        <v>1957.0921505301501</v>
      </c>
      <c r="D4" s="60">
        <v>2064.3734939024148</v>
      </c>
      <c r="E4" s="60">
        <v>2655.8976201928185</v>
      </c>
      <c r="F4" s="60">
        <v>2039.8950095432924</v>
      </c>
      <c r="G4" s="60">
        <v>2040.3658042098718</v>
      </c>
      <c r="H4" s="60">
        <v>1530.8375415144662</v>
      </c>
      <c r="I4" s="60">
        <v>1909.6773432902801</v>
      </c>
      <c r="J4" s="60">
        <v>2045.6726208857913</v>
      </c>
      <c r="K4" s="60">
        <v>1796.3672394088449</v>
      </c>
      <c r="L4" s="60">
        <v>1530.8381659797653</v>
      </c>
      <c r="M4" s="60">
        <v>1448.4071901179796</v>
      </c>
      <c r="N4" s="60">
        <v>1667.0517706153371</v>
      </c>
      <c r="O4" s="60">
        <v>2130.4747006334787</v>
      </c>
      <c r="P4" s="60">
        <v>1294.2478016921918</v>
      </c>
      <c r="Q4" s="60">
        <v>2550</v>
      </c>
      <c r="R4" s="60">
        <v>1475.2501181480977</v>
      </c>
      <c r="S4" s="60">
        <v>1624.7060306565261</v>
      </c>
      <c r="T4" s="60">
        <v>1634.8947554312722</v>
      </c>
      <c r="U4" s="60">
        <v>1507.8038766495747</v>
      </c>
      <c r="V4" s="60">
        <v>1362.7991448865284</v>
      </c>
      <c r="W4" s="60">
        <v>2210</v>
      </c>
      <c r="X4" s="60">
        <v>1597.8021253967254</v>
      </c>
      <c r="Y4" s="60">
        <v>1548.7150065523606</v>
      </c>
      <c r="Z4" s="60">
        <v>2621.7113297391875</v>
      </c>
      <c r="AA4" s="60">
        <v>2356.4244074977551</v>
      </c>
      <c r="AB4" s="60">
        <v>1517.7556712338387</v>
      </c>
      <c r="AC4" s="60">
        <v>1817.2022796712856</v>
      </c>
      <c r="AD4" s="60">
        <v>1921.7128704119955</v>
      </c>
      <c r="AE4" s="60">
        <v>2364.6152845990423</v>
      </c>
      <c r="AF4" s="60">
        <v>2068.2512766076366</v>
      </c>
      <c r="AG4" s="60">
        <v>2329.5224025807829</v>
      </c>
      <c r="AH4" s="60">
        <v>2640.8579405781456</v>
      </c>
      <c r="AI4" s="60">
        <v>1978.9631450164738</v>
      </c>
      <c r="AJ4" s="60">
        <v>1894.1028324187671</v>
      </c>
      <c r="AK4" s="60">
        <v>1296.3087867810482</v>
      </c>
      <c r="AL4" s="60">
        <v>2578.1651391682312</v>
      </c>
      <c r="AM4" s="60">
        <v>1314.8839968490231</v>
      </c>
      <c r="AN4" s="60">
        <v>2276.3211455919663</v>
      </c>
      <c r="AO4" s="60">
        <v>2308.3147095559289</v>
      </c>
    </row>
    <row r="5" spans="1:43" x14ac:dyDescent="0.25">
      <c r="A5" s="518" t="s">
        <v>889</v>
      </c>
      <c r="B5" s="518"/>
      <c r="C5" s="519">
        <v>78.256936081900776</v>
      </c>
      <c r="D5" s="519">
        <v>84.895253826310892</v>
      </c>
      <c r="E5" s="519">
        <v>80.333393403041569</v>
      </c>
      <c r="F5" s="519">
        <v>82.525656112066073</v>
      </c>
      <c r="G5" s="519">
        <v>63.316567802344508</v>
      </c>
      <c r="H5" s="519">
        <v>86.598726014436821</v>
      </c>
      <c r="I5" s="519">
        <v>75.777200928171638</v>
      </c>
      <c r="J5" s="519">
        <v>63.489726416084338</v>
      </c>
      <c r="K5" s="519">
        <v>59.643358536464298</v>
      </c>
      <c r="L5" s="519">
        <v>52.662440200957704</v>
      </c>
      <c r="M5" s="519">
        <v>78.907620421162051</v>
      </c>
      <c r="N5" s="519">
        <v>73.366814912830165</v>
      </c>
      <c r="O5" s="519">
        <v>60.611569149172134</v>
      </c>
      <c r="P5" s="519">
        <v>48.280233434147966</v>
      </c>
      <c r="Q5" s="519">
        <v>85.132980998461221</v>
      </c>
      <c r="R5" s="519">
        <v>50.617156063420758</v>
      </c>
      <c r="S5" s="519">
        <v>95.243558975216146</v>
      </c>
      <c r="T5" s="519">
        <v>78.396584390962715</v>
      </c>
      <c r="U5" s="519">
        <v>82.402115054485535</v>
      </c>
      <c r="V5" s="519">
        <v>64.751084573832401</v>
      </c>
      <c r="W5" s="519">
        <v>65.095741742840247</v>
      </c>
      <c r="X5" s="519">
        <v>46.17257049006156</v>
      </c>
      <c r="Y5" s="519">
        <v>64.736062961530166</v>
      </c>
      <c r="Z5" s="519">
        <v>79.567488728438605</v>
      </c>
      <c r="AA5" s="519">
        <v>86.06428402168676</v>
      </c>
      <c r="AB5" s="519">
        <v>77.099640942727078</v>
      </c>
      <c r="AC5" s="519">
        <v>65.484601059033437</v>
      </c>
      <c r="AD5" s="519">
        <v>83.941683191417567</v>
      </c>
      <c r="AE5" s="519">
        <v>85.688113250155908</v>
      </c>
      <c r="AF5" s="519">
        <v>82.551681329330947</v>
      </c>
      <c r="AG5" s="519">
        <v>93.113619952480349</v>
      </c>
      <c r="AH5" s="519">
        <v>81.453953283830941</v>
      </c>
      <c r="AI5" s="519">
        <v>77.573310961792984</v>
      </c>
      <c r="AJ5" s="519">
        <v>55.702187192570598</v>
      </c>
      <c r="AK5" s="519">
        <v>48.56162195513501</v>
      </c>
      <c r="AL5" s="519">
        <v>87.938471483007916</v>
      </c>
      <c r="AM5" s="519">
        <v>48.504242089941812</v>
      </c>
      <c r="AN5" s="519">
        <v>82.331228873657722</v>
      </c>
      <c r="AO5" s="519">
        <v>92.58179069340197</v>
      </c>
    </row>
    <row r="6" spans="1:43" x14ac:dyDescent="0.25">
      <c r="A6" s="518" t="s">
        <v>890</v>
      </c>
      <c r="B6" s="518"/>
      <c r="C6" s="519">
        <v>6863.2478935782538</v>
      </c>
      <c r="D6" s="519">
        <v>7692.8543124002445</v>
      </c>
      <c r="E6" s="519">
        <v>9218.6640282616354</v>
      </c>
      <c r="F6" s="519">
        <v>6636.6454159163086</v>
      </c>
      <c r="G6" s="519">
        <v>7259.4171511493932</v>
      </c>
      <c r="H6" s="519">
        <v>6229.1059404298439</v>
      </c>
      <c r="I6" s="519">
        <v>6277.1506296155576</v>
      </c>
      <c r="J6" s="519">
        <v>7296.8752316659784</v>
      </c>
      <c r="K6" s="519">
        <v>5997.5829858141551</v>
      </c>
      <c r="L6" s="519">
        <v>5362.3759561220631</v>
      </c>
      <c r="M6" s="519">
        <v>6212.4295668856676</v>
      </c>
      <c r="N6" s="519">
        <v>6257.7049669364906</v>
      </c>
      <c r="O6" s="519">
        <v>6868.7624255516585</v>
      </c>
      <c r="P6" s="519">
        <v>5118.6826350533129</v>
      </c>
      <c r="Q6" s="519">
        <v>8437.552770913142</v>
      </c>
      <c r="R6" s="519">
        <v>6217.6004629744939</v>
      </c>
      <c r="S6" s="519">
        <v>6667.7535413527012</v>
      </c>
      <c r="T6" s="519">
        <v>6201.1947821783906</v>
      </c>
      <c r="U6" s="519">
        <v>6188.1814664210078</v>
      </c>
      <c r="V6" s="519">
        <v>5875.812270789098</v>
      </c>
      <c r="W6" s="519">
        <v>8098.3596368010622</v>
      </c>
      <c r="X6" s="519">
        <v>4672.4462862894434</v>
      </c>
      <c r="Y6" s="519">
        <v>5946.6788579710801</v>
      </c>
      <c r="Z6" s="519">
        <v>9014.4593818531775</v>
      </c>
      <c r="AA6" s="519">
        <v>8224.8192766934917</v>
      </c>
      <c r="AB6" s="519">
        <v>6258.5665709009345</v>
      </c>
      <c r="AC6" s="519">
        <v>6302.7754586487481</v>
      </c>
      <c r="AD6" s="519">
        <v>6231.0460379704655</v>
      </c>
      <c r="AE6" s="519">
        <v>7998.7245371326262</v>
      </c>
      <c r="AF6" s="519">
        <v>7175.7305189559711</v>
      </c>
      <c r="AG6" s="519">
        <v>8702.9433031393892</v>
      </c>
      <c r="AH6" s="519">
        <v>9224.8860493737393</v>
      </c>
      <c r="AI6" s="519">
        <v>6883.6323899910703</v>
      </c>
      <c r="AJ6" s="519">
        <v>6895.7443479576059</v>
      </c>
      <c r="AK6" s="519">
        <v>5062.3831185517283</v>
      </c>
      <c r="AL6" s="519">
        <v>8622.6815208837197</v>
      </c>
      <c r="AM6" s="519">
        <v>5129.2190726561412</v>
      </c>
      <c r="AN6" s="519">
        <v>7734.6437033803559</v>
      </c>
      <c r="AO6" s="519">
        <v>7728.5736361709323</v>
      </c>
    </row>
    <row r="7" spans="1:43" x14ac:dyDescent="0.25">
      <c r="A7" s="21" t="s">
        <v>108</v>
      </c>
      <c r="C7" s="60">
        <v>0.22116300867633218</v>
      </c>
      <c r="D7" s="60">
        <v>0.16402975060429814</v>
      </c>
      <c r="E7" s="60">
        <v>0.32510844378793535</v>
      </c>
      <c r="F7" s="60">
        <v>0.2588825084359499</v>
      </c>
      <c r="G7" s="60">
        <v>0.26517720794124067</v>
      </c>
      <c r="H7" s="60">
        <v>0.1525060086264525</v>
      </c>
      <c r="I7" s="60">
        <v>0.24921293991358115</v>
      </c>
      <c r="J7" s="60">
        <v>0.2458976235022827</v>
      </c>
      <c r="K7" s="60">
        <v>0.27708209131188688</v>
      </c>
      <c r="L7" s="60">
        <v>0.25592170099301509</v>
      </c>
      <c r="M7" s="60">
        <v>0.26870417134900038</v>
      </c>
      <c r="N7" s="60">
        <v>0.22240847317424325</v>
      </c>
      <c r="O7" s="60">
        <v>0.28760042726250118</v>
      </c>
      <c r="P7" s="60">
        <v>0.21593262570298072</v>
      </c>
      <c r="Q7" s="60">
        <v>0.30662426907039492</v>
      </c>
      <c r="R7" s="60">
        <v>0.27574732391840456</v>
      </c>
      <c r="S7" s="60">
        <v>0.15782824633510192</v>
      </c>
      <c r="T7" s="60">
        <v>0.2171020296920177</v>
      </c>
      <c r="U7" s="60">
        <v>0.31129861557052546</v>
      </c>
      <c r="V7" s="60">
        <v>0.11315149614733451</v>
      </c>
      <c r="W7" s="60">
        <v>0.30865950923407437</v>
      </c>
      <c r="X7" s="60">
        <v>0.26252665070721654</v>
      </c>
      <c r="Y7" s="60">
        <v>0.12436789053730506</v>
      </c>
      <c r="Z7" s="60">
        <v>0.33410119708304198</v>
      </c>
      <c r="AA7" s="60">
        <v>0.27033946217170657</v>
      </c>
      <c r="AB7" s="60">
        <v>0.24187734541906278</v>
      </c>
      <c r="AC7" s="60">
        <v>0.23453442747977857</v>
      </c>
      <c r="AD7" s="60">
        <v>0.28334164641301957</v>
      </c>
      <c r="AE7" s="60">
        <v>0.24980911596554015</v>
      </c>
      <c r="AF7" s="60">
        <v>0.26146273649447249</v>
      </c>
      <c r="AG7" s="60">
        <v>0.27545528921005991</v>
      </c>
      <c r="AH7" s="60">
        <v>0.30092549360227344</v>
      </c>
      <c r="AI7" s="60">
        <v>0.2585993600223242</v>
      </c>
      <c r="AJ7" s="60">
        <v>0.25638713141579789</v>
      </c>
      <c r="AK7" s="60">
        <v>0.30147683275083215</v>
      </c>
      <c r="AL7" s="60">
        <v>0.28666621713824808</v>
      </c>
      <c r="AM7" s="60">
        <v>0.2489679509222818</v>
      </c>
      <c r="AN7" s="60">
        <v>0.24382982892483521</v>
      </c>
      <c r="AO7" s="60">
        <v>0.25963835587920198</v>
      </c>
    </row>
    <row r="8" spans="1:43" x14ac:dyDescent="0.25">
      <c r="A8" s="21" t="s">
        <v>107</v>
      </c>
      <c r="C8" s="60">
        <v>0.2726918429027953</v>
      </c>
      <c r="D8" s="60">
        <v>0.45438426818085437</v>
      </c>
      <c r="E8" s="60">
        <v>2.5922440425679727</v>
      </c>
      <c r="F8" s="60">
        <v>0.26339565448364816</v>
      </c>
      <c r="G8" s="60">
        <v>0.35791200928240846</v>
      </c>
      <c r="H8" s="60">
        <v>1.1399406708036319</v>
      </c>
      <c r="I8" s="60">
        <v>0.25180894157393835</v>
      </c>
      <c r="J8" s="60">
        <v>0.21573170298505095</v>
      </c>
      <c r="K8" s="60">
        <v>0.23324453029958275</v>
      </c>
      <c r="L8" s="60">
        <v>0.33212985141012974</v>
      </c>
      <c r="M8" s="60">
        <v>0.16910646572176932</v>
      </c>
      <c r="N8" s="60">
        <v>0.42060501334877487</v>
      </c>
      <c r="O8" s="60">
        <v>0.28312076609550174</v>
      </c>
      <c r="P8" s="60">
        <v>0.15410341234676814</v>
      </c>
      <c r="Q8" s="60">
        <v>0.16887507680594407</v>
      </c>
      <c r="R8" s="60">
        <v>0.1748797679767361</v>
      </c>
      <c r="S8" s="60">
        <v>2.2634934628218071</v>
      </c>
      <c r="T8" s="60">
        <v>0.42108072790347462</v>
      </c>
      <c r="U8" s="60">
        <v>0.2265511131873249</v>
      </c>
      <c r="V8" s="60">
        <v>0.13000212443649259</v>
      </c>
      <c r="W8" s="60">
        <v>0.190734085215606</v>
      </c>
      <c r="X8" s="60">
        <v>0.17793160742642519</v>
      </c>
      <c r="Y8" s="60">
        <v>0.13367621052102788</v>
      </c>
      <c r="Z8" s="60">
        <v>0.50187857926198076</v>
      </c>
      <c r="AA8" s="60">
        <v>0.62027109279024106</v>
      </c>
      <c r="AB8" s="60">
        <v>0.16272092516820474</v>
      </c>
      <c r="AC8" s="60">
        <v>0.35707616107562323</v>
      </c>
      <c r="AD8" s="60">
        <v>0.41301183863654561</v>
      </c>
      <c r="AE8" s="60">
        <v>0.16083847467916995</v>
      </c>
      <c r="AF8" s="60">
        <v>0.6917111463262654</v>
      </c>
      <c r="AG8" s="60">
        <v>0.79687894254797009</v>
      </c>
      <c r="AH8" s="60">
        <v>1.2460139586037751</v>
      </c>
      <c r="AI8" s="60">
        <v>0.25966256900146834</v>
      </c>
      <c r="AJ8" s="60">
        <v>0.16821097488673337</v>
      </c>
      <c r="AK8" s="60">
        <v>0.1170513263722421</v>
      </c>
      <c r="AL8" s="60">
        <v>0.23016618417624274</v>
      </c>
      <c r="AM8" s="60">
        <v>0.12516492891163811</v>
      </c>
      <c r="AN8" s="60">
        <v>0.26949828123962671</v>
      </c>
      <c r="AO8" s="60">
        <v>0.17553062106317291</v>
      </c>
    </row>
    <row r="9" spans="1:43" x14ac:dyDescent="0.25">
      <c r="A9" s="21" t="s">
        <v>106</v>
      </c>
      <c r="C9" s="60">
        <v>0.109701611102</v>
      </c>
      <c r="D9" s="60">
        <v>0.12568150460700001</v>
      </c>
      <c r="E9" s="60">
        <v>0.14541593193999999</v>
      </c>
      <c r="F9" s="60">
        <v>0.122204370797</v>
      </c>
      <c r="G9" s="60">
        <v>0.20104534924</v>
      </c>
      <c r="H9" s="60">
        <v>2.5482210330700001E-3</v>
      </c>
      <c r="I9" s="60">
        <v>8.6204923689399998E-2</v>
      </c>
      <c r="J9" s="60">
        <v>0.20777809619900001</v>
      </c>
      <c r="K9" s="60">
        <v>0.21170499920800001</v>
      </c>
      <c r="L9" s="60">
        <v>0.150594681501</v>
      </c>
      <c r="M9" s="60">
        <v>5.5561778135599996E-3</v>
      </c>
      <c r="N9" s="60">
        <v>4.0773473679999998E-2</v>
      </c>
      <c r="O9" s="60">
        <v>0.20268429815799999</v>
      </c>
      <c r="P9" s="60">
        <v>0.124370992184</v>
      </c>
      <c r="Q9" s="60">
        <v>0.20242068171499999</v>
      </c>
      <c r="R9" s="60">
        <v>0.12509131431600001</v>
      </c>
      <c r="S9" s="60">
        <v>2.9292593244499999E-3</v>
      </c>
      <c r="T9" s="60">
        <v>3.0784001573899999E-2</v>
      </c>
      <c r="U9" s="60">
        <v>2.5148945860600002E-3</v>
      </c>
      <c r="V9" s="60">
        <v>1.97347272187E-2</v>
      </c>
      <c r="W9" s="60">
        <v>0.21427552402</v>
      </c>
      <c r="X9" s="60">
        <v>0.17770977318299999</v>
      </c>
      <c r="Y9" s="60">
        <v>2.2035432979499999E-2</v>
      </c>
      <c r="Z9" s="60">
        <v>0.15598645806299999</v>
      </c>
      <c r="AA9" s="60">
        <v>0.193653643131</v>
      </c>
      <c r="AB9" s="60">
        <v>2.05200612545E-2</v>
      </c>
      <c r="AC9" s="60">
        <v>0.16058462858200001</v>
      </c>
      <c r="AD9" s="60">
        <v>5.4150883108400001E-2</v>
      </c>
      <c r="AE9" s="60">
        <v>0.21641969680799999</v>
      </c>
      <c r="AF9" s="60">
        <v>0.204222157598</v>
      </c>
      <c r="AG9" s="60">
        <v>0.1409432441</v>
      </c>
      <c r="AH9" s="60">
        <v>0.15000009536700001</v>
      </c>
      <c r="AI9" s="60">
        <v>0.20577840507</v>
      </c>
      <c r="AJ9" s="60">
        <v>0.203097581863</v>
      </c>
      <c r="AK9" s="60">
        <v>0.13133002817600001</v>
      </c>
      <c r="AL9" s="60">
        <v>0.19130799174300001</v>
      </c>
      <c r="AM9" s="60">
        <v>0.127042084932</v>
      </c>
      <c r="AN9" s="60">
        <v>0.22020246088500001</v>
      </c>
      <c r="AO9" s="60">
        <v>0.211635291576</v>
      </c>
    </row>
    <row r="10" spans="1:43" x14ac:dyDescent="0.25">
      <c r="A10" s="21" t="s">
        <v>105</v>
      </c>
      <c r="C10" s="60">
        <v>6.6313929855799994E-2</v>
      </c>
      <c r="D10" s="60">
        <v>7.1627587079999999E-2</v>
      </c>
      <c r="E10" s="60">
        <v>9.5482781529399999E-2</v>
      </c>
      <c r="F10" s="60">
        <v>7.9541228711600007E-2</v>
      </c>
      <c r="G10" s="60">
        <v>0.109461501241</v>
      </c>
      <c r="H10" s="60">
        <v>2.5482210330700001E-3</v>
      </c>
      <c r="I10" s="60">
        <v>5.3275633603300003E-2</v>
      </c>
      <c r="J10" s="60">
        <v>0.112449906766</v>
      </c>
      <c r="K10" s="60">
        <v>0.121529579163</v>
      </c>
      <c r="L10" s="60">
        <v>0.119658567011</v>
      </c>
      <c r="M10" s="60">
        <v>5.5356882512600002E-3</v>
      </c>
      <c r="N10" s="60">
        <v>3.4170452505399997E-2</v>
      </c>
      <c r="O10" s="60">
        <v>0.108855977654</v>
      </c>
      <c r="P10" s="60">
        <v>0.120658747852</v>
      </c>
      <c r="Q10" s="60">
        <v>0.108616761863</v>
      </c>
      <c r="R10" s="60">
        <v>0.11590237170500001</v>
      </c>
      <c r="S10" s="60">
        <v>2.9292593244499999E-3</v>
      </c>
      <c r="T10" s="60">
        <v>2.66165845096E-2</v>
      </c>
      <c r="U10" s="60">
        <v>2.5148945860600002E-3</v>
      </c>
      <c r="V10" s="60">
        <v>1.8474752083399999E-2</v>
      </c>
      <c r="W10" s="60">
        <v>0.114003747702</v>
      </c>
      <c r="X10" s="60">
        <v>0.142923742533</v>
      </c>
      <c r="Y10" s="60">
        <v>2.1840227767800001E-2</v>
      </c>
      <c r="Z10" s="60">
        <v>9.8482996225399994E-2</v>
      </c>
      <c r="AA10" s="60">
        <v>0.105143792927</v>
      </c>
      <c r="AB10" s="60">
        <v>1.84759907424E-2</v>
      </c>
      <c r="AC10" s="60">
        <v>0.10136214643700001</v>
      </c>
      <c r="AD10" s="60">
        <v>3.6630306392899999E-2</v>
      </c>
      <c r="AE10" s="60">
        <v>0.11525218933799999</v>
      </c>
      <c r="AF10" s="60">
        <v>0.114959210157</v>
      </c>
      <c r="AG10" s="60">
        <v>7.5692817568800003E-2</v>
      </c>
      <c r="AH10" s="60">
        <v>9.69584584236E-2</v>
      </c>
      <c r="AI10" s="60">
        <v>0.12532407045399999</v>
      </c>
      <c r="AJ10" s="60">
        <v>0.112801648676</v>
      </c>
      <c r="AK10" s="60">
        <v>0.12625715136499999</v>
      </c>
      <c r="AL10" s="60">
        <v>0.106912821531</v>
      </c>
      <c r="AM10" s="60">
        <v>0.11913023144</v>
      </c>
      <c r="AN10" s="60">
        <v>0.118715189397</v>
      </c>
      <c r="AO10" s="60">
        <v>0.114030838013</v>
      </c>
    </row>
    <row r="11" spans="1:43" s="163" customFormat="1" x14ac:dyDescent="0.25">
      <c r="A11" s="452" t="s">
        <v>1208</v>
      </c>
      <c r="C11" s="50">
        <f>Watersheds!B123*C3</f>
        <v>1183611.8269754259</v>
      </c>
      <c r="D11" s="50">
        <f>Watersheds!C123*D3</f>
        <v>95754.758676922065</v>
      </c>
      <c r="E11" s="50">
        <f>Watersheds!D123*E3</f>
        <v>384363.31644598179</v>
      </c>
      <c r="F11" s="50">
        <f>Watersheds!E123*F3</f>
        <v>526499.4754478957</v>
      </c>
      <c r="G11" s="50">
        <f>Watersheds!F123*G3</f>
        <v>1087765.8836466991</v>
      </c>
      <c r="H11" s="50">
        <f>Watersheds!G123*H3</f>
        <v>21773.538325770438</v>
      </c>
      <c r="I11" s="50">
        <f>Watersheds!H123*I3</f>
        <v>476975.34015582805</v>
      </c>
      <c r="J11" s="50">
        <f>Watersheds!I123*J3</f>
        <v>1782881.9850823716</v>
      </c>
      <c r="K11" s="50">
        <f>Watersheds!J123*K3</f>
        <v>458429.5700289816</v>
      </c>
      <c r="L11" s="50">
        <f>Watersheds!K123*L3</f>
        <v>819176.20611457271</v>
      </c>
      <c r="M11" s="50">
        <f>Watersheds!L123*M3</f>
        <v>49840.38319707138</v>
      </c>
      <c r="N11" s="50">
        <f>Watersheds!M123*N3</f>
        <v>264659.08028609771</v>
      </c>
      <c r="O11" s="50">
        <f>Watersheds!N123*O3</f>
        <v>769733.41808108822</v>
      </c>
      <c r="P11" s="50">
        <f>Watersheds!O123*P3</f>
        <v>828673.71056960034</v>
      </c>
      <c r="Q11" s="50">
        <f>Watersheds!P123*Q3</f>
        <v>241824.56323169585</v>
      </c>
      <c r="R11" s="50">
        <f>Watersheds!Q123*R3</f>
        <v>246814.27028150437</v>
      </c>
      <c r="S11" s="50">
        <f>Watersheds!R123*S3</f>
        <v>4285.7491912003497</v>
      </c>
      <c r="T11" s="50">
        <f>Watersheds!S123*T3</f>
        <v>178246.72078017835</v>
      </c>
      <c r="U11" s="50">
        <f>Watersheds!T123*U3</f>
        <v>6495.4972264640001</v>
      </c>
      <c r="V11" s="50">
        <f>Watersheds!U123*V3</f>
        <v>106361.17112664781</v>
      </c>
      <c r="W11" s="50">
        <f>Watersheds!V123*W3</f>
        <v>64243.015453628868</v>
      </c>
      <c r="X11" s="50">
        <f>Watersheds!W123*X3</f>
        <v>534860.91880764207</v>
      </c>
      <c r="Y11" s="50">
        <f>Watersheds!X123*Y3</f>
        <v>72691.488463081871</v>
      </c>
      <c r="Z11" s="50">
        <f>Watersheds!Y123*Z3</f>
        <v>578435.98666543269</v>
      </c>
      <c r="AA11" s="50">
        <f>Watersheds!Z123*AA3</f>
        <v>1740522.0190968886</v>
      </c>
      <c r="AB11" s="50">
        <f>Watersheds!AA123*AB3</f>
        <v>310501.91638817242</v>
      </c>
      <c r="AC11" s="50">
        <f>Watersheds!AB123*AC3</f>
        <v>1118256.7685890032</v>
      </c>
      <c r="AD11" s="50">
        <f>Watersheds!AC123*AD3</f>
        <v>46608.093375328011</v>
      </c>
      <c r="AE11" s="50">
        <f>Watersheds!AD123*AE3</f>
        <v>54441.211277657247</v>
      </c>
      <c r="AF11" s="50">
        <f>Watersheds!AE123*AF3</f>
        <v>65663.160762143409</v>
      </c>
      <c r="AG11" s="50">
        <f>Watersheds!AF123*AG3</f>
        <v>130947.11348153764</v>
      </c>
      <c r="AH11" s="50">
        <f>Watersheds!AG123*AH3</f>
        <v>25765.811486446426</v>
      </c>
      <c r="AI11" s="50">
        <f>Watersheds!AH123*AI3</f>
        <v>1340660.9713842301</v>
      </c>
      <c r="AJ11" s="50">
        <f>Watersheds!AI123*AJ3</f>
        <v>128358.10151161565</v>
      </c>
      <c r="AK11" s="50">
        <f>Watersheds!AJ123*AK3</f>
        <v>574366.93169227615</v>
      </c>
      <c r="AL11" s="50">
        <f>Watersheds!AK123*AL3</f>
        <v>522509.1045987652</v>
      </c>
      <c r="AM11" s="50">
        <f>Watersheds!AL123*AM3</f>
        <v>1064528.7062601969</v>
      </c>
      <c r="AN11" s="50">
        <f>Watersheds!AM123*AN3</f>
        <v>790004.66459855286</v>
      </c>
      <c r="AO11" s="50">
        <f>Watersheds!AN123*AO3</f>
        <v>949734.58489426749</v>
      </c>
    </row>
    <row r="12" spans="1:43" x14ac:dyDescent="0.25">
      <c r="A12" s="51" t="s">
        <v>1294</v>
      </c>
      <c r="C12" s="50">
        <f>SUM(Watersheds!B13:B18)*C3</f>
        <v>889441.47952095</v>
      </c>
      <c r="D12" s="50">
        <f>SUM(Watersheds!C13:C18)*D3</f>
        <v>60786.933883029495</v>
      </c>
      <c r="E12" s="50">
        <f>SUM(Watersheds!D13:D18)*E3</f>
        <v>290247.88931003609</v>
      </c>
      <c r="F12" s="50">
        <f>SUM(Watersheds!E13:E18)*F3</f>
        <v>365687.22313826997</v>
      </c>
      <c r="G12" s="50">
        <f>SUM(Watersheds!F13:F18)*G3</f>
        <v>1049731.5047370798</v>
      </c>
      <c r="H12" s="50">
        <f>SUM(Watersheds!G13:G18)*H3</f>
        <v>1006.1794971386199</v>
      </c>
      <c r="I12" s="50">
        <f>SUM(Watersheds!H13:H18)*I3</f>
        <v>281845.33536775003</v>
      </c>
      <c r="J12" s="50">
        <f>SUM(Watersheds!I13:I18)*J3</f>
        <v>1728457.096624447</v>
      </c>
      <c r="K12" s="50">
        <f>SUM(Watersheds!J13:J18)*K3</f>
        <v>425023.25457699405</v>
      </c>
      <c r="L12" s="50">
        <f>SUM(Watersheds!K13:K18)*L3</f>
        <v>724304.45425694995</v>
      </c>
      <c r="M12" s="50">
        <f>SUM(Watersheds!L13:L18)*M3</f>
        <v>19203.377476232698</v>
      </c>
      <c r="N12" s="50">
        <f>SUM(Watersheds!M13:M18)*N3</f>
        <v>125063.31060391001</v>
      </c>
      <c r="O12" s="50">
        <f>SUM(Watersheds!N13:N18)*O3</f>
        <v>738086.55122553406</v>
      </c>
      <c r="P12" s="50">
        <f>SUM(Watersheds!O13:O18)*P3</f>
        <v>693794.07271913998</v>
      </c>
      <c r="Q12" s="50">
        <f>SUM(Watersheds!P13:P18)*Q3</f>
        <v>226941.348716965</v>
      </c>
      <c r="R12" s="50">
        <f>SUM(Watersheds!Q13:Q18)*R3</f>
        <v>213392.80322658303</v>
      </c>
      <c r="S12" s="50">
        <f>SUM(Watersheds!R13:R18)*S3</f>
        <v>231.08514367635001</v>
      </c>
      <c r="T12" s="50">
        <f>SUM(Watersheds!S13:S18)*T3</f>
        <v>84401.512765869993</v>
      </c>
      <c r="U12" s="50">
        <f>SUM(Watersheds!T13:T18)*U3</f>
        <v>266.62715173399999</v>
      </c>
      <c r="V12" s="50">
        <f>SUM(Watersheds!U13:U18)*V3</f>
        <v>59275.908594068998</v>
      </c>
      <c r="W12" s="50">
        <f>SUM(Watersheds!V13:V18)*W3</f>
        <v>63543.915853600804</v>
      </c>
      <c r="X12" s="50">
        <f>SUM(Watersheds!W13:W18)*X3</f>
        <v>487067.56323846302</v>
      </c>
      <c r="Y12" s="50">
        <f>SUM(Watersheds!X13:X18)*Y3</f>
        <v>38880.449324266003</v>
      </c>
      <c r="Z12" s="50">
        <f>SUM(Watersheds!Y13:Y18)*Z3</f>
        <v>511404.52411796799</v>
      </c>
      <c r="AA12" s="50">
        <f>SUM(Watersheds!Z13:Z18)*AA3</f>
        <v>1621828.0254098596</v>
      </c>
      <c r="AB12" s="50">
        <f>SUM(Watersheds!AA13:AA18)*AB3</f>
        <v>219862.81549319997</v>
      </c>
      <c r="AC12" s="50">
        <f>SUM(Watersheds!AB13:AB18)*AC3</f>
        <v>916300.55672570004</v>
      </c>
      <c r="AD12" s="50">
        <f>SUM(Watersheds!AC13:AC18)*AD3</f>
        <v>6107.0297206779996</v>
      </c>
      <c r="AE12" s="50">
        <f>SUM(Watersheds!AD13:AD18)*AE3</f>
        <v>52765.044619508393</v>
      </c>
      <c r="AF12" s="50">
        <f>SUM(Watersheds!AE13:AE18)*AF3</f>
        <v>55322.493401946303</v>
      </c>
      <c r="AG12" s="50">
        <f>SUM(Watersheds!AF13:AF18)*AG3</f>
        <v>99556.953716892007</v>
      </c>
      <c r="AH12" s="50">
        <f>SUM(Watersheds!AG13:AG18)*AH3</f>
        <v>19409.1612239354</v>
      </c>
      <c r="AI12" s="50">
        <f>SUM(Watersheds!AH13:AH18)*AI3</f>
        <v>1200845.5356812179</v>
      </c>
      <c r="AJ12" s="50">
        <f>SUM(Watersheds!AI13:AI18)*AJ3</f>
        <v>122666.09089426551</v>
      </c>
      <c r="AK12" s="50">
        <f>SUM(Watersheds!AJ13:AJ18)*AK3</f>
        <v>503769.39836992003</v>
      </c>
      <c r="AL12" s="50">
        <f>SUM(Watersheds!AK13:AK18)*AL3</f>
        <v>489554.75061596598</v>
      </c>
      <c r="AM12" s="50">
        <f>SUM(Watersheds!AL13:AL18)*AM3</f>
        <v>902089.89775360993</v>
      </c>
      <c r="AN12" s="50">
        <f>SUM(Watersheds!AM13:AM18)*AN3</f>
        <v>760763.46342053206</v>
      </c>
      <c r="AO12" s="50">
        <f>SUM(Watersheds!AN13:AN18)*AO3</f>
        <v>906062.91986733803</v>
      </c>
      <c r="AP12" s="453">
        <f>SUM(C12:AO12)</f>
        <v>16954988.537985224</v>
      </c>
    </row>
    <row r="13" spans="1:43" s="51" customFormat="1" x14ac:dyDescent="0.25">
      <c r="A13" s="51" t="s">
        <v>1295</v>
      </c>
      <c r="C13" s="51">
        <f>Watersheds!B132*C3</f>
        <v>530931.58293822547</v>
      </c>
      <c r="D13" s="51">
        <f>Watersheds!C132*D3</f>
        <v>56914.965007839877</v>
      </c>
      <c r="E13" s="51">
        <f>Watersheds!D132*E3</f>
        <v>189172.96224450826</v>
      </c>
      <c r="F13" s="51">
        <f>Watersheds!E132*F3</f>
        <v>219334.91661650356</v>
      </c>
      <c r="G13" s="51">
        <f>Watersheds!F132*G3</f>
        <v>810888.5193358016</v>
      </c>
      <c r="H13" s="51">
        <f>Watersheds!G132*H3</f>
        <v>16.988081111242483</v>
      </c>
      <c r="I13" s="51">
        <f>Watersheds!H132*I3</f>
        <v>153543.91415673323</v>
      </c>
      <c r="J13" s="51">
        <f>Watersheds!I132*J3</f>
        <v>1073520.8393575228</v>
      </c>
      <c r="K13" s="51">
        <f>Watersheds!J132*K3</f>
        <v>239312.42170568317</v>
      </c>
      <c r="L13" s="51">
        <f>Watersheds!K132*L3</f>
        <v>427351.39757352346</v>
      </c>
      <c r="M13" s="51">
        <f>Watersheds!L132*M3</f>
        <v>6938.0060933400828</v>
      </c>
      <c r="N13" s="51">
        <f>Watersheds!M132*N3</f>
        <v>12446.107199552682</v>
      </c>
      <c r="O13" s="51">
        <f>Watersheds!N132*O3</f>
        <v>613353.14725765609</v>
      </c>
      <c r="P13" s="51">
        <f>Watersheds!O132*P3</f>
        <v>204961.07474732367</v>
      </c>
      <c r="Q13" s="51">
        <f>Watersheds!P132*Q3</f>
        <v>136404.18328764598</v>
      </c>
      <c r="R13" s="51">
        <f>Watersheds!Q132*R3</f>
        <v>68065.837984318059</v>
      </c>
      <c r="S13" s="51">
        <f>Watersheds!R132*S3</f>
        <v>8.6218245984693844</v>
      </c>
      <c r="T13" s="51">
        <f>Watersheds!S132*T3</f>
        <v>25666.476522709261</v>
      </c>
      <c r="U13" s="51">
        <f>Watersheds!T132*U3</f>
        <v>29.449732456650832</v>
      </c>
      <c r="V13" s="51">
        <f>Watersheds!U132*V3</f>
        <v>3113.6825967674349</v>
      </c>
      <c r="W13" s="51">
        <f>Watersheds!V132*W3</f>
        <v>22156.529134296092</v>
      </c>
      <c r="X13" s="51">
        <f>Watersheds!W132*X3</f>
        <v>94421.272777601524</v>
      </c>
      <c r="Y13" s="51">
        <f>Watersheds!X132*Y3</f>
        <v>3408.458330825943</v>
      </c>
      <c r="Z13" s="51">
        <f>Watersheds!Y132*Z3</f>
        <v>374647.59455728228</v>
      </c>
      <c r="AA13" s="51">
        <f>Watersheds!Z132*AA3</f>
        <v>1240110.0986732151</v>
      </c>
      <c r="AB13" s="51">
        <f>Watersheds!AA132*AB3</f>
        <v>34128.367842003834</v>
      </c>
      <c r="AC13" s="51">
        <f>Watersheds!AB132*AC3</f>
        <v>771954.3805303371</v>
      </c>
      <c r="AD13" s="51">
        <f>Watersheds!AC132*AD3</f>
        <v>596.85120771211666</v>
      </c>
      <c r="AE13" s="51">
        <f>Watersheds!AD132*AE3</f>
        <v>47117.45088627284</v>
      </c>
      <c r="AF13" s="51">
        <f>Watersheds!AE132*AF3</f>
        <v>50273.439926155785</v>
      </c>
      <c r="AG13" s="51">
        <f>Watersheds!AF132*AG3</f>
        <v>86287.598890441994</v>
      </c>
      <c r="AH13" s="51">
        <f>Watersheds!AG132*AH3</f>
        <v>12232.240157906386</v>
      </c>
      <c r="AI13" s="51">
        <f>Watersheds!AH132*AI3</f>
        <v>783941.6467124722</v>
      </c>
      <c r="AJ13" s="51">
        <f>Watersheds!AI132*AJ3</f>
        <v>79396.569733139841</v>
      </c>
      <c r="AK13" s="51">
        <f>Watersheds!AJ132*AK3</f>
        <v>58783.55715732598</v>
      </c>
      <c r="AL13" s="51">
        <f>Watersheds!AK132*AL3</f>
        <v>357617.52754060994</v>
      </c>
      <c r="AM13" s="51">
        <f>Watersheds!AL132*AM3</f>
        <v>170395.9973062482</v>
      </c>
      <c r="AN13" s="51">
        <f>Watersheds!AM132*AN3</f>
        <v>444460.97971280018</v>
      </c>
      <c r="AO13" s="51">
        <f>Watersheds!AN132*AO3</f>
        <v>484027.45488118561</v>
      </c>
      <c r="AP13" s="453">
        <f>SUM(C13:AO13)</f>
        <v>9887933.1102216523</v>
      </c>
    </row>
    <row r="14" spans="1:43" s="51" customFormat="1" x14ac:dyDescent="0.25">
      <c r="A14" s="852" t="s">
        <v>1298</v>
      </c>
      <c r="C14" s="22">
        <f>IF(C12&gt;0,C13/C12,0)</f>
        <v>0.59692694253947243</v>
      </c>
      <c r="D14" s="22">
        <f t="shared" ref="D14:AO14" si="0">IF(D12&gt;0,D13/D12,0)</f>
        <v>0.93630261262000258</v>
      </c>
      <c r="E14" s="22">
        <f t="shared" si="0"/>
        <v>0.65176343812250115</v>
      </c>
      <c r="F14" s="22">
        <f t="shared" si="0"/>
        <v>0.59978829649613119</v>
      </c>
      <c r="G14" s="22">
        <f t="shared" si="0"/>
        <v>0.77247230903953878</v>
      </c>
      <c r="H14" s="22">
        <f t="shared" si="0"/>
        <v>1.6883748038549088E-2</v>
      </c>
      <c r="I14" s="22">
        <f t="shared" si="0"/>
        <v>0.54478075344546717</v>
      </c>
      <c r="J14" s="22">
        <f t="shared" si="0"/>
        <v>0.62108619383959951</v>
      </c>
      <c r="K14" s="22">
        <f t="shared" si="0"/>
        <v>0.56305724246514399</v>
      </c>
      <c r="L14" s="22">
        <f t="shared" si="0"/>
        <v>0.59001624946782227</v>
      </c>
      <c r="M14" s="22">
        <f t="shared" si="0"/>
        <v>0.36129092926111533</v>
      </c>
      <c r="N14" s="22">
        <f t="shared" si="0"/>
        <v>9.9518453009539667E-2</v>
      </c>
      <c r="O14" s="22">
        <f t="shared" si="0"/>
        <v>0.83100436695294333</v>
      </c>
      <c r="P14" s="22">
        <f t="shared" si="0"/>
        <v>0.29542061947003045</v>
      </c>
      <c r="Q14" s="22">
        <f t="shared" si="0"/>
        <v>0.60105478379687216</v>
      </c>
      <c r="R14" s="22">
        <f t="shared" si="0"/>
        <v>0.31896969792390301</v>
      </c>
      <c r="S14" s="22">
        <f t="shared" si="0"/>
        <v>3.7310163956471465E-2</v>
      </c>
      <c r="T14" s="22">
        <f t="shared" si="0"/>
        <v>0.30409972145769626</v>
      </c>
      <c r="U14" s="22">
        <f t="shared" si="0"/>
        <v>0.11045286372796456</v>
      </c>
      <c r="V14" s="22">
        <f t="shared" si="0"/>
        <v>5.252863550503184E-2</v>
      </c>
      <c r="W14" s="22">
        <f t="shared" si="0"/>
        <v>0.34868057526298268</v>
      </c>
      <c r="X14" s="22">
        <f t="shared" si="0"/>
        <v>0.19385662257984093</v>
      </c>
      <c r="Y14" s="22">
        <f t="shared" si="0"/>
        <v>8.7665096213244156E-2</v>
      </c>
      <c r="Z14" s="22">
        <f t="shared" si="0"/>
        <v>0.73258560863036215</v>
      </c>
      <c r="AA14" s="22">
        <f t="shared" si="0"/>
        <v>0.76463723603482636</v>
      </c>
      <c r="AB14" s="22">
        <f t="shared" si="0"/>
        <v>0.15522573821974628</v>
      </c>
      <c r="AC14" s="22">
        <f t="shared" si="0"/>
        <v>0.84246852723611976</v>
      </c>
      <c r="AD14" s="22">
        <f t="shared" si="0"/>
        <v>9.7731832823936951E-2</v>
      </c>
      <c r="AE14" s="22">
        <f t="shared" si="0"/>
        <v>0.89296713811272865</v>
      </c>
      <c r="AF14" s="22">
        <f t="shared" si="0"/>
        <v>0.90873416642473881</v>
      </c>
      <c r="AG14" s="22">
        <f t="shared" si="0"/>
        <v>0.86671594166908927</v>
      </c>
      <c r="AH14" s="22">
        <f t="shared" si="0"/>
        <v>0.6302302308057276</v>
      </c>
      <c r="AI14" s="22">
        <f t="shared" si="0"/>
        <v>0.65282471676738696</v>
      </c>
      <c r="AJ14" s="22">
        <f t="shared" si="0"/>
        <v>0.64725768265964634</v>
      </c>
      <c r="AK14" s="22">
        <f t="shared" si="0"/>
        <v>0.11668743148658062</v>
      </c>
      <c r="AL14" s="22">
        <f t="shared" si="0"/>
        <v>0.73049546979301005</v>
      </c>
      <c r="AM14" s="22">
        <f t="shared" si="0"/>
        <v>0.18889026219068566</v>
      </c>
      <c r="AN14" s="22">
        <f t="shared" si="0"/>
        <v>0.58423018596926579</v>
      </c>
      <c r="AO14" s="22">
        <f t="shared" si="0"/>
        <v>0.53420953916981273</v>
      </c>
      <c r="AP14" s="453"/>
    </row>
    <row r="15" spans="1:43" x14ac:dyDescent="0.25">
      <c r="A15" s="59" t="s">
        <v>993</v>
      </c>
      <c r="B15" s="59"/>
      <c r="C15" s="58">
        <v>0.26314580440500002</v>
      </c>
      <c r="D15" s="58">
        <v>0.240166410804</v>
      </c>
      <c r="E15" s="58">
        <v>0.529000282288</v>
      </c>
      <c r="F15" s="58">
        <v>0.169607058167</v>
      </c>
      <c r="G15" s="58">
        <v>0.55026662349699995</v>
      </c>
      <c r="H15" s="58">
        <v>0.32138985395399999</v>
      </c>
      <c r="I15" s="58">
        <v>0.152716502547</v>
      </c>
      <c r="J15" s="58">
        <v>0.49447879195200001</v>
      </c>
      <c r="K15" s="58">
        <v>0.348369598389</v>
      </c>
      <c r="L15" s="58">
        <v>0.20800963044199999</v>
      </c>
      <c r="M15" s="58">
        <v>0.13059784471999999</v>
      </c>
      <c r="N15" s="58">
        <v>0.194602891803</v>
      </c>
      <c r="O15" s="58">
        <v>0.59506779909100005</v>
      </c>
      <c r="P15" s="58">
        <v>0.12981297075699999</v>
      </c>
      <c r="Q15" s="58">
        <v>0.43361657857899999</v>
      </c>
      <c r="R15" s="58">
        <v>0.13311320543300001</v>
      </c>
      <c r="S15" s="58">
        <v>0.25406801700600001</v>
      </c>
      <c r="T15" s="58">
        <v>0.22331780195199999</v>
      </c>
      <c r="U15" s="58">
        <v>0.37385323643700002</v>
      </c>
      <c r="V15" s="58">
        <v>8.1573829054799998E-2</v>
      </c>
      <c r="W15" s="58">
        <v>0.52699249982800001</v>
      </c>
      <c r="X15" s="58">
        <v>0.27850872278200001</v>
      </c>
      <c r="Y15" s="58">
        <v>0.141828343272</v>
      </c>
      <c r="Z15" s="58">
        <v>0.49072754383099998</v>
      </c>
      <c r="AA15" s="58">
        <v>0.32223373651499998</v>
      </c>
      <c r="AB15" s="58">
        <v>0.12684768438300001</v>
      </c>
      <c r="AC15" s="58">
        <v>0.17205819487599999</v>
      </c>
      <c r="AD15" s="58">
        <v>0.17289580404800001</v>
      </c>
      <c r="AE15" s="58">
        <v>0.36710610985800002</v>
      </c>
      <c r="AF15" s="58">
        <v>0.40582397580099999</v>
      </c>
      <c r="AG15" s="58">
        <v>0.35030475258799998</v>
      </c>
      <c r="AH15" s="58">
        <v>0.51611614227299996</v>
      </c>
      <c r="AI15" s="58">
        <v>0.34920218586899998</v>
      </c>
      <c r="AJ15" s="58">
        <v>0.44656208157499999</v>
      </c>
      <c r="AK15" s="58">
        <v>0.123859867454</v>
      </c>
      <c r="AL15" s="58">
        <v>0.45405429601699998</v>
      </c>
      <c r="AM15" s="58">
        <v>0.163858607411</v>
      </c>
      <c r="AN15" s="58">
        <v>0.437890201807</v>
      </c>
      <c r="AO15" s="58">
        <v>0.34501475095700002</v>
      </c>
    </row>
    <row r="16" spans="1:43" s="163" customFormat="1" x14ac:dyDescent="0.25">
      <c r="A16" s="163" t="s">
        <v>1297</v>
      </c>
      <c r="C16" s="452">
        <f>C13*C15</f>
        <v>139712.41847629932</v>
      </c>
      <c r="D16" s="452">
        <f t="shared" ref="D16:AO16" si="1">D13*D15</f>
        <v>13669.062866968157</v>
      </c>
      <c r="E16" s="452">
        <f t="shared" si="1"/>
        <v>100072.55042860204</v>
      </c>
      <c r="F16" s="452">
        <f t="shared" si="1"/>
        <v>37200.749960629415</v>
      </c>
      <c r="G16" s="452">
        <f t="shared" si="1"/>
        <v>446204.88756739331</v>
      </c>
      <c r="H16" s="452">
        <f t="shared" si="1"/>
        <v>5.4597969073009276</v>
      </c>
      <c r="I16" s="452">
        <f t="shared" si="1"/>
        <v>23448.6895573931</v>
      </c>
      <c r="J16" s="452">
        <f t="shared" si="1"/>
        <v>530833.28778080491</v>
      </c>
      <c r="K16" s="452">
        <f t="shared" si="1"/>
        <v>83369.172239107851</v>
      </c>
      <c r="L16" s="452">
        <f t="shared" si="1"/>
        <v>88893.206278140831</v>
      </c>
      <c r="M16" s="452">
        <f t="shared" si="1"/>
        <v>906.08864244444192</v>
      </c>
      <c r="N16" s="452">
        <f t="shared" si="1"/>
        <v>2422.0484527230897</v>
      </c>
      <c r="O16" s="452">
        <f t="shared" si="1"/>
        <v>364986.70740415144</v>
      </c>
      <c r="P16" s="452">
        <f t="shared" si="1"/>
        <v>26606.606002497618</v>
      </c>
      <c r="Q16" s="452">
        <f t="shared" si="1"/>
        <v>59147.115261051862</v>
      </c>
      <c r="R16" s="452">
        <f t="shared" si="1"/>
        <v>9060.4618745758253</v>
      </c>
      <c r="S16" s="452">
        <f t="shared" si="1"/>
        <v>2.1905298787066689</v>
      </c>
      <c r="T16" s="452">
        <f t="shared" si="1"/>
        <v>5731.7811209040437</v>
      </c>
      <c r="U16" s="452">
        <f t="shared" si="1"/>
        <v>11.009877791122676</v>
      </c>
      <c r="V16" s="452">
        <f t="shared" si="1"/>
        <v>253.99501187961249</v>
      </c>
      <c r="W16" s="452">
        <f t="shared" si="1"/>
        <v>11676.324675994611</v>
      </c>
      <c r="X16" s="452">
        <f t="shared" si="1"/>
        <v>26297.148084740627</v>
      </c>
      <c r="Y16" s="452">
        <f t="shared" si="1"/>
        <v>483.41599817268997</v>
      </c>
      <c r="Z16" s="452">
        <f t="shared" si="1"/>
        <v>183849.89387928744</v>
      </c>
      <c r="AA16" s="452">
        <f t="shared" si="1"/>
        <v>399605.31078545545</v>
      </c>
      <c r="AB16" s="452">
        <f t="shared" si="1"/>
        <v>4329.1044325294297</v>
      </c>
      <c r="AC16" s="452">
        <f t="shared" si="1"/>
        <v>132821.07724067059</v>
      </c>
      <c r="AD16" s="452">
        <f t="shared" si="1"/>
        <v>103.19306945440627</v>
      </c>
      <c r="AE16" s="452">
        <f t="shared" si="1"/>
        <v>17297.104101284996</v>
      </c>
      <c r="AF16" s="452">
        <f t="shared" si="1"/>
        <v>20402.16726802527</v>
      </c>
      <c r="AG16" s="452">
        <f t="shared" si="1"/>
        <v>30226.955980728864</v>
      </c>
      <c r="AH16" s="452">
        <f t="shared" si="1"/>
        <v>6313.2566016555156</v>
      </c>
      <c r="AI16" s="452">
        <f t="shared" si="1"/>
        <v>273754.13662573864</v>
      </c>
      <c r="AJ16" s="452">
        <f t="shared" si="1"/>
        <v>35455.497449945571</v>
      </c>
      <c r="AK16" s="452">
        <f t="shared" si="1"/>
        <v>7280.9235979810292</v>
      </c>
      <c r="AL16" s="452">
        <f t="shared" si="1"/>
        <v>162377.77471079174</v>
      </c>
      <c r="AM16" s="452">
        <f t="shared" si="1"/>
        <v>27920.850827010338</v>
      </c>
      <c r="AN16" s="452">
        <f t="shared" si="1"/>
        <v>194625.108101775</v>
      </c>
      <c r="AO16" s="452">
        <f t="shared" si="1"/>
        <v>166996.6118021828</v>
      </c>
      <c r="AP16" s="453">
        <f>SUM(C16:AO16)</f>
        <v>3634353.3443635688</v>
      </c>
    </row>
    <row r="17" spans="1:42" x14ac:dyDescent="0.25">
      <c r="A17" s="59" t="s">
        <v>1011</v>
      </c>
      <c r="B17" s="59"/>
      <c r="C17" s="58">
        <f>Watersheds!B$8</f>
        <v>0.58549784023017204</v>
      </c>
      <c r="D17" s="58">
        <f>Watersheds!C$8</f>
        <v>0.94003030177020297</v>
      </c>
      <c r="E17" s="58">
        <f>Watersheds!D$8</f>
        <v>7.9100675725574568E-2</v>
      </c>
      <c r="F17" s="58">
        <f>Watersheds!E$8</f>
        <v>0.15287401066549666</v>
      </c>
      <c r="G17" s="58">
        <f>Watersheds!F$8</f>
        <v>3.4452678833207601E-2</v>
      </c>
      <c r="H17" s="58">
        <f>Watersheds!G$8</f>
        <v>2.3696488475156616E-3</v>
      </c>
      <c r="I17" s="58">
        <f>Watersheds!H$8</f>
        <v>0.21206296385669465</v>
      </c>
      <c r="J17" s="58">
        <f>Watersheds!I$8</f>
        <v>3.2195397547498374E-2</v>
      </c>
      <c r="K17" s="58">
        <f>Watersheds!J$8</f>
        <v>4.5485188049020853E-2</v>
      </c>
      <c r="L17" s="58">
        <f>Watersheds!K$8</f>
        <v>5.5423627439503492E-2</v>
      </c>
      <c r="M17" s="58">
        <f>Watersheds!L$8</f>
        <v>0.22197831066535803</v>
      </c>
      <c r="N17" s="58">
        <f>Watersheds!M$8</f>
        <v>7.0111893383522458E-2</v>
      </c>
      <c r="O17" s="58">
        <f>Watersheds!N$8</f>
        <v>4.7510489405758728E-2</v>
      </c>
      <c r="P17" s="58">
        <f>Watersheds!O$8</f>
        <v>0.50122611942703166</v>
      </c>
      <c r="Q17" s="58">
        <f>Watersheds!P$8</f>
        <v>1.6018538639056987E-2</v>
      </c>
      <c r="R17" s="58">
        <f>Watersheds!Q$8</f>
        <v>3.6092044900158861E-2</v>
      </c>
      <c r="S17" s="58">
        <f>Watersheds!R$8</f>
        <v>5.4849573438095038E-2</v>
      </c>
      <c r="T17" s="58">
        <f>Watersheds!S$8</f>
        <v>9.1289056504255756E-2</v>
      </c>
      <c r="U17" s="58">
        <f>Watersheds!T$8</f>
        <v>8.4705636969306997E-2</v>
      </c>
      <c r="V17" s="58">
        <f>Watersheds!U$8</f>
        <v>0.31882886993244008</v>
      </c>
      <c r="W17" s="58">
        <f>Watersheds!V$8</f>
        <v>2.9002768578708628E-2</v>
      </c>
      <c r="X17" s="58">
        <f>Watersheds!W$8</f>
        <v>6.3228994455963611E-2</v>
      </c>
      <c r="Y17" s="58">
        <f>Watersheds!X$8</f>
        <v>0.28820504618831672</v>
      </c>
      <c r="Z17" s="58">
        <f>Watersheds!Y$8</f>
        <v>6.6532491843837499E-2</v>
      </c>
      <c r="AA17" s="58">
        <f>Watersheds!Z$8</f>
        <v>6.6272871580706438E-2</v>
      </c>
      <c r="AB17" s="58">
        <f>Watersheds!AA$8</f>
        <v>0.7589374130155172</v>
      </c>
      <c r="AC17" s="58">
        <f>Watersheds!AB$8</f>
        <v>0.24559617819844315</v>
      </c>
      <c r="AD17" s="58">
        <f>Watersheds!AC$8</f>
        <v>5.5932650344799759E-2</v>
      </c>
      <c r="AE17" s="58">
        <f>Watersheds!AD$8</f>
        <v>0.15966821395040168</v>
      </c>
      <c r="AF17" s="58">
        <f>Watersheds!AE$8</f>
        <v>0.15537095856466623</v>
      </c>
      <c r="AG17" s="58">
        <f>Watersheds!AF$8</f>
        <v>0.18007343906305026</v>
      </c>
      <c r="AH17" s="58">
        <f>Watersheds!AG$8</f>
        <v>0.14205556506246117</v>
      </c>
      <c r="AI17" s="58">
        <f>Watersheds!AH$8</f>
        <v>2.2767494546726864E-2</v>
      </c>
      <c r="AJ17" s="58">
        <f>Watersheds!AI$8</f>
        <v>0.17767260033786195</v>
      </c>
      <c r="AK17" s="58">
        <f>Watersheds!AJ$8</f>
        <v>9.5603605326323917E-3</v>
      </c>
      <c r="AL17" s="58">
        <f>Watersheds!AK$8</f>
        <v>4.5961541844216039E-2</v>
      </c>
      <c r="AM17" s="58">
        <f>Watersheds!AL$8</f>
        <v>0.11063649201040213</v>
      </c>
      <c r="AN17" s="58">
        <f>Watersheds!AM$8</f>
        <v>2.8519034474877285E-2</v>
      </c>
      <c r="AO17" s="58">
        <f>Watersheds!AN$8</f>
        <v>1.0480541799062874E-2</v>
      </c>
    </row>
    <row r="18" spans="1:42" ht="14.25" customHeight="1" x14ac:dyDescent="0.25">
      <c r="A18" s="51" t="s">
        <v>1299</v>
      </c>
      <c r="B18" s="51"/>
      <c r="C18" s="541">
        <f>Watersheds!B13*C3*C14</f>
        <v>284749.82092357002</v>
      </c>
      <c r="D18" s="541">
        <f>Watersheds!C13*D3*D14</f>
        <v>27793.428027629623</v>
      </c>
      <c r="E18" s="541">
        <f>Watersheds!D13*E3*E14</f>
        <v>117408.3398616683</v>
      </c>
      <c r="F18" s="541">
        <f>Watersheds!E13*F3*F14</f>
        <v>117287.39243153333</v>
      </c>
      <c r="G18" s="541">
        <f>Watersheds!F13*G3*G14</f>
        <v>423457.20165612712</v>
      </c>
      <c r="H18" s="541">
        <f>Watersheds!G13*H3*H14</f>
        <v>1.3083596072591125E-2</v>
      </c>
      <c r="I18" s="541">
        <f>Watersheds!H13*I3*I14</f>
        <v>96151.351469734451</v>
      </c>
      <c r="J18" s="541">
        <f>Watersheds!I13*J3*J14</f>
        <v>564918.22508182819</v>
      </c>
      <c r="K18" s="541">
        <f>Watersheds!J13*K3*K14</f>
        <v>123363.26407767489</v>
      </c>
      <c r="L18" s="541">
        <f>Watersheds!K13*L3*L14</f>
        <v>118751.6394109949</v>
      </c>
      <c r="M18" s="541">
        <f>Watersheds!L13*M3*M14</f>
        <v>118.70832685547262</v>
      </c>
      <c r="N18" s="541">
        <f>Watersheds!M13*N3*N14</f>
        <v>489.12386668691784</v>
      </c>
      <c r="O18" s="541">
        <f>Watersheds!N13*O3*O14</f>
        <v>342061.08185377368</v>
      </c>
      <c r="P18" s="541">
        <f>Watersheds!O13*P3*P14</f>
        <v>23314.837625801712</v>
      </c>
      <c r="Q18" s="541">
        <f>Watersheds!P13*Q3*Q14</f>
        <v>74079.626443724614</v>
      </c>
      <c r="R18" s="541">
        <f>Watersheds!Q13*R3*R14</f>
        <v>9482.2657661821813</v>
      </c>
      <c r="S18" s="541">
        <f>Watersheds!R13*S3*S14</f>
        <v>0.46259976255820323</v>
      </c>
      <c r="T18" s="541">
        <f>Watersheds!S13*T3*T14</f>
        <v>6034.4794416133263</v>
      </c>
      <c r="U18" s="541">
        <f>Watersheds!T13*U3*U14</f>
        <v>2.3109949819235394</v>
      </c>
      <c r="V18" s="541">
        <f>Watersheds!U13*V3*V14</f>
        <v>14.697534015740258</v>
      </c>
      <c r="W18" s="541">
        <f>Watersheds!V13*W3*W14</f>
        <v>11524.106851718059</v>
      </c>
      <c r="X18" s="541">
        <f>Watersheds!W13*X3*X14</f>
        <v>27613.209931148045</v>
      </c>
      <c r="Y18" s="541">
        <f>Watersheds!X13*Y3*Y14</f>
        <v>104.24643763964949</v>
      </c>
      <c r="Z18" s="541">
        <f>Watersheds!Y13*Z3*Z14</f>
        <v>245772.07813716406</v>
      </c>
      <c r="AA18" s="541">
        <f>Watersheds!Z13*AA3*AA14</f>
        <v>678613.3964386821</v>
      </c>
      <c r="AB18" s="541">
        <f>Watersheds!AA13*AB3*AB14</f>
        <v>1072.2895464261217</v>
      </c>
      <c r="AC18" s="541">
        <f>Watersheds!AB13*AC3*AC14</f>
        <v>324858.52314353688</v>
      </c>
      <c r="AD18" s="541">
        <f>Watersheds!AC13*AD3*AD14</f>
        <v>168.2772991628045</v>
      </c>
      <c r="AE18" s="541">
        <f>Watersheds!AD13*AE3*AE14</f>
        <v>24573.471981749215</v>
      </c>
      <c r="AF18" s="541">
        <f>Watersheds!AE13*AF3*AF14</f>
        <v>25784.139258708532</v>
      </c>
      <c r="AG18" s="541">
        <f>Watersheds!AF13*AG3*AG14</f>
        <v>50087.788503440926</v>
      </c>
      <c r="AH18" s="541">
        <f>Watersheds!AG13*AH3*AH14</f>
        <v>7725.679130717519</v>
      </c>
      <c r="AI18" s="541">
        <f>Watersheds!AH13*AI3*AI14</f>
        <v>428885.84615922224</v>
      </c>
      <c r="AJ18" s="541">
        <f>Watersheds!AI13*AJ3*AJ14</f>
        <v>41290.70150453136</v>
      </c>
      <c r="AK18" s="541">
        <f>Watersheds!AJ13*AK3*AK14</f>
        <v>5012.0246497079352</v>
      </c>
      <c r="AL18" s="541">
        <f>Watersheds!AK13*AL3*AL14</f>
        <v>193843.72999267079</v>
      </c>
      <c r="AM18" s="541">
        <f>Watersheds!AL13*AM3*AM14</f>
        <v>20747.904143518143</v>
      </c>
      <c r="AN18" s="541">
        <f>Watersheds!AM13*AN3*AN14</f>
        <v>243481.50841258059</v>
      </c>
      <c r="AO18" s="541">
        <f>Watersheds!AN13*AO3*AO14</f>
        <v>268401.34621861577</v>
      </c>
      <c r="AP18" s="453">
        <f>SUM(C18:AO18)</f>
        <v>4929038.5382186947</v>
      </c>
    </row>
    <row r="19" spans="1:42" ht="14.25" customHeight="1" x14ac:dyDescent="0.25">
      <c r="A19" s="50" t="s">
        <v>91</v>
      </c>
      <c r="B19" s="50"/>
      <c r="C19" s="541">
        <f>Watersheds!B15*C3*C14</f>
        <v>184677.29479079589</v>
      </c>
      <c r="D19" s="541">
        <f>Watersheds!C15*D3*D14</f>
        <v>22765.232463786098</v>
      </c>
      <c r="E19" s="541">
        <f>Watersheds!D15*E3*E14</f>
        <v>47758.042306954179</v>
      </c>
      <c r="F19" s="541">
        <f>Watersheds!E15*F3*F14</f>
        <v>71330.305803247131</v>
      </c>
      <c r="G19" s="541">
        <f>Watersheds!F15*G3*G14</f>
        <v>367630.38648424303</v>
      </c>
      <c r="H19" s="541">
        <f>Watersheds!G15*H3*H14</f>
        <v>0</v>
      </c>
      <c r="I19" s="541">
        <f>Watersheds!H15*I3*I14</f>
        <v>27736.099036596712</v>
      </c>
      <c r="J19" s="541">
        <f>Watersheds!I15*J3*J14</f>
        <v>488312.36703281279</v>
      </c>
      <c r="K19" s="541">
        <f>Watersheds!J15*K3*K14</f>
        <v>100876.76370504333</v>
      </c>
      <c r="L19" s="541">
        <f>Watersheds!K15*L3*L14</f>
        <v>202552.56000429558</v>
      </c>
      <c r="M19" s="541">
        <f>Watersheds!L15*M3*M14</f>
        <v>4995.8286511115339</v>
      </c>
      <c r="N19" s="541">
        <f>Watersheds!M15*N3*N14</f>
        <v>333.69428975556394</v>
      </c>
      <c r="O19" s="541">
        <f>Watersheds!N15*O3*O14</f>
        <v>263062.50868264551</v>
      </c>
      <c r="P19" s="541">
        <f>Watersheds!O15*P3*P14</f>
        <v>90063.73950292774</v>
      </c>
      <c r="Q19" s="541">
        <f>Watersheds!P15*Q3*Q14</f>
        <v>59960.549044944193</v>
      </c>
      <c r="R19" s="541">
        <f>Watersheds!Q15*R3*R14</f>
        <v>29505.247779080099</v>
      </c>
      <c r="S19" s="541">
        <f>Watersheds!R15*S3*S14</f>
        <v>0.92519952511640646</v>
      </c>
      <c r="T19" s="541">
        <f>Watersheds!S15*T3*T14</f>
        <v>3525.615163468744</v>
      </c>
      <c r="U19" s="541">
        <f>Watersheds!T15*U3*U14</f>
        <v>1.1982937411476022</v>
      </c>
      <c r="V19" s="541">
        <f>Watersheds!U15*V3*V14</f>
        <v>348.03306566424862</v>
      </c>
      <c r="W19" s="541">
        <f>Watersheds!V15*W3*W14</f>
        <v>10538.356900712672</v>
      </c>
      <c r="X19" s="541">
        <f>Watersheds!W15*X3*X14</f>
        <v>45322.388001022766</v>
      </c>
      <c r="Y19" s="541">
        <f>Watersheds!X15*Y3*Y14</f>
        <v>1498.548524436324</v>
      </c>
      <c r="Z19" s="541">
        <f>Watersheds!Y15*Z3*Z14</f>
        <v>109347.53651488916</v>
      </c>
      <c r="AA19" s="541">
        <f>Watersheds!Z15*AA3*AA14</f>
        <v>518370.56921491708</v>
      </c>
      <c r="AB19" s="541">
        <f>Watersheds!AA15*AB3*AB14</f>
        <v>16809.635306630134</v>
      </c>
      <c r="AC19" s="541">
        <f>Watersheds!AB15*AC3*AC14</f>
        <v>270143.85177221609</v>
      </c>
      <c r="AD19" s="541">
        <f>Watersheds!AC15*AD3*AD14</f>
        <v>37.109950254006989</v>
      </c>
      <c r="AE19" s="541">
        <f>Watersheds!AD15*AE3*AE14</f>
        <v>21940.619417721617</v>
      </c>
      <c r="AF19" s="541">
        <f>Watersheds!AE15*AF3*AF14</f>
        <v>21636.500810852845</v>
      </c>
      <c r="AG19" s="541">
        <f>Watersheds!AF15*AG3*AG14</f>
        <v>30280.783258223582</v>
      </c>
      <c r="AH19" s="541">
        <f>Watersheds!AG15*AH3*AH14</f>
        <v>2857.0204281133165</v>
      </c>
      <c r="AI19" s="541">
        <f>Watersheds!AH15*AI3*AI14</f>
        <v>321048.01608292625</v>
      </c>
      <c r="AJ19" s="541">
        <f>Watersheds!AI15*AJ3*AJ14</f>
        <v>34485.254716207273</v>
      </c>
      <c r="AK19" s="541">
        <f>Watersheds!AJ15*AK3*AK14</f>
        <v>35123.011685998848</v>
      </c>
      <c r="AL19" s="541">
        <f>Watersheds!AK15*AL3*AL14</f>
        <v>154775.17723934187</v>
      </c>
      <c r="AM19" s="541">
        <f>Watersheds!AL15*AM3*AM14</f>
        <v>92833.566600897451</v>
      </c>
      <c r="AN19" s="541">
        <f>Watersheds!AM15*AN3*AN14</f>
        <v>194317.57063202135</v>
      </c>
      <c r="AO19" s="541">
        <f>Watersheds!AN15*AO3*AO14</f>
        <v>210409.02772257364</v>
      </c>
    </row>
    <row r="20" spans="1:42" ht="14.25" customHeight="1" x14ac:dyDescent="0.25">
      <c r="A20" s="50" t="s">
        <v>90</v>
      </c>
      <c r="B20" s="50"/>
      <c r="C20" s="541">
        <f>C21-C18-C19</f>
        <v>61504.467223859567</v>
      </c>
      <c r="D20" s="541">
        <f t="shared" ref="D20:AO20" si="2">D21-D18-D19</f>
        <v>6356.3045164241557</v>
      </c>
      <c r="E20" s="541">
        <f t="shared" si="2"/>
        <v>24006.580075885788</v>
      </c>
      <c r="F20" s="541">
        <f t="shared" si="2"/>
        <v>30717.218381723098</v>
      </c>
      <c r="G20" s="541">
        <f t="shared" si="2"/>
        <v>19800.931195431447</v>
      </c>
      <c r="H20" s="541">
        <f t="shared" si="2"/>
        <v>16.974997515169893</v>
      </c>
      <c r="I20" s="541">
        <f t="shared" si="2"/>
        <v>29656.463650402064</v>
      </c>
      <c r="J20" s="541">
        <f t="shared" si="2"/>
        <v>20290.2472428818</v>
      </c>
      <c r="K20" s="541">
        <f t="shared" si="2"/>
        <v>15072.393922964955</v>
      </c>
      <c r="L20" s="541">
        <f t="shared" si="2"/>
        <v>106047.19815823299</v>
      </c>
      <c r="M20" s="541">
        <f t="shared" si="2"/>
        <v>1823.4691153730764</v>
      </c>
      <c r="N20" s="541">
        <f t="shared" si="2"/>
        <v>11623.289043110201</v>
      </c>
      <c r="O20" s="541">
        <f t="shared" si="2"/>
        <v>8229.556721236906</v>
      </c>
      <c r="P20" s="541">
        <f t="shared" si="2"/>
        <v>91582.497618594221</v>
      </c>
      <c r="Q20" s="541">
        <f t="shared" si="2"/>
        <v>2364.0077989771744</v>
      </c>
      <c r="R20" s="541">
        <f t="shared" si="2"/>
        <v>29078.324439055781</v>
      </c>
      <c r="S20" s="541">
        <f t="shared" si="2"/>
        <v>7.2340253107947756</v>
      </c>
      <c r="T20" s="541">
        <f t="shared" si="2"/>
        <v>16106.38191762719</v>
      </c>
      <c r="U20" s="541">
        <f t="shared" si="2"/>
        <v>25.940443733579691</v>
      </c>
      <c r="V20" s="541">
        <f t="shared" si="2"/>
        <v>2750.9519970874462</v>
      </c>
      <c r="W20" s="541">
        <f t="shared" si="2"/>
        <v>94.065381865360905</v>
      </c>
      <c r="X20" s="541">
        <f t="shared" si="2"/>
        <v>21485.674845430716</v>
      </c>
      <c r="Y20" s="541">
        <f t="shared" si="2"/>
        <v>1805.6633687499693</v>
      </c>
      <c r="Z20" s="541">
        <f t="shared" si="2"/>
        <v>19527.979905229062</v>
      </c>
      <c r="AA20" s="541">
        <f t="shared" si="2"/>
        <v>43126.133019615954</v>
      </c>
      <c r="AB20" s="541">
        <f t="shared" si="2"/>
        <v>16246.442988947576</v>
      </c>
      <c r="AC20" s="541">
        <f t="shared" si="2"/>
        <v>176952.00561458414</v>
      </c>
      <c r="AD20" s="541">
        <f t="shared" si="2"/>
        <v>391.46395829530513</v>
      </c>
      <c r="AE20" s="541">
        <f t="shared" si="2"/>
        <v>603.35948680200818</v>
      </c>
      <c r="AF20" s="541">
        <f t="shared" si="2"/>
        <v>2852.7998565944072</v>
      </c>
      <c r="AG20" s="541">
        <f t="shared" si="2"/>
        <v>5919.0271287774849</v>
      </c>
      <c r="AH20" s="541">
        <f t="shared" si="2"/>
        <v>1649.5405990755507</v>
      </c>
      <c r="AI20" s="541">
        <f t="shared" si="2"/>
        <v>34007.784470323706</v>
      </c>
      <c r="AJ20" s="541">
        <f t="shared" si="2"/>
        <v>3620.6135124012071</v>
      </c>
      <c r="AK20" s="541">
        <f t="shared" si="2"/>
        <v>18648.520821619197</v>
      </c>
      <c r="AL20" s="541">
        <f t="shared" si="2"/>
        <v>8998.6203085972811</v>
      </c>
      <c r="AM20" s="541">
        <f t="shared" si="2"/>
        <v>56814.526561832594</v>
      </c>
      <c r="AN20" s="541">
        <f t="shared" si="2"/>
        <v>6661.9006681982428</v>
      </c>
      <c r="AO20" s="541">
        <f t="shared" si="2"/>
        <v>5217.0809399962018</v>
      </c>
    </row>
    <row r="21" spans="1:42" ht="14.25" customHeight="1" x14ac:dyDescent="0.25">
      <c r="A21" s="572" t="s">
        <v>97</v>
      </c>
      <c r="B21" s="50"/>
      <c r="C21" s="541">
        <f>C13</f>
        <v>530931.58293822547</v>
      </c>
      <c r="D21" s="541">
        <f t="shared" ref="D21:AO21" si="3">D13</f>
        <v>56914.965007839877</v>
      </c>
      <c r="E21" s="541">
        <f t="shared" si="3"/>
        <v>189172.96224450826</v>
      </c>
      <c r="F21" s="541">
        <f t="shared" si="3"/>
        <v>219334.91661650356</v>
      </c>
      <c r="G21" s="541">
        <f t="shared" si="3"/>
        <v>810888.5193358016</v>
      </c>
      <c r="H21" s="541">
        <f t="shared" si="3"/>
        <v>16.988081111242483</v>
      </c>
      <c r="I21" s="541">
        <f t="shared" si="3"/>
        <v>153543.91415673323</v>
      </c>
      <c r="J21" s="541">
        <f t="shared" si="3"/>
        <v>1073520.8393575228</v>
      </c>
      <c r="K21" s="541">
        <f t="shared" si="3"/>
        <v>239312.42170568317</v>
      </c>
      <c r="L21" s="541">
        <f t="shared" si="3"/>
        <v>427351.39757352346</v>
      </c>
      <c r="M21" s="541">
        <f t="shared" si="3"/>
        <v>6938.0060933400828</v>
      </c>
      <c r="N21" s="541">
        <f t="shared" si="3"/>
        <v>12446.107199552682</v>
      </c>
      <c r="O21" s="541">
        <f t="shared" si="3"/>
        <v>613353.14725765609</v>
      </c>
      <c r="P21" s="541">
        <f t="shared" si="3"/>
        <v>204961.07474732367</v>
      </c>
      <c r="Q21" s="541">
        <f t="shared" si="3"/>
        <v>136404.18328764598</v>
      </c>
      <c r="R21" s="541">
        <f t="shared" si="3"/>
        <v>68065.837984318059</v>
      </c>
      <c r="S21" s="541">
        <f t="shared" si="3"/>
        <v>8.6218245984693844</v>
      </c>
      <c r="T21" s="541">
        <f t="shared" si="3"/>
        <v>25666.476522709261</v>
      </c>
      <c r="U21" s="541">
        <f t="shared" si="3"/>
        <v>29.449732456650832</v>
      </c>
      <c r="V21" s="541">
        <f t="shared" si="3"/>
        <v>3113.6825967674349</v>
      </c>
      <c r="W21" s="541">
        <f t="shared" si="3"/>
        <v>22156.529134296092</v>
      </c>
      <c r="X21" s="541">
        <f t="shared" si="3"/>
        <v>94421.272777601524</v>
      </c>
      <c r="Y21" s="541">
        <f t="shared" si="3"/>
        <v>3408.458330825943</v>
      </c>
      <c r="Z21" s="541">
        <f t="shared" si="3"/>
        <v>374647.59455728228</v>
      </c>
      <c r="AA21" s="541">
        <f t="shared" si="3"/>
        <v>1240110.0986732151</v>
      </c>
      <c r="AB21" s="541">
        <f t="shared" si="3"/>
        <v>34128.367842003834</v>
      </c>
      <c r="AC21" s="541">
        <f t="shared" si="3"/>
        <v>771954.3805303371</v>
      </c>
      <c r="AD21" s="541">
        <f t="shared" si="3"/>
        <v>596.85120771211666</v>
      </c>
      <c r="AE21" s="541">
        <f t="shared" si="3"/>
        <v>47117.45088627284</v>
      </c>
      <c r="AF21" s="541">
        <f t="shared" si="3"/>
        <v>50273.439926155785</v>
      </c>
      <c r="AG21" s="541">
        <f t="shared" si="3"/>
        <v>86287.598890441994</v>
      </c>
      <c r="AH21" s="541">
        <f t="shared" si="3"/>
        <v>12232.240157906386</v>
      </c>
      <c r="AI21" s="541">
        <f t="shared" si="3"/>
        <v>783941.6467124722</v>
      </c>
      <c r="AJ21" s="541">
        <f t="shared" si="3"/>
        <v>79396.569733139841</v>
      </c>
      <c r="AK21" s="541">
        <f t="shared" si="3"/>
        <v>58783.55715732598</v>
      </c>
      <c r="AL21" s="541">
        <f t="shared" si="3"/>
        <v>357617.52754060994</v>
      </c>
      <c r="AM21" s="541">
        <f t="shared" si="3"/>
        <v>170395.9973062482</v>
      </c>
      <c r="AN21" s="541">
        <f t="shared" si="3"/>
        <v>444460.97971280018</v>
      </c>
      <c r="AO21" s="541">
        <f t="shared" si="3"/>
        <v>484027.45488118561</v>
      </c>
    </row>
    <row r="22" spans="1:42" ht="14.25" customHeight="1" x14ac:dyDescent="0.25">
      <c r="A22" s="572" t="s">
        <v>1010</v>
      </c>
      <c r="B22" s="50"/>
      <c r="C22" s="447">
        <f>IF(C18+C19&gt;0,C18/(C18+C19),0)</f>
        <v>0.60659005709596214</v>
      </c>
      <c r="D22" s="447">
        <f t="shared" ref="D22:AO22" si="4">IF(D18+D19&gt;0,D18/(D18+D19),0)</f>
        <v>0.54972635266610015</v>
      </c>
      <c r="E22" s="447">
        <f t="shared" si="4"/>
        <v>0.71084889261425599</v>
      </c>
      <c r="F22" s="447">
        <f t="shared" si="4"/>
        <v>0.62182601913390301</v>
      </c>
      <c r="G22" s="447">
        <f t="shared" si="4"/>
        <v>0.53528485088681377</v>
      </c>
      <c r="H22" s="447">
        <f t="shared" si="4"/>
        <v>1</v>
      </c>
      <c r="I22" s="447">
        <f t="shared" si="4"/>
        <v>0.77611857437344478</v>
      </c>
      <c r="J22" s="447">
        <f t="shared" si="4"/>
        <v>0.53636708742726935</v>
      </c>
      <c r="K22" s="447">
        <f t="shared" si="4"/>
        <v>0.55013935423344729</v>
      </c>
      <c r="L22" s="447">
        <f t="shared" si="4"/>
        <v>0.36959255318510986</v>
      </c>
      <c r="M22" s="447">
        <f t="shared" si="4"/>
        <v>2.3209985061572156E-2</v>
      </c>
      <c r="N22" s="447">
        <f t="shared" si="4"/>
        <v>0.59444953038188042</v>
      </c>
      <c r="O22" s="447">
        <f t="shared" si="4"/>
        <v>0.56527474255391275</v>
      </c>
      <c r="P22" s="447">
        <f t="shared" si="4"/>
        <v>0.20563706315814995</v>
      </c>
      <c r="Q22" s="447">
        <f t="shared" si="4"/>
        <v>0.55266733405602708</v>
      </c>
      <c r="R22" s="447">
        <f t="shared" si="4"/>
        <v>0.2432128880230798</v>
      </c>
      <c r="S22" s="447">
        <f t="shared" si="4"/>
        <v>0.33333333333333331</v>
      </c>
      <c r="T22" s="447">
        <f t="shared" si="4"/>
        <v>0.63121545245017185</v>
      </c>
      <c r="U22" s="447">
        <f t="shared" si="4"/>
        <v>0.65853657658041898</v>
      </c>
      <c r="V22" s="447">
        <f t="shared" si="4"/>
        <v>4.051914569299319E-2</v>
      </c>
      <c r="W22" s="447">
        <f t="shared" si="4"/>
        <v>0.52233997893586981</v>
      </c>
      <c r="X22" s="447">
        <f t="shared" si="4"/>
        <v>0.37859715576511738</v>
      </c>
      <c r="Y22" s="447">
        <f t="shared" si="4"/>
        <v>6.5040407604368383E-2</v>
      </c>
      <c r="Z22" s="447">
        <f t="shared" si="4"/>
        <v>0.69208252092178002</v>
      </c>
      <c r="AA22" s="447">
        <f t="shared" si="4"/>
        <v>0.56693607927164935</v>
      </c>
      <c r="AB22" s="447">
        <f t="shared" si="4"/>
        <v>5.996499567231172E-2</v>
      </c>
      <c r="AC22" s="447">
        <f t="shared" si="4"/>
        <v>0.54597853191684131</v>
      </c>
      <c r="AD22" s="447">
        <f t="shared" si="4"/>
        <v>0.8193171661854417</v>
      </c>
      <c r="AE22" s="447">
        <f t="shared" si="4"/>
        <v>0.52830166606304552</v>
      </c>
      <c r="AF22" s="447">
        <f t="shared" si="4"/>
        <v>0.5437324173795578</v>
      </c>
      <c r="AG22" s="447">
        <f t="shared" si="4"/>
        <v>0.6232260621972705</v>
      </c>
      <c r="AH22" s="447">
        <f t="shared" si="4"/>
        <v>0.73002914688915577</v>
      </c>
      <c r="AI22" s="447">
        <f t="shared" si="4"/>
        <v>0.5718982269675642</v>
      </c>
      <c r="AJ22" s="447">
        <f t="shared" si="4"/>
        <v>0.54490505384385735</v>
      </c>
      <c r="AK22" s="447">
        <f t="shared" si="4"/>
        <v>0.12487903605680573</v>
      </c>
      <c r="AL22" s="447">
        <f t="shared" si="4"/>
        <v>0.55603332455994425</v>
      </c>
      <c r="AM22" s="447">
        <f t="shared" si="4"/>
        <v>0.18266979646887735</v>
      </c>
      <c r="AN22" s="447">
        <f t="shared" si="4"/>
        <v>0.55614897350612125</v>
      </c>
      <c r="AO22" s="447">
        <f t="shared" si="4"/>
        <v>0.5605587531643218</v>
      </c>
    </row>
    <row r="23" spans="1:42" s="314" customFormat="1" ht="14.25" customHeight="1" x14ac:dyDescent="0.25">
      <c r="A23" s="316" t="s">
        <v>1152</v>
      </c>
      <c r="B23" s="316"/>
      <c r="C23" s="330">
        <f>C18*C$17</f>
        <v>166720.40515667849</v>
      </c>
      <c r="D23" s="330">
        <f t="shared" ref="D23:AO25" si="5">D18*D$17</f>
        <v>26126.664536041091</v>
      </c>
      <c r="E23" s="330">
        <f t="shared" si="5"/>
        <v>9287.0790188758747</v>
      </c>
      <c r="F23" s="330">
        <f t="shared" si="5"/>
        <v>17930.194081506517</v>
      </c>
      <c r="G23" s="330">
        <f t="shared" si="5"/>
        <v>14589.234968267374</v>
      </c>
      <c r="H23" s="330">
        <f t="shared" si="5"/>
        <v>3.1003528354775995E-5</v>
      </c>
      <c r="I23" s="330">
        <f t="shared" si="5"/>
        <v>20390.140571498639</v>
      </c>
      <c r="J23" s="330">
        <f t="shared" si="5"/>
        <v>18187.766838336625</v>
      </c>
      <c r="K23" s="330">
        <f t="shared" si="5"/>
        <v>5611.2012649140615</v>
      </c>
      <c r="L23" s="330">
        <f t="shared" si="5"/>
        <v>6581.6466205452416</v>
      </c>
      <c r="M23" s="330">
        <f t="shared" si="5"/>
        <v>26.350673857288964</v>
      </c>
      <c r="N23" s="330">
        <f t="shared" si="5"/>
        <v>34.293400392489438</v>
      </c>
      <c r="O23" s="330">
        <f t="shared" si="5"/>
        <v>16251.489405536084</v>
      </c>
      <c r="P23" s="330">
        <f t="shared" si="5"/>
        <v>11686.005588251941</v>
      </c>
      <c r="Q23" s="330">
        <f t="shared" si="5"/>
        <v>1186.6473585557105</v>
      </c>
      <c r="R23" s="330">
        <f t="shared" si="5"/>
        <v>342.23436178828655</v>
      </c>
      <c r="S23" s="330">
        <f t="shared" si="5"/>
        <v>2.5373399648881495E-2</v>
      </c>
      <c r="T23" s="330">
        <f t="shared" si="5"/>
        <v>550.88193471920863</v>
      </c>
      <c r="U23" s="330">
        <f t="shared" si="5"/>
        <v>0.19575430197670551</v>
      </c>
      <c r="V23" s="330">
        <f t="shared" si="5"/>
        <v>4.6859981610320647</v>
      </c>
      <c r="W23" s="330">
        <f t="shared" si="5"/>
        <v>334.23100409668933</v>
      </c>
      <c r="X23" s="330">
        <f t="shared" si="5"/>
        <v>1745.9554976479192</v>
      </c>
      <c r="Y23" s="330">
        <f t="shared" si="5"/>
        <v>30.044349374902659</v>
      </c>
      <c r="Z23" s="330">
        <f t="shared" si="5"/>
        <v>16351.82878410386</v>
      </c>
      <c r="AA23" s="330">
        <f t="shared" si="5"/>
        <v>44973.658475127806</v>
      </c>
      <c r="AB23" s="330">
        <f t="shared" si="5"/>
        <v>813.80065436822315</v>
      </c>
      <c r="AC23" s="330">
        <f t="shared" si="5"/>
        <v>79784.011739243157</v>
      </c>
      <c r="AD23" s="330">
        <f t="shared" si="5"/>
        <v>9.4121953350404084</v>
      </c>
      <c r="AE23" s="330">
        <f t="shared" si="5"/>
        <v>3923.6023818861349</v>
      </c>
      <c r="AF23" s="330">
        <f t="shared" si="5"/>
        <v>4006.1064323903875</v>
      </c>
      <c r="AG23" s="330">
        <f t="shared" si="5"/>
        <v>9019.4803308773189</v>
      </c>
      <c r="AH23" s="330">
        <f t="shared" si="5"/>
        <v>1097.475714405341</v>
      </c>
      <c r="AI23" s="330">
        <f t="shared" si="5"/>
        <v>9764.656163598429</v>
      </c>
      <c r="AJ23" s="330">
        <f t="shared" si="5"/>
        <v>7336.2263060845553</v>
      </c>
      <c r="AK23" s="330">
        <f t="shared" si="5"/>
        <v>47.916762649648433</v>
      </c>
      <c r="AL23" s="330">
        <f t="shared" si="5"/>
        <v>8909.3567072970545</v>
      </c>
      <c r="AM23" s="330">
        <f t="shared" si="5"/>
        <v>2295.4753310069341</v>
      </c>
      <c r="AN23" s="330">
        <f t="shared" si="5"/>
        <v>6943.8575324135099</v>
      </c>
      <c r="AO23" s="330">
        <f t="shared" si="5"/>
        <v>2812.991527968949</v>
      </c>
    </row>
    <row r="24" spans="1:42" s="314" customFormat="1" ht="14.25" customHeight="1" x14ac:dyDescent="0.25">
      <c r="A24" s="574" t="s">
        <v>91</v>
      </c>
      <c r="B24" s="574"/>
      <c r="C24" s="330">
        <f t="shared" ref="C24:R25" si="6">C19*C$17</f>
        <v>108128.1572395618</v>
      </c>
      <c r="D24" s="330">
        <f t="shared" si="6"/>
        <v>21400.008342801666</v>
      </c>
      <c r="E24" s="330">
        <f t="shared" si="6"/>
        <v>3777.6934178106535</v>
      </c>
      <c r="F24" s="330">
        <f t="shared" si="6"/>
        <v>10904.549930138741</v>
      </c>
      <c r="G24" s="330">
        <f t="shared" si="6"/>
        <v>12665.85163486961</v>
      </c>
      <c r="H24" s="330">
        <f t="shared" si="6"/>
        <v>0</v>
      </c>
      <c r="I24" s="330">
        <f t="shared" si="6"/>
        <v>5881.799367523512</v>
      </c>
      <c r="J24" s="330">
        <f t="shared" si="6"/>
        <v>15721.410783981346</v>
      </c>
      <c r="K24" s="330">
        <f t="shared" si="6"/>
        <v>4588.3985669005369</v>
      </c>
      <c r="L24" s="330">
        <f t="shared" si="6"/>
        <v>11226.197622595753</v>
      </c>
      <c r="M24" s="330">
        <f t="shared" si="6"/>
        <v>1108.9656043473326</v>
      </c>
      <c r="N24" s="330">
        <f t="shared" si="6"/>
        <v>23.395938466032348</v>
      </c>
      <c r="O24" s="330">
        <f t="shared" si="6"/>
        <v>12498.228531819143</v>
      </c>
      <c r="P24" s="330">
        <f t="shared" si="6"/>
        <v>45142.298652139529</v>
      </c>
      <c r="Q24" s="330">
        <f t="shared" si="6"/>
        <v>960.48037169551003</v>
      </c>
      <c r="R24" s="330">
        <f t="shared" si="6"/>
        <v>1064.9047276328715</v>
      </c>
      <c r="S24" s="330">
        <f t="shared" si="5"/>
        <v>5.074679929776299E-2</v>
      </c>
      <c r="T24" s="330">
        <f t="shared" si="5"/>
        <v>321.85008187015904</v>
      </c>
      <c r="U24" s="330">
        <f t="shared" si="5"/>
        <v>0.10150223462024152</v>
      </c>
      <c r="V24" s="330">
        <f t="shared" si="5"/>
        <v>110.9629890248551</v>
      </c>
      <c r="W24" s="330">
        <f t="shared" si="5"/>
        <v>305.6415263912067</v>
      </c>
      <c r="X24" s="330">
        <f t="shared" si="5"/>
        <v>2865.6890196477002</v>
      </c>
      <c r="Y24" s="330">
        <f t="shared" si="5"/>
        <v>431.88924670060459</v>
      </c>
      <c r="Z24" s="330">
        <f t="shared" si="5"/>
        <v>7275.1640813205859</v>
      </c>
      <c r="AA24" s="330">
        <f t="shared" si="5"/>
        <v>34353.906164797896</v>
      </c>
      <c r="AB24" s="330">
        <f t="shared" si="5"/>
        <v>12757.461133348175</v>
      </c>
      <c r="AC24" s="330">
        <f t="shared" si="5"/>
        <v>66346.297559062994</v>
      </c>
      <c r="AD24" s="330">
        <f t="shared" si="5"/>
        <v>2.0756578718702858</v>
      </c>
      <c r="AE24" s="330">
        <f t="shared" si="5"/>
        <v>3503.2195153931125</v>
      </c>
      <c r="AF24" s="330">
        <f t="shared" si="5"/>
        <v>3361.6838709673848</v>
      </c>
      <c r="AG24" s="330">
        <f t="shared" si="5"/>
        <v>5452.7647788311569</v>
      </c>
      <c r="AH24" s="330">
        <f t="shared" si="5"/>
        <v>405.85565131063191</v>
      </c>
      <c r="AI24" s="330">
        <f t="shared" si="5"/>
        <v>7309.4589554055019</v>
      </c>
      <c r="AJ24" s="330">
        <f t="shared" si="5"/>
        <v>6127.0848787420637</v>
      </c>
      <c r="AK24" s="330">
        <f t="shared" si="5"/>
        <v>335.78865471000967</v>
      </c>
      <c r="AL24" s="330">
        <f t="shared" si="5"/>
        <v>7113.7057851319651</v>
      </c>
      <c r="AM24" s="330">
        <f t="shared" si="5"/>
        <v>10270.780149537324</v>
      </c>
      <c r="AN24" s="330">
        <f t="shared" si="5"/>
        <v>5541.7494959290188</v>
      </c>
      <c r="AO24" s="330">
        <f t="shared" si="5"/>
        <v>2205.2006099466121</v>
      </c>
    </row>
    <row r="25" spans="1:42" s="314" customFormat="1" ht="14.25" customHeight="1" x14ac:dyDescent="0.25">
      <c r="A25" s="574" t="s">
        <v>90</v>
      </c>
      <c r="B25" s="574"/>
      <c r="C25" s="330">
        <f t="shared" si="6"/>
        <v>36010.732724077185</v>
      </c>
      <c r="D25" s="330">
        <f t="shared" si="5"/>
        <v>5975.1188527175036</v>
      </c>
      <c r="E25" s="330">
        <f t="shared" si="5"/>
        <v>1898.936705862681</v>
      </c>
      <c r="F25" s="330">
        <f t="shared" si="5"/>
        <v>4695.8643705019267</v>
      </c>
      <c r="G25" s="330">
        <f t="shared" si="5"/>
        <v>682.19512307464106</v>
      </c>
      <c r="H25" s="330">
        <f t="shared" si="5"/>
        <v>4.0224783298403559E-2</v>
      </c>
      <c r="I25" s="330">
        <f t="shared" si="5"/>
        <v>6289.0375792125915</v>
      </c>
      <c r="J25" s="330">
        <f t="shared" si="5"/>
        <v>653.25257632161231</v>
      </c>
      <c r="K25" s="330">
        <f t="shared" si="5"/>
        <v>685.57067193498006</v>
      </c>
      <c r="L25" s="330">
        <f t="shared" si="5"/>
        <v>5877.5204017251062</v>
      </c>
      <c r="M25" s="330">
        <f t="shared" si="5"/>
        <v>404.77059378097033</v>
      </c>
      <c r="N25" s="330">
        <f t="shared" si="5"/>
        <v>814.93080215640714</v>
      </c>
      <c r="O25" s="330">
        <f t="shared" si="5"/>
        <v>390.99026741841658</v>
      </c>
      <c r="P25" s="330">
        <f t="shared" si="5"/>
        <v>45903.539888803352</v>
      </c>
      <c r="Q25" s="330">
        <f t="shared" si="5"/>
        <v>37.867950270947929</v>
      </c>
      <c r="R25" s="330">
        <f t="shared" si="5"/>
        <v>1049.4961912757881</v>
      </c>
      <c r="S25" s="330">
        <f t="shared" si="5"/>
        <v>0.39678320253747634</v>
      </c>
      <c r="T25" s="330">
        <f t="shared" si="5"/>
        <v>1470.3364089573918</v>
      </c>
      <c r="U25" s="330">
        <f t="shared" si="5"/>
        <v>2.197301809719336</v>
      </c>
      <c r="V25" s="330">
        <f t="shared" si="5"/>
        <v>877.08291646977966</v>
      </c>
      <c r="W25" s="330">
        <f t="shared" si="5"/>
        <v>2.7281565015089178</v>
      </c>
      <c r="X25" s="330">
        <f t="shared" si="5"/>
        <v>1358.5176156843756</v>
      </c>
      <c r="Y25" s="330">
        <f t="shared" si="5"/>
        <v>520.40129459113643</v>
      </c>
      <c r="Z25" s="330">
        <f t="shared" si="5"/>
        <v>1299.2451637712752</v>
      </c>
      <c r="AA25" s="330">
        <f t="shared" si="5"/>
        <v>2858.0926753814715</v>
      </c>
      <c r="AB25" s="330">
        <f t="shared" si="5"/>
        <v>12330.03341273596</v>
      </c>
      <c r="AC25" s="330">
        <f t="shared" si="5"/>
        <v>43458.736303491321</v>
      </c>
      <c r="AD25" s="330">
        <f t="shared" si="5"/>
        <v>21.895616701922577</v>
      </c>
      <c r="AE25" s="330">
        <f t="shared" si="5"/>
        <v>96.337331627707599</v>
      </c>
      <c r="AF25" s="330">
        <f t="shared" si="5"/>
        <v>443.24224831221539</v>
      </c>
      <c r="AG25" s="330">
        <f t="shared" si="5"/>
        <v>1065.8595709864537</v>
      </c>
      <c r="AH25" s="330">
        <f t="shared" si="5"/>
        <v>234.32642189514809</v>
      </c>
      <c r="AI25" s="330">
        <f t="shared" si="5"/>
        <v>774.27204747435758</v>
      </c>
      <c r="AJ25" s="330">
        <f t="shared" si="5"/>
        <v>643.28381756672229</v>
      </c>
      <c r="AK25" s="330">
        <f t="shared" si="5"/>
        <v>178.28658245498156</v>
      </c>
      <c r="AL25" s="330">
        <f t="shared" si="5"/>
        <v>413.59046385380617</v>
      </c>
      <c r="AM25" s="330">
        <f t="shared" si="5"/>
        <v>6285.7599140329712</v>
      </c>
      <c r="AN25" s="330">
        <f t="shared" si="5"/>
        <v>189.99097482455372</v>
      </c>
      <c r="AO25" s="330">
        <f t="shared" si="5"/>
        <v>54.677834860724424</v>
      </c>
    </row>
    <row r="26" spans="1:42" s="314" customFormat="1" ht="14.25" customHeight="1" x14ac:dyDescent="0.25">
      <c r="A26" s="575" t="s">
        <v>97</v>
      </c>
      <c r="B26" s="574"/>
      <c r="C26" s="330">
        <f>SUM(C23:C25)</f>
        <v>310859.29512031749</v>
      </c>
      <c r="D26" s="330">
        <f t="shared" ref="D26:AO26" si="7">SUM(D23:D25)</f>
        <v>53501.791731560261</v>
      </c>
      <c r="E26" s="330">
        <f t="shared" si="7"/>
        <v>14963.709142549209</v>
      </c>
      <c r="F26" s="330">
        <f t="shared" si="7"/>
        <v>33530.608382147184</v>
      </c>
      <c r="G26" s="330">
        <f t="shared" si="7"/>
        <v>27937.281726211626</v>
      </c>
      <c r="H26" s="330">
        <f t="shared" si="7"/>
        <v>4.0255786826758337E-2</v>
      </c>
      <c r="I26" s="330">
        <f t="shared" si="7"/>
        <v>32560.977518234744</v>
      </c>
      <c r="J26" s="330">
        <f t="shared" si="7"/>
        <v>34562.43019863958</v>
      </c>
      <c r="K26" s="330">
        <f t="shared" si="7"/>
        <v>10885.170503749578</v>
      </c>
      <c r="L26" s="330">
        <f t="shared" si="7"/>
        <v>23685.364644866098</v>
      </c>
      <c r="M26" s="330">
        <f t="shared" si="7"/>
        <v>1540.0868719855919</v>
      </c>
      <c r="N26" s="330">
        <f t="shared" si="7"/>
        <v>872.62014101492889</v>
      </c>
      <c r="O26" s="330">
        <f t="shared" si="7"/>
        <v>29140.708204773644</v>
      </c>
      <c r="P26" s="330">
        <f t="shared" si="7"/>
        <v>102731.84412919483</v>
      </c>
      <c r="Q26" s="330">
        <f t="shared" si="7"/>
        <v>2184.9956805221686</v>
      </c>
      <c r="R26" s="330">
        <f t="shared" si="7"/>
        <v>2456.6352806969462</v>
      </c>
      <c r="S26" s="330">
        <f t="shared" si="7"/>
        <v>0.4729034014841208</v>
      </c>
      <c r="T26" s="330">
        <f t="shared" si="7"/>
        <v>2343.0684255467595</v>
      </c>
      <c r="U26" s="330">
        <f t="shared" si="7"/>
        <v>2.4945583463162828</v>
      </c>
      <c r="V26" s="330">
        <f t="shared" si="7"/>
        <v>992.73190365566688</v>
      </c>
      <c r="W26" s="330">
        <f t="shared" si="7"/>
        <v>642.60068698940495</v>
      </c>
      <c r="X26" s="330">
        <f t="shared" si="7"/>
        <v>5970.1621329799946</v>
      </c>
      <c r="Y26" s="330">
        <f t="shared" si="7"/>
        <v>982.33489066664367</v>
      </c>
      <c r="Z26" s="330">
        <f t="shared" si="7"/>
        <v>24926.238029195723</v>
      </c>
      <c r="AA26" s="330">
        <f t="shared" si="7"/>
        <v>82185.657315307166</v>
      </c>
      <c r="AB26" s="330">
        <f t="shared" si="7"/>
        <v>25901.295200452358</v>
      </c>
      <c r="AC26" s="330">
        <f t="shared" si="7"/>
        <v>189589.04560179746</v>
      </c>
      <c r="AD26" s="330">
        <f t="shared" si="7"/>
        <v>33.38346990883327</v>
      </c>
      <c r="AE26" s="330">
        <f t="shared" si="7"/>
        <v>7523.1592289069549</v>
      </c>
      <c r="AF26" s="330">
        <f t="shared" si="7"/>
        <v>7811.0325516699877</v>
      </c>
      <c r="AG26" s="330">
        <f t="shared" si="7"/>
        <v>15538.104680694929</v>
      </c>
      <c r="AH26" s="330">
        <f t="shared" si="7"/>
        <v>1737.657787611121</v>
      </c>
      <c r="AI26" s="330">
        <f t="shared" si="7"/>
        <v>17848.387166478289</v>
      </c>
      <c r="AJ26" s="330">
        <f t="shared" si="7"/>
        <v>14106.595002393342</v>
      </c>
      <c r="AK26" s="330">
        <f t="shared" si="7"/>
        <v>561.99199981463971</v>
      </c>
      <c r="AL26" s="330">
        <f t="shared" si="7"/>
        <v>16436.652956282825</v>
      </c>
      <c r="AM26" s="330">
        <f t="shared" si="7"/>
        <v>18852.015394577229</v>
      </c>
      <c r="AN26" s="330">
        <f t="shared" si="7"/>
        <v>12675.598003167082</v>
      </c>
      <c r="AO26" s="330">
        <f t="shared" si="7"/>
        <v>5072.8699727762851</v>
      </c>
    </row>
    <row r="27" spans="1:42" s="314" customFormat="1" ht="14.25" customHeight="1" x14ac:dyDescent="0.25">
      <c r="A27" s="316" t="s">
        <v>1153</v>
      </c>
      <c r="B27" s="316"/>
      <c r="C27" s="330">
        <f t="shared" ref="C27:AO27" si="8">C18-C23</f>
        <v>118029.41576689153</v>
      </c>
      <c r="D27" s="330">
        <f t="shared" si="8"/>
        <v>1666.7634915885319</v>
      </c>
      <c r="E27" s="330">
        <f t="shared" si="8"/>
        <v>108121.26084279243</v>
      </c>
      <c r="F27" s="330">
        <f t="shared" si="8"/>
        <v>99357.198350026811</v>
      </c>
      <c r="G27" s="330">
        <f t="shared" si="8"/>
        <v>408867.96668785973</v>
      </c>
      <c r="H27" s="330">
        <f t="shared" si="8"/>
        <v>1.3052592544236349E-2</v>
      </c>
      <c r="I27" s="330">
        <f t="shared" si="8"/>
        <v>75761.210898235819</v>
      </c>
      <c r="J27" s="330">
        <f t="shared" si="8"/>
        <v>546730.45824349159</v>
      </c>
      <c r="K27" s="330">
        <f t="shared" si="8"/>
        <v>117752.06281276082</v>
      </c>
      <c r="L27" s="330">
        <f t="shared" si="8"/>
        <v>112169.99279044966</v>
      </c>
      <c r="M27" s="330">
        <f t="shared" si="8"/>
        <v>92.357652998183653</v>
      </c>
      <c r="N27" s="330">
        <f t="shared" si="8"/>
        <v>454.83046629442839</v>
      </c>
      <c r="O27" s="330">
        <f t="shared" si="8"/>
        <v>325809.59244823758</v>
      </c>
      <c r="P27" s="330">
        <f t="shared" si="8"/>
        <v>11628.832037549771</v>
      </c>
      <c r="Q27" s="330">
        <f t="shared" si="8"/>
        <v>72892.979085168903</v>
      </c>
      <c r="R27" s="330">
        <f t="shared" si="8"/>
        <v>9140.0314043938943</v>
      </c>
      <c r="S27" s="330">
        <f t="shared" si="8"/>
        <v>0.43722636290932171</v>
      </c>
      <c r="T27" s="330">
        <f t="shared" si="8"/>
        <v>5483.5975068941179</v>
      </c>
      <c r="U27" s="330">
        <f t="shared" si="8"/>
        <v>2.115240679946834</v>
      </c>
      <c r="V27" s="330">
        <f t="shared" si="8"/>
        <v>10.011535854708193</v>
      </c>
      <c r="W27" s="330">
        <f t="shared" si="8"/>
        <v>11189.87584762137</v>
      </c>
      <c r="X27" s="330">
        <f t="shared" si="8"/>
        <v>25867.254433500126</v>
      </c>
      <c r="Y27" s="330">
        <f t="shared" si="8"/>
        <v>74.202088264746834</v>
      </c>
      <c r="Z27" s="330">
        <f t="shared" si="8"/>
        <v>229420.24935306021</v>
      </c>
      <c r="AA27" s="330">
        <f t="shared" si="8"/>
        <v>633639.73796355433</v>
      </c>
      <c r="AB27" s="330">
        <f t="shared" si="8"/>
        <v>258.48889205789851</v>
      </c>
      <c r="AC27" s="330">
        <f t="shared" si="8"/>
        <v>245074.51140429371</v>
      </c>
      <c r="AD27" s="330">
        <f t="shared" si="8"/>
        <v>158.86510382776407</v>
      </c>
      <c r="AE27" s="330">
        <f t="shared" si="8"/>
        <v>20649.869599863079</v>
      </c>
      <c r="AF27" s="330">
        <f t="shared" si="8"/>
        <v>21778.032826318144</v>
      </c>
      <c r="AG27" s="330">
        <f t="shared" si="8"/>
        <v>41068.308172563608</v>
      </c>
      <c r="AH27" s="330">
        <f t="shared" si="8"/>
        <v>6628.203416312178</v>
      </c>
      <c r="AI27" s="330">
        <f t="shared" si="8"/>
        <v>419121.18999562383</v>
      </c>
      <c r="AJ27" s="330">
        <f t="shared" si="8"/>
        <v>33954.475198446802</v>
      </c>
      <c r="AK27" s="330">
        <f t="shared" si="8"/>
        <v>4964.1078870582869</v>
      </c>
      <c r="AL27" s="330">
        <f t="shared" si="8"/>
        <v>184934.37328537373</v>
      </c>
      <c r="AM27" s="330">
        <f t="shared" si="8"/>
        <v>18452.428812511207</v>
      </c>
      <c r="AN27" s="330">
        <f t="shared" si="8"/>
        <v>236537.65088016709</v>
      </c>
      <c r="AO27" s="330">
        <f t="shared" si="8"/>
        <v>265588.35469064681</v>
      </c>
    </row>
    <row r="28" spans="1:42" s="314" customFormat="1" ht="14.25" customHeight="1" x14ac:dyDescent="0.25">
      <c r="A28" s="574" t="s">
        <v>91</v>
      </c>
      <c r="B28" s="574"/>
      <c r="C28" s="330">
        <f t="shared" ref="C28:AO28" si="9">C19-C24</f>
        <v>76549.137551234089</v>
      </c>
      <c r="D28" s="330">
        <f t="shared" si="9"/>
        <v>1365.2241209844324</v>
      </c>
      <c r="E28" s="330">
        <f t="shared" si="9"/>
        <v>43980.348889143526</v>
      </c>
      <c r="F28" s="330">
        <f t="shared" si="9"/>
        <v>60425.755873108392</v>
      </c>
      <c r="G28" s="330">
        <f t="shared" si="9"/>
        <v>354964.53484937345</v>
      </c>
      <c r="H28" s="330">
        <f t="shared" si="9"/>
        <v>0</v>
      </c>
      <c r="I28" s="330">
        <f t="shared" si="9"/>
        <v>21854.2996690732</v>
      </c>
      <c r="J28" s="330">
        <f t="shared" si="9"/>
        <v>472590.95624883147</v>
      </c>
      <c r="K28" s="330">
        <f t="shared" si="9"/>
        <v>96288.365138142792</v>
      </c>
      <c r="L28" s="330">
        <f t="shared" si="9"/>
        <v>191326.36238169982</v>
      </c>
      <c r="M28" s="330">
        <f t="shared" si="9"/>
        <v>3886.8630467642015</v>
      </c>
      <c r="N28" s="330">
        <f t="shared" si="9"/>
        <v>310.29835128953158</v>
      </c>
      <c r="O28" s="330">
        <f t="shared" si="9"/>
        <v>250564.28015082638</v>
      </c>
      <c r="P28" s="330">
        <f t="shared" si="9"/>
        <v>44921.440850788211</v>
      </c>
      <c r="Q28" s="330">
        <f t="shared" si="9"/>
        <v>59000.068673248687</v>
      </c>
      <c r="R28" s="330">
        <f t="shared" si="9"/>
        <v>28440.343051447227</v>
      </c>
      <c r="S28" s="330">
        <f t="shared" si="9"/>
        <v>0.87445272581864342</v>
      </c>
      <c r="T28" s="330">
        <f t="shared" si="9"/>
        <v>3203.7650815985849</v>
      </c>
      <c r="U28" s="330">
        <f t="shared" si="9"/>
        <v>1.0967915065273608</v>
      </c>
      <c r="V28" s="330">
        <f t="shared" si="9"/>
        <v>237.07007663939351</v>
      </c>
      <c r="W28" s="330">
        <f t="shared" si="9"/>
        <v>10232.715374321466</v>
      </c>
      <c r="X28" s="330">
        <f t="shared" si="9"/>
        <v>42456.698981375062</v>
      </c>
      <c r="Y28" s="330">
        <f t="shared" si="9"/>
        <v>1066.6592777357193</v>
      </c>
      <c r="Z28" s="330">
        <f t="shared" si="9"/>
        <v>102072.37243356857</v>
      </c>
      <c r="AA28" s="330">
        <f t="shared" si="9"/>
        <v>484016.66305011918</v>
      </c>
      <c r="AB28" s="330">
        <f t="shared" si="9"/>
        <v>4052.1741732819592</v>
      </c>
      <c r="AC28" s="330">
        <f t="shared" si="9"/>
        <v>203797.55421315308</v>
      </c>
      <c r="AD28" s="330">
        <f t="shared" si="9"/>
        <v>35.034292382136705</v>
      </c>
      <c r="AE28" s="330">
        <f t="shared" si="9"/>
        <v>18437.399902328503</v>
      </c>
      <c r="AF28" s="330">
        <f t="shared" si="9"/>
        <v>18274.816939885459</v>
      </c>
      <c r="AG28" s="330">
        <f t="shared" si="9"/>
        <v>24828.018479392427</v>
      </c>
      <c r="AH28" s="330">
        <f t="shared" si="9"/>
        <v>2451.1647768026846</v>
      </c>
      <c r="AI28" s="330">
        <f t="shared" si="9"/>
        <v>313738.55712752073</v>
      </c>
      <c r="AJ28" s="330">
        <f t="shared" si="9"/>
        <v>28358.169837465211</v>
      </c>
      <c r="AK28" s="330">
        <f t="shared" si="9"/>
        <v>34787.223031288842</v>
      </c>
      <c r="AL28" s="330">
        <f t="shared" si="9"/>
        <v>147661.47145420991</v>
      </c>
      <c r="AM28" s="330">
        <f t="shared" si="9"/>
        <v>82562.786451360123</v>
      </c>
      <c r="AN28" s="330">
        <f t="shared" si="9"/>
        <v>188775.82113609233</v>
      </c>
      <c r="AO28" s="330">
        <f t="shared" si="9"/>
        <v>208203.82711262701</v>
      </c>
    </row>
    <row r="29" spans="1:42" s="314" customFormat="1" ht="14.25" customHeight="1" x14ac:dyDescent="0.25">
      <c r="A29" s="574" t="s">
        <v>90</v>
      </c>
      <c r="B29" s="574"/>
      <c r="C29" s="330">
        <f t="shared" ref="C29:AO29" si="10">C20-C25</f>
        <v>25493.734499782382</v>
      </c>
      <c r="D29" s="330">
        <f t="shared" si="10"/>
        <v>381.18566370665212</v>
      </c>
      <c r="E29" s="330">
        <f t="shared" si="10"/>
        <v>22107.643370023106</v>
      </c>
      <c r="F29" s="330">
        <f t="shared" si="10"/>
        <v>26021.35401122117</v>
      </c>
      <c r="G29" s="330">
        <f t="shared" si="10"/>
        <v>19118.736072356805</v>
      </c>
      <c r="H29" s="330">
        <f t="shared" si="10"/>
        <v>16.93477273187149</v>
      </c>
      <c r="I29" s="330">
        <f t="shared" si="10"/>
        <v>23367.426071189471</v>
      </c>
      <c r="J29" s="330">
        <f t="shared" si="10"/>
        <v>19636.994666560189</v>
      </c>
      <c r="K29" s="330">
        <f t="shared" si="10"/>
        <v>14386.823251029975</v>
      </c>
      <c r="L29" s="330">
        <f t="shared" si="10"/>
        <v>100169.67775650788</v>
      </c>
      <c r="M29" s="330">
        <f t="shared" si="10"/>
        <v>1418.6985215921061</v>
      </c>
      <c r="N29" s="330">
        <f t="shared" si="10"/>
        <v>10808.358240953794</v>
      </c>
      <c r="O29" s="330">
        <f t="shared" si="10"/>
        <v>7838.5664538184892</v>
      </c>
      <c r="P29" s="330">
        <f t="shared" si="10"/>
        <v>45678.957729790869</v>
      </c>
      <c r="Q29" s="330">
        <f t="shared" si="10"/>
        <v>2326.1398487062265</v>
      </c>
      <c r="R29" s="330">
        <f t="shared" si="10"/>
        <v>28028.828247779995</v>
      </c>
      <c r="S29" s="330">
        <f t="shared" si="10"/>
        <v>6.8372421082572989</v>
      </c>
      <c r="T29" s="330">
        <f t="shared" si="10"/>
        <v>14636.045508669798</v>
      </c>
      <c r="U29" s="330">
        <f t="shared" si="10"/>
        <v>23.743141923860357</v>
      </c>
      <c r="V29" s="330">
        <f t="shared" si="10"/>
        <v>1873.8690806176664</v>
      </c>
      <c r="W29" s="330">
        <f t="shared" si="10"/>
        <v>91.337225363851985</v>
      </c>
      <c r="X29" s="330">
        <f t="shared" si="10"/>
        <v>20127.157229746339</v>
      </c>
      <c r="Y29" s="330">
        <f t="shared" si="10"/>
        <v>1285.262074158833</v>
      </c>
      <c r="Z29" s="330">
        <f t="shared" si="10"/>
        <v>18228.734741457785</v>
      </c>
      <c r="AA29" s="330">
        <f t="shared" si="10"/>
        <v>40268.040344234483</v>
      </c>
      <c r="AB29" s="330">
        <f t="shared" si="10"/>
        <v>3916.4095762116158</v>
      </c>
      <c r="AC29" s="330">
        <f t="shared" si="10"/>
        <v>133493.26931109282</v>
      </c>
      <c r="AD29" s="330">
        <f t="shared" si="10"/>
        <v>369.56834159338257</v>
      </c>
      <c r="AE29" s="330">
        <f t="shared" si="10"/>
        <v>507.02215517430056</v>
      </c>
      <c r="AF29" s="330">
        <f t="shared" si="10"/>
        <v>2409.5576082821917</v>
      </c>
      <c r="AG29" s="330">
        <f t="shared" si="10"/>
        <v>4853.167557791031</v>
      </c>
      <c r="AH29" s="330">
        <f t="shared" si="10"/>
        <v>1415.2141771804027</v>
      </c>
      <c r="AI29" s="330">
        <f t="shared" si="10"/>
        <v>33233.512422849351</v>
      </c>
      <c r="AJ29" s="330">
        <f t="shared" si="10"/>
        <v>2977.3296948344851</v>
      </c>
      <c r="AK29" s="330">
        <f t="shared" si="10"/>
        <v>18470.234239164216</v>
      </c>
      <c r="AL29" s="330">
        <f t="shared" si="10"/>
        <v>8585.0298447434743</v>
      </c>
      <c r="AM29" s="330">
        <f t="shared" si="10"/>
        <v>50528.766647799624</v>
      </c>
      <c r="AN29" s="330">
        <f t="shared" si="10"/>
        <v>6471.9096933736892</v>
      </c>
      <c r="AO29" s="330">
        <f t="shared" si="10"/>
        <v>5162.4031051354777</v>
      </c>
    </row>
    <row r="30" spans="1:42" s="314" customFormat="1" ht="14.25" customHeight="1" x14ac:dyDescent="0.25">
      <c r="A30" s="575" t="s">
        <v>97</v>
      </c>
      <c r="B30" s="574"/>
      <c r="C30" s="330">
        <f t="shared" ref="C30:AO30" si="11">C21-C26</f>
        <v>220072.28781790799</v>
      </c>
      <c r="D30" s="330">
        <f t="shared" si="11"/>
        <v>3413.1732762796164</v>
      </c>
      <c r="E30" s="330">
        <f t="shared" si="11"/>
        <v>174209.25310195907</v>
      </c>
      <c r="F30" s="330">
        <f t="shared" si="11"/>
        <v>185804.30823435637</v>
      </c>
      <c r="G30" s="330">
        <f t="shared" si="11"/>
        <v>782951.23760958994</v>
      </c>
      <c r="H30" s="330">
        <f t="shared" si="11"/>
        <v>16.947825324415724</v>
      </c>
      <c r="I30" s="330">
        <f t="shared" si="11"/>
        <v>120982.93663849848</v>
      </c>
      <c r="J30" s="330">
        <f t="shared" si="11"/>
        <v>1038958.4091588832</v>
      </c>
      <c r="K30" s="330">
        <f t="shared" si="11"/>
        <v>228427.2512019336</v>
      </c>
      <c r="L30" s="330">
        <f t="shared" si="11"/>
        <v>403666.03292865737</v>
      </c>
      <c r="M30" s="330">
        <f t="shared" si="11"/>
        <v>5397.9192213544911</v>
      </c>
      <c r="N30" s="330">
        <f t="shared" si="11"/>
        <v>11573.487058537752</v>
      </c>
      <c r="O30" s="330">
        <f t="shared" si="11"/>
        <v>584212.43905288249</v>
      </c>
      <c r="P30" s="330">
        <f t="shared" si="11"/>
        <v>102229.23061812884</v>
      </c>
      <c r="Q30" s="330">
        <f t="shared" si="11"/>
        <v>134219.18760712381</v>
      </c>
      <c r="R30" s="330">
        <f t="shared" si="11"/>
        <v>65609.202703621108</v>
      </c>
      <c r="S30" s="330">
        <f t="shared" si="11"/>
        <v>8.1489211969852633</v>
      </c>
      <c r="T30" s="330">
        <f t="shared" si="11"/>
        <v>23323.408097162501</v>
      </c>
      <c r="U30" s="330">
        <f t="shared" si="11"/>
        <v>26.95517411033455</v>
      </c>
      <c r="V30" s="330">
        <f t="shared" si="11"/>
        <v>2120.950693111768</v>
      </c>
      <c r="W30" s="330">
        <f t="shared" si="11"/>
        <v>21513.928447306687</v>
      </c>
      <c r="X30" s="330">
        <f t="shared" si="11"/>
        <v>88451.110644621527</v>
      </c>
      <c r="Y30" s="330">
        <f t="shared" si="11"/>
        <v>2426.1234401592992</v>
      </c>
      <c r="Z30" s="330">
        <f t="shared" si="11"/>
        <v>349721.35652808659</v>
      </c>
      <c r="AA30" s="330">
        <f t="shared" si="11"/>
        <v>1157924.4413579081</v>
      </c>
      <c r="AB30" s="330">
        <f t="shared" si="11"/>
        <v>8227.0726415514764</v>
      </c>
      <c r="AC30" s="330">
        <f t="shared" si="11"/>
        <v>582365.33492853958</v>
      </c>
      <c r="AD30" s="330">
        <f t="shared" si="11"/>
        <v>563.4677378032834</v>
      </c>
      <c r="AE30" s="330">
        <f t="shared" si="11"/>
        <v>39594.291657365888</v>
      </c>
      <c r="AF30" s="330">
        <f t="shared" si="11"/>
        <v>42462.407374485796</v>
      </c>
      <c r="AG30" s="330">
        <f t="shared" si="11"/>
        <v>70749.494209747063</v>
      </c>
      <c r="AH30" s="330">
        <f t="shared" si="11"/>
        <v>10494.582370295266</v>
      </c>
      <c r="AI30" s="330">
        <f t="shared" si="11"/>
        <v>766093.25954599387</v>
      </c>
      <c r="AJ30" s="330">
        <f t="shared" si="11"/>
        <v>65289.9747307465</v>
      </c>
      <c r="AK30" s="330">
        <f t="shared" si="11"/>
        <v>58221.565157511344</v>
      </c>
      <c r="AL30" s="330">
        <f t="shared" si="11"/>
        <v>341180.8745843271</v>
      </c>
      <c r="AM30" s="330">
        <f t="shared" si="11"/>
        <v>151543.98191167097</v>
      </c>
      <c r="AN30" s="330">
        <f t="shared" si="11"/>
        <v>431785.3817096331</v>
      </c>
      <c r="AO30" s="330">
        <f t="shared" si="11"/>
        <v>478954.58490840934</v>
      </c>
    </row>
    <row r="31" spans="1:42" s="577" customFormat="1" x14ac:dyDescent="0.25">
      <c r="A31" s="380" t="s">
        <v>1154</v>
      </c>
      <c r="B31" s="380"/>
      <c r="C31" s="576">
        <f>C$15*C18</f>
        <v>74930.720681112536</v>
      </c>
      <c r="D31" s="576">
        <f t="shared" ref="D31:AO31" si="12">D$15*D18</f>
        <v>6675.0478533351034</v>
      </c>
      <c r="E31" s="576">
        <f t="shared" si="12"/>
        <v>62109.044929787975</v>
      </c>
      <c r="F31" s="576">
        <f t="shared" si="12"/>
        <v>19892.769590390828</v>
      </c>
      <c r="G31" s="576">
        <f t="shared" si="12"/>
        <v>233014.36455080527</v>
      </c>
      <c r="H31" s="576">
        <f t="shared" si="12"/>
        <v>4.2049350309631894E-3</v>
      </c>
      <c r="I31" s="576">
        <f t="shared" si="12"/>
        <v>14683.898111625194</v>
      </c>
      <c r="J31" s="576">
        <f t="shared" si="12"/>
        <v>279340.08149013045</v>
      </c>
      <c r="K31" s="576">
        <f t="shared" si="12"/>
        <v>42976.010762695754</v>
      </c>
      <c r="L31" s="576">
        <f t="shared" si="12"/>
        <v>24701.484628262693</v>
      </c>
      <c r="M31" s="576">
        <f t="shared" si="12"/>
        <v>15.503051637642018</v>
      </c>
      <c r="N31" s="576">
        <f t="shared" si="12"/>
        <v>95.184918907139263</v>
      </c>
      <c r="O31" s="576">
        <f t="shared" si="12"/>
        <v>203549.53513341153</v>
      </c>
      <c r="P31" s="576">
        <f t="shared" si="12"/>
        <v>3026.5683349224009</v>
      </c>
      <c r="Q31" s="576">
        <f t="shared" si="12"/>
        <v>32122.15416093828</v>
      </c>
      <c r="R31" s="576">
        <f t="shared" si="12"/>
        <v>1262.2147909041119</v>
      </c>
      <c r="S31" s="576">
        <f t="shared" si="12"/>
        <v>0.11753180434060914</v>
      </c>
      <c r="T31" s="576">
        <f t="shared" si="12"/>
        <v>1347.6066848256203</v>
      </c>
      <c r="U31" s="576">
        <f t="shared" si="12"/>
        <v>0.86397295338178159</v>
      </c>
      <c r="V31" s="576">
        <f t="shared" si="12"/>
        <v>1.1989341273271039</v>
      </c>
      <c r="W31" s="576">
        <f t="shared" si="12"/>
        <v>6073.1178780718828</v>
      </c>
      <c r="X31" s="576">
        <f t="shared" si="12"/>
        <v>7690.5198298352807</v>
      </c>
      <c r="Y31" s="576">
        <f t="shared" si="12"/>
        <v>14.785099542439349</v>
      </c>
      <c r="Z31" s="576">
        <f t="shared" si="12"/>
        <v>120607.12824649113</v>
      </c>
      <c r="AA31" s="576">
        <f t="shared" si="12"/>
        <v>218672.13038357152</v>
      </c>
      <c r="AB31" s="576">
        <f t="shared" si="12"/>
        <v>136.01744595225091</v>
      </c>
      <c r="AC31" s="576">
        <f t="shared" si="12"/>
        <v>55894.571082160219</v>
      </c>
      <c r="AD31" s="576">
        <f t="shared" si="12"/>
        <v>29.094438941778922</v>
      </c>
      <c r="AE31" s="576">
        <f t="shared" si="12"/>
        <v>9021.0717049245122</v>
      </c>
      <c r="AF31" s="576">
        <f t="shared" si="12"/>
        <v>10463.821906575746</v>
      </c>
      <c r="AG31" s="576">
        <f t="shared" si="12"/>
        <v>17545.990359377942</v>
      </c>
      <c r="AH31" s="576">
        <f t="shared" si="12"/>
        <v>3987.3477093849497</v>
      </c>
      <c r="AI31" s="576">
        <f t="shared" si="12"/>
        <v>149767.87496707606</v>
      </c>
      <c r="AJ31" s="576">
        <f t="shared" si="12"/>
        <v>18438.861613555509</v>
      </c>
      <c r="AK31" s="576">
        <f t="shared" si="12"/>
        <v>620.78870878900568</v>
      </c>
      <c r="AL31" s="576">
        <f t="shared" si="12"/>
        <v>88015.578359131556</v>
      </c>
      <c r="AM31" s="576">
        <f t="shared" si="12"/>
        <v>3399.7226796537993</v>
      </c>
      <c r="AN31" s="576">
        <f t="shared" si="12"/>
        <v>106618.16685505769</v>
      </c>
      <c r="AO31" s="576">
        <f t="shared" si="12"/>
        <v>92602.423622139264</v>
      </c>
    </row>
    <row r="32" spans="1:42" s="577" customFormat="1" x14ac:dyDescent="0.25">
      <c r="A32" s="380" t="s">
        <v>91</v>
      </c>
      <c r="B32" s="380"/>
      <c r="C32" s="576">
        <f>C$15*C19</f>
        <v>48597.055293063306</v>
      </c>
      <c r="D32" s="576">
        <f t="shared" ref="D32:AO32" si="13">D$15*D19</f>
        <v>5467.4441719462093</v>
      </c>
      <c r="E32" s="576">
        <f t="shared" si="13"/>
        <v>25264.017861901008</v>
      </c>
      <c r="F32" s="576">
        <f t="shared" si="13"/>
        <v>12098.123325441235</v>
      </c>
      <c r="G32" s="576">
        <f t="shared" si="13"/>
        <v>202294.73146558154</v>
      </c>
      <c r="H32" s="576">
        <f t="shared" si="13"/>
        <v>0</v>
      </c>
      <c r="I32" s="576">
        <f t="shared" si="13"/>
        <v>4235.7600391662663</v>
      </c>
      <c r="J32" s="576">
        <f t="shared" si="13"/>
        <v>241460.10934560691</v>
      </c>
      <c r="K32" s="576">
        <f t="shared" si="13"/>
        <v>35142.397658707996</v>
      </c>
      <c r="L32" s="576">
        <f t="shared" si="13"/>
        <v>42132.883151574555</v>
      </c>
      <c r="M32" s="576">
        <f t="shared" si="13"/>
        <v>652.44445442559118</v>
      </c>
      <c r="N32" s="576">
        <f t="shared" si="13"/>
        <v>64.937873764580942</v>
      </c>
      <c r="O32" s="576">
        <f t="shared" si="13"/>
        <v>156540.02806513896</v>
      </c>
      <c r="P32" s="576">
        <f t="shared" si="13"/>
        <v>11691.441582359623</v>
      </c>
      <c r="Q32" s="576">
        <f t="shared" si="13"/>
        <v>25999.888126587026</v>
      </c>
      <c r="R32" s="576">
        <f t="shared" si="13"/>
        <v>3927.5381089682564</v>
      </c>
      <c r="S32" s="576">
        <f t="shared" si="13"/>
        <v>0.23506360868121828</v>
      </c>
      <c r="T32" s="576">
        <f t="shared" si="13"/>
        <v>787.33262883448106</v>
      </c>
      <c r="U32" s="576">
        <f t="shared" si="13"/>
        <v>0.44798599333023187</v>
      </c>
      <c r="V32" s="576">
        <f t="shared" si="13"/>
        <v>28.390389803913401</v>
      </c>
      <c r="W32" s="576">
        <f t="shared" si="13"/>
        <v>5553.6350471862252</v>
      </c>
      <c r="X32" s="576">
        <f t="shared" si="13"/>
        <v>12622.680395595093</v>
      </c>
      <c r="Y32" s="576">
        <f t="shared" si="13"/>
        <v>212.53665453350405</v>
      </c>
      <c r="Z32" s="576">
        <f t="shared" si="13"/>
        <v>53659.848017922137</v>
      </c>
      <c r="AA32" s="576">
        <f t="shared" si="13"/>
        <v>167036.48541753014</v>
      </c>
      <c r="AB32" s="576">
        <f t="shared" si="13"/>
        <v>2132.2633139687528</v>
      </c>
      <c r="AC32" s="576">
        <f t="shared" si="13"/>
        <v>46480.463492777213</v>
      </c>
      <c r="AD32" s="576">
        <f t="shared" si="13"/>
        <v>6.4161546873478201</v>
      </c>
      <c r="AE32" s="576">
        <f t="shared" si="13"/>
        <v>8054.53544231468</v>
      </c>
      <c r="AF32" s="576">
        <f t="shared" si="13"/>
        <v>8780.6107814818624</v>
      </c>
      <c r="AG32" s="576">
        <f t="shared" si="13"/>
        <v>10607.502287442863</v>
      </c>
      <c r="AH32" s="576">
        <f t="shared" si="13"/>
        <v>1474.5543617529997</v>
      </c>
      <c r="AI32" s="576">
        <f t="shared" si="13"/>
        <v>112110.6689850637</v>
      </c>
      <c r="AJ32" s="576">
        <f t="shared" si="13"/>
        <v>15399.807129713605</v>
      </c>
      <c r="AK32" s="576">
        <f t="shared" si="13"/>
        <v>4350.3315720131104</v>
      </c>
      <c r="AL32" s="576">
        <f t="shared" si="13"/>
        <v>70276.334142315769</v>
      </c>
      <c r="AM32" s="576">
        <f t="shared" si="13"/>
        <v>15211.578944219378</v>
      </c>
      <c r="AN32" s="576">
        <f t="shared" si="13"/>
        <v>85089.760218701806</v>
      </c>
      <c r="AO32" s="576">
        <f t="shared" si="13"/>
        <v>72594.21829880825</v>
      </c>
    </row>
    <row r="33" spans="1:41" s="577" customFormat="1" x14ac:dyDescent="0.25">
      <c r="A33" s="34" t="s">
        <v>90</v>
      </c>
      <c r="B33" s="380"/>
      <c r="C33" s="576">
        <f>C$15*C20</f>
        <v>16184.642502123485</v>
      </c>
      <c r="D33" s="576">
        <f t="shared" ref="D33:AO33" si="14">D$15*D20</f>
        <v>1526.5708416868445</v>
      </c>
      <c r="E33" s="576">
        <f t="shared" si="14"/>
        <v>12699.487636913058</v>
      </c>
      <c r="F33" s="576">
        <f t="shared" si="14"/>
        <v>5209.8570447973516</v>
      </c>
      <c r="G33" s="576">
        <f t="shared" si="14"/>
        <v>10895.791551006478</v>
      </c>
      <c r="H33" s="576">
        <f t="shared" si="14"/>
        <v>5.4555919722699642</v>
      </c>
      <c r="I33" s="576">
        <f t="shared" si="14"/>
        <v>4529.0314066016399</v>
      </c>
      <c r="J33" s="576">
        <f t="shared" si="14"/>
        <v>10033.096945067591</v>
      </c>
      <c r="K33" s="576">
        <f t="shared" si="14"/>
        <v>5250.7638177041053</v>
      </c>
      <c r="L33" s="576">
        <f t="shared" si="14"/>
        <v>22058.838498303587</v>
      </c>
      <c r="M33" s="576">
        <f t="shared" si="14"/>
        <v>238.14113638120878</v>
      </c>
      <c r="N33" s="576">
        <f t="shared" si="14"/>
        <v>2261.92566005137</v>
      </c>
      <c r="O33" s="576">
        <f t="shared" si="14"/>
        <v>4897.1442056009919</v>
      </c>
      <c r="P33" s="576">
        <f t="shared" si="14"/>
        <v>11888.596085215593</v>
      </c>
      <c r="Q33" s="576">
        <f t="shared" si="14"/>
        <v>1025.0729735265547</v>
      </c>
      <c r="R33" s="576">
        <f t="shared" si="14"/>
        <v>3870.708974703457</v>
      </c>
      <c r="S33" s="576">
        <f t="shared" si="14"/>
        <v>1.8379344656848415</v>
      </c>
      <c r="T33" s="576">
        <f t="shared" si="14"/>
        <v>3596.8418072439426</v>
      </c>
      <c r="U33" s="576">
        <f t="shared" si="14"/>
        <v>9.6979188444106637</v>
      </c>
      <c r="V33" s="576">
        <f t="shared" si="14"/>
        <v>224.40568794837199</v>
      </c>
      <c r="W33" s="576">
        <f t="shared" si="14"/>
        <v>49.571750736501961</v>
      </c>
      <c r="X33" s="576">
        <f t="shared" si="14"/>
        <v>5983.947859310254</v>
      </c>
      <c r="Y33" s="576">
        <f t="shared" si="14"/>
        <v>256.09424409674659</v>
      </c>
      <c r="Z33" s="576">
        <f t="shared" si="14"/>
        <v>9582.9176148741808</v>
      </c>
      <c r="AA33" s="576">
        <f t="shared" si="14"/>
        <v>13896.694984353768</v>
      </c>
      <c r="AB33" s="576">
        <f t="shared" si="14"/>
        <v>2060.8236726084256</v>
      </c>
      <c r="AC33" s="576">
        <f t="shared" si="14"/>
        <v>30446.042665733163</v>
      </c>
      <c r="AD33" s="576">
        <f t="shared" si="14"/>
        <v>67.682475825279525</v>
      </c>
      <c r="AE33" s="576">
        <f t="shared" si="14"/>
        <v>221.49695404580453</v>
      </c>
      <c r="AF33" s="576">
        <f t="shared" si="14"/>
        <v>1157.734579967665</v>
      </c>
      <c r="AG33" s="576">
        <f t="shared" si="14"/>
        <v>2073.4633339080569</v>
      </c>
      <c r="AH33" s="576">
        <f t="shared" si="14"/>
        <v>851.35453051756656</v>
      </c>
      <c r="AI33" s="576">
        <f t="shared" si="14"/>
        <v>11875.592673598871</v>
      </c>
      <c r="AJ33" s="576">
        <f t="shared" si="14"/>
        <v>1616.8287066764551</v>
      </c>
      <c r="AK33" s="576">
        <f t="shared" si="14"/>
        <v>2309.8033171789129</v>
      </c>
      <c r="AL33" s="576">
        <f t="shared" si="14"/>
        <v>4085.8622093444178</v>
      </c>
      <c r="AM33" s="576">
        <f t="shared" si="14"/>
        <v>9309.5492031371596</v>
      </c>
      <c r="AN33" s="576">
        <f t="shared" si="14"/>
        <v>2917.1810280155169</v>
      </c>
      <c r="AO33" s="576">
        <f t="shared" si="14"/>
        <v>1799.969881235301</v>
      </c>
    </row>
    <row r="34" spans="1:41" s="577" customFormat="1" x14ac:dyDescent="0.25">
      <c r="A34" s="178" t="s">
        <v>97</v>
      </c>
      <c r="B34" s="380"/>
      <c r="C34" s="578">
        <f>C31+C32+C33</f>
        <v>139712.41847629932</v>
      </c>
      <c r="D34" s="578">
        <f t="shared" ref="D34:AO34" si="15">D31+D32+D33</f>
        <v>13669.062866968157</v>
      </c>
      <c r="E34" s="578">
        <f t="shared" si="15"/>
        <v>100072.55042860203</v>
      </c>
      <c r="F34" s="578">
        <f t="shared" si="15"/>
        <v>37200.749960629415</v>
      </c>
      <c r="G34" s="578">
        <f t="shared" si="15"/>
        <v>446204.88756739331</v>
      </c>
      <c r="H34" s="578">
        <f t="shared" si="15"/>
        <v>5.4597969073009276</v>
      </c>
      <c r="I34" s="578">
        <f t="shared" si="15"/>
        <v>23448.6895573931</v>
      </c>
      <c r="J34" s="578">
        <f t="shared" si="15"/>
        <v>530833.28778080503</v>
      </c>
      <c r="K34" s="578">
        <f t="shared" si="15"/>
        <v>83369.172239107866</v>
      </c>
      <c r="L34" s="578">
        <f t="shared" si="15"/>
        <v>88893.206278140831</v>
      </c>
      <c r="M34" s="578">
        <f t="shared" si="15"/>
        <v>906.08864244444192</v>
      </c>
      <c r="N34" s="578">
        <f t="shared" si="15"/>
        <v>2422.0484527230901</v>
      </c>
      <c r="O34" s="578">
        <f t="shared" si="15"/>
        <v>364986.7074041515</v>
      </c>
      <c r="P34" s="578">
        <f t="shared" si="15"/>
        <v>26606.606002497618</v>
      </c>
      <c r="Q34" s="578">
        <f t="shared" si="15"/>
        <v>59147.115261051862</v>
      </c>
      <c r="R34" s="578">
        <f t="shared" si="15"/>
        <v>9060.4618745758253</v>
      </c>
      <c r="S34" s="578">
        <f t="shared" si="15"/>
        <v>2.1905298787066689</v>
      </c>
      <c r="T34" s="578">
        <f t="shared" si="15"/>
        <v>5731.7811209040437</v>
      </c>
      <c r="U34" s="578">
        <f t="shared" si="15"/>
        <v>11.009877791122676</v>
      </c>
      <c r="V34" s="578">
        <f t="shared" si="15"/>
        <v>253.99501187961249</v>
      </c>
      <c r="W34" s="578">
        <f t="shared" si="15"/>
        <v>11676.324675994611</v>
      </c>
      <c r="X34" s="578">
        <f t="shared" si="15"/>
        <v>26297.148084740627</v>
      </c>
      <c r="Y34" s="578">
        <f t="shared" si="15"/>
        <v>483.41599817269002</v>
      </c>
      <c r="Z34" s="578">
        <f t="shared" si="15"/>
        <v>183849.89387928744</v>
      </c>
      <c r="AA34" s="578">
        <f t="shared" si="15"/>
        <v>399605.31078545545</v>
      </c>
      <c r="AB34" s="578">
        <f t="shared" si="15"/>
        <v>4329.1044325294297</v>
      </c>
      <c r="AC34" s="578">
        <f t="shared" si="15"/>
        <v>132821.07724067059</v>
      </c>
      <c r="AD34" s="578">
        <f t="shared" si="15"/>
        <v>103.19306945440627</v>
      </c>
      <c r="AE34" s="578">
        <f t="shared" si="15"/>
        <v>17297.104101284996</v>
      </c>
      <c r="AF34" s="578">
        <f t="shared" si="15"/>
        <v>20402.167268025274</v>
      </c>
      <c r="AG34" s="578">
        <f t="shared" si="15"/>
        <v>30226.955980728864</v>
      </c>
      <c r="AH34" s="578">
        <f t="shared" si="15"/>
        <v>6313.2566016555156</v>
      </c>
      <c r="AI34" s="578">
        <f t="shared" si="15"/>
        <v>273754.13662573864</v>
      </c>
      <c r="AJ34" s="578">
        <f t="shared" si="15"/>
        <v>35455.497449945564</v>
      </c>
      <c r="AK34" s="578">
        <f t="shared" si="15"/>
        <v>7280.9235979810292</v>
      </c>
      <c r="AL34" s="578">
        <f t="shared" si="15"/>
        <v>162377.77471079174</v>
      </c>
      <c r="AM34" s="578">
        <f t="shared" si="15"/>
        <v>27920.850827010334</v>
      </c>
      <c r="AN34" s="578">
        <f t="shared" si="15"/>
        <v>194625.108101775</v>
      </c>
      <c r="AO34" s="578">
        <f t="shared" si="15"/>
        <v>166996.61180218283</v>
      </c>
    </row>
    <row r="35" spans="1:41" s="577" customFormat="1" x14ac:dyDescent="0.25">
      <c r="A35" s="576" t="s">
        <v>996</v>
      </c>
      <c r="B35" s="380"/>
      <c r="C35" s="576">
        <f t="shared" ref="C35" si="16">C43+C47</f>
        <v>153907.57558642767</v>
      </c>
      <c r="D35" s="576">
        <f t="shared" ref="D35:AO35" si="17">D43+D47</f>
        <v>20252.21789357391</v>
      </c>
      <c r="E35" s="576">
        <f t="shared" si="17"/>
        <v>61570.389103431255</v>
      </c>
      <c r="F35" s="576">
        <f t="shared" si="17"/>
        <v>31740.788730841996</v>
      </c>
      <c r="G35" s="576">
        <f t="shared" si="17"/>
        <v>231547.66138828694</v>
      </c>
      <c r="H35" s="576">
        <f t="shared" si="17"/>
        <v>4.2160101204179647E-3</v>
      </c>
      <c r="I35" s="576">
        <f t="shared" si="17"/>
        <v>28846.216774081913</v>
      </c>
      <c r="J35" s="576">
        <f t="shared" si="17"/>
        <v>279540.9183794164</v>
      </c>
      <c r="K35" s="576">
        <f t="shared" si="17"/>
        <v>44677.668165333889</v>
      </c>
      <c r="L35" s="576">
        <f t="shared" si="17"/>
        <v>28545.039486329028</v>
      </c>
      <c r="M35" s="576">
        <f t="shared" si="17"/>
        <v>34.971043069567806</v>
      </c>
      <c r="N35" s="576">
        <f t="shared" si="17"/>
        <v>116.13112952735554</v>
      </c>
      <c r="O35" s="576">
        <f t="shared" si="17"/>
        <v>200459.54847394148</v>
      </c>
      <c r="P35" s="576">
        <f t="shared" si="17"/>
        <v>11678.583719786568</v>
      </c>
      <c r="Q35" s="576">
        <f t="shared" si="17"/>
        <v>32279.701584300517</v>
      </c>
      <c r="R35" s="576">
        <f t="shared" si="17"/>
        <v>1513.3373268784867</v>
      </c>
      <c r="S35" s="576">
        <f t="shared" si="17"/>
        <v>0.13001206532250653</v>
      </c>
      <c r="T35" s="576">
        <f t="shared" si="17"/>
        <v>1652.4451339517113</v>
      </c>
      <c r="U35" s="576">
        <f t="shared" si="17"/>
        <v>0.9133604966775728</v>
      </c>
      <c r="V35" s="576">
        <f t="shared" si="17"/>
        <v>5.1204226624808946</v>
      </c>
      <c r="W35" s="576">
        <f t="shared" si="17"/>
        <v>6055.0744174306992</v>
      </c>
      <c r="X35" s="576">
        <f t="shared" si="17"/>
        <v>8463.9476561149331</v>
      </c>
      <c r="Y35" s="576">
        <f t="shared" si="17"/>
        <v>36.30716832428682</v>
      </c>
      <c r="Z35" s="576">
        <f t="shared" si="17"/>
        <v>120910.37147785832</v>
      </c>
      <c r="AA35" s="576">
        <f t="shared" si="17"/>
        <v>234661.72882831946</v>
      </c>
      <c r="AB35" s="576">
        <f t="shared" si="17"/>
        <v>743.36064320851551</v>
      </c>
      <c r="AC35" s="576">
        <f t="shared" si="17"/>
        <v>108223.59674176383</v>
      </c>
      <c r="AD35" s="576">
        <f t="shared" si="17"/>
        <v>35.251976116202037</v>
      </c>
      <c r="AE35" s="576">
        <f t="shared" si="17"/>
        <v>10063.917272723043</v>
      </c>
      <c r="AF35" s="576">
        <f t="shared" si="17"/>
        <v>11218.380259216879</v>
      </c>
      <c r="AG35" s="576">
        <f t="shared" si="17"/>
        <v>20246.337038694637</v>
      </c>
      <c r="AH35" s="576">
        <f t="shared" si="17"/>
        <v>3951.9735598759125</v>
      </c>
      <c r="AI35" s="576">
        <f t="shared" si="17"/>
        <v>152712.85257749894</v>
      </c>
      <c r="AJ35" s="576">
        <f t="shared" si="17"/>
        <v>19222.926939339279</v>
      </c>
      <c r="AK35" s="576">
        <f t="shared" si="17"/>
        <v>656.83554369743365</v>
      </c>
      <c r="AL35" s="576">
        <f t="shared" si="17"/>
        <v>88834.271691036411</v>
      </c>
      <c r="AM35" s="576">
        <f t="shared" si="17"/>
        <v>4942.9312284905327</v>
      </c>
      <c r="AN35" s="576">
        <f t="shared" si="17"/>
        <v>107480.73003509598</v>
      </c>
      <c r="AO35" s="576">
        <f t="shared" si="17"/>
        <v>93474.368007175493</v>
      </c>
    </row>
    <row r="36" spans="1:41" s="577" customFormat="1" x14ac:dyDescent="0.25">
      <c r="A36" s="579" t="s">
        <v>91</v>
      </c>
      <c r="B36" s="380"/>
      <c r="C36" s="576">
        <f t="shared" ref="C36:C37" si="18">C44+C48</f>
        <v>99818.270701355475</v>
      </c>
      <c r="D36" s="576">
        <f t="shared" ref="D36:AO36" si="19">D44+D48</f>
        <v>16588.32612501521</v>
      </c>
      <c r="E36" s="576">
        <f t="shared" si="19"/>
        <v>25044.909510872949</v>
      </c>
      <c r="F36" s="576">
        <f t="shared" si="19"/>
        <v>19303.695987007981</v>
      </c>
      <c r="G36" s="576">
        <f t="shared" si="19"/>
        <v>201021.39227478384</v>
      </c>
      <c r="H36" s="576">
        <f t="shared" si="19"/>
        <v>0</v>
      </c>
      <c r="I36" s="576">
        <f t="shared" si="19"/>
        <v>8321.0637505070845</v>
      </c>
      <c r="J36" s="576">
        <f t="shared" si="19"/>
        <v>241633.71170509979</v>
      </c>
      <c r="K36" s="576">
        <f t="shared" si="19"/>
        <v>36533.879093608928</v>
      </c>
      <c r="L36" s="576">
        <f t="shared" si="19"/>
        <v>48688.766336680303</v>
      </c>
      <c r="M36" s="576">
        <f t="shared" si="19"/>
        <v>1471.7530231801759</v>
      </c>
      <c r="N36" s="576">
        <f t="shared" si="19"/>
        <v>79.227977666743413</v>
      </c>
      <c r="O36" s="576">
        <f t="shared" si="19"/>
        <v>154163.6699070262</v>
      </c>
      <c r="P36" s="576">
        <f t="shared" si="19"/>
        <v>45113.628444831258</v>
      </c>
      <c r="Q36" s="576">
        <f t="shared" si="19"/>
        <v>26127.408073148748</v>
      </c>
      <c r="R36" s="576">
        <f t="shared" si="19"/>
        <v>4708.9370730491937</v>
      </c>
      <c r="S36" s="576">
        <f t="shared" si="19"/>
        <v>0.26002413064501306</v>
      </c>
      <c r="T36" s="576">
        <f t="shared" si="19"/>
        <v>965.43300502200987</v>
      </c>
      <c r="U36" s="576">
        <f t="shared" si="19"/>
        <v>0.47359435011374335</v>
      </c>
      <c r="V36" s="576">
        <f t="shared" si="19"/>
        <v>121.25002703252215</v>
      </c>
      <c r="W36" s="576">
        <f t="shared" si="19"/>
        <v>5537.1349894891373</v>
      </c>
      <c r="X36" s="576">
        <f t="shared" si="19"/>
        <v>13892.130637737828</v>
      </c>
      <c r="Y36" s="576">
        <f t="shared" si="19"/>
        <v>521.91762856103094</v>
      </c>
      <c r="Z36" s="576">
        <f t="shared" si="19"/>
        <v>53794.765298054794</v>
      </c>
      <c r="AA36" s="576">
        <f t="shared" si="19"/>
        <v>179250.41648759102</v>
      </c>
      <c r="AB36" s="576">
        <f t="shared" si="19"/>
        <v>11653.215640574252</v>
      </c>
      <c r="AC36" s="576">
        <f t="shared" si="19"/>
        <v>89995.912662403513</v>
      </c>
      <c r="AD36" s="576">
        <f t="shared" si="19"/>
        <v>7.7740674858469578</v>
      </c>
      <c r="AE36" s="576">
        <f t="shared" si="19"/>
        <v>8985.648381158604</v>
      </c>
      <c r="AF36" s="576">
        <f t="shared" si="19"/>
        <v>9413.7908246450861</v>
      </c>
      <c r="AG36" s="576">
        <f t="shared" si="19"/>
        <v>12240.008232736003</v>
      </c>
      <c r="AH36" s="576">
        <f t="shared" si="19"/>
        <v>1461.4727069153532</v>
      </c>
      <c r="AI36" s="576">
        <f t="shared" si="19"/>
        <v>114315.16985097453</v>
      </c>
      <c r="AJ36" s="576">
        <f t="shared" si="19"/>
        <v>16054.644453580144</v>
      </c>
      <c r="AK36" s="576">
        <f t="shared" si="19"/>
        <v>4602.9387501932433</v>
      </c>
      <c r="AL36" s="576">
        <f t="shared" si="19"/>
        <v>70930.022582767429</v>
      </c>
      <c r="AM36" s="576">
        <f t="shared" si="19"/>
        <v>22116.447629101247</v>
      </c>
      <c r="AN36" s="576">
        <f t="shared" si="19"/>
        <v>85778.154104358415</v>
      </c>
      <c r="AO36" s="576">
        <f t="shared" si="19"/>
        <v>73277.765430252941</v>
      </c>
    </row>
    <row r="37" spans="1:41" s="577" customFormat="1" x14ac:dyDescent="0.25">
      <c r="A37" s="34" t="s">
        <v>90</v>
      </c>
      <c r="B37" s="380"/>
      <c r="C37" s="576">
        <f t="shared" si="18"/>
        <v>33243.228766419175</v>
      </c>
      <c r="D37" s="576">
        <f t="shared" ref="D37:AO37" si="20">D45+D49</f>
        <v>4631.6439964353931</v>
      </c>
      <c r="E37" s="576">
        <f t="shared" si="20"/>
        <v>12589.348235878933</v>
      </c>
      <c r="F37" s="576">
        <f t="shared" si="20"/>
        <v>8312.8179324351513</v>
      </c>
      <c r="G37" s="576">
        <f t="shared" si="20"/>
        <v>10827.208260200312</v>
      </c>
      <c r="H37" s="576">
        <f t="shared" si="20"/>
        <v>5.4699610811091572</v>
      </c>
      <c r="I37" s="576">
        <f t="shared" si="20"/>
        <v>8897.189338846234</v>
      </c>
      <c r="J37" s="576">
        <f t="shared" si="20"/>
        <v>10040.310431831118</v>
      </c>
      <c r="K37" s="576">
        <f t="shared" si="20"/>
        <v>5458.6705303405533</v>
      </c>
      <c r="L37" s="576">
        <f t="shared" si="20"/>
        <v>25491.197206672383</v>
      </c>
      <c r="M37" s="576">
        <f t="shared" si="20"/>
        <v>537.18739585452045</v>
      </c>
      <c r="N37" s="576">
        <f t="shared" si="20"/>
        <v>2759.6806807698267</v>
      </c>
      <c r="O37" s="576">
        <f t="shared" si="20"/>
        <v>4822.803037222051</v>
      </c>
      <c r="P37" s="576">
        <f t="shared" si="20"/>
        <v>45874.386211562924</v>
      </c>
      <c r="Q37" s="576">
        <f t="shared" si="20"/>
        <v>1030.1005817289263</v>
      </c>
      <c r="R37" s="576">
        <f t="shared" si="20"/>
        <v>4640.8015617583551</v>
      </c>
      <c r="S37" s="576">
        <f t="shared" si="20"/>
        <v>2.0330978253223444</v>
      </c>
      <c r="T37" s="576">
        <f t="shared" si="20"/>
        <v>4410.4736262446113</v>
      </c>
      <c r="U37" s="576">
        <f t="shared" si="20"/>
        <v>10.252283868145099</v>
      </c>
      <c r="V37" s="576">
        <f t="shared" si="20"/>
        <v>958.39458062816925</v>
      </c>
      <c r="W37" s="576">
        <f t="shared" si="20"/>
        <v>49.424471208706485</v>
      </c>
      <c r="X37" s="576">
        <f t="shared" si="20"/>
        <v>6585.7474629524222</v>
      </c>
      <c r="Y37" s="576">
        <f t="shared" si="20"/>
        <v>628.88023179095319</v>
      </c>
      <c r="Z37" s="576">
        <f t="shared" si="20"/>
        <v>9607.012002541891</v>
      </c>
      <c r="AA37" s="576">
        <f t="shared" si="20"/>
        <v>14912.839895546591</v>
      </c>
      <c r="AB37" s="576">
        <f t="shared" si="20"/>
        <v>11262.784711803233</v>
      </c>
      <c r="AC37" s="576">
        <f t="shared" si="20"/>
        <v>58949.91552928288</v>
      </c>
      <c r="AD37" s="576">
        <f t="shared" si="20"/>
        <v>82.006772017590663</v>
      </c>
      <c r="AE37" s="576">
        <f t="shared" si="20"/>
        <v>247.1022395776165</v>
      </c>
      <c r="AF37" s="576">
        <f t="shared" si="20"/>
        <v>1241.2201653738057</v>
      </c>
      <c r="AG37" s="576">
        <f t="shared" si="20"/>
        <v>2392.5715582785879</v>
      </c>
      <c r="AH37" s="576">
        <f t="shared" si="20"/>
        <v>843.80165461039621</v>
      </c>
      <c r="AI37" s="576">
        <f t="shared" si="20"/>
        <v>12109.109738202604</v>
      </c>
      <c r="AJ37" s="576">
        <f t="shared" si="20"/>
        <v>1685.5802030109614</v>
      </c>
      <c r="AK37" s="576">
        <f t="shared" si="20"/>
        <v>2443.9247946904934</v>
      </c>
      <c r="AL37" s="576">
        <f t="shared" si="20"/>
        <v>4123.8676193892552</v>
      </c>
      <c r="AM37" s="576">
        <f t="shared" si="20"/>
        <v>13535.357385103471</v>
      </c>
      <c r="AN37" s="576">
        <f t="shared" si="20"/>
        <v>2940.7816302252058</v>
      </c>
      <c r="AO37" s="576">
        <f t="shared" si="20"/>
        <v>1816.9183969413439</v>
      </c>
    </row>
    <row r="38" spans="1:41" s="577" customFormat="1" x14ac:dyDescent="0.25">
      <c r="A38" s="178" t="s">
        <v>97</v>
      </c>
      <c r="B38" s="380"/>
      <c r="C38" s="576">
        <f>C35+C36+C37</f>
        <v>286969.07505420235</v>
      </c>
      <c r="D38" s="576">
        <f t="shared" ref="D38:AO38" si="21">D35+D36+D37</f>
        <v>41472.188015024512</v>
      </c>
      <c r="E38" s="576">
        <f t="shared" si="21"/>
        <v>99204.64685018314</v>
      </c>
      <c r="F38" s="576">
        <f t="shared" si="21"/>
        <v>59357.302650285128</v>
      </c>
      <c r="G38" s="576">
        <f t="shared" si="21"/>
        <v>443396.26192327111</v>
      </c>
      <c r="H38" s="576">
        <f t="shared" si="21"/>
        <v>5.4741770912295751</v>
      </c>
      <c r="I38" s="576">
        <f t="shared" si="21"/>
        <v>46064.469863435232</v>
      </c>
      <c r="J38" s="576">
        <f t="shared" si="21"/>
        <v>531214.9405163473</v>
      </c>
      <c r="K38" s="576">
        <f t="shared" si="21"/>
        <v>86670.217789283372</v>
      </c>
      <c r="L38" s="576">
        <f t="shared" si="21"/>
        <v>102725.00302968171</v>
      </c>
      <c r="M38" s="576">
        <f t="shared" si="21"/>
        <v>2043.911462104264</v>
      </c>
      <c r="N38" s="576">
        <f t="shared" si="21"/>
        <v>2955.0397879639258</v>
      </c>
      <c r="O38" s="576">
        <f t="shared" si="21"/>
        <v>359446.02141818975</v>
      </c>
      <c r="P38" s="576">
        <f t="shared" si="21"/>
        <v>102666.59837618074</v>
      </c>
      <c r="Q38" s="576">
        <f t="shared" si="21"/>
        <v>59437.210239178195</v>
      </c>
      <c r="R38" s="576">
        <f t="shared" si="21"/>
        <v>10863.075961686036</v>
      </c>
      <c r="S38" s="576">
        <f t="shared" si="21"/>
        <v>2.4231340212898642</v>
      </c>
      <c r="T38" s="576">
        <f t="shared" si="21"/>
        <v>7028.3517652183327</v>
      </c>
      <c r="U38" s="576">
        <f t="shared" si="21"/>
        <v>11.639238714936415</v>
      </c>
      <c r="V38" s="576">
        <f t="shared" si="21"/>
        <v>1084.7650303231724</v>
      </c>
      <c r="W38" s="576">
        <f t="shared" si="21"/>
        <v>11641.633878128541</v>
      </c>
      <c r="X38" s="576">
        <f t="shared" si="21"/>
        <v>28941.825756805185</v>
      </c>
      <c r="Y38" s="576">
        <f t="shared" si="21"/>
        <v>1187.1050286762711</v>
      </c>
      <c r="Z38" s="576">
        <f t="shared" si="21"/>
        <v>184312.14877845501</v>
      </c>
      <c r="AA38" s="576">
        <f t="shared" si="21"/>
        <v>428824.98521145707</v>
      </c>
      <c r="AB38" s="576">
        <f t="shared" si="21"/>
        <v>23659.360995586001</v>
      </c>
      <c r="AC38" s="576">
        <f t="shared" si="21"/>
        <v>257169.42493345024</v>
      </c>
      <c r="AD38" s="576">
        <f t="shared" si="21"/>
        <v>125.03281561963965</v>
      </c>
      <c r="AE38" s="576">
        <f t="shared" si="21"/>
        <v>19296.667893459264</v>
      </c>
      <c r="AF38" s="576">
        <f t="shared" si="21"/>
        <v>21873.39124923577</v>
      </c>
      <c r="AG38" s="576">
        <f t="shared" si="21"/>
        <v>34878.916829709226</v>
      </c>
      <c r="AH38" s="576">
        <f t="shared" si="21"/>
        <v>6257.2479214016621</v>
      </c>
      <c r="AI38" s="576">
        <f t="shared" si="21"/>
        <v>279137.13216667605</v>
      </c>
      <c r="AJ38" s="576">
        <f t="shared" si="21"/>
        <v>36963.151595930387</v>
      </c>
      <c r="AK38" s="576">
        <f t="shared" si="21"/>
        <v>7703.6990885811701</v>
      </c>
      <c r="AL38" s="576">
        <f t="shared" si="21"/>
        <v>163888.16189319309</v>
      </c>
      <c r="AM38" s="576">
        <f t="shared" si="21"/>
        <v>40594.736242695246</v>
      </c>
      <c r="AN38" s="576">
        <f t="shared" si="21"/>
        <v>196199.66576967962</v>
      </c>
      <c r="AO38" s="576">
        <f t="shared" si="21"/>
        <v>168569.05183436981</v>
      </c>
    </row>
    <row r="39" spans="1:41" s="163" customFormat="1" x14ac:dyDescent="0.25">
      <c r="A39" s="34" t="s">
        <v>1301</v>
      </c>
      <c r="B39" s="34"/>
      <c r="C39" s="452">
        <f>C31*Watersheds!B$8</f>
        <v>43871.775125681677</v>
      </c>
      <c r="D39" s="452">
        <f>D31*Watersheds!C$8</f>
        <v>6274.7472479011431</v>
      </c>
      <c r="E39" s="452">
        <f>E31*Watersheds!D$8</f>
        <v>4912.8674226163002</v>
      </c>
      <c r="F39" s="452">
        <f>F31*Watersheds!E$8</f>
        <v>3041.0874705276751</v>
      </c>
      <c r="G39" s="452">
        <f>G31*Watersheds!F$8</f>
        <v>8027.9690653928483</v>
      </c>
      <c r="H39" s="452">
        <f>H31*Watersheds!G$8</f>
        <v>9.9642194500001553E-6</v>
      </c>
      <c r="I39" s="452">
        <f>I31*Watersheds!H$8</f>
        <v>3113.9109545209603</v>
      </c>
      <c r="J39" s="452">
        <f>J31*Watersheds!I$8</f>
        <v>8993.4649745253428</v>
      </c>
      <c r="K39" s="452">
        <f>K31*Watersheds!J$8</f>
        <v>1954.7719311379606</v>
      </c>
      <c r="L39" s="452">
        <f>L31*Watersheds!K$8</f>
        <v>1369.0458812394538</v>
      </c>
      <c r="M39" s="452">
        <f>M31*Watersheds!L$8</f>
        <v>3.4413412126815874</v>
      </c>
      <c r="N39" s="452">
        <f>N31*Watersheds!M$8</f>
        <v>6.6735948861365788</v>
      </c>
      <c r="O39" s="452">
        <f>O31*Watersheds!N$8</f>
        <v>9670.7380325030626</v>
      </c>
      <c r="P39" s="452">
        <f>P31*Watersheds!O$8</f>
        <v>1516.9951016938876</v>
      </c>
      <c r="Q39" s="452">
        <f>Q31*Watersheds!P$8</f>
        <v>514.54996759673497</v>
      </c>
      <c r="R39" s="452">
        <f>R31*Watersheds!Q$8</f>
        <v>45.555912906955832</v>
      </c>
      <c r="S39" s="452">
        <f>S31*Watersheds!R$8</f>
        <v>6.4465693334920587E-3</v>
      </c>
      <c r="T39" s="452">
        <f>T31*Watersheds!S$8</f>
        <v>123.02174279655883</v>
      </c>
      <c r="U39" s="452">
        <f>U31*Watersheds!T$8</f>
        <v>7.3183379340457183E-2</v>
      </c>
      <c r="V39" s="452">
        <f>V31*Watersheds!U$8</f>
        <v>0.38225481293913677</v>
      </c>
      <c r="W39" s="452">
        <f>W31*Watersheds!V$8</f>
        <v>176.13723236893682</v>
      </c>
      <c r="X39" s="452">
        <f>X31*Watersheds!W$8</f>
        <v>486.2638356841332</v>
      </c>
      <c r="Y39" s="452">
        <f>Y31*Watersheds!X$8</f>
        <v>4.2611402965275929</v>
      </c>
      <c r="Z39" s="452">
        <f>Z31*Watersheds!Y$8</f>
        <v>8024.2927763683347</v>
      </c>
      <c r="AA39" s="452">
        <f>AA31*Watersheds!Z$8</f>
        <v>14492.03001518993</v>
      </c>
      <c r="AB39" s="452">
        <f>AB31*Watersheds!AA$8</f>
        <v>103.22872855597923</v>
      </c>
      <c r="AC39" s="452">
        <f>AC31*Watersheds!AB$8</f>
        <v>13727.493039819768</v>
      </c>
      <c r="AD39" s="452">
        <f>AD31*Watersheds!AC$8</f>
        <v>1.6273290803086464</v>
      </c>
      <c r="AE39" s="452">
        <f>AE31*Watersheds!AD$8</f>
        <v>1440.3784070438019</v>
      </c>
      <c r="AF39" s="452">
        <f>AF31*Watersheds!AE$8</f>
        <v>1625.7740398746271</v>
      </c>
      <c r="AG39" s="452">
        <f>AG31*Watersheds!AF$8</f>
        <v>3159.5668257803113</v>
      </c>
      <c r="AH39" s="452">
        <f>AH31*Watersheds!AG$8</f>
        <v>566.42493195718919</v>
      </c>
      <c r="AI39" s="452">
        <f>AI31*Watersheds!AH$8</f>
        <v>3409.8392765877752</v>
      </c>
      <c r="AJ39" s="452">
        <f>AJ31*Watersheds!AI$8</f>
        <v>3276.0804901503921</v>
      </c>
      <c r="AK39" s="452">
        <f>AK31*Watersheds!AJ$8</f>
        <v>5.9349638706102334</v>
      </c>
      <c r="AL39" s="452">
        <f>AL31*Watersheds!AK$8</f>
        <v>4045.3316876961007</v>
      </c>
      <c r="AM39" s="452">
        <f>AM31*Watersheds!AL$8</f>
        <v>376.13339108510047</v>
      </c>
      <c r="AN39" s="452">
        <f>AN31*Watersheds!AM$8</f>
        <v>3040.6471761876087</v>
      </c>
      <c r="AO39" s="452">
        <f>AO31*Watersheds!AN$8</f>
        <v>970.52357146635791</v>
      </c>
    </row>
    <row r="40" spans="1:41" s="163" customFormat="1" x14ac:dyDescent="0.25">
      <c r="A40" s="34" t="s">
        <v>91</v>
      </c>
      <c r="B40" s="34"/>
      <c r="C40" s="452">
        <f>C32*Watersheds!B$8</f>
        <v>28453.470915634814</v>
      </c>
      <c r="D40" s="452">
        <f>D32*Watersheds!C$8</f>
        <v>5139.5631948663322</v>
      </c>
      <c r="E40" s="452">
        <f>E32*Watersheds!D$8</f>
        <v>1998.4008844193554</v>
      </c>
      <c r="F40" s="452">
        <f>F32*Watersheds!E$8</f>
        <v>1849.4886342859973</v>
      </c>
      <c r="G40" s="452">
        <f>G32*Watersheds!F$8</f>
        <v>6969.5954128336571</v>
      </c>
      <c r="H40" s="452">
        <f>H32*Watersheds!G$8</f>
        <v>0</v>
      </c>
      <c r="I40" s="452">
        <f>I32*Watersheds!H$8</f>
        <v>898.24782809134751</v>
      </c>
      <c r="J40" s="452">
        <f>J32*Watersheds!I$8</f>
        <v>7773.9042122442415</v>
      </c>
      <c r="K40" s="452">
        <f>K32*Watersheds!J$8</f>
        <v>1598.4585659998033</v>
      </c>
      <c r="L40" s="452">
        <f>L32*Watersheds!K$8</f>
        <v>2335.157218745002</v>
      </c>
      <c r="M40" s="452">
        <f>M32*Watersheds!L$8</f>
        <v>144.82851779637392</v>
      </c>
      <c r="N40" s="452">
        <f>N32*Watersheds!M$8</f>
        <v>4.5529172819349393</v>
      </c>
      <c r="O40" s="452">
        <f>O32*Watersheds!N$8</f>
        <v>7437.2933449659586</v>
      </c>
      <c r="P40" s="452">
        <f>P32*Watersheds!O$8</f>
        <v>5860.0558948339485</v>
      </c>
      <c r="Q40" s="452">
        <f>Q32*Watersheds!P$8</f>
        <v>416.48021256689327</v>
      </c>
      <c r="R40" s="452">
        <f>R32*Watersheds!Q$8</f>
        <v>141.75288177596732</v>
      </c>
      <c r="S40" s="452">
        <f>S32*Watersheds!R$8</f>
        <v>1.2893138666984117E-2</v>
      </c>
      <c r="T40" s="452">
        <f>T32*Watersheds!S$8</f>
        <v>71.87485284131516</v>
      </c>
      <c r="U40" s="452">
        <f>U32*Watersheds!T$8</f>
        <v>3.7946938918365009E-2</v>
      </c>
      <c r="V40" s="452">
        <f>V32*Watersheds!U$8</f>
        <v>9.0516758981231789</v>
      </c>
      <c r="W40" s="452">
        <f>W32*Watersheds!V$8</f>
        <v>161.07079204414765</v>
      </c>
      <c r="X40" s="452">
        <f>X32*Watersheds!W$8</f>
        <v>798.11938875248268</v>
      </c>
      <c r="Y40" s="452">
        <f>Y32*Watersheds!X$8</f>
        <v>61.254136336538849</v>
      </c>
      <c r="Z40" s="452">
        <f>Z32*Watersheds!Y$8</f>
        <v>3570.1234005939646</v>
      </c>
      <c r="AA40" s="452">
        <f>AA32*Watersheds!Z$8</f>
        <v>11069.987547368519</v>
      </c>
      <c r="AB40" s="452">
        <f>AB32*Watersheds!AA$8</f>
        <v>1618.2544033713386</v>
      </c>
      <c r="AC40" s="452">
        <f>AC32*Watersheds!AB$8</f>
        <v>11415.424194718344</v>
      </c>
      <c r="AD40" s="452">
        <f>AD32*Watersheds!AC$8</f>
        <v>0.35887253668557362</v>
      </c>
      <c r="AE40" s="452">
        <f>AE32*Watersheds!AD$8</f>
        <v>1286.0532882745936</v>
      </c>
      <c r="AF40" s="452">
        <f>AF32*Watersheds!AE$8</f>
        <v>1364.2519139020801</v>
      </c>
      <c r="AG40" s="452">
        <f>AG32*Watersheds!AF$8</f>
        <v>1910.1294167690087</v>
      </c>
      <c r="AH40" s="452">
        <f>AH32*Watersheds!AG$8</f>
        <v>209.46865307413916</v>
      </c>
      <c r="AI40" s="452">
        <f>AI32*Watersheds!AH$8</f>
        <v>2552.4790447473383</v>
      </c>
      <c r="AJ40" s="452">
        <f>AJ32*Watersheds!AI$8</f>
        <v>2736.1237774377623</v>
      </c>
      <c r="AK40" s="452">
        <f>AK32*Watersheds!AJ$8</f>
        <v>41.590738264938771</v>
      </c>
      <c r="AL40" s="452">
        <f>AL32*Watersheds!AK$8</f>
        <v>3230.0086723401546</v>
      </c>
      <c r="AM40" s="452">
        <f>AM32*Watersheds!AL$8</f>
        <v>1682.9557323277284</v>
      </c>
      <c r="AN40" s="452">
        <f>AN32*Watersheds!AM$8</f>
        <v>2426.6778051361985</v>
      </c>
      <c r="AO40" s="452">
        <f>AO32*Watersheds!AN$8</f>
        <v>760.8267392509548</v>
      </c>
    </row>
    <row r="41" spans="1:41" s="163" customFormat="1" x14ac:dyDescent="0.25">
      <c r="A41" s="34" t="s">
        <v>90</v>
      </c>
      <c r="B41" s="34"/>
      <c r="C41" s="452">
        <f>C33*Watersheds!B$8</f>
        <v>9476.0732298907478</v>
      </c>
      <c r="D41" s="452">
        <f>D33*Watersheds!C$8</f>
        <v>1435.0228489844772</v>
      </c>
      <c r="E41" s="452">
        <f>E33*Watersheds!D$8</f>
        <v>1004.538053448403</v>
      </c>
      <c r="F41" s="452">
        <f>F33*Watersheds!E$8</f>
        <v>796.45174143206327</v>
      </c>
      <c r="G41" s="452">
        <f>G33*Watersheds!F$8</f>
        <v>375.38920694040308</v>
      </c>
      <c r="H41" s="452">
        <f>H33*Watersheds!G$8</f>
        <v>1.2927837229605216E-2</v>
      </c>
      <c r="I41" s="452">
        <f>I33*Watersheds!H$8</f>
        <v>960.43982348399845</v>
      </c>
      <c r="J41" s="452">
        <f>J33*Watersheds!I$8</f>
        <v>323.01954477904258</v>
      </c>
      <c r="K41" s="452">
        <f>K33*Watersheds!J$8</f>
        <v>238.83197964926589</v>
      </c>
      <c r="L41" s="452">
        <f>L33*Watersheds!K$8</f>
        <v>1222.5808466781548</v>
      </c>
      <c r="M41" s="452">
        <f>M33*Watersheds!L$8</f>
        <v>52.862167153829361</v>
      </c>
      <c r="N41" s="452">
        <f>N33*Watersheds!M$8</f>
        <v>158.5878907189753</v>
      </c>
      <c r="O41" s="452">
        <f>O33*Watersheds!N$8</f>
        <v>232.66571789867868</v>
      </c>
      <c r="P41" s="452">
        <f>P33*Watersheds!O$8</f>
        <v>5958.8748812280119</v>
      </c>
      <c r="Q41" s="452">
        <f>Q33*Watersheds!P$8</f>
        <v>16.420171034288156</v>
      </c>
      <c r="R41" s="452">
        <f>R33*Watersheds!Q$8</f>
        <v>139.70180211044504</v>
      </c>
      <c r="S41" s="452">
        <f>S33*Watersheds!R$8</f>
        <v>0.10080992144998668</v>
      </c>
      <c r="T41" s="452">
        <f>T33*Watersheds!S$8</f>
        <v>328.35229497836167</v>
      </c>
      <c r="U41" s="452">
        <f>U33*Watersheds!T$8</f>
        <v>0.82146839299245089</v>
      </c>
      <c r="V41" s="452">
        <f>V33*Watersheds!U$8</f>
        <v>71.547011894991229</v>
      </c>
      <c r="W41" s="452">
        <f>W33*Watersheds!V$8</f>
        <v>1.4377180146521953</v>
      </c>
      <c r="X41" s="452">
        <f>X33*Watersheds!W$8</f>
        <v>378.35900602110337</v>
      </c>
      <c r="Y41" s="452">
        <f>Y33*Watersheds!X$8</f>
        <v>73.807653448464904</v>
      </c>
      <c r="Z41" s="452">
        <f>Z33*Watersheds!Y$8</f>
        <v>637.57538805178308</v>
      </c>
      <c r="AA41" s="452">
        <f>AA33*Watersheds!Z$8</f>
        <v>920.97388209432449</v>
      </c>
      <c r="AB41" s="452">
        <f>AB33*Watersheds!AA$8</f>
        <v>1564.0361867705758</v>
      </c>
      <c r="AC41" s="452">
        <f>AC33*Watersheds!AB$8</f>
        <v>7477.4317199708048</v>
      </c>
      <c r="AD41" s="452">
        <f>AD33*Watersheds!AC$8</f>
        <v>3.7856602548057223</v>
      </c>
      <c r="AE41" s="452">
        <f>AE33*Watersheds!AD$8</f>
        <v>35.366023047947806</v>
      </c>
      <c r="AF41" s="452">
        <f>AF33*Watersheds!AE$8</f>
        <v>179.87833145303733</v>
      </c>
      <c r="AG41" s="452">
        <f>AG33*Watersheds!AF$8</f>
        <v>373.37567330796151</v>
      </c>
      <c r="AH41" s="452">
        <f>AH33*Watersheds!AG$8</f>
        <v>120.93964890115926</v>
      </c>
      <c r="AI41" s="452">
        <f>AI33*Watersheds!AH$8</f>
        <v>270.37749143531181</v>
      </c>
      <c r="AJ41" s="452">
        <f>AJ33*Watersheds!AI$8</f>
        <v>287.26616061610804</v>
      </c>
      <c r="AK41" s="452">
        <f>AK33*Watersheds!AJ$8</f>
        <v>22.082552471700659</v>
      </c>
      <c r="AL41" s="452">
        <f>AL33*Watersheds!AK$8</f>
        <v>187.79252690448445</v>
      </c>
      <c r="AM41" s="452">
        <f>AM33*Watersheds!AL$8</f>
        <v>1029.9758660333298</v>
      </c>
      <c r="AN41" s="452">
        <f>AN33*Watersheds!AM$8</f>
        <v>83.195186307432479</v>
      </c>
      <c r="AO41" s="452">
        <f>AO33*Watersheds!AN$8</f>
        <v>18.864659577340809</v>
      </c>
    </row>
    <row r="42" spans="1:41" s="163" customFormat="1" x14ac:dyDescent="0.25">
      <c r="A42" s="178" t="s">
        <v>97</v>
      </c>
      <c r="B42" s="34"/>
      <c r="C42" s="452">
        <f>C39+C40+C41</f>
        <v>81801.319271207249</v>
      </c>
      <c r="D42" s="452">
        <f t="shared" ref="D42:AO42" si="22">D39+D40+D41</f>
        <v>12849.333291751953</v>
      </c>
      <c r="E42" s="452">
        <f t="shared" si="22"/>
        <v>7915.806360484059</v>
      </c>
      <c r="F42" s="452">
        <f t="shared" si="22"/>
        <v>5687.0278462457354</v>
      </c>
      <c r="G42" s="452">
        <f t="shared" si="22"/>
        <v>15372.953685166907</v>
      </c>
      <c r="H42" s="452">
        <f t="shared" si="22"/>
        <v>1.2937801449055215E-2</v>
      </c>
      <c r="I42" s="452">
        <f t="shared" si="22"/>
        <v>4972.598606096306</v>
      </c>
      <c r="J42" s="452">
        <f t="shared" si="22"/>
        <v>17090.388731548628</v>
      </c>
      <c r="K42" s="452">
        <f t="shared" si="22"/>
        <v>3792.0624767870299</v>
      </c>
      <c r="L42" s="452">
        <f t="shared" si="22"/>
        <v>4926.7839466626101</v>
      </c>
      <c r="M42" s="452">
        <f t="shared" si="22"/>
        <v>201.13202616288487</v>
      </c>
      <c r="N42" s="452">
        <f t="shared" si="22"/>
        <v>169.81440288704681</v>
      </c>
      <c r="O42" s="452">
        <f t="shared" si="22"/>
        <v>17340.697095367701</v>
      </c>
      <c r="P42" s="452">
        <f t="shared" si="22"/>
        <v>13335.925877755848</v>
      </c>
      <c r="Q42" s="452">
        <f t="shared" si="22"/>
        <v>947.45035119791646</v>
      </c>
      <c r="R42" s="452">
        <f t="shared" si="22"/>
        <v>327.01059679336822</v>
      </c>
      <c r="S42" s="452">
        <f t="shared" si="22"/>
        <v>0.12014962945046286</v>
      </c>
      <c r="T42" s="452">
        <f t="shared" si="22"/>
        <v>523.24889061623571</v>
      </c>
      <c r="U42" s="452">
        <f t="shared" si="22"/>
        <v>0.93259871125127303</v>
      </c>
      <c r="V42" s="452">
        <f t="shared" si="22"/>
        <v>80.980942606053546</v>
      </c>
      <c r="W42" s="452">
        <f t="shared" si="22"/>
        <v>338.64574242773665</v>
      </c>
      <c r="X42" s="452">
        <f t="shared" si="22"/>
        <v>1662.7422304577192</v>
      </c>
      <c r="Y42" s="452">
        <f t="shared" si="22"/>
        <v>139.32293008153135</v>
      </c>
      <c r="Z42" s="452">
        <f t="shared" si="22"/>
        <v>12231.991565014081</v>
      </c>
      <c r="AA42" s="452">
        <f t="shared" si="22"/>
        <v>26482.991444652773</v>
      </c>
      <c r="AB42" s="452">
        <f t="shared" si="22"/>
        <v>3285.5193186978936</v>
      </c>
      <c r="AC42" s="452">
        <f t="shared" si="22"/>
        <v>32620.348954508918</v>
      </c>
      <c r="AD42" s="452">
        <f t="shared" si="22"/>
        <v>5.7718618717999419</v>
      </c>
      <c r="AE42" s="452">
        <f t="shared" si="22"/>
        <v>2761.7977183663429</v>
      </c>
      <c r="AF42" s="452">
        <f t="shared" si="22"/>
        <v>3169.9042852297443</v>
      </c>
      <c r="AG42" s="452">
        <f t="shared" si="22"/>
        <v>5443.071915857282</v>
      </c>
      <c r="AH42" s="452">
        <f t="shared" si="22"/>
        <v>896.83323393248759</v>
      </c>
      <c r="AI42" s="452">
        <f t="shared" si="22"/>
        <v>6232.6958127704247</v>
      </c>
      <c r="AJ42" s="452">
        <f t="shared" si="22"/>
        <v>6299.470428204263</v>
      </c>
      <c r="AK42" s="452">
        <f t="shared" si="22"/>
        <v>69.608254607249663</v>
      </c>
      <c r="AL42" s="452">
        <f t="shared" si="22"/>
        <v>7463.1328869407398</v>
      </c>
      <c r="AM42" s="452">
        <f t="shared" si="22"/>
        <v>3089.0649894461585</v>
      </c>
      <c r="AN42" s="452">
        <f t="shared" si="22"/>
        <v>5550.5201676312399</v>
      </c>
      <c r="AO42" s="452">
        <f t="shared" si="22"/>
        <v>1750.2149702946535</v>
      </c>
    </row>
    <row r="43" spans="1:41" s="163" customFormat="1" x14ac:dyDescent="0.25">
      <c r="A43" s="51" t="s">
        <v>995</v>
      </c>
      <c r="B43" s="34"/>
      <c r="C43" s="452">
        <f>C23-C39</f>
        <v>122848.63003099681</v>
      </c>
      <c r="D43" s="452">
        <f t="shared" ref="D43:AO43" si="23">D23-D39</f>
        <v>19851.91728813995</v>
      </c>
      <c r="E43" s="452">
        <f t="shared" si="23"/>
        <v>4374.2115962595744</v>
      </c>
      <c r="F43" s="452">
        <f t="shared" si="23"/>
        <v>14889.106610978843</v>
      </c>
      <c r="G43" s="452">
        <f t="shared" si="23"/>
        <v>6561.2659028745256</v>
      </c>
      <c r="H43" s="452">
        <f t="shared" si="23"/>
        <v>2.1039308904775839E-5</v>
      </c>
      <c r="I43" s="452">
        <f t="shared" si="23"/>
        <v>17276.229616977678</v>
      </c>
      <c r="J43" s="452">
        <f t="shared" si="23"/>
        <v>9194.3018638112826</v>
      </c>
      <c r="K43" s="452">
        <f t="shared" si="23"/>
        <v>3656.429333776101</v>
      </c>
      <c r="L43" s="452">
        <f t="shared" si="23"/>
        <v>5212.600739305788</v>
      </c>
      <c r="M43" s="452">
        <f t="shared" si="23"/>
        <v>22.909332644607375</v>
      </c>
      <c r="N43" s="452">
        <f t="shared" si="23"/>
        <v>27.619805506352861</v>
      </c>
      <c r="O43" s="452">
        <f t="shared" si="23"/>
        <v>6580.7513730330211</v>
      </c>
      <c r="P43" s="452">
        <f t="shared" si="23"/>
        <v>10169.010486558054</v>
      </c>
      <c r="Q43" s="452">
        <f t="shared" si="23"/>
        <v>672.09739095897555</v>
      </c>
      <c r="R43" s="452">
        <f t="shared" si="23"/>
        <v>296.67844888133072</v>
      </c>
      <c r="S43" s="452">
        <f t="shared" si="23"/>
        <v>1.8926830315389435E-2</v>
      </c>
      <c r="T43" s="452">
        <f t="shared" si="23"/>
        <v>427.86019192264979</v>
      </c>
      <c r="U43" s="452">
        <f t="shared" si="23"/>
        <v>0.12257092263624833</v>
      </c>
      <c r="V43" s="452">
        <f t="shared" si="23"/>
        <v>4.3037433480929277</v>
      </c>
      <c r="W43" s="452">
        <f t="shared" si="23"/>
        <v>158.09377172775251</v>
      </c>
      <c r="X43" s="452">
        <f t="shared" si="23"/>
        <v>1259.6916619637859</v>
      </c>
      <c r="Y43" s="452">
        <f t="shared" si="23"/>
        <v>25.783209078375066</v>
      </c>
      <c r="Z43" s="452">
        <f t="shared" si="23"/>
        <v>8327.5360077355253</v>
      </c>
      <c r="AA43" s="452">
        <f t="shared" si="23"/>
        <v>30481.628459937878</v>
      </c>
      <c r="AB43" s="452">
        <f t="shared" si="23"/>
        <v>710.57192581224388</v>
      </c>
      <c r="AC43" s="452">
        <f t="shared" si="23"/>
        <v>66056.518699423381</v>
      </c>
      <c r="AD43" s="452">
        <f t="shared" si="23"/>
        <v>7.784866254731762</v>
      </c>
      <c r="AE43" s="452">
        <f t="shared" si="23"/>
        <v>2483.2239748423331</v>
      </c>
      <c r="AF43" s="452">
        <f t="shared" si="23"/>
        <v>2380.3323925157601</v>
      </c>
      <c r="AG43" s="452">
        <f t="shared" si="23"/>
        <v>5859.9135050970071</v>
      </c>
      <c r="AH43" s="452">
        <f t="shared" si="23"/>
        <v>531.05078244815184</v>
      </c>
      <c r="AI43" s="452">
        <f t="shared" si="23"/>
        <v>6354.8168870106538</v>
      </c>
      <c r="AJ43" s="452">
        <f t="shared" si="23"/>
        <v>4060.1458159341632</v>
      </c>
      <c r="AK43" s="452">
        <f t="shared" si="23"/>
        <v>41.981798779038201</v>
      </c>
      <c r="AL43" s="452">
        <f t="shared" si="23"/>
        <v>4864.0250196009538</v>
      </c>
      <c r="AM43" s="452">
        <f t="shared" si="23"/>
        <v>1919.3419399218337</v>
      </c>
      <c r="AN43" s="452">
        <f t="shared" si="23"/>
        <v>3903.2103562259013</v>
      </c>
      <c r="AO43" s="452">
        <f t="shared" si="23"/>
        <v>1842.4679565025911</v>
      </c>
    </row>
    <row r="44" spans="1:41" s="163" customFormat="1" x14ac:dyDescent="0.25">
      <c r="A44" s="50" t="s">
        <v>91</v>
      </c>
      <c r="B44" s="34"/>
      <c r="C44" s="452">
        <f>C24-C40</f>
        <v>79674.686323926988</v>
      </c>
      <c r="D44" s="452">
        <f t="shared" ref="D44:AO44" si="24">D24-D40</f>
        <v>16260.445147935334</v>
      </c>
      <c r="E44" s="452">
        <f t="shared" si="24"/>
        <v>1779.2925333912981</v>
      </c>
      <c r="F44" s="452">
        <f t="shared" si="24"/>
        <v>9055.0612958527436</v>
      </c>
      <c r="G44" s="452">
        <f t="shared" si="24"/>
        <v>5696.2562220359532</v>
      </c>
      <c r="H44" s="452">
        <f t="shared" si="24"/>
        <v>0</v>
      </c>
      <c r="I44" s="452">
        <f t="shared" si="24"/>
        <v>4983.5515394321646</v>
      </c>
      <c r="J44" s="452">
        <f t="shared" si="24"/>
        <v>7947.5065717371044</v>
      </c>
      <c r="K44" s="452">
        <f t="shared" si="24"/>
        <v>2989.9400009007336</v>
      </c>
      <c r="L44" s="452">
        <f t="shared" si="24"/>
        <v>8891.0404038507513</v>
      </c>
      <c r="M44" s="452">
        <f t="shared" si="24"/>
        <v>964.13708655095866</v>
      </c>
      <c r="N44" s="452">
        <f t="shared" si="24"/>
        <v>18.84302118409741</v>
      </c>
      <c r="O44" s="452">
        <f t="shared" si="24"/>
        <v>5060.935186853184</v>
      </c>
      <c r="P44" s="452">
        <f t="shared" si="24"/>
        <v>39282.242757305583</v>
      </c>
      <c r="Q44" s="452">
        <f t="shared" si="24"/>
        <v>544.00015912861681</v>
      </c>
      <c r="R44" s="452">
        <f t="shared" si="24"/>
        <v>923.15184585690417</v>
      </c>
      <c r="S44" s="452">
        <f t="shared" si="24"/>
        <v>3.7853660630778871E-2</v>
      </c>
      <c r="T44" s="452">
        <f t="shared" si="24"/>
        <v>249.9752290288439</v>
      </c>
      <c r="U44" s="452">
        <f t="shared" si="24"/>
        <v>6.3555295701876513E-2</v>
      </c>
      <c r="V44" s="452">
        <f t="shared" si="24"/>
        <v>101.91131312673193</v>
      </c>
      <c r="W44" s="452">
        <f t="shared" si="24"/>
        <v>144.57073434705904</v>
      </c>
      <c r="X44" s="452">
        <f t="shared" si="24"/>
        <v>2067.5696308952174</v>
      </c>
      <c r="Y44" s="452">
        <f t="shared" si="24"/>
        <v>370.63511036406572</v>
      </c>
      <c r="Z44" s="452">
        <f t="shared" si="24"/>
        <v>3705.0406807266213</v>
      </c>
      <c r="AA44" s="452">
        <f t="shared" si="24"/>
        <v>23283.918617429379</v>
      </c>
      <c r="AB44" s="452">
        <f t="shared" si="24"/>
        <v>11139.206729976837</v>
      </c>
      <c r="AC44" s="452">
        <f t="shared" si="24"/>
        <v>54930.873364344647</v>
      </c>
      <c r="AD44" s="452">
        <f t="shared" si="24"/>
        <v>1.7167853351847122</v>
      </c>
      <c r="AE44" s="452">
        <f t="shared" si="24"/>
        <v>2217.1662271185187</v>
      </c>
      <c r="AF44" s="452">
        <f t="shared" si="24"/>
        <v>1997.4319570653047</v>
      </c>
      <c r="AG44" s="452">
        <f t="shared" si="24"/>
        <v>3542.6353620621485</v>
      </c>
      <c r="AH44" s="452">
        <f t="shared" si="24"/>
        <v>196.38699823649276</v>
      </c>
      <c r="AI44" s="452">
        <f t="shared" si="24"/>
        <v>4756.9799106581631</v>
      </c>
      <c r="AJ44" s="452">
        <f t="shared" si="24"/>
        <v>3390.9611013043013</v>
      </c>
      <c r="AK44" s="452">
        <f t="shared" si="24"/>
        <v>294.19791644507092</v>
      </c>
      <c r="AL44" s="452">
        <f t="shared" si="24"/>
        <v>3883.6971127918105</v>
      </c>
      <c r="AM44" s="452">
        <f t="shared" si="24"/>
        <v>8587.8244172095965</v>
      </c>
      <c r="AN44" s="452">
        <f t="shared" si="24"/>
        <v>3115.0716907928204</v>
      </c>
      <c r="AO44" s="452">
        <f t="shared" si="24"/>
        <v>1444.3738706956574</v>
      </c>
    </row>
    <row r="45" spans="1:41" s="163" customFormat="1" x14ac:dyDescent="0.25">
      <c r="A45" s="34" t="s">
        <v>90</v>
      </c>
      <c r="B45" s="34"/>
      <c r="C45" s="452">
        <f>C25-C41</f>
        <v>26534.659494186439</v>
      </c>
      <c r="D45" s="452">
        <f t="shared" ref="D45:AO45" si="25">D25-D41</f>
        <v>4540.096003733026</v>
      </c>
      <c r="E45" s="452">
        <f t="shared" si="25"/>
        <v>894.39865241427799</v>
      </c>
      <c r="F45" s="452">
        <f t="shared" si="25"/>
        <v>3899.4126290698632</v>
      </c>
      <c r="G45" s="452">
        <f t="shared" si="25"/>
        <v>306.80591613423798</v>
      </c>
      <c r="H45" s="452">
        <f t="shared" si="25"/>
        <v>2.7296946068798345E-2</v>
      </c>
      <c r="I45" s="452">
        <f t="shared" si="25"/>
        <v>5328.5977557285933</v>
      </c>
      <c r="J45" s="452">
        <f t="shared" si="25"/>
        <v>330.23303154256973</v>
      </c>
      <c r="K45" s="452">
        <f t="shared" si="25"/>
        <v>446.73869228571414</v>
      </c>
      <c r="L45" s="452">
        <f t="shared" si="25"/>
        <v>4654.9395550469517</v>
      </c>
      <c r="M45" s="452">
        <f t="shared" si="25"/>
        <v>351.90842662714095</v>
      </c>
      <c r="N45" s="452">
        <f t="shared" si="25"/>
        <v>656.34291143743189</v>
      </c>
      <c r="O45" s="452">
        <f t="shared" si="25"/>
        <v>158.3245495197379</v>
      </c>
      <c r="P45" s="452">
        <f t="shared" si="25"/>
        <v>39944.665007575342</v>
      </c>
      <c r="Q45" s="452">
        <f t="shared" si="25"/>
        <v>21.447779236659773</v>
      </c>
      <c r="R45" s="452">
        <f t="shared" si="25"/>
        <v>909.79438916534309</v>
      </c>
      <c r="S45" s="452">
        <f t="shared" si="25"/>
        <v>0.29597328108748966</v>
      </c>
      <c r="T45" s="452">
        <f t="shared" si="25"/>
        <v>1141.9841139790301</v>
      </c>
      <c r="U45" s="452">
        <f t="shared" si="25"/>
        <v>1.3758334167268851</v>
      </c>
      <c r="V45" s="452">
        <f t="shared" si="25"/>
        <v>805.53590457478845</v>
      </c>
      <c r="W45" s="452">
        <f t="shared" si="25"/>
        <v>1.2904384868567225</v>
      </c>
      <c r="X45" s="452">
        <f t="shared" si="25"/>
        <v>980.15860966327227</v>
      </c>
      <c r="Y45" s="452">
        <f t="shared" si="25"/>
        <v>446.59364114267152</v>
      </c>
      <c r="Z45" s="452">
        <f t="shared" si="25"/>
        <v>661.66977571949212</v>
      </c>
      <c r="AA45" s="452">
        <f t="shared" si="25"/>
        <v>1937.1187932871471</v>
      </c>
      <c r="AB45" s="452">
        <f t="shared" si="25"/>
        <v>10765.997225965384</v>
      </c>
      <c r="AC45" s="452">
        <f t="shared" si="25"/>
        <v>35981.304583520519</v>
      </c>
      <c r="AD45" s="452">
        <f t="shared" si="25"/>
        <v>18.109956447116854</v>
      </c>
      <c r="AE45" s="452">
        <f t="shared" si="25"/>
        <v>60.971308579759793</v>
      </c>
      <c r="AF45" s="452">
        <f t="shared" si="25"/>
        <v>263.36391685917806</v>
      </c>
      <c r="AG45" s="452">
        <f t="shared" si="25"/>
        <v>692.48389767849221</v>
      </c>
      <c r="AH45" s="452">
        <f t="shared" si="25"/>
        <v>113.38677299398883</v>
      </c>
      <c r="AI45" s="452">
        <f t="shared" si="25"/>
        <v>503.89455603904577</v>
      </c>
      <c r="AJ45" s="452">
        <f t="shared" si="25"/>
        <v>356.01765695061425</v>
      </c>
      <c r="AK45" s="452">
        <f t="shared" si="25"/>
        <v>156.20402998328089</v>
      </c>
      <c r="AL45" s="452">
        <f t="shared" si="25"/>
        <v>225.79793694932172</v>
      </c>
      <c r="AM45" s="452">
        <f t="shared" si="25"/>
        <v>5255.7840479996412</v>
      </c>
      <c r="AN45" s="452">
        <f t="shared" si="25"/>
        <v>106.79578851712124</v>
      </c>
      <c r="AO45" s="452">
        <f t="shared" si="25"/>
        <v>35.813175283383615</v>
      </c>
    </row>
    <row r="46" spans="1:41" s="163" customFormat="1" x14ac:dyDescent="0.25">
      <c r="A46" s="178" t="s">
        <v>97</v>
      </c>
      <c r="B46" s="34"/>
      <c r="C46" s="452">
        <f>C43+C44+C45</f>
        <v>229057.97584911023</v>
      </c>
      <c r="D46" s="452">
        <f t="shared" ref="D46:AO46" si="26">D43+D44+D45</f>
        <v>40652.45843980831</v>
      </c>
      <c r="E46" s="452">
        <f t="shared" si="26"/>
        <v>7047.9027820651509</v>
      </c>
      <c r="F46" s="452">
        <f t="shared" si="26"/>
        <v>27843.580535901448</v>
      </c>
      <c r="G46" s="452">
        <f t="shared" si="26"/>
        <v>12564.328041044717</v>
      </c>
      <c r="H46" s="452">
        <f t="shared" si="26"/>
        <v>2.7317985377703122E-2</v>
      </c>
      <c r="I46" s="452">
        <f t="shared" si="26"/>
        <v>27588.37891213844</v>
      </c>
      <c r="J46" s="452">
        <f t="shared" si="26"/>
        <v>17472.041467090959</v>
      </c>
      <c r="K46" s="452">
        <f t="shared" si="26"/>
        <v>7093.1080269625481</v>
      </c>
      <c r="L46" s="452">
        <f t="shared" si="26"/>
        <v>18758.580698203492</v>
      </c>
      <c r="M46" s="452">
        <f t="shared" si="26"/>
        <v>1338.9548458227071</v>
      </c>
      <c r="N46" s="452">
        <f t="shared" si="26"/>
        <v>702.80573812788214</v>
      </c>
      <c r="O46" s="452">
        <f t="shared" si="26"/>
        <v>11800.011109405943</v>
      </c>
      <c r="P46" s="452">
        <f t="shared" si="26"/>
        <v>89395.918251438983</v>
      </c>
      <c r="Q46" s="452">
        <f t="shared" si="26"/>
        <v>1237.5453293242522</v>
      </c>
      <c r="R46" s="452">
        <f t="shared" si="26"/>
        <v>2129.624683903578</v>
      </c>
      <c r="S46" s="452">
        <f t="shared" si="26"/>
        <v>0.35275377203365799</v>
      </c>
      <c r="T46" s="452">
        <f t="shared" si="26"/>
        <v>1819.8195349305238</v>
      </c>
      <c r="U46" s="452">
        <f t="shared" si="26"/>
        <v>1.56195963506501</v>
      </c>
      <c r="V46" s="452">
        <f t="shared" si="26"/>
        <v>911.75096104961335</v>
      </c>
      <c r="W46" s="452">
        <f t="shared" si="26"/>
        <v>303.9549445616683</v>
      </c>
      <c r="X46" s="452">
        <f t="shared" si="26"/>
        <v>4307.4199025222752</v>
      </c>
      <c r="Y46" s="452">
        <f t="shared" si="26"/>
        <v>843.01196058511232</v>
      </c>
      <c r="Z46" s="452">
        <f t="shared" si="26"/>
        <v>12694.246464181639</v>
      </c>
      <c r="AA46" s="452">
        <f t="shared" si="26"/>
        <v>55702.665870654404</v>
      </c>
      <c r="AB46" s="452">
        <f t="shared" si="26"/>
        <v>22615.775881754467</v>
      </c>
      <c r="AC46" s="452">
        <f t="shared" si="26"/>
        <v>156968.69664728854</v>
      </c>
      <c r="AD46" s="452">
        <f t="shared" si="26"/>
        <v>27.611608037033328</v>
      </c>
      <c r="AE46" s="452">
        <f t="shared" si="26"/>
        <v>4761.3615105406116</v>
      </c>
      <c r="AF46" s="452">
        <f t="shared" si="26"/>
        <v>4641.1282664402424</v>
      </c>
      <c r="AG46" s="452">
        <f t="shared" si="26"/>
        <v>10095.032764837648</v>
      </c>
      <c r="AH46" s="452">
        <f t="shared" si="26"/>
        <v>840.82455367863349</v>
      </c>
      <c r="AI46" s="452">
        <f t="shared" si="26"/>
        <v>11615.691353707862</v>
      </c>
      <c r="AJ46" s="452">
        <f t="shared" si="26"/>
        <v>7807.1245741890789</v>
      </c>
      <c r="AK46" s="452">
        <f t="shared" si="26"/>
        <v>492.38374520739001</v>
      </c>
      <c r="AL46" s="452">
        <f t="shared" si="26"/>
        <v>8973.5200693420866</v>
      </c>
      <c r="AM46" s="452">
        <f t="shared" si="26"/>
        <v>15762.950405131072</v>
      </c>
      <c r="AN46" s="452">
        <f t="shared" si="26"/>
        <v>7125.0778355358425</v>
      </c>
      <c r="AO46" s="452">
        <f t="shared" si="26"/>
        <v>3322.655002481632</v>
      </c>
    </row>
    <row r="47" spans="1:41" s="163" customFormat="1" x14ac:dyDescent="0.25">
      <c r="A47" s="34" t="s">
        <v>992</v>
      </c>
      <c r="B47" s="34"/>
      <c r="C47" s="453">
        <f t="shared" ref="C47" si="27">C31-C39</f>
        <v>31058.945555430859</v>
      </c>
      <c r="D47" s="453">
        <f t="shared" ref="D47:AO47" si="28">D31-D39</f>
        <v>400.3006054339603</v>
      </c>
      <c r="E47" s="453">
        <f t="shared" si="28"/>
        <v>57196.177507171677</v>
      </c>
      <c r="F47" s="453">
        <f t="shared" si="28"/>
        <v>16851.682119863151</v>
      </c>
      <c r="G47" s="453">
        <f t="shared" si="28"/>
        <v>224986.39548541242</v>
      </c>
      <c r="H47" s="453">
        <f t="shared" si="28"/>
        <v>4.1949708115131892E-3</v>
      </c>
      <c r="I47" s="453">
        <f t="shared" si="28"/>
        <v>11569.987157104235</v>
      </c>
      <c r="J47" s="453">
        <f t="shared" si="28"/>
        <v>270346.61651560513</v>
      </c>
      <c r="K47" s="453">
        <f t="shared" si="28"/>
        <v>41021.238831557792</v>
      </c>
      <c r="L47" s="453">
        <f t="shared" si="28"/>
        <v>23332.43874702324</v>
      </c>
      <c r="M47" s="453">
        <f t="shared" si="28"/>
        <v>12.061710424960431</v>
      </c>
      <c r="N47" s="453">
        <f t="shared" si="28"/>
        <v>88.511324021002679</v>
      </c>
      <c r="O47" s="453">
        <f t="shared" si="28"/>
        <v>193878.79710090847</v>
      </c>
      <c r="P47" s="453">
        <f t="shared" si="28"/>
        <v>1509.5732332285133</v>
      </c>
      <c r="Q47" s="453">
        <f t="shared" si="28"/>
        <v>31607.604193341544</v>
      </c>
      <c r="R47" s="453">
        <f t="shared" si="28"/>
        <v>1216.658877997156</v>
      </c>
      <c r="S47" s="453">
        <f t="shared" si="28"/>
        <v>0.11108523500711709</v>
      </c>
      <c r="T47" s="453">
        <f t="shared" si="28"/>
        <v>1224.5849420290615</v>
      </c>
      <c r="U47" s="453">
        <f t="shared" si="28"/>
        <v>0.79078957404132444</v>
      </c>
      <c r="V47" s="453">
        <f t="shared" si="28"/>
        <v>0.81667931438796715</v>
      </c>
      <c r="W47" s="453">
        <f t="shared" si="28"/>
        <v>5896.9806457029463</v>
      </c>
      <c r="X47" s="453">
        <f t="shared" si="28"/>
        <v>7204.2559941511472</v>
      </c>
      <c r="Y47" s="453">
        <f t="shared" si="28"/>
        <v>10.523959245911756</v>
      </c>
      <c r="Z47" s="453">
        <f t="shared" si="28"/>
        <v>112582.83547012279</v>
      </c>
      <c r="AA47" s="453">
        <f t="shared" si="28"/>
        <v>204180.10036838159</v>
      </c>
      <c r="AB47" s="453">
        <f t="shared" si="28"/>
        <v>32.788717396271679</v>
      </c>
      <c r="AC47" s="453">
        <f t="shared" si="28"/>
        <v>42167.07804234045</v>
      </c>
      <c r="AD47" s="453">
        <f t="shared" si="28"/>
        <v>27.467109861470277</v>
      </c>
      <c r="AE47" s="453">
        <f t="shared" si="28"/>
        <v>7580.6932978807108</v>
      </c>
      <c r="AF47" s="453">
        <f t="shared" si="28"/>
        <v>8838.0478667011193</v>
      </c>
      <c r="AG47" s="453">
        <f t="shared" si="28"/>
        <v>14386.42353359763</v>
      </c>
      <c r="AH47" s="453">
        <f t="shared" si="28"/>
        <v>3420.9227774277606</v>
      </c>
      <c r="AI47" s="453">
        <f t="shared" si="28"/>
        <v>146358.03569048829</v>
      </c>
      <c r="AJ47" s="453">
        <f t="shared" si="28"/>
        <v>15162.781123405117</v>
      </c>
      <c r="AK47" s="453">
        <f t="shared" si="28"/>
        <v>614.85374491839548</v>
      </c>
      <c r="AL47" s="453">
        <f t="shared" si="28"/>
        <v>83970.246671435452</v>
      </c>
      <c r="AM47" s="453">
        <f t="shared" si="28"/>
        <v>3023.589288568699</v>
      </c>
      <c r="AN47" s="453">
        <f t="shared" si="28"/>
        <v>103577.51967887009</v>
      </c>
      <c r="AO47" s="453">
        <f t="shared" si="28"/>
        <v>91631.900050672906</v>
      </c>
    </row>
    <row r="48" spans="1:41" s="163" customFormat="1" x14ac:dyDescent="0.25">
      <c r="A48" s="34" t="s">
        <v>91</v>
      </c>
      <c r="B48" s="34"/>
      <c r="C48" s="453">
        <f t="shared" ref="C48:C49" si="29">C32-C40</f>
        <v>20143.584377428491</v>
      </c>
      <c r="D48" s="453">
        <f t="shared" ref="D48:AO48" si="30">D32-D40</f>
        <v>327.88097707987708</v>
      </c>
      <c r="E48" s="453">
        <f t="shared" si="30"/>
        <v>23265.616977481652</v>
      </c>
      <c r="F48" s="453">
        <f t="shared" si="30"/>
        <v>10248.634691155237</v>
      </c>
      <c r="G48" s="453">
        <f t="shared" si="30"/>
        <v>195325.1360527479</v>
      </c>
      <c r="H48" s="453">
        <f t="shared" si="30"/>
        <v>0</v>
      </c>
      <c r="I48" s="453">
        <f t="shared" si="30"/>
        <v>3337.5122110749189</v>
      </c>
      <c r="J48" s="453">
        <f t="shared" si="30"/>
        <v>233686.20513336267</v>
      </c>
      <c r="K48" s="453">
        <f t="shared" si="30"/>
        <v>33543.939092708191</v>
      </c>
      <c r="L48" s="453">
        <f t="shared" si="30"/>
        <v>39797.725932829555</v>
      </c>
      <c r="M48" s="453">
        <f t="shared" si="30"/>
        <v>507.61593662921723</v>
      </c>
      <c r="N48" s="453">
        <f t="shared" si="30"/>
        <v>60.384956482646004</v>
      </c>
      <c r="O48" s="453">
        <f t="shared" si="30"/>
        <v>149102.734720173</v>
      </c>
      <c r="P48" s="453">
        <f t="shared" si="30"/>
        <v>5831.3856875256743</v>
      </c>
      <c r="Q48" s="453">
        <f t="shared" si="30"/>
        <v>25583.407914020132</v>
      </c>
      <c r="R48" s="453">
        <f t="shared" si="30"/>
        <v>3785.7852271922893</v>
      </c>
      <c r="S48" s="453">
        <f t="shared" si="30"/>
        <v>0.22217047001423418</v>
      </c>
      <c r="T48" s="453">
        <f t="shared" si="30"/>
        <v>715.45777599316591</v>
      </c>
      <c r="U48" s="453">
        <f t="shared" si="30"/>
        <v>0.41003905441186683</v>
      </c>
      <c r="V48" s="453">
        <f t="shared" si="30"/>
        <v>19.338713905790222</v>
      </c>
      <c r="W48" s="453">
        <f t="shared" si="30"/>
        <v>5392.5642551420779</v>
      </c>
      <c r="X48" s="453">
        <f t="shared" si="30"/>
        <v>11824.56100684261</v>
      </c>
      <c r="Y48" s="453">
        <f t="shared" si="30"/>
        <v>151.28251819696521</v>
      </c>
      <c r="Z48" s="453">
        <f t="shared" si="30"/>
        <v>50089.724617328175</v>
      </c>
      <c r="AA48" s="453">
        <f t="shared" si="30"/>
        <v>155966.49787016163</v>
      </c>
      <c r="AB48" s="453">
        <f t="shared" si="30"/>
        <v>514.00891059741411</v>
      </c>
      <c r="AC48" s="453">
        <f t="shared" si="30"/>
        <v>35065.039298058866</v>
      </c>
      <c r="AD48" s="453">
        <f t="shared" si="30"/>
        <v>6.0572821506622461</v>
      </c>
      <c r="AE48" s="453">
        <f t="shared" si="30"/>
        <v>6768.4821540400862</v>
      </c>
      <c r="AF48" s="453">
        <f t="shared" si="30"/>
        <v>7416.3588675797819</v>
      </c>
      <c r="AG48" s="453">
        <f t="shared" si="30"/>
        <v>8697.3728706738548</v>
      </c>
      <c r="AH48" s="453">
        <f t="shared" si="30"/>
        <v>1265.0857086788606</v>
      </c>
      <c r="AI48" s="453">
        <f t="shared" si="30"/>
        <v>109558.18994031637</v>
      </c>
      <c r="AJ48" s="453">
        <f t="shared" si="30"/>
        <v>12663.683352275842</v>
      </c>
      <c r="AK48" s="453">
        <f t="shared" si="30"/>
        <v>4308.740833748172</v>
      </c>
      <c r="AL48" s="453">
        <f t="shared" si="30"/>
        <v>67046.325469975622</v>
      </c>
      <c r="AM48" s="453">
        <f t="shared" si="30"/>
        <v>13528.62321189165</v>
      </c>
      <c r="AN48" s="453">
        <f t="shared" si="30"/>
        <v>82663.0824135656</v>
      </c>
      <c r="AO48" s="453">
        <f t="shared" si="30"/>
        <v>71833.391559557291</v>
      </c>
    </row>
    <row r="49" spans="1:42" s="163" customFormat="1" x14ac:dyDescent="0.25">
      <c r="A49" s="34" t="s">
        <v>90</v>
      </c>
      <c r="B49" s="34"/>
      <c r="C49" s="453">
        <f t="shared" si="29"/>
        <v>6708.5692722327367</v>
      </c>
      <c r="D49" s="453">
        <f t="shared" ref="D49:AO49" si="31">D33-D41</f>
        <v>91.54799270236731</v>
      </c>
      <c r="E49" s="453">
        <f t="shared" si="31"/>
        <v>11694.949583464655</v>
      </c>
      <c r="F49" s="453">
        <f t="shared" si="31"/>
        <v>4413.4053033652881</v>
      </c>
      <c r="G49" s="453">
        <f t="shared" si="31"/>
        <v>10520.402344066075</v>
      </c>
      <c r="H49" s="453">
        <f t="shared" si="31"/>
        <v>5.4426641350403591</v>
      </c>
      <c r="I49" s="453">
        <f t="shared" si="31"/>
        <v>3568.5915831176417</v>
      </c>
      <c r="J49" s="453">
        <f t="shared" si="31"/>
        <v>9710.0774002885482</v>
      </c>
      <c r="K49" s="453">
        <f t="shared" si="31"/>
        <v>5011.9318380548393</v>
      </c>
      <c r="L49" s="453">
        <f t="shared" si="31"/>
        <v>20836.25765162543</v>
      </c>
      <c r="M49" s="453">
        <f t="shared" si="31"/>
        <v>185.27896922737943</v>
      </c>
      <c r="N49" s="453">
        <f t="shared" si="31"/>
        <v>2103.3377693323946</v>
      </c>
      <c r="O49" s="453">
        <f t="shared" si="31"/>
        <v>4664.478487702313</v>
      </c>
      <c r="P49" s="453">
        <f t="shared" si="31"/>
        <v>5929.7212039875812</v>
      </c>
      <c r="Q49" s="453">
        <f t="shared" si="31"/>
        <v>1008.6528024922666</v>
      </c>
      <c r="R49" s="453">
        <f t="shared" si="31"/>
        <v>3731.007172593012</v>
      </c>
      <c r="S49" s="453">
        <f t="shared" si="31"/>
        <v>1.7371245442348549</v>
      </c>
      <c r="T49" s="453">
        <f t="shared" si="31"/>
        <v>3268.4895122655807</v>
      </c>
      <c r="U49" s="453">
        <f t="shared" si="31"/>
        <v>8.8764504514182132</v>
      </c>
      <c r="V49" s="453">
        <f t="shared" si="31"/>
        <v>152.85867605338075</v>
      </c>
      <c r="W49" s="453">
        <f t="shared" si="31"/>
        <v>48.134032721849763</v>
      </c>
      <c r="X49" s="453">
        <f t="shared" si="31"/>
        <v>5605.5888532891504</v>
      </c>
      <c r="Y49" s="453">
        <f t="shared" si="31"/>
        <v>182.28659064828167</v>
      </c>
      <c r="Z49" s="453">
        <f t="shared" si="31"/>
        <v>8945.3422268223985</v>
      </c>
      <c r="AA49" s="453">
        <f t="shared" si="31"/>
        <v>12975.721102259444</v>
      </c>
      <c r="AB49" s="453">
        <f t="shared" si="31"/>
        <v>496.78748583784977</v>
      </c>
      <c r="AC49" s="453">
        <f t="shared" si="31"/>
        <v>22968.610945762357</v>
      </c>
      <c r="AD49" s="453">
        <f t="shared" si="31"/>
        <v>63.896815570473805</v>
      </c>
      <c r="AE49" s="453">
        <f t="shared" si="31"/>
        <v>186.13093099785672</v>
      </c>
      <c r="AF49" s="453">
        <f t="shared" si="31"/>
        <v>977.85624851462762</v>
      </c>
      <c r="AG49" s="453">
        <f t="shared" si="31"/>
        <v>1700.0876606000954</v>
      </c>
      <c r="AH49" s="453">
        <f t="shared" si="31"/>
        <v>730.41488161640734</v>
      </c>
      <c r="AI49" s="453">
        <f t="shared" si="31"/>
        <v>11605.215182163558</v>
      </c>
      <c r="AJ49" s="453">
        <f t="shared" si="31"/>
        <v>1329.5625460603471</v>
      </c>
      <c r="AK49" s="453">
        <f t="shared" si="31"/>
        <v>2287.7207647072123</v>
      </c>
      <c r="AL49" s="453">
        <f t="shared" si="31"/>
        <v>3898.0696824399333</v>
      </c>
      <c r="AM49" s="453">
        <f t="shared" si="31"/>
        <v>8279.5733371038295</v>
      </c>
      <c r="AN49" s="453">
        <f t="shared" si="31"/>
        <v>2833.9858417080845</v>
      </c>
      <c r="AO49" s="453">
        <f t="shared" si="31"/>
        <v>1781.1052216579603</v>
      </c>
    </row>
    <row r="50" spans="1:42" s="163" customFormat="1" x14ac:dyDescent="0.25">
      <c r="A50" s="178" t="s">
        <v>97</v>
      </c>
      <c r="B50" s="34"/>
      <c r="C50" s="453">
        <f t="shared" ref="C50" si="32">C34-C42</f>
        <v>57911.099205092076</v>
      </c>
      <c r="D50" s="453">
        <f t="shared" ref="D50:AO50" si="33">D34-D42</f>
        <v>819.72957521620447</v>
      </c>
      <c r="E50" s="453">
        <f t="shared" si="33"/>
        <v>92156.744068117972</v>
      </c>
      <c r="F50" s="453">
        <f t="shared" si="33"/>
        <v>31513.72211438368</v>
      </c>
      <c r="G50" s="453">
        <f t="shared" si="33"/>
        <v>430831.93388222641</v>
      </c>
      <c r="H50" s="453">
        <f t="shared" si="33"/>
        <v>5.4468591058518721</v>
      </c>
      <c r="I50" s="453">
        <f t="shared" si="33"/>
        <v>18476.090951296792</v>
      </c>
      <c r="J50" s="453">
        <f t="shared" si="33"/>
        <v>513742.8990492564</v>
      </c>
      <c r="K50" s="453">
        <f t="shared" si="33"/>
        <v>79577.109762320833</v>
      </c>
      <c r="L50" s="453">
        <f t="shared" si="33"/>
        <v>83966.422331478214</v>
      </c>
      <c r="M50" s="453">
        <f t="shared" si="33"/>
        <v>704.95661628155699</v>
      </c>
      <c r="N50" s="453">
        <f t="shared" si="33"/>
        <v>2252.2340498360431</v>
      </c>
      <c r="O50" s="453">
        <f t="shared" si="33"/>
        <v>347646.01030878379</v>
      </c>
      <c r="P50" s="453">
        <f t="shared" si="33"/>
        <v>13270.68012474177</v>
      </c>
      <c r="Q50" s="453">
        <f t="shared" si="33"/>
        <v>58199.664909853949</v>
      </c>
      <c r="R50" s="453">
        <f t="shared" si="33"/>
        <v>8733.4512777824566</v>
      </c>
      <c r="S50" s="453">
        <f t="shared" si="33"/>
        <v>2.070380249256206</v>
      </c>
      <c r="T50" s="453">
        <f t="shared" si="33"/>
        <v>5208.5322302878085</v>
      </c>
      <c r="U50" s="453">
        <f t="shared" si="33"/>
        <v>10.077279079871403</v>
      </c>
      <c r="V50" s="453">
        <f t="shared" si="33"/>
        <v>173.01406927355896</v>
      </c>
      <c r="W50" s="453">
        <f t="shared" si="33"/>
        <v>11337.678933566875</v>
      </c>
      <c r="X50" s="453">
        <f t="shared" si="33"/>
        <v>24634.405854282908</v>
      </c>
      <c r="Y50" s="453">
        <f t="shared" si="33"/>
        <v>344.09306809115867</v>
      </c>
      <c r="Z50" s="453">
        <f t="shared" si="33"/>
        <v>171617.90231427335</v>
      </c>
      <c r="AA50" s="453">
        <f t="shared" si="33"/>
        <v>373122.31934080267</v>
      </c>
      <c r="AB50" s="453">
        <f t="shared" si="33"/>
        <v>1043.5851138315361</v>
      </c>
      <c r="AC50" s="453">
        <f t="shared" si="33"/>
        <v>100200.72828616167</v>
      </c>
      <c r="AD50" s="453">
        <f t="shared" si="33"/>
        <v>97.421207582606328</v>
      </c>
      <c r="AE50" s="453">
        <f t="shared" si="33"/>
        <v>14535.306382918654</v>
      </c>
      <c r="AF50" s="453">
        <f t="shared" si="33"/>
        <v>17232.262982795532</v>
      </c>
      <c r="AG50" s="453">
        <f t="shared" si="33"/>
        <v>24783.884064871581</v>
      </c>
      <c r="AH50" s="453">
        <f t="shared" si="33"/>
        <v>5416.4233677230277</v>
      </c>
      <c r="AI50" s="453">
        <f t="shared" si="33"/>
        <v>267521.44081296824</v>
      </c>
      <c r="AJ50" s="453">
        <f t="shared" si="33"/>
        <v>29156.027021741302</v>
      </c>
      <c r="AK50" s="453">
        <f t="shared" si="33"/>
        <v>7211.3153433737798</v>
      </c>
      <c r="AL50" s="453">
        <f t="shared" si="33"/>
        <v>154914.64182385101</v>
      </c>
      <c r="AM50" s="453">
        <f t="shared" si="33"/>
        <v>24831.785837564174</v>
      </c>
      <c r="AN50" s="453">
        <f t="shared" si="33"/>
        <v>189074.58793414375</v>
      </c>
      <c r="AO50" s="453">
        <f t="shared" si="33"/>
        <v>165246.39683188818</v>
      </c>
    </row>
    <row r="51" spans="1:42" s="163" customFormat="1" x14ac:dyDescent="0.25">
      <c r="A51" s="570" t="s">
        <v>994</v>
      </c>
      <c r="B51" s="34"/>
      <c r="C51" s="453">
        <f t="shared" ref="C51" si="34">C27-C47</f>
        <v>86970.470211460663</v>
      </c>
      <c r="D51" s="453">
        <f t="shared" ref="D51:AO51" si="35">D27-D47</f>
        <v>1266.4628861545716</v>
      </c>
      <c r="E51" s="453">
        <f t="shared" si="35"/>
        <v>50925.083335620751</v>
      </c>
      <c r="F51" s="453">
        <f t="shared" si="35"/>
        <v>82505.516230163659</v>
      </c>
      <c r="G51" s="453">
        <f t="shared" si="35"/>
        <v>183881.57120244732</v>
      </c>
      <c r="H51" s="453">
        <f t="shared" si="35"/>
        <v>8.8576217327231595E-3</v>
      </c>
      <c r="I51" s="453">
        <f t="shared" si="35"/>
        <v>64191.223741131587</v>
      </c>
      <c r="J51" s="453">
        <f t="shared" si="35"/>
        <v>276383.84172788647</v>
      </c>
      <c r="K51" s="453">
        <f t="shared" si="35"/>
        <v>76730.823981203022</v>
      </c>
      <c r="L51" s="453">
        <f t="shared" si="35"/>
        <v>88837.554043426411</v>
      </c>
      <c r="M51" s="453">
        <f t="shared" si="35"/>
        <v>80.295942573223215</v>
      </c>
      <c r="N51" s="453">
        <f t="shared" si="35"/>
        <v>366.31914227342571</v>
      </c>
      <c r="O51" s="453">
        <f t="shared" si="35"/>
        <v>131930.79534732911</v>
      </c>
      <c r="P51" s="453">
        <f t="shared" si="35"/>
        <v>10119.258804321258</v>
      </c>
      <c r="Q51" s="453">
        <f t="shared" si="35"/>
        <v>41285.374891827363</v>
      </c>
      <c r="R51" s="453">
        <f t="shared" si="35"/>
        <v>7923.3725263967381</v>
      </c>
      <c r="S51" s="453">
        <f t="shared" si="35"/>
        <v>0.32614112790220462</v>
      </c>
      <c r="T51" s="453">
        <f t="shared" si="35"/>
        <v>4259.0125648650564</v>
      </c>
      <c r="U51" s="453">
        <f t="shared" si="35"/>
        <v>1.3244511059055095</v>
      </c>
      <c r="V51" s="453">
        <f t="shared" si="35"/>
        <v>9.1948565403202256</v>
      </c>
      <c r="W51" s="453">
        <f t="shared" si="35"/>
        <v>5292.8952019184235</v>
      </c>
      <c r="X51" s="453">
        <f t="shared" si="35"/>
        <v>18662.998439348979</v>
      </c>
      <c r="Y51" s="453">
        <f t="shared" si="35"/>
        <v>63.678129018835079</v>
      </c>
      <c r="Z51" s="453">
        <f t="shared" si="35"/>
        <v>116837.41388293741</v>
      </c>
      <c r="AA51" s="453">
        <f t="shared" si="35"/>
        <v>429459.63759517274</v>
      </c>
      <c r="AB51" s="453">
        <f t="shared" si="35"/>
        <v>225.70017466162682</v>
      </c>
      <c r="AC51" s="453">
        <f t="shared" si="35"/>
        <v>202907.43336195324</v>
      </c>
      <c r="AD51" s="453">
        <f t="shared" si="35"/>
        <v>131.3979939662938</v>
      </c>
      <c r="AE51" s="453">
        <f t="shared" si="35"/>
        <v>13069.176301982368</v>
      </c>
      <c r="AF51" s="453">
        <f t="shared" si="35"/>
        <v>12939.984959617024</v>
      </c>
      <c r="AG51" s="453">
        <f t="shared" si="35"/>
        <v>26681.884638965978</v>
      </c>
      <c r="AH51" s="453">
        <f t="shared" si="35"/>
        <v>3207.2806388844174</v>
      </c>
      <c r="AI51" s="453">
        <f t="shared" si="35"/>
        <v>272763.15430513554</v>
      </c>
      <c r="AJ51" s="453">
        <f t="shared" si="35"/>
        <v>18791.694075041683</v>
      </c>
      <c r="AK51" s="453">
        <f t="shared" si="35"/>
        <v>4349.254142139891</v>
      </c>
      <c r="AL51" s="453">
        <f t="shared" si="35"/>
        <v>100964.12661393828</v>
      </c>
      <c r="AM51" s="453">
        <f t="shared" si="35"/>
        <v>15428.839523942508</v>
      </c>
      <c r="AN51" s="453">
        <f t="shared" si="35"/>
        <v>132960.13120129699</v>
      </c>
      <c r="AO51" s="453">
        <f t="shared" si="35"/>
        <v>173956.4546399739</v>
      </c>
    </row>
    <row r="52" spans="1:42" s="163" customFormat="1" x14ac:dyDescent="0.25">
      <c r="A52" s="571" t="s">
        <v>91</v>
      </c>
      <c r="B52" s="34"/>
      <c r="C52" s="453">
        <f t="shared" ref="C52:C53" si="36">C28-C48</f>
        <v>56405.553173805602</v>
      </c>
      <c r="D52" s="453">
        <f t="shared" ref="D52:AO52" si="37">D28-D48</f>
        <v>1037.3431439045553</v>
      </c>
      <c r="E52" s="453">
        <f t="shared" si="37"/>
        <v>20714.731911661875</v>
      </c>
      <c r="F52" s="453">
        <f t="shared" si="37"/>
        <v>50177.121181953153</v>
      </c>
      <c r="G52" s="453">
        <f t="shared" si="37"/>
        <v>159639.39879662555</v>
      </c>
      <c r="H52" s="453">
        <f t="shared" si="37"/>
        <v>0</v>
      </c>
      <c r="I52" s="453">
        <f t="shared" si="37"/>
        <v>18516.787457998282</v>
      </c>
      <c r="J52" s="453">
        <f t="shared" si="37"/>
        <v>238904.7511154688</v>
      </c>
      <c r="K52" s="453">
        <f t="shared" si="37"/>
        <v>62744.4260454346</v>
      </c>
      <c r="L52" s="453">
        <f t="shared" si="37"/>
        <v>151528.63644887027</v>
      </c>
      <c r="M52" s="453">
        <f t="shared" si="37"/>
        <v>3379.2471101349843</v>
      </c>
      <c r="N52" s="453">
        <f t="shared" si="37"/>
        <v>249.91339480688558</v>
      </c>
      <c r="O52" s="453">
        <f t="shared" si="37"/>
        <v>101461.54543065338</v>
      </c>
      <c r="P52" s="453">
        <f t="shared" si="37"/>
        <v>39090.055163262536</v>
      </c>
      <c r="Q52" s="453">
        <f t="shared" si="37"/>
        <v>33416.660759228558</v>
      </c>
      <c r="R52" s="453">
        <f t="shared" si="37"/>
        <v>24654.557824254938</v>
      </c>
      <c r="S52" s="453">
        <f t="shared" si="37"/>
        <v>0.65228225580440924</v>
      </c>
      <c r="T52" s="453">
        <f t="shared" si="37"/>
        <v>2488.3073056054191</v>
      </c>
      <c r="U52" s="453">
        <f t="shared" si="37"/>
        <v>0.68675245211549396</v>
      </c>
      <c r="V52" s="453">
        <f t="shared" si="37"/>
        <v>217.73136273360328</v>
      </c>
      <c r="W52" s="453">
        <f t="shared" si="37"/>
        <v>4840.1511191793879</v>
      </c>
      <c r="X52" s="453">
        <f t="shared" si="37"/>
        <v>30632.137974532452</v>
      </c>
      <c r="Y52" s="453">
        <f t="shared" si="37"/>
        <v>915.37675953875419</v>
      </c>
      <c r="Z52" s="453">
        <f t="shared" si="37"/>
        <v>51982.647816240395</v>
      </c>
      <c r="AA52" s="453">
        <f t="shared" si="37"/>
        <v>328050.16517995752</v>
      </c>
      <c r="AB52" s="453">
        <f t="shared" si="37"/>
        <v>3538.1652626845453</v>
      </c>
      <c r="AC52" s="453">
        <f t="shared" si="37"/>
        <v>168732.51491509422</v>
      </c>
      <c r="AD52" s="453">
        <f t="shared" si="37"/>
        <v>28.977010231474459</v>
      </c>
      <c r="AE52" s="453">
        <f t="shared" si="37"/>
        <v>11668.917748288417</v>
      </c>
      <c r="AF52" s="453">
        <f t="shared" si="37"/>
        <v>10858.458072305677</v>
      </c>
      <c r="AG52" s="453">
        <f t="shared" si="37"/>
        <v>16130.645608718572</v>
      </c>
      <c r="AH52" s="453">
        <f t="shared" si="37"/>
        <v>1186.0790681238241</v>
      </c>
      <c r="AI52" s="453">
        <f t="shared" si="37"/>
        <v>204180.36718720436</v>
      </c>
      <c r="AJ52" s="453">
        <f t="shared" si="37"/>
        <v>15694.486485189369</v>
      </c>
      <c r="AK52" s="453">
        <f t="shared" si="37"/>
        <v>30478.48219754067</v>
      </c>
      <c r="AL52" s="453">
        <f t="shared" si="37"/>
        <v>80615.145984234288</v>
      </c>
      <c r="AM52" s="453">
        <f t="shared" si="37"/>
        <v>69034.163239468471</v>
      </c>
      <c r="AN52" s="453">
        <f t="shared" si="37"/>
        <v>106112.73872252673</v>
      </c>
      <c r="AO52" s="453">
        <f t="shared" si="37"/>
        <v>136370.43555306972</v>
      </c>
    </row>
    <row r="53" spans="1:42" s="163" customFormat="1" x14ac:dyDescent="0.25">
      <c r="A53" s="34" t="s">
        <v>90</v>
      </c>
      <c r="B53" s="34"/>
      <c r="C53" s="453">
        <f t="shared" si="36"/>
        <v>18785.165227549645</v>
      </c>
      <c r="D53" s="453">
        <f t="shared" ref="D53:AO53" si="38">D29-D49</f>
        <v>289.63767100428481</v>
      </c>
      <c r="E53" s="453">
        <f t="shared" si="38"/>
        <v>10412.693786558451</v>
      </c>
      <c r="F53" s="453">
        <f t="shared" si="38"/>
        <v>21607.948707855881</v>
      </c>
      <c r="G53" s="453">
        <f t="shared" si="38"/>
        <v>8598.3337282907305</v>
      </c>
      <c r="H53" s="453">
        <f t="shared" si="38"/>
        <v>11.49210859683113</v>
      </c>
      <c r="I53" s="453">
        <f t="shared" si="38"/>
        <v>19798.834488071829</v>
      </c>
      <c r="J53" s="453">
        <f t="shared" si="38"/>
        <v>9926.917266271641</v>
      </c>
      <c r="K53" s="453">
        <f t="shared" si="38"/>
        <v>9374.8914129751356</v>
      </c>
      <c r="L53" s="453">
        <f t="shared" si="38"/>
        <v>79333.420104882447</v>
      </c>
      <c r="M53" s="453">
        <f t="shared" si="38"/>
        <v>1233.4195523647268</v>
      </c>
      <c r="N53" s="453">
        <f t="shared" si="38"/>
        <v>8705.0204716213993</v>
      </c>
      <c r="O53" s="453">
        <f t="shared" si="38"/>
        <v>3174.0879661161762</v>
      </c>
      <c r="P53" s="453">
        <f t="shared" si="38"/>
        <v>39749.236525803288</v>
      </c>
      <c r="Q53" s="453">
        <f t="shared" si="38"/>
        <v>1317.48704621396</v>
      </c>
      <c r="R53" s="453">
        <f t="shared" si="38"/>
        <v>24297.821075186985</v>
      </c>
      <c r="S53" s="453">
        <f t="shared" si="38"/>
        <v>5.1001175640224439</v>
      </c>
      <c r="T53" s="453">
        <f t="shared" si="38"/>
        <v>11367.555996404219</v>
      </c>
      <c r="U53" s="453">
        <f t="shared" si="38"/>
        <v>14.866691472442144</v>
      </c>
      <c r="V53" s="453">
        <f t="shared" si="38"/>
        <v>1721.0104045642856</v>
      </c>
      <c r="W53" s="453">
        <f t="shared" si="38"/>
        <v>43.203192642002222</v>
      </c>
      <c r="X53" s="453">
        <f t="shared" si="38"/>
        <v>14521.568376457188</v>
      </c>
      <c r="Y53" s="453">
        <f t="shared" si="38"/>
        <v>1102.9754835105514</v>
      </c>
      <c r="Z53" s="453">
        <f t="shared" si="38"/>
        <v>9283.3925146353868</v>
      </c>
      <c r="AA53" s="453">
        <f t="shared" si="38"/>
        <v>27292.319241975041</v>
      </c>
      <c r="AB53" s="453">
        <f t="shared" si="38"/>
        <v>3419.6220903737658</v>
      </c>
      <c r="AC53" s="453">
        <f t="shared" si="38"/>
        <v>110524.65836533047</v>
      </c>
      <c r="AD53" s="453">
        <f t="shared" si="38"/>
        <v>305.67152602290878</v>
      </c>
      <c r="AE53" s="453">
        <f t="shared" si="38"/>
        <v>320.89122417644387</v>
      </c>
      <c r="AF53" s="453">
        <f t="shared" si="38"/>
        <v>1431.7013597675641</v>
      </c>
      <c r="AG53" s="453">
        <f t="shared" si="38"/>
        <v>3153.0798971909353</v>
      </c>
      <c r="AH53" s="453">
        <f t="shared" si="38"/>
        <v>684.79929556399532</v>
      </c>
      <c r="AI53" s="453">
        <f t="shared" si="38"/>
        <v>21628.297240685795</v>
      </c>
      <c r="AJ53" s="453">
        <f t="shared" si="38"/>
        <v>1647.7671487741379</v>
      </c>
      <c r="AK53" s="453">
        <f t="shared" si="38"/>
        <v>16182.513474457004</v>
      </c>
      <c r="AL53" s="453">
        <f t="shared" si="38"/>
        <v>4686.9601623035414</v>
      </c>
      <c r="AM53" s="453">
        <f t="shared" si="38"/>
        <v>42249.193310695795</v>
      </c>
      <c r="AN53" s="453">
        <f t="shared" si="38"/>
        <v>3637.9238516656046</v>
      </c>
      <c r="AO53" s="453">
        <f t="shared" si="38"/>
        <v>3381.2978834775176</v>
      </c>
    </row>
    <row r="54" spans="1:42" s="163" customFormat="1" x14ac:dyDescent="0.25">
      <c r="A54" s="178" t="s">
        <v>97</v>
      </c>
      <c r="B54" s="34"/>
      <c r="C54" s="453">
        <f>C51+C52+C53</f>
        <v>162161.18861281589</v>
      </c>
      <c r="D54" s="453">
        <f t="shared" ref="D54:AO54" si="39">D51+D52+D53</f>
        <v>2593.4437010634119</v>
      </c>
      <c r="E54" s="453">
        <f t="shared" si="39"/>
        <v>82052.509033841066</v>
      </c>
      <c r="F54" s="453">
        <f t="shared" si="39"/>
        <v>154290.58611997269</v>
      </c>
      <c r="G54" s="453">
        <f t="shared" si="39"/>
        <v>352119.30372736359</v>
      </c>
      <c r="H54" s="453">
        <f t="shared" si="39"/>
        <v>11.500966218563853</v>
      </c>
      <c r="I54" s="453">
        <f t="shared" si="39"/>
        <v>102506.84568720168</v>
      </c>
      <c r="J54" s="453">
        <f t="shared" si="39"/>
        <v>525215.51010962692</v>
      </c>
      <c r="K54" s="453">
        <f t="shared" si="39"/>
        <v>148850.14143961278</v>
      </c>
      <c r="L54" s="453">
        <f t="shared" si="39"/>
        <v>319699.61059717915</v>
      </c>
      <c r="M54" s="453">
        <f t="shared" si="39"/>
        <v>4692.9626050729348</v>
      </c>
      <c r="N54" s="453">
        <f t="shared" si="39"/>
        <v>9321.2530087017112</v>
      </c>
      <c r="O54" s="453">
        <f t="shared" si="39"/>
        <v>236566.42874409867</v>
      </c>
      <c r="P54" s="453">
        <f t="shared" si="39"/>
        <v>88958.550493387083</v>
      </c>
      <c r="Q54" s="453">
        <f t="shared" si="39"/>
        <v>76019.522697269887</v>
      </c>
      <c r="R54" s="453">
        <f t="shared" si="39"/>
        <v>56875.751425838665</v>
      </c>
      <c r="S54" s="453">
        <f t="shared" si="39"/>
        <v>6.0785409477290582</v>
      </c>
      <c r="T54" s="453">
        <f t="shared" si="39"/>
        <v>18114.875866874696</v>
      </c>
      <c r="U54" s="453">
        <f t="shared" si="39"/>
        <v>16.877895030463147</v>
      </c>
      <c r="V54" s="453">
        <f t="shared" si="39"/>
        <v>1947.936623838209</v>
      </c>
      <c r="W54" s="453">
        <f t="shared" si="39"/>
        <v>10176.249513739815</v>
      </c>
      <c r="X54" s="453">
        <f t="shared" si="39"/>
        <v>63816.704790338619</v>
      </c>
      <c r="Y54" s="453">
        <f t="shared" si="39"/>
        <v>2082.0303720681404</v>
      </c>
      <c r="Z54" s="453">
        <f t="shared" si="39"/>
        <v>178103.45421381318</v>
      </c>
      <c r="AA54" s="453">
        <f t="shared" si="39"/>
        <v>784802.12201710534</v>
      </c>
      <c r="AB54" s="453">
        <f t="shared" si="39"/>
        <v>7183.487527719938</v>
      </c>
      <c r="AC54" s="453">
        <f t="shared" si="39"/>
        <v>482164.60664237797</v>
      </c>
      <c r="AD54" s="453">
        <f t="shared" si="39"/>
        <v>466.04653022067703</v>
      </c>
      <c r="AE54" s="453">
        <f t="shared" si="39"/>
        <v>25058.98527444723</v>
      </c>
      <c r="AF54" s="453">
        <f t="shared" si="39"/>
        <v>25230.144391690268</v>
      </c>
      <c r="AG54" s="453">
        <f t="shared" si="39"/>
        <v>45965.610144875493</v>
      </c>
      <c r="AH54" s="453">
        <f t="shared" si="39"/>
        <v>5078.1590025722371</v>
      </c>
      <c r="AI54" s="453">
        <f t="shared" si="39"/>
        <v>498571.81873302569</v>
      </c>
      <c r="AJ54" s="453">
        <f t="shared" si="39"/>
        <v>36133.947709005188</v>
      </c>
      <c r="AK54" s="453">
        <f t="shared" si="39"/>
        <v>51010.249814137562</v>
      </c>
      <c r="AL54" s="453">
        <f t="shared" si="39"/>
        <v>186266.23276047612</v>
      </c>
      <c r="AM54" s="453">
        <f t="shared" si="39"/>
        <v>126712.19607410676</v>
      </c>
      <c r="AN54" s="453">
        <f t="shared" si="39"/>
        <v>242710.79377548932</v>
      </c>
      <c r="AO54" s="453">
        <f t="shared" si="39"/>
        <v>313708.18807652115</v>
      </c>
    </row>
    <row r="55" spans="1:42" s="163" customFormat="1" x14ac:dyDescent="0.25">
      <c r="C55" s="162"/>
      <c r="D55" s="162"/>
      <c r="E55" s="162"/>
      <c r="F55" s="162"/>
      <c r="G55" s="162"/>
      <c r="H55" s="162"/>
      <c r="I55" s="162"/>
      <c r="J55" s="162"/>
      <c r="K55" s="162"/>
      <c r="L55" s="162"/>
      <c r="M55" s="162"/>
      <c r="N55" s="162"/>
      <c r="O55" s="162"/>
      <c r="P55" s="162"/>
      <c r="Q55" s="162"/>
      <c r="R55" s="162"/>
      <c r="S55" s="162"/>
      <c r="T55" s="162"/>
      <c r="U55" s="162"/>
      <c r="V55" s="162"/>
      <c r="W55" s="162"/>
      <c r="X55" s="162"/>
      <c r="Y55" s="162"/>
      <c r="Z55" s="162"/>
      <c r="AA55" s="162"/>
      <c r="AB55" s="162"/>
      <c r="AC55" s="162"/>
      <c r="AD55" s="162"/>
      <c r="AE55" s="162"/>
      <c r="AF55" s="162"/>
      <c r="AG55" s="162"/>
      <c r="AH55" s="162"/>
      <c r="AI55" s="162"/>
      <c r="AJ55" s="162"/>
      <c r="AK55" s="162"/>
      <c r="AL55" s="162"/>
      <c r="AM55" s="162"/>
      <c r="AN55" s="162"/>
      <c r="AO55" s="162"/>
    </row>
    <row r="56" spans="1:42" s="163" customFormat="1" x14ac:dyDescent="0.25">
      <c r="A56" s="34" t="s">
        <v>797</v>
      </c>
      <c r="B56" s="34"/>
      <c r="C56" s="452">
        <f t="shared" ref="C56:AO56" si="40">C13*(1-C15)</f>
        <v>391219.16446192615</v>
      </c>
      <c r="D56" s="452">
        <f t="shared" si="40"/>
        <v>43245.902140871716</v>
      </c>
      <c r="E56" s="452">
        <f t="shared" si="40"/>
        <v>89100.41181590622</v>
      </c>
      <c r="F56" s="452">
        <f t="shared" si="40"/>
        <v>182134.16665587414</v>
      </c>
      <c r="G56" s="452">
        <f t="shared" si="40"/>
        <v>364683.63176840829</v>
      </c>
      <c r="H56" s="452">
        <f t="shared" si="40"/>
        <v>11.528284203941556</v>
      </c>
      <c r="I56" s="452">
        <f t="shared" si="40"/>
        <v>130095.22459934013</v>
      </c>
      <c r="J56" s="452">
        <f t="shared" si="40"/>
        <v>542687.55157671787</v>
      </c>
      <c r="K56" s="452">
        <f t="shared" si="40"/>
        <v>155943.2494665753</v>
      </c>
      <c r="L56" s="452">
        <f t="shared" si="40"/>
        <v>338458.19129538262</v>
      </c>
      <c r="M56" s="452">
        <f t="shared" si="40"/>
        <v>6031.9174508956403</v>
      </c>
      <c r="N56" s="452">
        <f t="shared" si="40"/>
        <v>10024.058746829591</v>
      </c>
      <c r="O56" s="452">
        <f t="shared" si="40"/>
        <v>248366.43985350462</v>
      </c>
      <c r="P56" s="452">
        <f t="shared" si="40"/>
        <v>178354.46874482607</v>
      </c>
      <c r="Q56" s="452">
        <f t="shared" si="40"/>
        <v>77257.068026594119</v>
      </c>
      <c r="R56" s="452">
        <f t="shared" si="40"/>
        <v>59005.376109742239</v>
      </c>
      <c r="S56" s="452">
        <f t="shared" si="40"/>
        <v>6.4312947197627155</v>
      </c>
      <c r="T56" s="452">
        <f t="shared" si="40"/>
        <v>19934.695401805217</v>
      </c>
      <c r="U56" s="452">
        <f t="shared" si="40"/>
        <v>18.439854665528156</v>
      </c>
      <c r="V56" s="452">
        <f t="shared" si="40"/>
        <v>2859.6875848878221</v>
      </c>
      <c r="W56" s="452">
        <f t="shared" si="40"/>
        <v>10480.204458301481</v>
      </c>
      <c r="X56" s="452">
        <f t="shared" si="40"/>
        <v>68124.124692860903</v>
      </c>
      <c r="Y56" s="452">
        <f t="shared" si="40"/>
        <v>2925.0423326532532</v>
      </c>
      <c r="Z56" s="452">
        <f t="shared" si="40"/>
        <v>190797.70067799484</v>
      </c>
      <c r="AA56" s="452">
        <f t="shared" si="40"/>
        <v>840504.78788775974</v>
      </c>
      <c r="AB56" s="452">
        <f t="shared" si="40"/>
        <v>29799.263409474406</v>
      </c>
      <c r="AC56" s="452">
        <f t="shared" si="40"/>
        <v>639133.30328966642</v>
      </c>
      <c r="AD56" s="452">
        <f t="shared" si="40"/>
        <v>493.65813825771039</v>
      </c>
      <c r="AE56" s="452">
        <f t="shared" si="40"/>
        <v>29820.346784987843</v>
      </c>
      <c r="AF56" s="452">
        <f t="shared" si="40"/>
        <v>29871.272658130511</v>
      </c>
      <c r="AG56" s="452">
        <f t="shared" si="40"/>
        <v>56060.642909713133</v>
      </c>
      <c r="AH56" s="452">
        <f t="shared" si="40"/>
        <v>5918.9835562508706</v>
      </c>
      <c r="AI56" s="452">
        <f t="shared" si="40"/>
        <v>510187.51008673356</v>
      </c>
      <c r="AJ56" s="452">
        <f t="shared" si="40"/>
        <v>43941.072283194269</v>
      </c>
      <c r="AK56" s="452">
        <f t="shared" si="40"/>
        <v>51502.633559344948</v>
      </c>
      <c r="AL56" s="452">
        <f t="shared" si="40"/>
        <v>195239.7528298182</v>
      </c>
      <c r="AM56" s="452">
        <f t="shared" si="40"/>
        <v>142475.14647923785</v>
      </c>
      <c r="AN56" s="452">
        <f t="shared" si="40"/>
        <v>249835.87161102518</v>
      </c>
      <c r="AO56" s="452">
        <f t="shared" si="40"/>
        <v>317030.84307900275</v>
      </c>
      <c r="AP56" s="453">
        <f>SUM(C56:AO56)</f>
        <v>6253579.765858084</v>
      </c>
    </row>
    <row r="57" spans="1:42" x14ac:dyDescent="0.25">
      <c r="A57" s="21" t="s">
        <v>89</v>
      </c>
      <c r="C57" s="21">
        <f t="shared" ref="C57:AO57" si="41">(C15*C10)+((1-C15)*C9)</f>
        <v>9.8284324819200963E-2</v>
      </c>
      <c r="D57" s="21">
        <f t="shared" si="41"/>
        <v>0.11269956924464498</v>
      </c>
      <c r="E57" s="21">
        <f t="shared" si="41"/>
        <v>0.11900128127726343</v>
      </c>
      <c r="F57" s="21">
        <f t="shared" si="41"/>
        <v>0.11496840077573459</v>
      </c>
      <c r="G57" s="21">
        <f t="shared" si="41"/>
        <v>0.1506498144347278</v>
      </c>
      <c r="H57" s="21">
        <f t="shared" si="41"/>
        <v>2.5482210330700001E-3</v>
      </c>
      <c r="I57" s="21">
        <f t="shared" si="41"/>
        <v>8.1176077676095207E-2</v>
      </c>
      <c r="J57" s="21">
        <f t="shared" si="41"/>
        <v>0.16064032824919877</v>
      </c>
      <c r="K57" s="21">
        <f t="shared" si="41"/>
        <v>0.18029062434236398</v>
      </c>
      <c r="L57" s="21">
        <f t="shared" si="41"/>
        <v>0.14415967175862368</v>
      </c>
      <c r="M57" s="21">
        <f t="shared" si="41"/>
        <v>5.5535019208843633E-3</v>
      </c>
      <c r="N57" s="21">
        <f t="shared" si="41"/>
        <v>3.9488506664786392E-2</v>
      </c>
      <c r="O57" s="21">
        <f t="shared" si="41"/>
        <v>0.14685008598327975</v>
      </c>
      <c r="P57" s="21">
        <f t="shared" si="41"/>
        <v>0.12388909471908724</v>
      </c>
      <c r="Q57" s="21">
        <f t="shared" si="41"/>
        <v>0.16174574693147703</v>
      </c>
      <c r="R57" s="21">
        <f t="shared" si="41"/>
        <v>0.12386814471050991</v>
      </c>
      <c r="S57" s="21">
        <f t="shared" si="41"/>
        <v>2.9292593244499999E-3</v>
      </c>
      <c r="T57" s="21">
        <f t="shared" si="41"/>
        <v>2.9853343155283266E-2</v>
      </c>
      <c r="U57" s="21">
        <f t="shared" si="41"/>
        <v>2.5148945860600002E-3</v>
      </c>
      <c r="V57" s="21">
        <f t="shared" si="41"/>
        <v>1.9631946222399738E-2</v>
      </c>
      <c r="W57" s="21">
        <f t="shared" si="41"/>
        <v>0.16143304995598312</v>
      </c>
      <c r="X57" s="21">
        <f t="shared" si="41"/>
        <v>0.168021560216013</v>
      </c>
      <c r="Y57" s="21">
        <f t="shared" si="41"/>
        <v>2.2007747347726529E-2</v>
      </c>
      <c r="Z57" s="21">
        <f t="shared" si="41"/>
        <v>0.12776792547365493</v>
      </c>
      <c r="AA57" s="21">
        <f t="shared" si="41"/>
        <v>0.16513278338138215</v>
      </c>
      <c r="AB57" s="21">
        <f t="shared" si="41"/>
        <v>2.0260775643324545E-2</v>
      </c>
      <c r="AC57" s="21">
        <f t="shared" si="41"/>
        <v>0.15039491520805517</v>
      </c>
      <c r="AD57" s="21">
        <f t="shared" si="41"/>
        <v>5.1121648909788958E-2</v>
      </c>
      <c r="AE57" s="21">
        <f t="shared" si="41"/>
        <v>0.17928048669665814</v>
      </c>
      <c r="AF57" s="21">
        <f t="shared" si="41"/>
        <v>0.16799711337577766</v>
      </c>
      <c r="AG57" s="21">
        <f t="shared" si="41"/>
        <v>0.11808570957772652</v>
      </c>
      <c r="AH57" s="21">
        <f t="shared" si="41"/>
        <v>0.12262445032792736</v>
      </c>
      <c r="AI57" s="21">
        <f t="shared" si="41"/>
        <v>0.17768357555945685</v>
      </c>
      <c r="AJ57" s="21">
        <f t="shared" si="41"/>
        <v>0.16277484198125614</v>
      </c>
      <c r="AK57" s="21">
        <f t="shared" si="41"/>
        <v>0.13070170232657907</v>
      </c>
      <c r="AL57" s="21">
        <f t="shared" si="41"/>
        <v>0.15298800214515546</v>
      </c>
      <c r="AM57" s="21">
        <f t="shared" si="41"/>
        <v>0.12574565963676104</v>
      </c>
      <c r="AN57" s="21">
        <f t="shared" si="41"/>
        <v>0.17576217909227787</v>
      </c>
      <c r="AO57" s="21">
        <f t="shared" si="41"/>
        <v>0.17796031533766749</v>
      </c>
    </row>
    <row r="58" spans="1:42" x14ac:dyDescent="0.25">
      <c r="A58" s="21" t="s">
        <v>790</v>
      </c>
      <c r="C58" s="57">
        <v>0.98001063332330252</v>
      </c>
      <c r="D58" s="57">
        <v>0.92856564205069037</v>
      </c>
      <c r="E58" s="57">
        <v>0.99643677872383352</v>
      </c>
      <c r="F58" s="57">
        <v>0.98204749052948881</v>
      </c>
      <c r="G58" s="57">
        <v>0.99281382211110158</v>
      </c>
      <c r="H58" s="57">
        <v>1</v>
      </c>
      <c r="I58" s="57">
        <v>0.97439844490788952</v>
      </c>
      <c r="J58" s="57">
        <v>0.99646317714814925</v>
      </c>
      <c r="K58" s="57">
        <v>0.99623840282080911</v>
      </c>
      <c r="L58" s="57">
        <v>0.9606035579026645</v>
      </c>
      <c r="M58" s="57">
        <v>0.99000509943887183</v>
      </c>
      <c r="N58" s="57">
        <v>0.95662614635124821</v>
      </c>
      <c r="O58" s="57">
        <v>0.99112967389715023</v>
      </c>
      <c r="P58" s="57">
        <v>0.95759877625821344</v>
      </c>
      <c r="Q58" s="57">
        <v>0.99523481589833096</v>
      </c>
      <c r="R58" s="57">
        <v>0.96348874828595465</v>
      </c>
      <c r="S58" s="57">
        <v>0.98550836465071046</v>
      </c>
      <c r="T58" s="57">
        <v>0.97391887805231503</v>
      </c>
      <c r="U58" s="57">
        <v>0.99873439358047267</v>
      </c>
      <c r="V58" s="57">
        <v>0.99061429659137545</v>
      </c>
      <c r="W58" s="57">
        <v>0.98844448902656556</v>
      </c>
      <c r="X58" s="57">
        <v>0.9586252859334613</v>
      </c>
      <c r="Y58" s="57">
        <v>0.95520077283297711</v>
      </c>
      <c r="Z58" s="57">
        <v>0.99766264249743231</v>
      </c>
      <c r="AA58" s="57">
        <v>0.99354996454487554</v>
      </c>
      <c r="AB58" s="57">
        <v>0.97908112230239586</v>
      </c>
      <c r="AC58" s="57">
        <v>0.98208245077625245</v>
      </c>
      <c r="AD58" s="57">
        <v>0.97759174977732455</v>
      </c>
      <c r="AE58" s="57">
        <v>1</v>
      </c>
      <c r="AF58" s="57">
        <v>0.98747167569109828</v>
      </c>
      <c r="AG58" s="57">
        <v>0.96662519625785848</v>
      </c>
      <c r="AH58" s="57">
        <v>0.99750952439555285</v>
      </c>
      <c r="AI58" s="57">
        <v>0.98406434803352394</v>
      </c>
      <c r="AJ58" s="57">
        <v>0.99748308539684738</v>
      </c>
      <c r="AK58" s="57">
        <v>0.94694982795999427</v>
      </c>
      <c r="AL58" s="57">
        <v>0.99851271352489901</v>
      </c>
      <c r="AM58" s="57">
        <v>0.95357004428974546</v>
      </c>
      <c r="AN58" s="57">
        <v>0.99734838464307207</v>
      </c>
      <c r="AO58" s="57">
        <v>0.99567890186030594</v>
      </c>
    </row>
    <row r="59" spans="1:42" x14ac:dyDescent="0.25">
      <c r="A59" s="54" t="s">
        <v>88</v>
      </c>
      <c r="B59" s="54"/>
      <c r="C59" s="54">
        <f t="shared" ref="C59:AO59" si="42">IF(fertlink=1,C4*C7*C8*C57*C58,IF(fertlink=3,C5*C7*C8*C57*C58,C6*C7*C8*C57*C58))</f>
        <v>11.368703967213348</v>
      </c>
      <c r="D59" s="54">
        <f t="shared" si="42"/>
        <v>16.10160067637111</v>
      </c>
      <c r="E59" s="54">
        <f t="shared" si="42"/>
        <v>265.40973636343688</v>
      </c>
      <c r="F59" s="54">
        <f t="shared" si="42"/>
        <v>15.704716816624883</v>
      </c>
      <c r="G59" s="54">
        <f t="shared" si="42"/>
        <v>28.963891814726317</v>
      </c>
      <c r="H59" s="54">
        <f t="shared" si="42"/>
        <v>0.67816504939549382</v>
      </c>
      <c r="I59" s="54">
        <f t="shared" si="42"/>
        <v>9.4790841075862211</v>
      </c>
      <c r="J59" s="54">
        <f t="shared" si="42"/>
        <v>17.370818135005624</v>
      </c>
      <c r="K59" s="54">
        <f t="shared" si="42"/>
        <v>20.852180359435661</v>
      </c>
      <c r="L59" s="54">
        <f t="shared" si="42"/>
        <v>18.019066237277602</v>
      </c>
      <c r="M59" s="54">
        <f t="shared" si="42"/>
        <v>0.36185089533429682</v>
      </c>
      <c r="N59" s="54">
        <f t="shared" si="42"/>
        <v>5.8909836562790208</v>
      </c>
      <c r="O59" s="54">
        <f t="shared" si="42"/>
        <v>25.248891555899661</v>
      </c>
      <c r="P59" s="54">
        <f t="shared" si="42"/>
        <v>5.109337828730931</v>
      </c>
      <c r="Q59" s="54">
        <f t="shared" si="42"/>
        <v>21.255469197209045</v>
      </c>
      <c r="R59" s="54">
        <f t="shared" si="42"/>
        <v>8.4902956384680355</v>
      </c>
      <c r="S59" s="54">
        <f t="shared" si="42"/>
        <v>1.6755481162958543</v>
      </c>
      <c r="T59" s="54">
        <f t="shared" si="42"/>
        <v>4.3454504940992713</v>
      </c>
      <c r="U59" s="54">
        <f t="shared" si="42"/>
        <v>0.26709025164232625</v>
      </c>
      <c r="V59" s="54">
        <f t="shared" si="42"/>
        <v>0.38986167985722375</v>
      </c>
      <c r="W59" s="54">
        <f t="shared" si="42"/>
        <v>20.760842901809585</v>
      </c>
      <c r="X59" s="54">
        <f t="shared" si="42"/>
        <v>12.021630855122238</v>
      </c>
      <c r="Y59" s="54">
        <f t="shared" si="42"/>
        <v>0.54125778640935684</v>
      </c>
      <c r="Z59" s="54">
        <f t="shared" si="42"/>
        <v>56.03599865674456</v>
      </c>
      <c r="AA59" s="54">
        <f t="shared" si="42"/>
        <v>64.828729872736403</v>
      </c>
      <c r="AB59" s="54">
        <f t="shared" si="42"/>
        <v>1.1849914237712</v>
      </c>
      <c r="AC59" s="54">
        <f t="shared" si="42"/>
        <v>22.477698201863404</v>
      </c>
      <c r="AD59" s="54">
        <f t="shared" si="42"/>
        <v>11.238899651857688</v>
      </c>
      <c r="AE59" s="54">
        <f t="shared" si="42"/>
        <v>17.033023408922499</v>
      </c>
      <c r="AF59" s="54">
        <f t="shared" si="42"/>
        <v>62.053223108138262</v>
      </c>
      <c r="AG59" s="54">
        <f t="shared" si="42"/>
        <v>58.366790540105434</v>
      </c>
      <c r="AH59" s="54">
        <f t="shared" si="42"/>
        <v>121.12144788925599</v>
      </c>
      <c r="AI59" s="54">
        <f t="shared" si="42"/>
        <v>23.235139510634962</v>
      </c>
      <c r="AJ59" s="54">
        <f t="shared" si="42"/>
        <v>13.263157503285244</v>
      </c>
      <c r="AK59" s="54">
        <f t="shared" si="42"/>
        <v>5.6617014118352316</v>
      </c>
      <c r="AL59" s="54">
        <f t="shared" si="42"/>
        <v>25.986018135076371</v>
      </c>
      <c r="AM59" s="54">
        <f t="shared" si="42"/>
        <v>4.9131400584682003</v>
      </c>
      <c r="AN59" s="54">
        <f t="shared" si="42"/>
        <v>26.220965757098657</v>
      </c>
      <c r="AO59" s="54">
        <f t="shared" si="42"/>
        <v>18.640571798812701</v>
      </c>
    </row>
    <row r="60" spans="1:42" x14ac:dyDescent="0.25">
      <c r="A60" s="21" t="s">
        <v>104</v>
      </c>
      <c r="C60" s="21">
        <f>VLOOKUP(C59,Parameters!$P$3:$Q$8,2,TRUE)</f>
        <v>2</v>
      </c>
      <c r="D60" s="21">
        <f>VLOOKUP(D59,Parameters!$P$3:$Q$8,2,TRUE)</f>
        <v>4</v>
      </c>
      <c r="E60" s="21">
        <f>VLOOKUP(E59,Parameters!$P$3:$Q$8,2,TRUE)</f>
        <v>8</v>
      </c>
      <c r="F60" s="21">
        <f>VLOOKUP(F59,Parameters!$P$3:$Q$8,2,TRUE)</f>
        <v>4</v>
      </c>
      <c r="G60" s="21">
        <f>VLOOKUP(G59,Parameters!$P$3:$Q$8,2,TRUE)</f>
        <v>8</v>
      </c>
      <c r="H60" s="21">
        <f>VLOOKUP(H59,Parameters!$P$3:$Q$8,2,TRUE)</f>
        <v>1</v>
      </c>
      <c r="I60" s="21">
        <f>VLOOKUP(I59,Parameters!$P$3:$Q$8,2,TRUE)</f>
        <v>2</v>
      </c>
      <c r="J60" s="21">
        <f>VLOOKUP(J59,Parameters!$P$3:$Q$8,2,TRUE)</f>
        <v>4</v>
      </c>
      <c r="K60" s="21">
        <f>VLOOKUP(K59,Parameters!$P$3:$Q$8,2,TRUE)</f>
        <v>4</v>
      </c>
      <c r="L60" s="21">
        <f>VLOOKUP(L59,Parameters!$P$3:$Q$8,2,TRUE)</f>
        <v>4</v>
      </c>
      <c r="M60" s="21">
        <f>VLOOKUP(M59,Parameters!$P$3:$Q$8,2,TRUE)</f>
        <v>0</v>
      </c>
      <c r="N60" s="21">
        <f>VLOOKUP(N59,Parameters!$P$3:$Q$8,2,TRUE)</f>
        <v>2</v>
      </c>
      <c r="O60" s="21">
        <f>VLOOKUP(O59,Parameters!$P$3:$Q$8,2,TRUE)</f>
        <v>8</v>
      </c>
      <c r="P60" s="21">
        <f>VLOOKUP(P59,Parameters!$P$3:$Q$8,2,TRUE)</f>
        <v>1</v>
      </c>
      <c r="Q60" s="21">
        <f>VLOOKUP(Q59,Parameters!$P$3:$Q$8,2,TRUE)</f>
        <v>4</v>
      </c>
      <c r="R60" s="21">
        <f>VLOOKUP(R59,Parameters!$P$3:$Q$8,2,TRUE)</f>
        <v>2</v>
      </c>
      <c r="S60" s="21">
        <f>VLOOKUP(S59,Parameters!$P$3:$Q$8,2,TRUE)</f>
        <v>1</v>
      </c>
      <c r="T60" s="21">
        <f>VLOOKUP(T59,Parameters!$P$3:$Q$8,2,TRUE)</f>
        <v>1</v>
      </c>
      <c r="U60" s="21">
        <f>VLOOKUP(U59,Parameters!$P$3:$Q$8,2,TRUE)</f>
        <v>0</v>
      </c>
      <c r="V60" s="21">
        <f>VLOOKUP(V59,Parameters!$P$3:$Q$8,2,TRUE)</f>
        <v>0</v>
      </c>
      <c r="W60" s="21">
        <f>VLOOKUP(W59,Parameters!$P$3:$Q$8,2,TRUE)</f>
        <v>4</v>
      </c>
      <c r="X60" s="21">
        <f>VLOOKUP(X59,Parameters!$P$3:$Q$8,2,TRUE)</f>
        <v>2</v>
      </c>
      <c r="Y60" s="21">
        <f>VLOOKUP(Y59,Parameters!$P$3:$Q$8,2,TRUE)</f>
        <v>1</v>
      </c>
      <c r="Z60" s="21">
        <f>VLOOKUP(Z59,Parameters!$P$3:$Q$8,2,TRUE)</f>
        <v>8</v>
      </c>
      <c r="AA60" s="21">
        <f>VLOOKUP(AA59,Parameters!$P$3:$Q$8,2,TRUE)</f>
        <v>8</v>
      </c>
      <c r="AB60" s="21">
        <f>VLOOKUP(AB59,Parameters!$P$3:$Q$8,2,TRUE)</f>
        <v>1</v>
      </c>
      <c r="AC60" s="21">
        <f>VLOOKUP(AC59,Parameters!$P$3:$Q$8,2,TRUE)</f>
        <v>8</v>
      </c>
      <c r="AD60" s="21">
        <f>VLOOKUP(AD59,Parameters!$P$3:$Q$8,2,TRUE)</f>
        <v>2</v>
      </c>
      <c r="AE60" s="21">
        <f>VLOOKUP(AE59,Parameters!$P$3:$Q$8,2,TRUE)</f>
        <v>4</v>
      </c>
      <c r="AF60" s="21">
        <f>VLOOKUP(AF59,Parameters!$P$3:$Q$8,2,TRUE)</f>
        <v>8</v>
      </c>
      <c r="AG60" s="21">
        <f>VLOOKUP(AG59,Parameters!$P$3:$Q$8,2,TRUE)</f>
        <v>8</v>
      </c>
      <c r="AH60" s="21">
        <f>VLOOKUP(AH59,Parameters!$P$3:$Q$8,2,TRUE)</f>
        <v>8</v>
      </c>
      <c r="AI60" s="21">
        <f>VLOOKUP(AI59,Parameters!$P$3:$Q$8,2,TRUE)</f>
        <v>8</v>
      </c>
      <c r="AJ60" s="21">
        <f>VLOOKUP(AJ59,Parameters!$P$3:$Q$8,2,TRUE)</f>
        <v>2</v>
      </c>
      <c r="AK60" s="21">
        <f>VLOOKUP(AK59,Parameters!$P$3:$Q$8,2,TRUE)</f>
        <v>2</v>
      </c>
      <c r="AL60" s="21">
        <f>VLOOKUP(AL59,Parameters!$P$3:$Q$8,2,TRUE)</f>
        <v>8</v>
      </c>
      <c r="AM60" s="21">
        <f>VLOOKUP(AM59,Parameters!$P$3:$Q$8,2,TRUE)</f>
        <v>1</v>
      </c>
      <c r="AN60" s="21">
        <f>VLOOKUP(AN59,Parameters!$P$3:$Q$8,2,TRUE)</f>
        <v>8</v>
      </c>
      <c r="AO60" s="21">
        <f>VLOOKUP(AO59,Parameters!$P$3:$Q$8,2,TRUE)</f>
        <v>4</v>
      </c>
    </row>
    <row r="61" spans="1:42" x14ac:dyDescent="0.25">
      <c r="A61" s="21" t="s">
        <v>103</v>
      </c>
      <c r="C61" s="31">
        <f t="shared" ref="C61:AO61" si="43">C60*1.5</f>
        <v>3</v>
      </c>
      <c r="D61" s="31">
        <f t="shared" si="43"/>
        <v>6</v>
      </c>
      <c r="E61" s="31">
        <f t="shared" si="43"/>
        <v>12</v>
      </c>
      <c r="F61" s="31">
        <f t="shared" si="43"/>
        <v>6</v>
      </c>
      <c r="G61" s="31">
        <f t="shared" si="43"/>
        <v>12</v>
      </c>
      <c r="H61" s="31">
        <f t="shared" si="43"/>
        <v>1.5</v>
      </c>
      <c r="I61" s="31">
        <f t="shared" si="43"/>
        <v>3</v>
      </c>
      <c r="J61" s="31">
        <f t="shared" si="43"/>
        <v>6</v>
      </c>
      <c r="K61" s="31">
        <f t="shared" si="43"/>
        <v>6</v>
      </c>
      <c r="L61" s="31">
        <f t="shared" si="43"/>
        <v>6</v>
      </c>
      <c r="M61" s="31">
        <f t="shared" si="43"/>
        <v>0</v>
      </c>
      <c r="N61" s="31">
        <f t="shared" si="43"/>
        <v>3</v>
      </c>
      <c r="O61" s="31">
        <f t="shared" si="43"/>
        <v>12</v>
      </c>
      <c r="P61" s="31">
        <f t="shared" si="43"/>
        <v>1.5</v>
      </c>
      <c r="Q61" s="31">
        <f t="shared" si="43"/>
        <v>6</v>
      </c>
      <c r="R61" s="31">
        <f t="shared" si="43"/>
        <v>3</v>
      </c>
      <c r="S61" s="31">
        <f t="shared" si="43"/>
        <v>1.5</v>
      </c>
      <c r="T61" s="31">
        <f t="shared" si="43"/>
        <v>1.5</v>
      </c>
      <c r="U61" s="31">
        <f t="shared" si="43"/>
        <v>0</v>
      </c>
      <c r="V61" s="31">
        <f t="shared" si="43"/>
        <v>0</v>
      </c>
      <c r="W61" s="31">
        <f t="shared" si="43"/>
        <v>6</v>
      </c>
      <c r="X61" s="31">
        <f t="shared" si="43"/>
        <v>3</v>
      </c>
      <c r="Y61" s="31">
        <f t="shared" si="43"/>
        <v>1.5</v>
      </c>
      <c r="Z61" s="31">
        <f t="shared" si="43"/>
        <v>12</v>
      </c>
      <c r="AA61" s="31">
        <f t="shared" si="43"/>
        <v>12</v>
      </c>
      <c r="AB61" s="31">
        <f t="shared" si="43"/>
        <v>1.5</v>
      </c>
      <c r="AC61" s="31">
        <f t="shared" si="43"/>
        <v>12</v>
      </c>
      <c r="AD61" s="31">
        <f t="shared" si="43"/>
        <v>3</v>
      </c>
      <c r="AE61" s="31">
        <f t="shared" si="43"/>
        <v>6</v>
      </c>
      <c r="AF61" s="31">
        <f t="shared" si="43"/>
        <v>12</v>
      </c>
      <c r="AG61" s="31">
        <f t="shared" si="43"/>
        <v>12</v>
      </c>
      <c r="AH61" s="31">
        <f t="shared" si="43"/>
        <v>12</v>
      </c>
      <c r="AI61" s="31">
        <f t="shared" si="43"/>
        <v>12</v>
      </c>
      <c r="AJ61" s="31">
        <f t="shared" si="43"/>
        <v>3</v>
      </c>
      <c r="AK61" s="31">
        <f t="shared" si="43"/>
        <v>3</v>
      </c>
      <c r="AL61" s="31">
        <f t="shared" si="43"/>
        <v>12</v>
      </c>
      <c r="AM61" s="31">
        <f t="shared" si="43"/>
        <v>1.5</v>
      </c>
      <c r="AN61" s="31">
        <f t="shared" si="43"/>
        <v>12</v>
      </c>
      <c r="AO61" s="31">
        <f t="shared" si="43"/>
        <v>6</v>
      </c>
    </row>
    <row r="62" spans="1:42" x14ac:dyDescent="0.25">
      <c r="A62" s="21" t="s">
        <v>85</v>
      </c>
      <c r="C62" s="21">
        <f>VLOOKUP(C59, Parameters!$T$3:$V$8, 1, TRUE)</f>
        <v>6</v>
      </c>
      <c r="D62" s="21">
        <f>VLOOKUP(D59, Parameters!$T$3:$V$8, 1, TRUE)</f>
        <v>15</v>
      </c>
      <c r="E62" s="21">
        <f>VLOOKUP(E59, Parameters!$T$3:$V$8, 1, TRUE)</f>
        <v>21</v>
      </c>
      <c r="F62" s="21">
        <f>VLOOKUP(F59, Parameters!$T$3:$V$8, 1, TRUE)</f>
        <v>15</v>
      </c>
      <c r="G62" s="21">
        <f>VLOOKUP(G59, Parameters!$T$3:$V$8, 1, TRUE)</f>
        <v>21</v>
      </c>
      <c r="H62" s="21">
        <f>VLOOKUP(H59, Parameters!$T$3:$V$8, 1, TRUE)</f>
        <v>0</v>
      </c>
      <c r="I62" s="21">
        <f>VLOOKUP(I59, Parameters!$T$3:$V$8, 1, TRUE)</f>
        <v>6</v>
      </c>
      <c r="J62" s="21">
        <f>VLOOKUP(J59, Parameters!$T$3:$V$8, 1, TRUE)</f>
        <v>15</v>
      </c>
      <c r="K62" s="21">
        <f>VLOOKUP(K59, Parameters!$T$3:$V$8, 1, TRUE)</f>
        <v>15</v>
      </c>
      <c r="L62" s="21">
        <f>VLOOKUP(L59, Parameters!$T$3:$V$8, 1, TRUE)</f>
        <v>15</v>
      </c>
      <c r="M62" s="21">
        <f>VLOOKUP(M59, Parameters!$T$3:$V$8, 1, TRUE)</f>
        <v>0</v>
      </c>
      <c r="N62" s="21">
        <f>VLOOKUP(N59, Parameters!$T$3:$V$8, 1, TRUE)</f>
        <v>1</v>
      </c>
      <c r="O62" s="21">
        <f>VLOOKUP(O59, Parameters!$T$3:$V$8, 1, TRUE)</f>
        <v>21</v>
      </c>
      <c r="P62" s="21">
        <f>VLOOKUP(P59, Parameters!$T$3:$V$8, 1, TRUE)</f>
        <v>1</v>
      </c>
      <c r="Q62" s="21">
        <f>VLOOKUP(Q59, Parameters!$T$3:$V$8, 1, TRUE)</f>
        <v>21</v>
      </c>
      <c r="R62" s="21">
        <f>VLOOKUP(R59, Parameters!$T$3:$V$8, 1, TRUE)</f>
        <v>6</v>
      </c>
      <c r="S62" s="21">
        <f>VLOOKUP(S59, Parameters!$T$3:$V$8, 1, TRUE)</f>
        <v>1</v>
      </c>
      <c r="T62" s="21">
        <f>VLOOKUP(T59, Parameters!$T$3:$V$8, 1, TRUE)</f>
        <v>1</v>
      </c>
      <c r="U62" s="21">
        <f>VLOOKUP(U59, Parameters!$T$3:$V$8, 1, TRUE)</f>
        <v>0</v>
      </c>
      <c r="V62" s="21">
        <f>VLOOKUP(V59, Parameters!$T$3:$V$8, 1, TRUE)</f>
        <v>0</v>
      </c>
      <c r="W62" s="21">
        <f>VLOOKUP(W59, Parameters!$T$3:$V$8, 1, TRUE)</f>
        <v>15</v>
      </c>
      <c r="X62" s="21">
        <f>VLOOKUP(X59, Parameters!$T$3:$V$8, 1, TRUE)</f>
        <v>6</v>
      </c>
      <c r="Y62" s="21">
        <f>VLOOKUP(Y59, Parameters!$T$3:$V$8, 1, TRUE)</f>
        <v>0</v>
      </c>
      <c r="Z62" s="21">
        <f>VLOOKUP(Z59, Parameters!$T$3:$V$8, 1, TRUE)</f>
        <v>21</v>
      </c>
      <c r="AA62" s="21">
        <f>VLOOKUP(AA59, Parameters!$T$3:$V$8, 1, TRUE)</f>
        <v>21</v>
      </c>
      <c r="AB62" s="21">
        <f>VLOOKUP(AB59, Parameters!$T$3:$V$8, 1, TRUE)</f>
        <v>1</v>
      </c>
      <c r="AC62" s="21">
        <f>VLOOKUP(AC59, Parameters!$T$3:$V$8, 1, TRUE)</f>
        <v>21</v>
      </c>
      <c r="AD62" s="21">
        <f>VLOOKUP(AD59, Parameters!$T$3:$V$8, 1, TRUE)</f>
        <v>6</v>
      </c>
      <c r="AE62" s="21">
        <f>VLOOKUP(AE59, Parameters!$T$3:$V$8, 1, TRUE)</f>
        <v>15</v>
      </c>
      <c r="AF62" s="21">
        <f>VLOOKUP(AF59, Parameters!$T$3:$V$8, 1, TRUE)</f>
        <v>21</v>
      </c>
      <c r="AG62" s="21">
        <f>VLOOKUP(AG59, Parameters!$T$3:$V$8, 1, TRUE)</f>
        <v>21</v>
      </c>
      <c r="AH62" s="21">
        <f>VLOOKUP(AH59, Parameters!$T$3:$V$8, 1, TRUE)</f>
        <v>21</v>
      </c>
      <c r="AI62" s="21">
        <f>VLOOKUP(AI59, Parameters!$T$3:$V$8, 1, TRUE)</f>
        <v>21</v>
      </c>
      <c r="AJ62" s="21">
        <f>VLOOKUP(AJ59, Parameters!$T$3:$V$8, 1, TRUE)</f>
        <v>6</v>
      </c>
      <c r="AK62" s="21">
        <f>VLOOKUP(AK59, Parameters!$T$3:$V$8, 1, TRUE)</f>
        <v>1</v>
      </c>
      <c r="AL62" s="21">
        <f>VLOOKUP(AL59, Parameters!$T$3:$V$8, 1, TRUE)</f>
        <v>21</v>
      </c>
      <c r="AM62" s="21">
        <f>VLOOKUP(AM59, Parameters!$T$3:$V$8, 1, TRUE)</f>
        <v>1</v>
      </c>
      <c r="AN62" s="21">
        <f>VLOOKUP(AN59, Parameters!$T$3:$V$8, 1, TRUE)</f>
        <v>21</v>
      </c>
      <c r="AO62" s="21">
        <f>VLOOKUP(AO59, Parameters!$T$3:$V$8, 1, TRUE)</f>
        <v>15</v>
      </c>
    </row>
    <row r="63" spans="1:42" x14ac:dyDescent="0.25">
      <c r="A63" s="21" t="s">
        <v>84</v>
      </c>
      <c r="C63" s="21">
        <f>VLOOKUP(C59, Parameters!$T$3:$V$8, 2, TRUE)</f>
        <v>2</v>
      </c>
      <c r="D63" s="21">
        <f>VLOOKUP(D59, Parameters!$T$3:$V$8, 2, TRUE)</f>
        <v>4</v>
      </c>
      <c r="E63" s="21">
        <f>VLOOKUP(E59, Parameters!$T$3:$V$8, 2, TRUE)</f>
        <v>8</v>
      </c>
      <c r="F63" s="21">
        <f>VLOOKUP(F59, Parameters!$T$3:$V$8, 2, TRUE)</f>
        <v>4</v>
      </c>
      <c r="G63" s="21">
        <f>VLOOKUP(G59, Parameters!$T$3:$V$8, 2, TRUE)</f>
        <v>8</v>
      </c>
      <c r="H63" s="21">
        <f>VLOOKUP(H59, Parameters!$T$3:$V$8, 2, TRUE)</f>
        <v>0</v>
      </c>
      <c r="I63" s="21">
        <f>VLOOKUP(I59, Parameters!$T$3:$V$8, 2, TRUE)</f>
        <v>2</v>
      </c>
      <c r="J63" s="21">
        <f>VLOOKUP(J59, Parameters!$T$3:$V$8, 2, TRUE)</f>
        <v>4</v>
      </c>
      <c r="K63" s="21">
        <f>VLOOKUP(K59, Parameters!$T$3:$V$8, 2, TRUE)</f>
        <v>4</v>
      </c>
      <c r="L63" s="21">
        <f>VLOOKUP(L59, Parameters!$T$3:$V$8, 2, TRUE)</f>
        <v>4</v>
      </c>
      <c r="M63" s="21">
        <f>VLOOKUP(M59, Parameters!$T$3:$V$8, 2, TRUE)</f>
        <v>0</v>
      </c>
      <c r="N63" s="21">
        <f>VLOOKUP(N59, Parameters!$T$3:$V$8, 2, TRUE)</f>
        <v>1</v>
      </c>
      <c r="O63" s="21">
        <f>VLOOKUP(O59, Parameters!$T$3:$V$8, 2, TRUE)</f>
        <v>8</v>
      </c>
      <c r="P63" s="21">
        <f>VLOOKUP(P59, Parameters!$T$3:$V$8, 2, TRUE)</f>
        <v>1</v>
      </c>
      <c r="Q63" s="21">
        <f>VLOOKUP(Q59, Parameters!$T$3:$V$8, 2, TRUE)</f>
        <v>8</v>
      </c>
      <c r="R63" s="21">
        <f>VLOOKUP(R59, Parameters!$T$3:$V$8, 2, TRUE)</f>
        <v>2</v>
      </c>
      <c r="S63" s="21">
        <f>VLOOKUP(S59, Parameters!$T$3:$V$8, 2, TRUE)</f>
        <v>1</v>
      </c>
      <c r="T63" s="21">
        <f>VLOOKUP(T59, Parameters!$T$3:$V$8, 2, TRUE)</f>
        <v>1</v>
      </c>
      <c r="U63" s="21">
        <f>VLOOKUP(U59, Parameters!$T$3:$V$8, 2, TRUE)</f>
        <v>0</v>
      </c>
      <c r="V63" s="21">
        <f>VLOOKUP(V59, Parameters!$T$3:$V$8, 2, TRUE)</f>
        <v>0</v>
      </c>
      <c r="W63" s="21">
        <f>VLOOKUP(W59, Parameters!$T$3:$V$8, 2, TRUE)</f>
        <v>4</v>
      </c>
      <c r="X63" s="21">
        <f>VLOOKUP(X59, Parameters!$T$3:$V$8, 2, TRUE)</f>
        <v>2</v>
      </c>
      <c r="Y63" s="21">
        <f>VLOOKUP(Y59, Parameters!$T$3:$V$8, 2, TRUE)</f>
        <v>0</v>
      </c>
      <c r="Z63" s="21">
        <f>VLOOKUP(Z59, Parameters!$T$3:$V$8, 2, TRUE)</f>
        <v>8</v>
      </c>
      <c r="AA63" s="21">
        <f>VLOOKUP(AA59, Parameters!$T$3:$V$8, 2, TRUE)</f>
        <v>8</v>
      </c>
      <c r="AB63" s="21">
        <f>VLOOKUP(AB59, Parameters!$T$3:$V$8, 2, TRUE)</f>
        <v>1</v>
      </c>
      <c r="AC63" s="21">
        <f>VLOOKUP(AC59, Parameters!$T$3:$V$8, 2, TRUE)</f>
        <v>8</v>
      </c>
      <c r="AD63" s="21">
        <f>VLOOKUP(AD59, Parameters!$T$3:$V$8, 2, TRUE)</f>
        <v>2</v>
      </c>
      <c r="AE63" s="21">
        <f>VLOOKUP(AE59, Parameters!$T$3:$V$8, 2, TRUE)</f>
        <v>4</v>
      </c>
      <c r="AF63" s="21">
        <f>VLOOKUP(AF59, Parameters!$T$3:$V$8, 2, TRUE)</f>
        <v>8</v>
      </c>
      <c r="AG63" s="21">
        <f>VLOOKUP(AG59, Parameters!$T$3:$V$8, 2, TRUE)</f>
        <v>8</v>
      </c>
      <c r="AH63" s="21">
        <f>VLOOKUP(AH59, Parameters!$T$3:$V$8, 2, TRUE)</f>
        <v>8</v>
      </c>
      <c r="AI63" s="21">
        <f>VLOOKUP(AI59, Parameters!$T$3:$V$8, 2, TRUE)</f>
        <v>8</v>
      </c>
      <c r="AJ63" s="21">
        <f>VLOOKUP(AJ59, Parameters!$T$3:$V$8, 2, TRUE)</f>
        <v>2</v>
      </c>
      <c r="AK63" s="21">
        <f>VLOOKUP(AK59, Parameters!$T$3:$V$8, 2, TRUE)</f>
        <v>1</v>
      </c>
      <c r="AL63" s="21">
        <f>VLOOKUP(AL59, Parameters!$T$3:$V$8, 2, TRUE)</f>
        <v>8</v>
      </c>
      <c r="AM63" s="21">
        <f>VLOOKUP(AM59, Parameters!$T$3:$V$8, 2, TRUE)</f>
        <v>1</v>
      </c>
      <c r="AN63" s="21">
        <f>VLOOKUP(AN59, Parameters!$T$3:$V$8, 2, TRUE)</f>
        <v>8</v>
      </c>
      <c r="AO63" s="21">
        <f>VLOOKUP(AO59, Parameters!$T$3:$V$8, 2, TRUE)</f>
        <v>4</v>
      </c>
    </row>
    <row r="64" spans="1:42" x14ac:dyDescent="0.25">
      <c r="A64" s="54" t="s">
        <v>83</v>
      </c>
      <c r="B64" s="54"/>
      <c r="C64" s="54">
        <f>VLOOKUP(C59, Parameters!$T$3:$V$8, 3, TRUE)</f>
        <v>0.22222222222222221</v>
      </c>
      <c r="D64" s="54">
        <f>VLOOKUP(D59, Parameters!$T$3:$V$8, 3, TRUE)</f>
        <v>0.66666666666666663</v>
      </c>
      <c r="E64" s="54">
        <f>VLOOKUP(E59, Parameters!$T$3:$V$8, 3, TRUE)</f>
        <v>0</v>
      </c>
      <c r="F64" s="54">
        <f>VLOOKUP(F59, Parameters!$T$3:$V$8, 3, TRUE)</f>
        <v>0.66666666666666663</v>
      </c>
      <c r="G64" s="54">
        <f>VLOOKUP(G59, Parameters!$T$3:$V$8, 3, TRUE)</f>
        <v>0</v>
      </c>
      <c r="H64" s="54">
        <f>VLOOKUP(H59, Parameters!$T$3:$V$8, 3, TRUE)</f>
        <v>1</v>
      </c>
      <c r="I64" s="54">
        <f>VLOOKUP(I59, Parameters!$T$3:$V$8, 3, TRUE)</f>
        <v>0.22222222222222221</v>
      </c>
      <c r="J64" s="54">
        <f>VLOOKUP(J59, Parameters!$T$3:$V$8, 3, TRUE)</f>
        <v>0.66666666666666663</v>
      </c>
      <c r="K64" s="54">
        <f>VLOOKUP(K59, Parameters!$T$3:$V$8, 3, TRUE)</f>
        <v>0.66666666666666663</v>
      </c>
      <c r="L64" s="54">
        <f>VLOOKUP(L59, Parameters!$T$3:$V$8, 3, TRUE)</f>
        <v>0.66666666666666663</v>
      </c>
      <c r="M64" s="54">
        <f>VLOOKUP(M59, Parameters!$T$3:$V$8, 3, TRUE)</f>
        <v>1</v>
      </c>
      <c r="N64" s="54">
        <f>VLOOKUP(N59, Parameters!$T$3:$V$8, 3, TRUE)</f>
        <v>0.2</v>
      </c>
      <c r="O64" s="54">
        <f>VLOOKUP(O59, Parameters!$T$3:$V$8, 3, TRUE)</f>
        <v>0</v>
      </c>
      <c r="P64" s="54">
        <f>VLOOKUP(P59, Parameters!$T$3:$V$8, 3, TRUE)</f>
        <v>0.2</v>
      </c>
      <c r="Q64" s="54">
        <f>VLOOKUP(Q59, Parameters!$T$3:$V$8, 3, TRUE)</f>
        <v>0</v>
      </c>
      <c r="R64" s="54">
        <f>VLOOKUP(R59, Parameters!$T$3:$V$8, 3, TRUE)</f>
        <v>0.22222222222222221</v>
      </c>
      <c r="S64" s="54">
        <f>VLOOKUP(S59, Parameters!$T$3:$V$8, 3, TRUE)</f>
        <v>0.2</v>
      </c>
      <c r="T64" s="54">
        <f>VLOOKUP(T59, Parameters!$T$3:$V$8, 3, TRUE)</f>
        <v>0.2</v>
      </c>
      <c r="U64" s="54">
        <f>VLOOKUP(U59, Parameters!$T$3:$V$8, 3, TRUE)</f>
        <v>1</v>
      </c>
      <c r="V64" s="54">
        <f>VLOOKUP(V59, Parameters!$T$3:$V$8, 3, TRUE)</f>
        <v>1</v>
      </c>
      <c r="W64" s="54">
        <f>VLOOKUP(W59, Parameters!$T$3:$V$8, 3, TRUE)</f>
        <v>0.66666666666666663</v>
      </c>
      <c r="X64" s="54">
        <f>VLOOKUP(X59, Parameters!$T$3:$V$8, 3, TRUE)</f>
        <v>0.22222222222222221</v>
      </c>
      <c r="Y64" s="54">
        <f>VLOOKUP(Y59, Parameters!$T$3:$V$8, 3, TRUE)</f>
        <v>1</v>
      </c>
      <c r="Z64" s="54">
        <f>VLOOKUP(Z59, Parameters!$T$3:$V$8, 3, TRUE)</f>
        <v>0</v>
      </c>
      <c r="AA64" s="54">
        <f>VLOOKUP(AA59, Parameters!$T$3:$V$8, 3, TRUE)</f>
        <v>0</v>
      </c>
      <c r="AB64" s="54">
        <f>VLOOKUP(AB59, Parameters!$T$3:$V$8, 3, TRUE)</f>
        <v>0.2</v>
      </c>
      <c r="AC64" s="54">
        <f>VLOOKUP(AC59, Parameters!$T$3:$V$8, 3, TRUE)</f>
        <v>0</v>
      </c>
      <c r="AD64" s="54">
        <f>VLOOKUP(AD59, Parameters!$T$3:$V$8, 3, TRUE)</f>
        <v>0.22222222222222221</v>
      </c>
      <c r="AE64" s="54">
        <f>VLOOKUP(AE59, Parameters!$T$3:$V$8, 3, TRUE)</f>
        <v>0.66666666666666663</v>
      </c>
      <c r="AF64" s="54">
        <f>VLOOKUP(AF59, Parameters!$T$3:$V$8, 3, TRUE)</f>
        <v>0</v>
      </c>
      <c r="AG64" s="54">
        <f>VLOOKUP(AG59, Parameters!$T$3:$V$8, 3, TRUE)</f>
        <v>0</v>
      </c>
      <c r="AH64" s="54">
        <f>VLOOKUP(AH59, Parameters!$T$3:$V$8, 3, TRUE)</f>
        <v>0</v>
      </c>
      <c r="AI64" s="54">
        <f>VLOOKUP(AI59, Parameters!$T$3:$V$8, 3, TRUE)</f>
        <v>0</v>
      </c>
      <c r="AJ64" s="54">
        <f>VLOOKUP(AJ59, Parameters!$T$3:$V$8, 3, TRUE)</f>
        <v>0.22222222222222221</v>
      </c>
      <c r="AK64" s="54">
        <f>VLOOKUP(AK59, Parameters!$T$3:$V$8, 3, TRUE)</f>
        <v>0.2</v>
      </c>
      <c r="AL64" s="54">
        <f>VLOOKUP(AL59, Parameters!$T$3:$V$8, 3, TRUE)</f>
        <v>0</v>
      </c>
      <c r="AM64" s="54">
        <f>VLOOKUP(AM59, Parameters!$T$3:$V$8, 3, TRUE)</f>
        <v>0.2</v>
      </c>
      <c r="AN64" s="54">
        <f>VLOOKUP(AN59, Parameters!$T$3:$V$8, 3, TRUE)</f>
        <v>0</v>
      </c>
      <c r="AO64" s="54">
        <f>VLOOKUP(AO59, Parameters!$T$3:$V$8, 3, TRUE)</f>
        <v>0.66666666666666663</v>
      </c>
    </row>
    <row r="65" spans="1:43" x14ac:dyDescent="0.25">
      <c r="A65" s="625" t="s">
        <v>1081</v>
      </c>
      <c r="B65" s="625"/>
      <c r="C65" s="54">
        <f>LN(C59*Parameters!$Q$12+Parameters!$Q$13)</f>
        <v>4.2744356899598221</v>
      </c>
      <c r="D65" s="54">
        <f>LN(D59*Parameters!$Q$12+Parameters!$Q$13)</f>
        <v>4.6188224786694869</v>
      </c>
      <c r="E65" s="54">
        <f>LN(E59*Parameters!$Q$12+Parameters!$Q$13)</f>
        <v>7.4128535470292807</v>
      </c>
      <c r="F65" s="54">
        <f>LN(F59*Parameters!$Q$12+Parameters!$Q$13)</f>
        <v>4.5940879130953611</v>
      </c>
      <c r="G65" s="54">
        <f>LN(G59*Parameters!$Q$12+Parameters!$Q$13)</f>
        <v>5.2020266105372537</v>
      </c>
      <c r="H65" s="54">
        <f>LN(H59*Parameters!$Q$12+Parameters!$Q$13)</f>
        <v>1.6344666812616129</v>
      </c>
      <c r="I65" s="54">
        <f>LN(I59*Parameters!$Q$12+Parameters!$Q$13)</f>
        <v>4.0951387537352781</v>
      </c>
      <c r="J65" s="54">
        <f>LN(J59*Parameters!$Q$12+Parameters!$Q$13)</f>
        <v>4.6940503858350411</v>
      </c>
      <c r="K65" s="54">
        <f>LN(K59*Parameters!$Q$12+Parameters!$Q$13)</f>
        <v>4.8753495429052798</v>
      </c>
      <c r="L65" s="54">
        <f>LN(L59*Parameters!$Q$12+Parameters!$Q$13)</f>
        <v>4.7303945864878827</v>
      </c>
      <c r="M65" s="54">
        <f>LN(M59*Parameters!$Q$12+Parameters!$Q$13)</f>
        <v>1.1482932660473004</v>
      </c>
      <c r="N65" s="54">
        <f>LN(N59*Parameters!$Q$12+Parameters!$Q$13)</f>
        <v>3.6285086072642625</v>
      </c>
      <c r="O65" s="54">
        <f>LN(O59*Parameters!$Q$12+Parameters!$Q$13)</f>
        <v>5.065483420900823</v>
      </c>
      <c r="P65" s="54">
        <f>LN(P59*Parameters!$Q$12+Parameters!$Q$13)</f>
        <v>3.4897837541077616</v>
      </c>
      <c r="Q65" s="54">
        <f>LN(Q59*Parameters!$Q$12+Parameters!$Q$13)</f>
        <v>4.8943756863114407</v>
      </c>
      <c r="R65" s="54">
        <f>LN(R59*Parameters!$Q$12+Parameters!$Q$13)</f>
        <v>3.9867086719942542</v>
      </c>
      <c r="S65" s="54">
        <f>LN(S59*Parameters!$Q$12+Parameters!$Q$13)</f>
        <v>2.4292844800638957</v>
      </c>
      <c r="T65" s="54">
        <f>LN(T59*Parameters!$Q$12+Parameters!$Q$13)</f>
        <v>3.3326302357289452</v>
      </c>
      <c r="U65" s="54">
        <f>LN(U59*Parameters!$Q$12+Parameters!$Q$13)</f>
        <v>0.94057987061284798</v>
      </c>
      <c r="V65" s="54">
        <f>LN(V59*Parameters!$Q$12+Parameters!$Q$13)</f>
        <v>1.2022527753437631</v>
      </c>
      <c r="W65" s="54">
        <f>LN(W59*Parameters!$Q$12+Parameters!$Q$13)</f>
        <v>4.8709897296703293</v>
      </c>
      <c r="X65" s="54">
        <f>LN(X59*Parameters!$Q$12+Parameters!$Q$13)</f>
        <v>4.3296023084393545</v>
      </c>
      <c r="Y65" s="54">
        <f>LN(Y59*Parameters!$Q$12+Parameters!$Q$13)</f>
        <v>1.4521691290162879</v>
      </c>
      <c r="Z65" s="54">
        <f>LN(Z59*Parameters!$Q$12+Parameters!$Q$13)</f>
        <v>5.8595883862433498</v>
      </c>
      <c r="AA65" s="54">
        <f>LN(AA59*Parameters!$Q$12+Parameters!$Q$13)</f>
        <v>6.0049967303333425</v>
      </c>
      <c r="AB65" s="54">
        <f>LN(AB59*Parameters!$Q$12+Parameters!$Q$13)</f>
        <v>2.1149902160984313</v>
      </c>
      <c r="AC65" s="54">
        <f>LN(AC59*Parameters!$Q$12+Parameters!$Q$13)</f>
        <v>4.9499206842156527</v>
      </c>
      <c r="AD65" s="54">
        <f>LN(AD59*Parameters!$Q$12+Parameters!$Q$13)</f>
        <v>4.2630961532139118</v>
      </c>
      <c r="AE65" s="54">
        <f>LN(AE59*Parameters!$Q$12+Parameters!$Q$13)</f>
        <v>4.674575055710311</v>
      </c>
      <c r="AF65" s="54">
        <f>LN(AF59*Parameters!$Q$12+Parameters!$Q$13)</f>
        <v>5.9613390152750076</v>
      </c>
      <c r="AG65" s="54">
        <f>LN(AG59*Parameters!$Q$12+Parameters!$Q$13)</f>
        <v>5.9002392210398646</v>
      </c>
      <c r="AH65" s="54">
        <f>LN(AH59*Parameters!$Q$12+Parameters!$Q$13)</f>
        <v>6.6290154660910057</v>
      </c>
      <c r="AI65" s="54">
        <f>LN(AI59*Parameters!$Q$12+Parameters!$Q$13)</f>
        <v>4.982856184044925</v>
      </c>
      <c r="AJ65" s="54">
        <f>LN(AJ59*Parameters!$Q$12+Parameters!$Q$13)</f>
        <v>4.4267809230666293</v>
      </c>
      <c r="AK65" s="54">
        <f>LN(AK59*Parameters!$Q$12+Parameters!$Q$13)</f>
        <v>3.5897718212037986</v>
      </c>
      <c r="AL65" s="54">
        <f>LN(AL59*Parameters!$Q$12+Parameters!$Q$13)</f>
        <v>5.0940996115969126</v>
      </c>
      <c r="AM65" s="54">
        <f>LN(AM59*Parameters!$Q$12+Parameters!$Q$13)</f>
        <v>3.4517166198376428</v>
      </c>
      <c r="AN65" s="54">
        <f>LN(AN59*Parameters!$Q$12+Parameters!$Q$13)</f>
        <v>5.1030511246388235</v>
      </c>
      <c r="AO65" s="54">
        <f>LN(AO59*Parameters!$Q$12+Parameters!$Q$13)</f>
        <v>4.7640414004783267</v>
      </c>
    </row>
    <row r="66" spans="1:43" x14ac:dyDescent="0.25">
      <c r="A66" s="56" t="s">
        <v>101</v>
      </c>
      <c r="B66" s="56"/>
      <c r="C66" s="54">
        <f t="shared" ref="C66:AO66" si="44">C65*1.5</f>
        <v>6.4116535349397328</v>
      </c>
      <c r="D66" s="54">
        <f t="shared" si="44"/>
        <v>6.9282337180042308</v>
      </c>
      <c r="E66" s="54">
        <f t="shared" si="44"/>
        <v>11.119280320543922</v>
      </c>
      <c r="F66" s="54">
        <f t="shared" si="44"/>
        <v>6.8911318696430417</v>
      </c>
      <c r="G66" s="54">
        <f t="shared" si="44"/>
        <v>7.803039915805881</v>
      </c>
      <c r="H66" s="54">
        <f t="shared" si="44"/>
        <v>2.4517000218924192</v>
      </c>
      <c r="I66" s="54">
        <f t="shared" si="44"/>
        <v>6.1427081306029176</v>
      </c>
      <c r="J66" s="54">
        <f t="shared" si="44"/>
        <v>7.0410755787525616</v>
      </c>
      <c r="K66" s="54">
        <f t="shared" si="44"/>
        <v>7.3130243143579197</v>
      </c>
      <c r="L66" s="54">
        <f t="shared" si="44"/>
        <v>7.095591879731824</v>
      </c>
      <c r="M66" s="54">
        <f t="shared" si="44"/>
        <v>1.7224398990709506</v>
      </c>
      <c r="N66" s="54">
        <f t="shared" si="44"/>
        <v>5.442762910896394</v>
      </c>
      <c r="O66" s="54">
        <f t="shared" si="44"/>
        <v>7.598225131351235</v>
      </c>
      <c r="P66" s="54">
        <f t="shared" si="44"/>
        <v>5.2346756311616423</v>
      </c>
      <c r="Q66" s="54">
        <f t="shared" si="44"/>
        <v>7.3415635294671606</v>
      </c>
      <c r="R66" s="54">
        <f t="shared" si="44"/>
        <v>5.9800630079913812</v>
      </c>
      <c r="S66" s="54">
        <f t="shared" si="44"/>
        <v>3.6439267200958438</v>
      </c>
      <c r="T66" s="54">
        <f t="shared" si="44"/>
        <v>4.9989453535934176</v>
      </c>
      <c r="U66" s="54">
        <f t="shared" si="44"/>
        <v>1.4108698059192719</v>
      </c>
      <c r="V66" s="54">
        <f t="shared" si="44"/>
        <v>1.8033791630156446</v>
      </c>
      <c r="W66" s="54">
        <f t="shared" si="44"/>
        <v>7.3064845945054939</v>
      </c>
      <c r="X66" s="54">
        <f t="shared" si="44"/>
        <v>6.4944034626590312</v>
      </c>
      <c r="Y66" s="54">
        <f t="shared" si="44"/>
        <v>2.1782536935244319</v>
      </c>
      <c r="Z66" s="54">
        <f t="shared" si="44"/>
        <v>8.7893825793650251</v>
      </c>
      <c r="AA66" s="54">
        <f t="shared" si="44"/>
        <v>9.0074950955000137</v>
      </c>
      <c r="AB66" s="54">
        <f t="shared" si="44"/>
        <v>3.1724853241476469</v>
      </c>
      <c r="AC66" s="54">
        <f t="shared" si="44"/>
        <v>7.4248810263234795</v>
      </c>
      <c r="AD66" s="54">
        <f t="shared" si="44"/>
        <v>6.3946442298208677</v>
      </c>
      <c r="AE66" s="54">
        <f t="shared" si="44"/>
        <v>7.0118625835654669</v>
      </c>
      <c r="AF66" s="54">
        <f t="shared" si="44"/>
        <v>8.942008522912511</v>
      </c>
      <c r="AG66" s="54">
        <f t="shared" si="44"/>
        <v>8.850358831559797</v>
      </c>
      <c r="AH66" s="54">
        <f t="shared" si="44"/>
        <v>9.9435231991365089</v>
      </c>
      <c r="AI66" s="54">
        <f t="shared" si="44"/>
        <v>7.4742842760673875</v>
      </c>
      <c r="AJ66" s="54">
        <f t="shared" si="44"/>
        <v>6.6401713845999435</v>
      </c>
      <c r="AK66" s="54">
        <f t="shared" si="44"/>
        <v>5.3846577318056976</v>
      </c>
      <c r="AL66" s="54">
        <f t="shared" si="44"/>
        <v>7.6411494173953685</v>
      </c>
      <c r="AM66" s="54">
        <f t="shared" si="44"/>
        <v>5.1775749297564637</v>
      </c>
      <c r="AN66" s="54">
        <f t="shared" si="44"/>
        <v>7.6545766869582348</v>
      </c>
      <c r="AO66" s="54">
        <f t="shared" si="44"/>
        <v>7.14606210071749</v>
      </c>
    </row>
    <row r="67" spans="1:43" x14ac:dyDescent="0.25">
      <c r="A67" s="55"/>
      <c r="B67" s="55"/>
      <c r="C67" s="54"/>
      <c r="D67" s="54"/>
      <c r="E67" s="54"/>
      <c r="F67" s="54"/>
      <c r="G67" s="54"/>
      <c r="H67" s="54"/>
      <c r="I67" s="54"/>
      <c r="J67" s="54"/>
      <c r="K67" s="54"/>
      <c r="L67" s="54"/>
      <c r="M67" s="54"/>
      <c r="N67" s="54"/>
      <c r="O67" s="54"/>
      <c r="P67" s="54"/>
      <c r="Q67" s="54"/>
      <c r="R67" s="54"/>
      <c r="S67" s="54"/>
      <c r="T67" s="54"/>
      <c r="U67" s="54"/>
      <c r="V67" s="54"/>
      <c r="W67" s="54"/>
      <c r="X67" s="54"/>
      <c r="Y67" s="54"/>
      <c r="Z67" s="54"/>
      <c r="AA67" s="54"/>
      <c r="AB67" s="54"/>
      <c r="AC67" s="54"/>
      <c r="AD67" s="54"/>
      <c r="AE67" s="54"/>
      <c r="AF67" s="54"/>
      <c r="AG67" s="54"/>
      <c r="AH67" s="54"/>
      <c r="AI67" s="54"/>
      <c r="AJ67" s="54"/>
      <c r="AK67" s="54"/>
      <c r="AL67" s="54"/>
      <c r="AM67" s="54"/>
      <c r="AN67" s="54"/>
      <c r="AO67" s="54"/>
    </row>
    <row r="68" spans="1:43" ht="19.5" customHeight="1" x14ac:dyDescent="0.35">
      <c r="A68" s="19" t="s">
        <v>21</v>
      </c>
      <c r="B68" s="19"/>
    </row>
    <row r="69" spans="1:43" ht="15" customHeight="1" x14ac:dyDescent="0.25">
      <c r="A69" s="506" t="s">
        <v>869</v>
      </c>
      <c r="B69" s="506"/>
    </row>
    <row r="70" spans="1:43" ht="30.75" customHeight="1" x14ac:dyDescent="0.25">
      <c r="A70" s="560" t="s">
        <v>1140</v>
      </c>
      <c r="B70" s="560"/>
      <c r="C70" s="851">
        <v>0</v>
      </c>
      <c r="D70" s="851">
        <v>0</v>
      </c>
      <c r="E70" s="851">
        <v>0</v>
      </c>
      <c r="F70" s="851">
        <v>0</v>
      </c>
      <c r="G70" s="851">
        <v>0</v>
      </c>
      <c r="H70" s="851">
        <v>0</v>
      </c>
      <c r="I70" s="851">
        <v>0</v>
      </c>
      <c r="J70" s="851">
        <v>0</v>
      </c>
      <c r="K70" s="851">
        <v>0</v>
      </c>
      <c r="L70" s="851">
        <v>0</v>
      </c>
      <c r="M70" s="851">
        <v>0</v>
      </c>
      <c r="N70" s="851">
        <v>0</v>
      </c>
      <c r="O70" s="851">
        <v>0</v>
      </c>
      <c r="P70" s="851">
        <v>0</v>
      </c>
      <c r="Q70" s="851">
        <v>0</v>
      </c>
      <c r="R70" s="851">
        <v>0</v>
      </c>
      <c r="S70" s="851">
        <v>0</v>
      </c>
      <c r="T70" s="851">
        <v>0</v>
      </c>
      <c r="U70" s="851">
        <v>0</v>
      </c>
      <c r="V70" s="851">
        <v>0</v>
      </c>
      <c r="W70" s="851">
        <v>0</v>
      </c>
      <c r="X70" s="851">
        <v>0</v>
      </c>
      <c r="Y70" s="851">
        <v>0</v>
      </c>
      <c r="Z70" s="851">
        <v>0</v>
      </c>
      <c r="AA70" s="851">
        <v>0</v>
      </c>
      <c r="AB70" s="851">
        <v>0</v>
      </c>
      <c r="AC70" s="851">
        <v>0</v>
      </c>
      <c r="AD70" s="851">
        <v>0</v>
      </c>
      <c r="AE70" s="851">
        <v>0</v>
      </c>
      <c r="AF70" s="851">
        <v>0</v>
      </c>
      <c r="AG70" s="851">
        <v>0</v>
      </c>
      <c r="AH70" s="851">
        <v>0</v>
      </c>
      <c r="AI70" s="851">
        <v>0</v>
      </c>
      <c r="AJ70" s="851">
        <v>0</v>
      </c>
      <c r="AK70" s="851">
        <v>0</v>
      </c>
      <c r="AL70" s="851">
        <v>0</v>
      </c>
      <c r="AM70" s="851">
        <v>0</v>
      </c>
      <c r="AN70" s="851">
        <v>0</v>
      </c>
      <c r="AO70" s="851">
        <v>0</v>
      </c>
      <c r="AP70" s="158">
        <f>SUM(C70:AO70)</f>
        <v>0</v>
      </c>
    </row>
    <row r="71" spans="1:43" x14ac:dyDescent="0.25">
      <c r="A71" s="560" t="s">
        <v>958</v>
      </c>
      <c r="B71" s="560"/>
      <c r="C71" s="51">
        <f t="shared" ref="C71:AO71" si="45">C70*C3</f>
        <v>0</v>
      </c>
      <c r="D71" s="51">
        <f t="shared" si="45"/>
        <v>0</v>
      </c>
      <c r="E71" s="51">
        <f t="shared" si="45"/>
        <v>0</v>
      </c>
      <c r="F71" s="51">
        <f t="shared" si="45"/>
        <v>0</v>
      </c>
      <c r="G71" s="51">
        <f t="shared" si="45"/>
        <v>0</v>
      </c>
      <c r="H71" s="51">
        <f t="shared" si="45"/>
        <v>0</v>
      </c>
      <c r="I71" s="51">
        <f t="shared" si="45"/>
        <v>0</v>
      </c>
      <c r="J71" s="51">
        <f t="shared" si="45"/>
        <v>0</v>
      </c>
      <c r="K71" s="51">
        <f t="shared" si="45"/>
        <v>0</v>
      </c>
      <c r="L71" s="51">
        <f t="shared" si="45"/>
        <v>0</v>
      </c>
      <c r="M71" s="51">
        <f t="shared" si="45"/>
        <v>0</v>
      </c>
      <c r="N71" s="51">
        <f t="shared" si="45"/>
        <v>0</v>
      </c>
      <c r="O71" s="51">
        <f t="shared" si="45"/>
        <v>0</v>
      </c>
      <c r="P71" s="51">
        <f t="shared" si="45"/>
        <v>0</v>
      </c>
      <c r="Q71" s="51">
        <f t="shared" si="45"/>
        <v>0</v>
      </c>
      <c r="R71" s="51">
        <f t="shared" si="45"/>
        <v>0</v>
      </c>
      <c r="S71" s="51">
        <f t="shared" si="45"/>
        <v>0</v>
      </c>
      <c r="T71" s="51">
        <f t="shared" si="45"/>
        <v>0</v>
      </c>
      <c r="U71" s="51">
        <f t="shared" si="45"/>
        <v>0</v>
      </c>
      <c r="V71" s="51">
        <f t="shared" si="45"/>
        <v>0</v>
      </c>
      <c r="W71" s="51">
        <f t="shared" si="45"/>
        <v>0</v>
      </c>
      <c r="X71" s="51">
        <f t="shared" si="45"/>
        <v>0</v>
      </c>
      <c r="Y71" s="51">
        <f t="shared" si="45"/>
        <v>0</v>
      </c>
      <c r="Z71" s="51">
        <f t="shared" si="45"/>
        <v>0</v>
      </c>
      <c r="AA71" s="51">
        <f t="shared" si="45"/>
        <v>0</v>
      </c>
      <c r="AB71" s="51">
        <f t="shared" si="45"/>
        <v>0</v>
      </c>
      <c r="AC71" s="51">
        <f t="shared" si="45"/>
        <v>0</v>
      </c>
      <c r="AD71" s="51">
        <f t="shared" si="45"/>
        <v>0</v>
      </c>
      <c r="AE71" s="51">
        <f t="shared" si="45"/>
        <v>0</v>
      </c>
      <c r="AF71" s="51">
        <f t="shared" si="45"/>
        <v>0</v>
      </c>
      <c r="AG71" s="51">
        <f t="shared" si="45"/>
        <v>0</v>
      </c>
      <c r="AH71" s="51">
        <f t="shared" si="45"/>
        <v>0</v>
      </c>
      <c r="AI71" s="51">
        <f t="shared" si="45"/>
        <v>0</v>
      </c>
      <c r="AJ71" s="51">
        <f t="shared" si="45"/>
        <v>0</v>
      </c>
      <c r="AK71" s="51">
        <f t="shared" si="45"/>
        <v>0</v>
      </c>
      <c r="AL71" s="51">
        <f t="shared" si="45"/>
        <v>0</v>
      </c>
      <c r="AM71" s="51">
        <f t="shared" si="45"/>
        <v>0</v>
      </c>
      <c r="AN71" s="51">
        <f t="shared" si="45"/>
        <v>0</v>
      </c>
      <c r="AO71" s="51">
        <f t="shared" si="45"/>
        <v>0</v>
      </c>
      <c r="AP71" s="158">
        <f>SUM(C71:AO71)</f>
        <v>0</v>
      </c>
      <c r="AQ71" s="264">
        <f>AP71/AP13</f>
        <v>0</v>
      </c>
    </row>
    <row r="72" spans="1:43" x14ac:dyDescent="0.25">
      <c r="A72" s="560"/>
      <c r="B72" s="560"/>
      <c r="C72" s="51"/>
      <c r="D72" s="51"/>
      <c r="E72" s="51"/>
      <c r="F72" s="51"/>
      <c r="G72" s="51"/>
      <c r="H72" s="51"/>
      <c r="I72" s="51"/>
      <c r="J72" s="51"/>
      <c r="K72" s="51"/>
      <c r="L72" s="51"/>
      <c r="M72" s="51"/>
      <c r="N72" s="51"/>
      <c r="O72" s="51"/>
      <c r="P72" s="51"/>
      <c r="Q72" s="51"/>
      <c r="R72" s="51"/>
      <c r="S72" s="51"/>
      <c r="T72" s="51"/>
      <c r="U72" s="51"/>
      <c r="V72" s="51"/>
      <c r="W72" s="51"/>
      <c r="X72" s="51"/>
      <c r="Y72" s="51"/>
      <c r="Z72" s="51"/>
      <c r="AA72" s="51"/>
      <c r="AB72" s="51"/>
      <c r="AC72" s="51"/>
      <c r="AD72" s="51"/>
      <c r="AE72" s="51"/>
      <c r="AF72" s="51"/>
      <c r="AG72" s="51"/>
      <c r="AH72" s="51"/>
      <c r="AI72" s="51"/>
      <c r="AJ72" s="51"/>
      <c r="AK72" s="51"/>
      <c r="AL72" s="51"/>
      <c r="AM72" s="51"/>
      <c r="AN72" s="51"/>
      <c r="AO72" s="51"/>
      <c r="AP72" s="158"/>
      <c r="AQ72" s="264"/>
    </row>
    <row r="73" spans="1:43" x14ac:dyDescent="0.25">
      <c r="A73" s="489" t="s">
        <v>1146</v>
      </c>
      <c r="B73" s="560"/>
      <c r="C73" s="726">
        <f>Returns_Per_A!X125</f>
        <v>-45.994446359587286</v>
      </c>
      <c r="D73" s="726">
        <f>Returns_Per_A!Y125</f>
        <v>-54.22213679962875</v>
      </c>
      <c r="E73" s="726">
        <f>Returns_Per_A!Z125</f>
        <v>-38.852814163577655</v>
      </c>
      <c r="F73" s="726">
        <f>Returns_Per_A!AA125</f>
        <v>-38.646592833621462</v>
      </c>
      <c r="G73" s="726">
        <f>Returns_Per_A!AB125</f>
        <v>-43.855980729711334</v>
      </c>
      <c r="H73" s="726">
        <f>Returns_Per_A!AC125</f>
        <v>-55.179496320794009</v>
      </c>
      <c r="I73" s="726">
        <f>Returns_Per_A!AD125</f>
        <v>-27.133582089345349</v>
      </c>
      <c r="J73" s="726">
        <f>Returns_Per_A!AE125</f>
        <v>-48.337537292259455</v>
      </c>
      <c r="K73" s="726">
        <f>Returns_Per_A!AF125</f>
        <v>-56.145754537194861</v>
      </c>
      <c r="L73" s="726">
        <f>Returns_Per_A!AG125</f>
        <v>-54.843046900250627</v>
      </c>
      <c r="M73" s="726">
        <f>Returns_Per_A!AH125</f>
        <v>-52.072142400742486</v>
      </c>
      <c r="N73" s="726">
        <f>Returns_Per_A!AI125</f>
        <v>-13.356701208007587</v>
      </c>
      <c r="O73" s="726">
        <f>Returns_Per_A!AJ125</f>
        <v>-31.26085842597433</v>
      </c>
      <c r="P73" s="726">
        <f>Returns_Per_A!AK125</f>
        <v>-52.754513365574908</v>
      </c>
      <c r="Q73" s="726">
        <f>Returns_Per_A!AL125</f>
        <v>-46.333537212854814</v>
      </c>
      <c r="R73" s="726">
        <f>Returns_Per_A!AM125</f>
        <v>-53.38266745471887</v>
      </c>
      <c r="S73" s="726">
        <f>Returns_Per_A!AN125</f>
        <v>-51.202777317782775</v>
      </c>
      <c r="T73" s="726">
        <f>Returns_Per_A!AO125</f>
        <v>-12.018515658748937</v>
      </c>
      <c r="U73" s="726">
        <f>Returns_Per_A!AP125</f>
        <v>-53.72540336573698</v>
      </c>
      <c r="V73" s="726">
        <f>Returns_Per_A!AQ125</f>
        <v>-18.584171245498066</v>
      </c>
      <c r="W73" s="726">
        <f>Returns_Per_A!AR125</f>
        <v>-51.72873516518851</v>
      </c>
      <c r="X73" s="726">
        <f>Returns_Per_A!AS125</f>
        <v>-66.484729785420129</v>
      </c>
      <c r="Y73" s="726">
        <f>Returns_Per_A!AT125</f>
        <v>-25.468928874904886</v>
      </c>
      <c r="Z73" s="726">
        <f>Returns_Per_A!AU125</f>
        <v>-45.813452756136577</v>
      </c>
      <c r="AA73" s="726">
        <f>Returns_Per_A!AV125</f>
        <v>-49.683025932787814</v>
      </c>
      <c r="AB73" s="726">
        <f>Returns_Per_A!AW125</f>
        <v>-13.686579876690182</v>
      </c>
      <c r="AC73" s="726">
        <f>Returns_Per_A!AX125</f>
        <v>-40.059167206555195</v>
      </c>
      <c r="AD73" s="726">
        <f>Returns_Per_A!AY125</f>
        <v>-32.738996743989588</v>
      </c>
      <c r="AE73" s="726">
        <f>Returns_Per_A!AZ125</f>
        <v>-45.422988795859233</v>
      </c>
      <c r="AF73" s="726">
        <f>Returns_Per_A!BA125</f>
        <v>-50.398140567871039</v>
      </c>
      <c r="AG73" s="726">
        <f>Returns_Per_A!BB125</f>
        <v>-50.858471561211481</v>
      </c>
      <c r="AH73" s="726">
        <f>Returns_Per_A!BC125</f>
        <v>-45.932547806116197</v>
      </c>
      <c r="AI73" s="726">
        <f>Returns_Per_A!BD125</f>
        <v>-49.170351844370835</v>
      </c>
      <c r="AJ73" s="726">
        <f>Returns_Per_A!BE125</f>
        <v>-42.582680684252736</v>
      </c>
      <c r="AK73" s="726">
        <f>Returns_Per_A!BF125</f>
        <v>-54.085990856136839</v>
      </c>
      <c r="AL73" s="726">
        <f>Returns_Per_A!BG125</f>
        <v>-50.615941300607922</v>
      </c>
      <c r="AM73" s="726">
        <f>Returns_Per_A!BH125</f>
        <v>-55.032441483952091</v>
      </c>
      <c r="AN73" s="726">
        <f>Returns_Per_A!BI125</f>
        <v>-40.414618894283258</v>
      </c>
      <c r="AO73" s="726">
        <f>Returns_Per_A!BJ125</f>
        <v>-48.065160883877809</v>
      </c>
      <c r="AP73" s="158"/>
      <c r="AQ73" s="264"/>
    </row>
    <row r="74" spans="1:43" x14ac:dyDescent="0.25">
      <c r="A74" s="489" t="s">
        <v>1151</v>
      </c>
      <c r="B74" s="560"/>
      <c r="C74" s="347">
        <f ca="1">C73*C92*C22</f>
        <v>-2300463.819608253</v>
      </c>
      <c r="D74" s="347">
        <f t="shared" ref="D74:AO74" ca="1" si="46">D73*D92*D22</f>
        <v>-424993.07357736869</v>
      </c>
      <c r="E74" s="347">
        <f t="shared" ca="1" si="46"/>
        <v>-108248.7465728536</v>
      </c>
      <c r="F74" s="347">
        <f t="shared" ca="1" si="46"/>
        <v>-207882.27302873749</v>
      </c>
      <c r="G74" s="347">
        <f t="shared" ca="1" si="46"/>
        <v>-191947.56228886943</v>
      </c>
      <c r="H74" s="347">
        <f t="shared" ca="1" si="46"/>
        <v>-5.1322772363519842E-4</v>
      </c>
      <c r="I74" s="347">
        <f t="shared" ca="1" si="46"/>
        <v>-165977.26590301481</v>
      </c>
      <c r="J74" s="347">
        <f t="shared" ca="1" si="46"/>
        <v>-263745.55734330491</v>
      </c>
      <c r="K74" s="347">
        <f t="shared" ca="1" si="46"/>
        <v>-94513.538663598636</v>
      </c>
      <c r="L74" s="347">
        <f t="shared" ca="1" si="46"/>
        <v>-108287.26628743159</v>
      </c>
      <c r="M74" s="347">
        <f t="shared" ca="1" si="46"/>
        <v>-411.64081243568199</v>
      </c>
      <c r="N74" s="347">
        <f t="shared" ca="1" si="46"/>
        <v>-137.41401073471545</v>
      </c>
      <c r="O74" s="347">
        <f t="shared" ca="1" si="46"/>
        <v>-152410.65285530558</v>
      </c>
      <c r="P74" s="347">
        <f t="shared" ca="1" si="46"/>
        <v>-184946.86139868601</v>
      </c>
      <c r="Q74" s="347">
        <f t="shared" ca="1" si="46"/>
        <v>-16494.470863853065</v>
      </c>
      <c r="R74" s="347">
        <f t="shared" ca="1" si="46"/>
        <v>-5480.8149380766154</v>
      </c>
      <c r="S74" s="347">
        <f t="shared" ca="1" si="46"/>
        <v>-0.38975655960503597</v>
      </c>
      <c r="T74" s="347">
        <f t="shared" ca="1" si="46"/>
        <v>-1986.2349475634155</v>
      </c>
      <c r="U74" s="347">
        <f t="shared" ca="1" si="46"/>
        <v>-3.1550936502830367</v>
      </c>
      <c r="V74" s="347">
        <f t="shared" ca="1" si="46"/>
        <v>-26.125617684212671</v>
      </c>
      <c r="W74" s="347">
        <f t="shared" ca="1" si="46"/>
        <v>-5186.8041284738028</v>
      </c>
      <c r="X74" s="347">
        <f t="shared" ca="1" si="46"/>
        <v>-34823.813843547185</v>
      </c>
      <c r="Y74" s="347">
        <f t="shared" ca="1" si="46"/>
        <v>-229.55921919665661</v>
      </c>
      <c r="Z74" s="347">
        <f t="shared" ca="1" si="46"/>
        <v>-224740.12064309293</v>
      </c>
      <c r="AA74" s="347">
        <f t="shared" ca="1" si="46"/>
        <v>-670328.23209363513</v>
      </c>
      <c r="AB74" s="347">
        <f t="shared" ca="1" si="46"/>
        <v>-3341.4442979140276</v>
      </c>
      <c r="AC74" s="347">
        <f t="shared" ca="1" si="46"/>
        <v>-958824.32000163093</v>
      </c>
      <c r="AD74" s="347">
        <f t="shared" ca="1" si="46"/>
        <v>-92.443749728304581</v>
      </c>
      <c r="AE74" s="347">
        <f t="shared" ca="1" si="46"/>
        <v>-53466.524109546153</v>
      </c>
      <c r="AF74" s="347">
        <f t="shared" ca="1" si="46"/>
        <v>-60570.094532838928</v>
      </c>
      <c r="AG74" s="347">
        <f t="shared" ca="1" si="46"/>
        <v>-137615.09517144909</v>
      </c>
      <c r="AH74" s="347">
        <f t="shared" ca="1" si="46"/>
        <v>-15122.956715392456</v>
      </c>
      <c r="AI74" s="347">
        <f t="shared" ca="1" si="46"/>
        <v>-144039.47376103172</v>
      </c>
      <c r="AJ74" s="347">
        <f t="shared" ca="1" si="46"/>
        <v>-93718.854665824081</v>
      </c>
      <c r="AK74" s="347">
        <f t="shared" ca="1" si="46"/>
        <v>-777.48767595736922</v>
      </c>
      <c r="AL74" s="347">
        <f t="shared" ca="1" si="46"/>
        <v>-135286.64283681754</v>
      </c>
      <c r="AM74" s="347">
        <f t="shared" ca="1" si="46"/>
        <v>-37897.683549448397</v>
      </c>
      <c r="AN74" s="347">
        <f t="shared" ca="1" si="46"/>
        <v>-84190.006748607062</v>
      </c>
      <c r="AO74" s="347">
        <f t="shared" ca="1" si="46"/>
        <v>-40562.067107043847</v>
      </c>
      <c r="AP74" s="158">
        <f ca="1">SUM(C74:AO74)</f>
        <v>-6928770.4889323851</v>
      </c>
      <c r="AQ74" s="264"/>
    </row>
    <row r="75" spans="1:43" ht="30" x14ac:dyDescent="0.25">
      <c r="A75" s="489" t="s">
        <v>965</v>
      </c>
      <c r="B75" s="489"/>
      <c r="C75" s="490">
        <f>(Returns_Per_A!X130+Returns_Per_A!X236)*C22+Returns_Per_A!X237*(1-C22)</f>
        <v>-4.1065295968535356</v>
      </c>
      <c r="D75" s="490">
        <f>(Returns_Per_A!Y130+Returns_Per_A!Y236)*D22+Returns_Per_A!Y237*(1-D22)</f>
        <v>-22.539215390206007</v>
      </c>
      <c r="E75" s="490">
        <f>(Returns_Per_A!Z130+Returns_Per_A!Z236)*E22+Returns_Per_A!Z237*(1-E22)</f>
        <v>36.948201732296738</v>
      </c>
      <c r="F75" s="490">
        <f>(Returns_Per_A!AA130+Returns_Per_A!AA236)*F22+Returns_Per_A!AA237*(1-F22)</f>
        <v>-70.421674108126311</v>
      </c>
      <c r="G75" s="490">
        <f>(Returns_Per_A!AB130+Returns_Per_A!AB236)*G22+Returns_Per_A!AB237*(1-G22)</f>
        <v>16.12644804742332</v>
      </c>
      <c r="H75" s="490">
        <f>(Returns_Per_A!AC130+Returns_Per_A!AC236)*H22+Returns_Per_A!AC237*(1-H22)</f>
        <v>-197.68047598910937</v>
      </c>
      <c r="I75" s="490">
        <f>(Returns_Per_A!AD130+Returns_Per_A!AD236)*I22+Returns_Per_A!AD237*(1-I22)</f>
        <v>-97.004629283639417</v>
      </c>
      <c r="J75" s="490">
        <f>(Returns_Per_A!AE130+Returns_Per_A!AE236)*J22+Returns_Per_A!AE237*(1-J22)</f>
        <v>11.979927823706035</v>
      </c>
      <c r="K75" s="490">
        <f>(Returns_Per_A!AF130+Returns_Per_A!AF236)*K22+Returns_Per_A!AF237*(1-K22)</f>
        <v>-8.920185715698306</v>
      </c>
      <c r="L75" s="490">
        <f>(Returns_Per_A!AG130+Returns_Per_A!AG236)*L22+Returns_Per_A!AG237*(1-L22)</f>
        <v>-46.57135571866467</v>
      </c>
      <c r="M75" s="490">
        <f>(Returns_Per_A!AH130+Returns_Per_A!AH236)*M22+Returns_Per_A!AH237*(1-M22)</f>
        <v>-136.65767132207972</v>
      </c>
      <c r="N75" s="490">
        <f>(Returns_Per_A!AI130+Returns_Per_A!AI236)*N22+Returns_Per_A!AI237*(1-N22)</f>
        <v>-130.51343706507652</v>
      </c>
      <c r="O75" s="490">
        <f>(Returns_Per_A!AJ130+Returns_Per_A!AJ236)*O22+Returns_Per_A!AJ237*(1-O22)</f>
        <v>30.615687226526738</v>
      </c>
      <c r="P75" s="490">
        <f>(Returns_Per_A!AK130+Returns_Per_A!AK236)*P22+Returns_Per_A!AK237*(1-P22)</f>
        <v>4.2908175715574828</v>
      </c>
      <c r="Q75" s="490">
        <f>(Returns_Per_A!AL130+Returns_Per_A!AL236)*Q22+Returns_Per_A!AL237*(1-Q22)</f>
        <v>31.968070776272722</v>
      </c>
      <c r="R75" s="490">
        <f>(Returns_Per_A!AM130+Returns_Per_A!AM236)*R22+Returns_Per_A!AM237*(1-R22)</f>
        <v>-61.92720351861837</v>
      </c>
      <c r="S75" s="490">
        <f>(Returns_Per_A!AN130+Returns_Per_A!AN236)*S22+Returns_Per_A!AN237*(1-S22)</f>
        <v>-45.997221170664623</v>
      </c>
      <c r="T75" s="490">
        <f>(Returns_Per_A!AO130+Returns_Per_A!AO236)*T22+Returns_Per_A!AO237*(1-T22)</f>
        <v>-102.62019241737568</v>
      </c>
      <c r="U75" s="490">
        <f>(Returns_Per_A!AP130+Returns_Per_A!AP236)*U22+Returns_Per_A!AP237*(1-U22)</f>
        <v>-229.80934962952938</v>
      </c>
      <c r="V75" s="490">
        <f>(Returns_Per_A!AQ130+Returns_Per_A!AQ236)*V22+Returns_Per_A!AQ237*(1-V22)</f>
        <v>-109.02287311134117</v>
      </c>
      <c r="W75" s="490">
        <f>(Returns_Per_A!AR130+Returns_Per_A!AR236)*W22+Returns_Per_A!AR237*(1-W22)</f>
        <v>26.576756499772134</v>
      </c>
      <c r="X75" s="490">
        <f>(Returns_Per_A!AS130+Returns_Per_A!AS236)*X22+Returns_Per_A!AS237*(1-X22)</f>
        <v>-40.904521327040868</v>
      </c>
      <c r="Y75" s="490">
        <f>(Returns_Per_A!AT130+Returns_Per_A!AT236)*Y22+Returns_Per_A!AT237*(1-Y22)</f>
        <v>-104.30970790892718</v>
      </c>
      <c r="Z75" s="490">
        <f>(Returns_Per_A!AU130+Returns_Per_A!AU236)*Z22+Returns_Per_A!AU237*(1-Z22)</f>
        <v>31.972980372245111</v>
      </c>
      <c r="AA75" s="490">
        <f>(Returns_Per_A!AV130+Returns_Per_A!AV236)*AA22+Returns_Per_A!AV237*(1-AA22)</f>
        <v>4.65031319327014</v>
      </c>
      <c r="AB75" s="490">
        <f>(Returns_Per_A!AW130+Returns_Per_A!AW236)*AB22+Returns_Per_A!AW237*(1-AB22)</f>
        <v>-13.996392643818702</v>
      </c>
      <c r="AC75" s="490">
        <f>(Returns_Per_A!AX130+Returns_Per_A!AX236)*AC22+Returns_Per_A!AX237*(1-AC22)</f>
        <v>-21.052011073534445</v>
      </c>
      <c r="AD75" s="490">
        <f>(Returns_Per_A!AY130+Returns_Per_A!AY236)*AD22+Returns_Per_A!AY237*(1-AD22)</f>
        <v>-131.02324291115735</v>
      </c>
      <c r="AE75" s="490">
        <f>(Returns_Per_A!AZ130+Returns_Per_A!AZ236)*AE22+Returns_Per_A!AZ237*(1-AE22)</f>
        <v>52.696719480651872</v>
      </c>
      <c r="AF75" s="490">
        <f>(Returns_Per_A!BA130+Returns_Per_A!BA236)*AF22+Returns_Per_A!BA237*(1-AF22)</f>
        <v>-4.0703334754208953E-2</v>
      </c>
      <c r="AG75" s="490">
        <f>(Returns_Per_A!BB130+Returns_Per_A!BB236)*AG22+Returns_Per_A!BB237*(1-AG22)</f>
        <v>-42.207351597409684</v>
      </c>
      <c r="AH75" s="490">
        <f>(Returns_Per_A!BC130+Returns_Per_A!BC236)*AH22+Returns_Per_A!BC237*(1-AH22)</f>
        <v>39.475451712377989</v>
      </c>
      <c r="AI75" s="490">
        <f>(Returns_Per_A!BD130+Returns_Per_A!BD236)*AI22+Returns_Per_A!BD237*(1-AI22)</f>
        <v>-3.7033895588225896</v>
      </c>
      <c r="AJ75" s="490">
        <f>(Returns_Per_A!BE130+Returns_Per_A!BE236)*AJ22+Returns_Per_A!BE237*(1-AJ22)</f>
        <v>15.578744148064239</v>
      </c>
      <c r="AK75" s="490">
        <f>(Returns_Per_A!BF130+Returns_Per_A!BF236)*AK22+Returns_Per_A!BF237*(1-AK22)</f>
        <v>-22.469007248652403</v>
      </c>
      <c r="AL75" s="490">
        <f>(Returns_Per_A!BG130+Returns_Per_A!BG236)*AL22+Returns_Per_A!BG237*(1-AL22)</f>
        <v>31.104760314352511</v>
      </c>
      <c r="AM75" s="490">
        <f>(Returns_Per_A!BH130+Returns_Per_A!BH236)*AM22+Returns_Per_A!BH237*(1-AM22)</f>
        <v>-15.127908111850758</v>
      </c>
      <c r="AN75" s="490">
        <f>(Returns_Per_A!BI130+Returns_Per_A!BI236)*AN22+Returns_Per_A!BI237*(1-AN22)</f>
        <v>30.445679176418636</v>
      </c>
      <c r="AO75" s="490">
        <f>(Returns_Per_A!BJ130+Returns_Per_A!BJ236)*AO22+Returns_Per_A!BJ237*(1-AO22)</f>
        <v>-57.820454683864028</v>
      </c>
      <c r="AP75" s="146"/>
    </row>
    <row r="76" spans="1:43" ht="30" x14ac:dyDescent="0.25">
      <c r="A76" s="489" t="s">
        <v>966</v>
      </c>
      <c r="B76" s="489"/>
      <c r="C76" s="490">
        <f>(Returns_Per_A!X114+Returns_Per_A!X234)*C22+Returns_Per_A!X235*(1-C22)</f>
        <v>142.27442608082822</v>
      </c>
      <c r="D76" s="490">
        <f>(Returns_Per_A!Y114+Returns_Per_A!Y234)*D22+Returns_Per_A!Y235*(1-D22)</f>
        <v>115.29371275204578</v>
      </c>
      <c r="E76" s="490">
        <f>(Returns_Per_A!Z114+Returns_Per_A!Z234)*E22+Returns_Per_A!Z235*(1-E22)</f>
        <v>208.79839167502547</v>
      </c>
      <c r="F76" s="490">
        <f>(Returns_Per_A!AA114+Returns_Per_A!AA234)*F22+Returns_Per_A!AA235*(1-F22)</f>
        <v>43.810925279409247</v>
      </c>
      <c r="G76" s="490">
        <f>(Returns_Per_A!AB114+Returns_Per_A!AB234)*G22+Returns_Per_A!AB235*(1-G22)</f>
        <v>170.55818112384549</v>
      </c>
      <c r="H76" s="490">
        <f>(Returns_Per_A!AC114+Returns_Per_A!AC234)*H22+Returns_Per_A!AC235*(1-H22)</f>
        <v>-109.46930104161447</v>
      </c>
      <c r="I76" s="490">
        <f>(Returns_Per_A!AD114+Returns_Per_A!AD234)*I22+Returns_Per_A!AD235*(1-I22)</f>
        <v>11.879213152665614</v>
      </c>
      <c r="J76" s="490">
        <f>(Returns_Per_A!AE114+Returns_Per_A!AE234)*J22+Returns_Per_A!AE235*(1-J22)</f>
        <v>165.64406509887044</v>
      </c>
      <c r="K76" s="490">
        <f>(Returns_Per_A!AF114+Returns_Per_A!AF234)*K22+Returns_Per_A!AF235*(1-K22)</f>
        <v>134.2109503943017</v>
      </c>
      <c r="L76" s="490">
        <f>(Returns_Per_A!AG114+Returns_Per_A!AG234)*L22+Returns_Per_A!AG235*(1-L22)</f>
        <v>63.763198377103691</v>
      </c>
      <c r="M76" s="490">
        <f>(Returns_Per_A!AH114+Returns_Per_A!AH234)*M22+Returns_Per_A!AH235*(1-M22)</f>
        <v>-99.588435543963882</v>
      </c>
      <c r="N76" s="490">
        <f>(Returns_Per_A!AI114+Returns_Per_A!AI234)*N22+Returns_Per_A!AI235*(1-N22)</f>
        <v>-61.388059928109101</v>
      </c>
      <c r="O76" s="490">
        <f>(Returns_Per_A!AJ114+Returns_Per_A!AJ234)*O22+Returns_Per_A!AJ235*(1-O22)</f>
        <v>191.05054994064619</v>
      </c>
      <c r="P76" s="490">
        <f>(Returns_Per_A!AK114+Returns_Per_A!AK234)*P22+Returns_Per_A!AK235*(1-P22)</f>
        <v>127.51415488759804</v>
      </c>
      <c r="Q76" s="490">
        <f>(Returns_Per_A!AL114+Returns_Per_A!AL234)*Q22+Returns_Per_A!AL235*(1-Q22)</f>
        <v>195.03001494042573</v>
      </c>
      <c r="R76" s="490">
        <f>(Returns_Per_A!AM114+Returns_Per_A!AM234)*R22+Returns_Per_A!AM235*(1-R22)</f>
        <v>30.282922310922576</v>
      </c>
      <c r="S76" s="490">
        <f>(Returns_Per_A!AN114+Returns_Per_A!AN234)*S22+Returns_Per_A!AN235*(1-S22)</f>
        <v>61.839972686113079</v>
      </c>
      <c r="T76" s="490">
        <f>(Returns_Per_A!AO114+Returns_Per_A!AO234)*T22+Returns_Per_A!AO235*(1-T22)</f>
        <v>-13.997140943400622</v>
      </c>
      <c r="U76" s="490">
        <f>(Returns_Per_A!AP114+Returns_Per_A!AP234)*U22+Returns_Per_A!AP235*(1-U22)</f>
        <v>-186.96749747617241</v>
      </c>
      <c r="V76" s="490">
        <f>(Returns_Per_A!AQ114+Returns_Per_A!AQ234)*V22+Returns_Per_A!AQ235*(1-V22)</f>
        <v>-55.028091644632568</v>
      </c>
      <c r="W76" s="490">
        <f>(Returns_Per_A!AR114+Returns_Per_A!AR234)*W22+Returns_Per_A!AR235*(1-W22)</f>
        <v>186.21254791459722</v>
      </c>
      <c r="X76" s="490">
        <f>(Returns_Per_A!AS114+Returns_Per_A!AS234)*X22+Returns_Per_A!AS235*(1-X22)</f>
        <v>75.975439692817844</v>
      </c>
      <c r="Y76" s="490">
        <f>(Returns_Per_A!AT114+Returns_Per_A!AT234)*Y22+Returns_Per_A!AT235*(1-Y22)</f>
        <v>-46.028803890939123</v>
      </c>
      <c r="Z76" s="490">
        <f>(Returns_Per_A!AU114+Returns_Per_A!AU234)*Z22+Returns_Per_A!AU235*(1-Z22)</f>
        <v>203.12135886331265</v>
      </c>
      <c r="AA76" s="490">
        <f>(Returns_Per_A!AV114+Returns_Per_A!AV234)*AA22+Returns_Per_A!AV235*(1-AA22)</f>
        <v>154.02953465544994</v>
      </c>
      <c r="AB76" s="490">
        <f>(Returns_Per_A!AW114+Returns_Per_A!AW234)*AB22+Returns_Per_A!AW235*(1-AB22)</f>
        <v>85.996538617065227</v>
      </c>
      <c r="AC76" s="490">
        <f>(Returns_Per_A!AX114+Returns_Per_A!AX234)*AC22+Returns_Per_A!AX235*(1-AC22)</f>
        <v>113.09541209874928</v>
      </c>
      <c r="AD76" s="490">
        <f>(Returns_Per_A!AY114+Returns_Per_A!AY234)*AD22+Returns_Per_A!AY235*(1-AD22)</f>
        <v>-41.111613283943143</v>
      </c>
      <c r="AE76" s="490">
        <f>(Returns_Per_A!AZ114+Returns_Per_A!AZ234)*AE22+Returns_Per_A!AZ235*(1-AE22)</f>
        <v>223.27227140435059</v>
      </c>
      <c r="AF76" s="490">
        <f>(Returns_Per_A!BA114+Returns_Per_A!BA234)*AF22+Returns_Per_A!BA235*(1-AF22)</f>
        <v>145.31349517044572</v>
      </c>
      <c r="AG76" s="490">
        <f>(Returns_Per_A!BB114+Returns_Per_A!BB234)*AG22+Returns_Per_A!BB235*(1-AG22)</f>
        <v>90.794286071956989</v>
      </c>
      <c r="AH76" s="490">
        <f>(Returns_Per_A!BC114+Returns_Per_A!BC234)*AH22+Returns_Per_A!BC235*(1-AH22)</f>
        <v>216.43801265232321</v>
      </c>
      <c r="AI76" s="490">
        <f>(Returns_Per_A!BD114+Returns_Per_A!BD234)*AI22+Returns_Per_A!BD235*(1-AI22)</f>
        <v>141.77882571075926</v>
      </c>
      <c r="AJ76" s="490">
        <f>(Returns_Per_A!BE114+Returns_Per_A!BE234)*AJ22+Returns_Per_A!BE235*(1-AJ22)</f>
        <v>170.15952212797262</v>
      </c>
      <c r="AK76" s="490">
        <f>(Returns_Per_A!BF114+Returns_Per_A!BF234)*AK22+Returns_Per_A!BF235*(1-AK22)</f>
        <v>79.998536091625468</v>
      </c>
      <c r="AL76" s="490">
        <f>(Returns_Per_A!BG114+Returns_Per_A!BG234)*AL22+Returns_Per_A!BG235*(1-AL22)</f>
        <v>194.12633902972613</v>
      </c>
      <c r="AM76" s="490">
        <f>(Returns_Per_A!BH114+Returns_Per_A!BH234)*AM22+Returns_Per_A!BH235*(1-AM22)</f>
        <v>97.282329575066882</v>
      </c>
      <c r="AN76" s="490">
        <f>(Returns_Per_A!BI114+Returns_Per_A!BI234)*AN22+Returns_Per_A!BI235*(1-AN22)</f>
        <v>191.50324660388429</v>
      </c>
      <c r="AO76" s="490">
        <f>(Returns_Per_A!BJ114+Returns_Per_A!BJ234)*AO22+Returns_Per_A!BJ235*(1-AO22)</f>
        <v>60.610542184664055</v>
      </c>
      <c r="AP76" s="561"/>
    </row>
    <row r="77" spans="1:43" ht="30" x14ac:dyDescent="0.25">
      <c r="A77" s="489" t="s">
        <v>968</v>
      </c>
      <c r="B77" s="489"/>
      <c r="C77" s="490">
        <f t="shared" ref="C77:AO77" si="47">C75+IF((C18+C19)&gt;0,(C136*C18+C137*C19)/(C18+C19),0)</f>
        <v>-20.380525312412935</v>
      </c>
      <c r="D77" s="490">
        <f t="shared" si="47"/>
        <v>-38.611404821740805</v>
      </c>
      <c r="E77" s="490">
        <f t="shared" si="47"/>
        <v>20.304196915437402</v>
      </c>
      <c r="F77" s="490">
        <f t="shared" si="47"/>
        <v>-86.749741448340572</v>
      </c>
      <c r="G77" s="490">
        <f t="shared" si="47"/>
        <v>0.10551074304121144</v>
      </c>
      <c r="H77" s="490">
        <f t="shared" si="47"/>
        <v>-215.35066281588487</v>
      </c>
      <c r="I77" s="490">
        <f t="shared" si="47"/>
        <v>-113.88027275414181</v>
      </c>
      <c r="J77" s="490">
        <f t="shared" si="47"/>
        <v>-4.0448502810047664</v>
      </c>
      <c r="K77" s="490">
        <f t="shared" si="47"/>
        <v>-24.993840867984829</v>
      </c>
      <c r="L77" s="490">
        <f t="shared" si="47"/>
        <v>-62.00425980878579</v>
      </c>
      <c r="M77" s="490">
        <f t="shared" si="47"/>
        <v>-150.86128197054461</v>
      </c>
      <c r="N77" s="490">
        <f t="shared" si="47"/>
        <v>-146.74434669247415</v>
      </c>
      <c r="O77" s="490">
        <f t="shared" si="47"/>
        <v>14.488317380397326</v>
      </c>
      <c r="P77" s="490">
        <f t="shared" si="47"/>
        <v>-10.560217143018757</v>
      </c>
      <c r="Q77" s="490">
        <f t="shared" si="47"/>
        <v>15.885443957099579</v>
      </c>
      <c r="R77" s="490">
        <f t="shared" si="47"/>
        <v>-76.911592851244578</v>
      </c>
      <c r="S77" s="490">
        <f t="shared" si="47"/>
        <v>-61.301443204396975</v>
      </c>
      <c r="T77" s="490">
        <f t="shared" si="47"/>
        <v>-118.98158236056932</v>
      </c>
      <c r="U77" s="490">
        <f t="shared" si="47"/>
        <v>-246.26770079942082</v>
      </c>
      <c r="V77" s="490">
        <f t="shared" si="47"/>
        <v>-123.28791305678266</v>
      </c>
      <c r="W77" s="490">
        <f t="shared" si="47"/>
        <v>10.601759862319604</v>
      </c>
      <c r="X77" s="490">
        <f t="shared" si="47"/>
        <v>-56.369382276181454</v>
      </c>
      <c r="Y77" s="490">
        <f t="shared" si="47"/>
        <v>-118.66177251791363</v>
      </c>
      <c r="Z77" s="490">
        <f t="shared" si="47"/>
        <v>15.395576417462113</v>
      </c>
      <c r="AA77" s="490">
        <f t="shared" si="47"/>
        <v>-11.482952649134599</v>
      </c>
      <c r="AB77" s="490">
        <f t="shared" si="47"/>
        <v>-28.330444883892994</v>
      </c>
      <c r="AC77" s="490">
        <f t="shared" si="47"/>
        <v>-37.110899687154173</v>
      </c>
      <c r="AD77" s="490">
        <f t="shared" si="47"/>
        <v>-148.0521959026641</v>
      </c>
      <c r="AE77" s="490">
        <f t="shared" si="47"/>
        <v>36.700565130424287</v>
      </c>
      <c r="AF77" s="490">
        <f t="shared" si="47"/>
        <v>-16.091620606499404</v>
      </c>
      <c r="AG77" s="490">
        <f t="shared" si="47"/>
        <v>-58.540387616518956</v>
      </c>
      <c r="AH77" s="490">
        <f t="shared" si="47"/>
        <v>22.763377186014608</v>
      </c>
      <c r="AI77" s="490">
        <f t="shared" si="47"/>
        <v>-19.854265801346951</v>
      </c>
      <c r="AJ77" s="490">
        <f t="shared" si="47"/>
        <v>-0.47633474856531066</v>
      </c>
      <c r="AK77" s="490">
        <f t="shared" si="47"/>
        <v>-37.033435989912533</v>
      </c>
      <c r="AL77" s="490">
        <f t="shared" si="47"/>
        <v>15.010187772640389</v>
      </c>
      <c r="AM77" s="490">
        <f t="shared" si="47"/>
        <v>-29.897433209858118</v>
      </c>
      <c r="AN77" s="490">
        <f t="shared" si="47"/>
        <v>14.350696202704004</v>
      </c>
      <c r="AO77" s="490">
        <f t="shared" si="47"/>
        <v>-73.931087732703233</v>
      </c>
      <c r="AP77" s="561"/>
    </row>
    <row r="78" spans="1:43" ht="30" x14ac:dyDescent="0.25">
      <c r="A78" s="489" t="s">
        <v>969</v>
      </c>
      <c r="B78" s="489"/>
      <c r="C78" s="490">
        <f t="shared" ref="C78:AO78" si="48">C76+IF(C18+C19&gt;0,(C136*C18+C137*C19)/(C18+C19),0)</f>
        <v>126.00043036526883</v>
      </c>
      <c r="D78" s="490">
        <f t="shared" si="48"/>
        <v>99.221523320510983</v>
      </c>
      <c r="E78" s="490">
        <f t="shared" si="48"/>
        <v>192.15438685816613</v>
      </c>
      <c r="F78" s="490">
        <f t="shared" si="48"/>
        <v>27.482857939194986</v>
      </c>
      <c r="G78" s="490">
        <f t="shared" si="48"/>
        <v>154.53724381946338</v>
      </c>
      <c r="H78" s="490">
        <f t="shared" si="48"/>
        <v>-127.13948786838998</v>
      </c>
      <c r="I78" s="490">
        <f t="shared" si="48"/>
        <v>-4.9964303178367793</v>
      </c>
      <c r="J78" s="490">
        <f t="shared" si="48"/>
        <v>149.61928699415964</v>
      </c>
      <c r="K78" s="490">
        <f t="shared" si="48"/>
        <v>118.13729524201518</v>
      </c>
      <c r="L78" s="490">
        <f t="shared" si="48"/>
        <v>48.330294286982564</v>
      </c>
      <c r="M78" s="490">
        <f t="shared" si="48"/>
        <v>-113.79204619242877</v>
      </c>
      <c r="N78" s="490">
        <f t="shared" si="48"/>
        <v>-77.618969555506723</v>
      </c>
      <c r="O78" s="490">
        <f t="shared" si="48"/>
        <v>174.92318009451679</v>
      </c>
      <c r="P78" s="490">
        <f t="shared" si="48"/>
        <v>112.6631201730218</v>
      </c>
      <c r="Q78" s="490">
        <f t="shared" si="48"/>
        <v>178.94738812125257</v>
      </c>
      <c r="R78" s="490">
        <f t="shared" si="48"/>
        <v>15.298532978296368</v>
      </c>
      <c r="S78" s="490">
        <f t="shared" si="48"/>
        <v>46.535750652380727</v>
      </c>
      <c r="T78" s="490">
        <f t="shared" si="48"/>
        <v>-30.358530886594259</v>
      </c>
      <c r="U78" s="490">
        <f t="shared" si="48"/>
        <v>-203.42584864606386</v>
      </c>
      <c r="V78" s="490">
        <f t="shared" si="48"/>
        <v>-69.293131590074054</v>
      </c>
      <c r="W78" s="490">
        <f t="shared" si="48"/>
        <v>170.23755127714469</v>
      </c>
      <c r="X78" s="490">
        <f t="shared" si="48"/>
        <v>60.510578743677257</v>
      </c>
      <c r="Y78" s="490">
        <f t="shared" si="48"/>
        <v>-60.380868499925569</v>
      </c>
      <c r="Z78" s="490">
        <f t="shared" si="48"/>
        <v>186.54395490852966</v>
      </c>
      <c r="AA78" s="490">
        <f t="shared" si="48"/>
        <v>137.8962688130452</v>
      </c>
      <c r="AB78" s="490">
        <f t="shared" si="48"/>
        <v>71.662486376990927</v>
      </c>
      <c r="AC78" s="490">
        <f t="shared" si="48"/>
        <v>97.03652348512955</v>
      </c>
      <c r="AD78" s="490">
        <f t="shared" si="48"/>
        <v>-58.140566275449878</v>
      </c>
      <c r="AE78" s="490">
        <f t="shared" si="48"/>
        <v>207.27611705412301</v>
      </c>
      <c r="AF78" s="490">
        <f t="shared" si="48"/>
        <v>129.26257789870053</v>
      </c>
      <c r="AG78" s="490">
        <f t="shared" si="48"/>
        <v>74.461250052847717</v>
      </c>
      <c r="AH78" s="490">
        <f t="shared" si="48"/>
        <v>199.72593812595983</v>
      </c>
      <c r="AI78" s="490">
        <f t="shared" si="48"/>
        <v>125.6279494682349</v>
      </c>
      <c r="AJ78" s="490">
        <f t="shared" si="48"/>
        <v>154.10444323134308</v>
      </c>
      <c r="AK78" s="490">
        <f t="shared" si="48"/>
        <v>65.434107350365338</v>
      </c>
      <c r="AL78" s="490">
        <f t="shared" si="48"/>
        <v>178.031766488014</v>
      </c>
      <c r="AM78" s="490">
        <f t="shared" si="48"/>
        <v>82.512804477059518</v>
      </c>
      <c r="AN78" s="490">
        <f t="shared" si="48"/>
        <v>175.40826363016967</v>
      </c>
      <c r="AO78" s="490">
        <f t="shared" si="48"/>
        <v>44.499909135824851</v>
      </c>
      <c r="AP78" s="561"/>
    </row>
    <row r="79" spans="1:43" ht="30" x14ac:dyDescent="0.25">
      <c r="A79" s="568" t="s">
        <v>998</v>
      </c>
      <c r="B79" s="21">
        <f>Main!B268</f>
        <v>1</v>
      </c>
    </row>
    <row r="80" spans="1:43" x14ac:dyDescent="0.25">
      <c r="A80" s="568" t="s">
        <v>989</v>
      </c>
      <c r="B80" s="21">
        <f>Main!F274</f>
        <v>1</v>
      </c>
    </row>
    <row r="81" spans="1:41" x14ac:dyDescent="0.25">
      <c r="A81" s="567" t="s">
        <v>990</v>
      </c>
      <c r="B81" s="21">
        <f>Main!F278</f>
        <v>1</v>
      </c>
    </row>
    <row r="82" spans="1:41" x14ac:dyDescent="0.25">
      <c r="A82" s="489" t="s">
        <v>1001</v>
      </c>
      <c r="B82" s="319">
        <f ca="1">Main!C180</f>
        <v>0.3</v>
      </c>
      <c r="C82" s="22">
        <f t="shared" ref="C82:AO82" ca="1" si="49">IF(OR($B$79=1,$B$79=3),$B$82,IF(C26&lt;&gt;0,MIN($B$82*C21/C26,1),0))</f>
        <v>0.3</v>
      </c>
      <c r="D82" s="22">
        <f t="shared" ca="1" si="49"/>
        <v>0.3</v>
      </c>
      <c r="E82" s="22">
        <f t="shared" ca="1" si="49"/>
        <v>0.3</v>
      </c>
      <c r="F82" s="22">
        <f t="shared" ca="1" si="49"/>
        <v>0.3</v>
      </c>
      <c r="G82" s="22">
        <f t="shared" ca="1" si="49"/>
        <v>0.3</v>
      </c>
      <c r="H82" s="22">
        <f t="shared" ca="1" si="49"/>
        <v>0.3</v>
      </c>
      <c r="I82" s="22">
        <f t="shared" ca="1" si="49"/>
        <v>0.3</v>
      </c>
      <c r="J82" s="22">
        <f t="shared" ca="1" si="49"/>
        <v>0.3</v>
      </c>
      <c r="K82" s="22">
        <f t="shared" ca="1" si="49"/>
        <v>0.3</v>
      </c>
      <c r="L82" s="22">
        <f t="shared" ca="1" si="49"/>
        <v>0.3</v>
      </c>
      <c r="M82" s="22">
        <f t="shared" ca="1" si="49"/>
        <v>0.3</v>
      </c>
      <c r="N82" s="22">
        <f t="shared" ca="1" si="49"/>
        <v>0.3</v>
      </c>
      <c r="O82" s="22">
        <f t="shared" ca="1" si="49"/>
        <v>0.3</v>
      </c>
      <c r="P82" s="22">
        <f t="shared" ca="1" si="49"/>
        <v>0.3</v>
      </c>
      <c r="Q82" s="22">
        <f t="shared" ca="1" si="49"/>
        <v>0.3</v>
      </c>
      <c r="R82" s="22">
        <f t="shared" ca="1" si="49"/>
        <v>0.3</v>
      </c>
      <c r="S82" s="22">
        <f t="shared" ca="1" si="49"/>
        <v>0.3</v>
      </c>
      <c r="T82" s="22">
        <f t="shared" ca="1" si="49"/>
        <v>0.3</v>
      </c>
      <c r="U82" s="22">
        <f t="shared" ca="1" si="49"/>
        <v>0.3</v>
      </c>
      <c r="V82" s="22">
        <f t="shared" ca="1" si="49"/>
        <v>0.3</v>
      </c>
      <c r="W82" s="22">
        <f t="shared" ca="1" si="49"/>
        <v>0.3</v>
      </c>
      <c r="X82" s="22">
        <f t="shared" ca="1" si="49"/>
        <v>0.3</v>
      </c>
      <c r="Y82" s="22">
        <f t="shared" ca="1" si="49"/>
        <v>0.3</v>
      </c>
      <c r="Z82" s="22">
        <f t="shared" ca="1" si="49"/>
        <v>0.3</v>
      </c>
      <c r="AA82" s="22">
        <f t="shared" ca="1" si="49"/>
        <v>0.3</v>
      </c>
      <c r="AB82" s="22">
        <f t="shared" ca="1" si="49"/>
        <v>0.3</v>
      </c>
      <c r="AC82" s="22">
        <f t="shared" ca="1" si="49"/>
        <v>0.3</v>
      </c>
      <c r="AD82" s="22">
        <f t="shared" ca="1" si="49"/>
        <v>0.3</v>
      </c>
      <c r="AE82" s="22">
        <f t="shared" ca="1" si="49"/>
        <v>0.3</v>
      </c>
      <c r="AF82" s="22">
        <f t="shared" ca="1" si="49"/>
        <v>0.3</v>
      </c>
      <c r="AG82" s="22">
        <f t="shared" ca="1" si="49"/>
        <v>0.3</v>
      </c>
      <c r="AH82" s="22">
        <f t="shared" ca="1" si="49"/>
        <v>0.3</v>
      </c>
      <c r="AI82" s="22">
        <f t="shared" ca="1" si="49"/>
        <v>0.3</v>
      </c>
      <c r="AJ82" s="22">
        <f t="shared" ca="1" si="49"/>
        <v>0.3</v>
      </c>
      <c r="AK82" s="22">
        <f t="shared" ca="1" si="49"/>
        <v>0.3</v>
      </c>
      <c r="AL82" s="22">
        <f t="shared" ca="1" si="49"/>
        <v>0.3</v>
      </c>
      <c r="AM82" s="22">
        <f t="shared" ca="1" si="49"/>
        <v>0.3</v>
      </c>
      <c r="AN82" s="22">
        <f t="shared" ca="1" si="49"/>
        <v>0.3</v>
      </c>
      <c r="AO82" s="22">
        <f t="shared" ca="1" si="49"/>
        <v>0.3</v>
      </c>
    </row>
    <row r="83" spans="1:41" x14ac:dyDescent="0.25">
      <c r="A83" s="573" t="s">
        <v>1002</v>
      </c>
      <c r="B83" s="319"/>
      <c r="C83" s="22">
        <f t="shared" ref="C83:AO83" si="50">IF($B$79=1,0,IF($B$79=3,$B$82,IF(C30&lt;&gt;0,($B$82*C21-C82*C26)/C30,0)))</f>
        <v>0</v>
      </c>
      <c r="D83" s="22">
        <f t="shared" si="50"/>
        <v>0</v>
      </c>
      <c r="E83" s="22">
        <f t="shared" si="50"/>
        <v>0</v>
      </c>
      <c r="F83" s="22">
        <f t="shared" si="50"/>
        <v>0</v>
      </c>
      <c r="G83" s="22">
        <f t="shared" si="50"/>
        <v>0</v>
      </c>
      <c r="H83" s="22">
        <f t="shared" si="50"/>
        <v>0</v>
      </c>
      <c r="I83" s="22">
        <f t="shared" si="50"/>
        <v>0</v>
      </c>
      <c r="J83" s="22">
        <f t="shared" si="50"/>
        <v>0</v>
      </c>
      <c r="K83" s="22">
        <f t="shared" si="50"/>
        <v>0</v>
      </c>
      <c r="L83" s="22">
        <f t="shared" si="50"/>
        <v>0</v>
      </c>
      <c r="M83" s="22">
        <f t="shared" si="50"/>
        <v>0</v>
      </c>
      <c r="N83" s="22">
        <f t="shared" si="50"/>
        <v>0</v>
      </c>
      <c r="O83" s="22">
        <f t="shared" si="50"/>
        <v>0</v>
      </c>
      <c r="P83" s="22">
        <f t="shared" si="50"/>
        <v>0</v>
      </c>
      <c r="Q83" s="22">
        <f t="shared" si="50"/>
        <v>0</v>
      </c>
      <c r="R83" s="22">
        <f t="shared" si="50"/>
        <v>0</v>
      </c>
      <c r="S83" s="22">
        <f t="shared" si="50"/>
        <v>0</v>
      </c>
      <c r="T83" s="22">
        <f t="shared" si="50"/>
        <v>0</v>
      </c>
      <c r="U83" s="22">
        <f t="shared" si="50"/>
        <v>0</v>
      </c>
      <c r="V83" s="22">
        <f t="shared" si="50"/>
        <v>0</v>
      </c>
      <c r="W83" s="22">
        <f t="shared" si="50"/>
        <v>0</v>
      </c>
      <c r="X83" s="22">
        <f t="shared" si="50"/>
        <v>0</v>
      </c>
      <c r="Y83" s="22">
        <f t="shared" si="50"/>
        <v>0</v>
      </c>
      <c r="Z83" s="22">
        <f t="shared" si="50"/>
        <v>0</v>
      </c>
      <c r="AA83" s="22">
        <f t="shared" si="50"/>
        <v>0</v>
      </c>
      <c r="AB83" s="22">
        <f t="shared" si="50"/>
        <v>0</v>
      </c>
      <c r="AC83" s="22">
        <f t="shared" si="50"/>
        <v>0</v>
      </c>
      <c r="AD83" s="22">
        <f t="shared" si="50"/>
        <v>0</v>
      </c>
      <c r="AE83" s="22">
        <f t="shared" si="50"/>
        <v>0</v>
      </c>
      <c r="AF83" s="22">
        <f t="shared" si="50"/>
        <v>0</v>
      </c>
      <c r="AG83" s="22">
        <f t="shared" si="50"/>
        <v>0</v>
      </c>
      <c r="AH83" s="22">
        <f t="shared" si="50"/>
        <v>0</v>
      </c>
      <c r="AI83" s="22">
        <f t="shared" si="50"/>
        <v>0</v>
      </c>
      <c r="AJ83" s="22">
        <f t="shared" si="50"/>
        <v>0</v>
      </c>
      <c r="AK83" s="22">
        <f t="shared" si="50"/>
        <v>0</v>
      </c>
      <c r="AL83" s="22">
        <f t="shared" si="50"/>
        <v>0</v>
      </c>
      <c r="AM83" s="22">
        <f t="shared" si="50"/>
        <v>0</v>
      </c>
      <c r="AN83" s="22">
        <f t="shared" si="50"/>
        <v>0</v>
      </c>
      <c r="AO83" s="22">
        <f t="shared" si="50"/>
        <v>0</v>
      </c>
    </row>
    <row r="84" spans="1:41" x14ac:dyDescent="0.25">
      <c r="A84" s="492" t="s">
        <v>1005</v>
      </c>
      <c r="B84" s="319"/>
      <c r="C84" s="51">
        <f ca="1">IF($B$80=1,MIN(C82*(C23+C24),C46),IF($B$80=2,$B$82*(C43+C44),MAX((C82*(C23+C24)-C85),0)))</f>
        <v>82454.568718872091</v>
      </c>
      <c r="D84" s="51">
        <f t="shared" ref="D84:AO84" ca="1" si="51">IF($B$80=1,MIN(D82*(D23+D24),D46),IF($B$80=2,$B$82*(D43+D44),MAX((D82*(D23+D24)-D85),0)))</f>
        <v>14258.001863652828</v>
      </c>
      <c r="E84" s="51">
        <f t="shared" ca="1" si="51"/>
        <v>3919.4317310059582</v>
      </c>
      <c r="F84" s="51">
        <f t="shared" ca="1" si="51"/>
        <v>8650.4232034935758</v>
      </c>
      <c r="G84" s="51">
        <f t="shared" ca="1" si="51"/>
        <v>8176.5259809410945</v>
      </c>
      <c r="H84" s="51">
        <f t="shared" ca="1" si="51"/>
        <v>9.3010585064327981E-6</v>
      </c>
      <c r="I84" s="51">
        <f t="shared" ca="1" si="51"/>
        <v>7881.5819817066449</v>
      </c>
      <c r="J84" s="51">
        <f t="shared" ca="1" si="51"/>
        <v>10172.75328669539</v>
      </c>
      <c r="K84" s="51">
        <f t="shared" ca="1" si="51"/>
        <v>3059.8799495443791</v>
      </c>
      <c r="L84" s="51">
        <f t="shared" ca="1" si="51"/>
        <v>5342.3532729422977</v>
      </c>
      <c r="M84" s="51">
        <f t="shared" ca="1" si="51"/>
        <v>340.59488346138647</v>
      </c>
      <c r="N84" s="51">
        <f t="shared" ca="1" si="51"/>
        <v>17.306801657556534</v>
      </c>
      <c r="O84" s="51">
        <f t="shared" ca="1" si="51"/>
        <v>8624.9153812065688</v>
      </c>
      <c r="P84" s="51">
        <f t="shared" ca="1" si="51"/>
        <v>17048.491272117441</v>
      </c>
      <c r="Q84" s="51">
        <f t="shared" ca="1" si="51"/>
        <v>644.13831907536621</v>
      </c>
      <c r="R84" s="51">
        <f t="shared" ca="1" si="51"/>
        <v>422.14172682634745</v>
      </c>
      <c r="S84" s="51">
        <f t="shared" ca="1" si="51"/>
        <v>2.2836059683993343E-2</v>
      </c>
      <c r="T84" s="51">
        <f t="shared" ca="1" si="51"/>
        <v>261.8196049768103</v>
      </c>
      <c r="U84" s="51">
        <f t="shared" ca="1" si="51"/>
        <v>8.9176960979084119E-2</v>
      </c>
      <c r="V84" s="51">
        <f t="shared" ca="1" si="51"/>
        <v>34.694696155766145</v>
      </c>
      <c r="W84" s="51">
        <f t="shared" ca="1" si="51"/>
        <v>191.96175914636879</v>
      </c>
      <c r="X84" s="51">
        <f t="shared" ca="1" si="51"/>
        <v>1383.4933551886857</v>
      </c>
      <c r="Y84" s="51">
        <f t="shared" ca="1" si="51"/>
        <v>138.58007882265215</v>
      </c>
      <c r="Z84" s="51">
        <f t="shared" ca="1" si="51"/>
        <v>7088.0978596273335</v>
      </c>
      <c r="AA84" s="51">
        <f t="shared" ca="1" si="51"/>
        <v>23798.269391977708</v>
      </c>
      <c r="AB84" s="51">
        <f t="shared" ca="1" si="51"/>
        <v>4071.3785363149191</v>
      </c>
      <c r="AC84" s="51">
        <f t="shared" ca="1" si="51"/>
        <v>43839.092789491842</v>
      </c>
      <c r="AD84" s="51">
        <f t="shared" ca="1" si="51"/>
        <v>3.4463559620732083</v>
      </c>
      <c r="AE84" s="51">
        <f t="shared" ca="1" si="51"/>
        <v>2228.046569183774</v>
      </c>
      <c r="AF84" s="51">
        <f t="shared" ca="1" si="51"/>
        <v>2210.3370910073318</v>
      </c>
      <c r="AG84" s="51">
        <f t="shared" ca="1" si="51"/>
        <v>4341.6735329125422</v>
      </c>
      <c r="AH84" s="51">
        <f t="shared" ca="1" si="51"/>
        <v>450.99940971479185</v>
      </c>
      <c r="AI84" s="51">
        <f t="shared" ca="1" si="51"/>
        <v>5122.2345357011791</v>
      </c>
      <c r="AJ84" s="51">
        <f t="shared" ca="1" si="51"/>
        <v>4038.9933554479858</v>
      </c>
      <c r="AK84" s="51">
        <f t="shared" ca="1" si="51"/>
        <v>115.11162520789742</v>
      </c>
      <c r="AL84" s="51">
        <f t="shared" ca="1" si="51"/>
        <v>4806.918747728706</v>
      </c>
      <c r="AM84" s="51">
        <f t="shared" ca="1" si="51"/>
        <v>3769.876644163277</v>
      </c>
      <c r="AN84" s="51">
        <f t="shared" ca="1" si="51"/>
        <v>3745.6821085027586</v>
      </c>
      <c r="AO84" s="51">
        <f t="shared" ca="1" si="51"/>
        <v>1505.4576413746684</v>
      </c>
    </row>
    <row r="85" spans="1:41" x14ac:dyDescent="0.25">
      <c r="A85" s="492" t="s">
        <v>1006</v>
      </c>
      <c r="B85" s="319"/>
      <c r="C85" s="51">
        <f t="shared" ref="C85:AO85" ca="1" si="52">IF($B$80=3,MIN(C82*(C23+C24),C42),IF($B$80=2,$B$82*C42,MAX((C82*(C23+C24)-C84),0)))</f>
        <v>0</v>
      </c>
      <c r="D85" s="51">
        <f t="shared" ca="1" si="52"/>
        <v>0</v>
      </c>
      <c r="E85" s="51">
        <f t="shared" ca="1" si="52"/>
        <v>0</v>
      </c>
      <c r="F85" s="51">
        <f t="shared" ca="1" si="52"/>
        <v>0</v>
      </c>
      <c r="G85" s="51">
        <f t="shared" ca="1" si="52"/>
        <v>0</v>
      </c>
      <c r="H85" s="51">
        <f t="shared" ca="1" si="52"/>
        <v>0</v>
      </c>
      <c r="I85" s="51">
        <f t="shared" ca="1" si="52"/>
        <v>0</v>
      </c>
      <c r="J85" s="51">
        <f t="shared" ca="1" si="52"/>
        <v>0</v>
      </c>
      <c r="K85" s="51">
        <f t="shared" ca="1" si="52"/>
        <v>0</v>
      </c>
      <c r="L85" s="51">
        <f t="shared" ca="1" si="52"/>
        <v>0</v>
      </c>
      <c r="M85" s="51">
        <f t="shared" ca="1" si="52"/>
        <v>0</v>
      </c>
      <c r="N85" s="51">
        <f t="shared" ca="1" si="52"/>
        <v>0</v>
      </c>
      <c r="O85" s="51">
        <f t="shared" ca="1" si="52"/>
        <v>0</v>
      </c>
      <c r="P85" s="51">
        <f t="shared" ca="1" si="52"/>
        <v>0</v>
      </c>
      <c r="Q85" s="51">
        <f t="shared" ca="1" si="52"/>
        <v>0</v>
      </c>
      <c r="R85" s="51">
        <f t="shared" ca="1" si="52"/>
        <v>0</v>
      </c>
      <c r="S85" s="51">
        <f t="shared" ca="1" si="52"/>
        <v>0</v>
      </c>
      <c r="T85" s="51">
        <f t="shared" ca="1" si="52"/>
        <v>0</v>
      </c>
      <c r="U85" s="51">
        <f t="shared" ca="1" si="52"/>
        <v>0</v>
      </c>
      <c r="V85" s="51">
        <f t="shared" ca="1" si="52"/>
        <v>0</v>
      </c>
      <c r="W85" s="51">
        <f t="shared" ca="1" si="52"/>
        <v>0</v>
      </c>
      <c r="X85" s="51">
        <f t="shared" ca="1" si="52"/>
        <v>0</v>
      </c>
      <c r="Y85" s="51">
        <f t="shared" ca="1" si="52"/>
        <v>0</v>
      </c>
      <c r="Z85" s="51">
        <f t="shared" ca="1" si="52"/>
        <v>0</v>
      </c>
      <c r="AA85" s="51">
        <f t="shared" ca="1" si="52"/>
        <v>0</v>
      </c>
      <c r="AB85" s="51">
        <f t="shared" ca="1" si="52"/>
        <v>0</v>
      </c>
      <c r="AC85" s="51">
        <f t="shared" ca="1" si="52"/>
        <v>0</v>
      </c>
      <c r="AD85" s="51">
        <f t="shared" ca="1" si="52"/>
        <v>0</v>
      </c>
      <c r="AE85" s="51">
        <f t="shared" ca="1" si="52"/>
        <v>0</v>
      </c>
      <c r="AF85" s="51">
        <f t="shared" ca="1" si="52"/>
        <v>0</v>
      </c>
      <c r="AG85" s="51">
        <f t="shared" ca="1" si="52"/>
        <v>0</v>
      </c>
      <c r="AH85" s="51">
        <f t="shared" ca="1" si="52"/>
        <v>0</v>
      </c>
      <c r="AI85" s="51">
        <f t="shared" ca="1" si="52"/>
        <v>0</v>
      </c>
      <c r="AJ85" s="51">
        <f t="shared" ca="1" si="52"/>
        <v>0</v>
      </c>
      <c r="AK85" s="51">
        <f t="shared" ca="1" si="52"/>
        <v>0</v>
      </c>
      <c r="AL85" s="51">
        <f t="shared" ca="1" si="52"/>
        <v>0</v>
      </c>
      <c r="AM85" s="51">
        <f t="shared" ca="1" si="52"/>
        <v>0</v>
      </c>
      <c r="AN85" s="51">
        <f t="shared" ca="1" si="52"/>
        <v>0</v>
      </c>
      <c r="AO85" s="51">
        <f t="shared" ca="1" si="52"/>
        <v>0</v>
      </c>
    </row>
    <row r="86" spans="1:41" x14ac:dyDescent="0.25">
      <c r="A86" s="492" t="s">
        <v>1007</v>
      </c>
      <c r="B86" s="319"/>
      <c r="C86" s="51">
        <f ca="1">C84+C85</f>
        <v>82454.568718872091</v>
      </c>
      <c r="D86" s="51">
        <f t="shared" ref="D86:AO86" ca="1" si="53">D84+D85</f>
        <v>14258.001863652828</v>
      </c>
      <c r="E86" s="51">
        <f t="shared" ca="1" si="53"/>
        <v>3919.4317310059582</v>
      </c>
      <c r="F86" s="51">
        <f t="shared" ca="1" si="53"/>
        <v>8650.4232034935758</v>
      </c>
      <c r="G86" s="51">
        <f t="shared" ca="1" si="53"/>
        <v>8176.5259809410945</v>
      </c>
      <c r="H86" s="51">
        <f t="shared" ca="1" si="53"/>
        <v>9.3010585064327981E-6</v>
      </c>
      <c r="I86" s="51">
        <f t="shared" ca="1" si="53"/>
        <v>7881.5819817066449</v>
      </c>
      <c r="J86" s="51">
        <f t="shared" ca="1" si="53"/>
        <v>10172.75328669539</v>
      </c>
      <c r="K86" s="51">
        <f t="shared" ca="1" si="53"/>
        <v>3059.8799495443791</v>
      </c>
      <c r="L86" s="51">
        <f t="shared" ca="1" si="53"/>
        <v>5342.3532729422977</v>
      </c>
      <c r="M86" s="51">
        <f t="shared" ca="1" si="53"/>
        <v>340.59488346138647</v>
      </c>
      <c r="N86" s="51">
        <f t="shared" ca="1" si="53"/>
        <v>17.306801657556534</v>
      </c>
      <c r="O86" s="51">
        <f t="shared" ca="1" si="53"/>
        <v>8624.9153812065688</v>
      </c>
      <c r="P86" s="51">
        <f t="shared" ca="1" si="53"/>
        <v>17048.491272117441</v>
      </c>
      <c r="Q86" s="51">
        <f t="shared" ca="1" si="53"/>
        <v>644.13831907536621</v>
      </c>
      <c r="R86" s="51">
        <f t="shared" ca="1" si="53"/>
        <v>422.14172682634745</v>
      </c>
      <c r="S86" s="51">
        <f t="shared" ca="1" si="53"/>
        <v>2.2836059683993343E-2</v>
      </c>
      <c r="T86" s="51">
        <f t="shared" ca="1" si="53"/>
        <v>261.8196049768103</v>
      </c>
      <c r="U86" s="51">
        <f t="shared" ca="1" si="53"/>
        <v>8.9176960979084119E-2</v>
      </c>
      <c r="V86" s="51">
        <f t="shared" ca="1" si="53"/>
        <v>34.694696155766145</v>
      </c>
      <c r="W86" s="51">
        <f t="shared" ca="1" si="53"/>
        <v>191.96175914636879</v>
      </c>
      <c r="X86" s="51">
        <f t="shared" ca="1" si="53"/>
        <v>1383.4933551886857</v>
      </c>
      <c r="Y86" s="51">
        <f t="shared" ca="1" si="53"/>
        <v>138.58007882265215</v>
      </c>
      <c r="Z86" s="51">
        <f t="shared" ca="1" si="53"/>
        <v>7088.0978596273335</v>
      </c>
      <c r="AA86" s="51">
        <f t="shared" ca="1" si="53"/>
        <v>23798.269391977708</v>
      </c>
      <c r="AB86" s="51">
        <f t="shared" ca="1" si="53"/>
        <v>4071.3785363149191</v>
      </c>
      <c r="AC86" s="51">
        <f t="shared" ca="1" si="53"/>
        <v>43839.092789491842</v>
      </c>
      <c r="AD86" s="51">
        <f t="shared" ca="1" si="53"/>
        <v>3.4463559620732083</v>
      </c>
      <c r="AE86" s="51">
        <f t="shared" ca="1" si="53"/>
        <v>2228.046569183774</v>
      </c>
      <c r="AF86" s="51">
        <f t="shared" ca="1" si="53"/>
        <v>2210.3370910073318</v>
      </c>
      <c r="AG86" s="51">
        <f t="shared" ca="1" si="53"/>
        <v>4341.6735329125422</v>
      </c>
      <c r="AH86" s="51">
        <f t="shared" ca="1" si="53"/>
        <v>450.99940971479185</v>
      </c>
      <c r="AI86" s="51">
        <f t="shared" ca="1" si="53"/>
        <v>5122.2345357011791</v>
      </c>
      <c r="AJ86" s="51">
        <f t="shared" ca="1" si="53"/>
        <v>4038.9933554479858</v>
      </c>
      <c r="AK86" s="51">
        <f t="shared" ca="1" si="53"/>
        <v>115.11162520789742</v>
      </c>
      <c r="AL86" s="51">
        <f t="shared" ca="1" si="53"/>
        <v>4806.918747728706</v>
      </c>
      <c r="AM86" s="51">
        <f t="shared" ca="1" si="53"/>
        <v>3769.876644163277</v>
      </c>
      <c r="AN86" s="51">
        <f t="shared" ca="1" si="53"/>
        <v>3745.6821085027586</v>
      </c>
      <c r="AO86" s="51">
        <f t="shared" ca="1" si="53"/>
        <v>1505.4576413746684</v>
      </c>
    </row>
    <row r="87" spans="1:41" x14ac:dyDescent="0.25">
      <c r="A87" s="492" t="s">
        <v>1003</v>
      </c>
      <c r="B87" s="319"/>
      <c r="C87" s="51">
        <f t="shared" ref="C87:AO87" si="54">IF($B$80=1,MIN(C83*(C27+C28),C54),IF($B$80=2,$B$82*C54,MAX((C83*(C27+C28)-C88),0)))</f>
        <v>0</v>
      </c>
      <c r="D87" s="51">
        <f t="shared" si="54"/>
        <v>0</v>
      </c>
      <c r="E87" s="51">
        <f t="shared" si="54"/>
        <v>0</v>
      </c>
      <c r="F87" s="51">
        <f t="shared" si="54"/>
        <v>0</v>
      </c>
      <c r="G87" s="51">
        <f t="shared" si="54"/>
        <v>0</v>
      </c>
      <c r="H87" s="51">
        <f t="shared" si="54"/>
        <v>0</v>
      </c>
      <c r="I87" s="51">
        <f t="shared" si="54"/>
        <v>0</v>
      </c>
      <c r="J87" s="51">
        <f t="shared" si="54"/>
        <v>0</v>
      </c>
      <c r="K87" s="51">
        <f t="shared" si="54"/>
        <v>0</v>
      </c>
      <c r="L87" s="51">
        <f t="shared" si="54"/>
        <v>0</v>
      </c>
      <c r="M87" s="51">
        <f t="shared" si="54"/>
        <v>0</v>
      </c>
      <c r="N87" s="51">
        <f t="shared" si="54"/>
        <v>0</v>
      </c>
      <c r="O87" s="51">
        <f t="shared" si="54"/>
        <v>0</v>
      </c>
      <c r="P87" s="51">
        <f t="shared" si="54"/>
        <v>0</v>
      </c>
      <c r="Q87" s="51">
        <f t="shared" si="54"/>
        <v>0</v>
      </c>
      <c r="R87" s="51">
        <f t="shared" si="54"/>
        <v>0</v>
      </c>
      <c r="S87" s="51">
        <f t="shared" si="54"/>
        <v>0</v>
      </c>
      <c r="T87" s="51">
        <f t="shared" si="54"/>
        <v>0</v>
      </c>
      <c r="U87" s="51">
        <f t="shared" si="54"/>
        <v>0</v>
      </c>
      <c r="V87" s="51">
        <f t="shared" si="54"/>
        <v>0</v>
      </c>
      <c r="W87" s="51">
        <f t="shared" si="54"/>
        <v>0</v>
      </c>
      <c r="X87" s="51">
        <f t="shared" si="54"/>
        <v>0</v>
      </c>
      <c r="Y87" s="51">
        <f t="shared" si="54"/>
        <v>0</v>
      </c>
      <c r="Z87" s="51">
        <f t="shared" si="54"/>
        <v>0</v>
      </c>
      <c r="AA87" s="51">
        <f t="shared" si="54"/>
        <v>0</v>
      </c>
      <c r="AB87" s="51">
        <f t="shared" si="54"/>
        <v>0</v>
      </c>
      <c r="AC87" s="51">
        <f t="shared" si="54"/>
        <v>0</v>
      </c>
      <c r="AD87" s="51">
        <f t="shared" si="54"/>
        <v>0</v>
      </c>
      <c r="AE87" s="51">
        <f t="shared" si="54"/>
        <v>0</v>
      </c>
      <c r="AF87" s="51">
        <f t="shared" si="54"/>
        <v>0</v>
      </c>
      <c r="AG87" s="51">
        <f t="shared" si="54"/>
        <v>0</v>
      </c>
      <c r="AH87" s="51">
        <f t="shared" si="54"/>
        <v>0</v>
      </c>
      <c r="AI87" s="51">
        <f t="shared" si="54"/>
        <v>0</v>
      </c>
      <c r="AJ87" s="51">
        <f t="shared" si="54"/>
        <v>0</v>
      </c>
      <c r="AK87" s="51">
        <f t="shared" si="54"/>
        <v>0</v>
      </c>
      <c r="AL87" s="51">
        <f t="shared" si="54"/>
        <v>0</v>
      </c>
      <c r="AM87" s="51">
        <f t="shared" si="54"/>
        <v>0</v>
      </c>
      <c r="AN87" s="51">
        <f t="shared" si="54"/>
        <v>0</v>
      </c>
      <c r="AO87" s="51">
        <f t="shared" si="54"/>
        <v>0</v>
      </c>
    </row>
    <row r="88" spans="1:41" x14ac:dyDescent="0.25">
      <c r="A88" s="492" t="s">
        <v>1004</v>
      </c>
      <c r="B88" s="319"/>
      <c r="C88" s="51">
        <f t="shared" ref="C88:AO88" si="55">IF($B$80=3,MIN(C83*(C27+C28),C50),IF($B$80=2,$B$82*C50,MAX((C83*(C27+C28)-C87),0)))</f>
        <v>0</v>
      </c>
      <c r="D88" s="51">
        <f t="shared" si="55"/>
        <v>0</v>
      </c>
      <c r="E88" s="51">
        <f t="shared" si="55"/>
        <v>0</v>
      </c>
      <c r="F88" s="51">
        <f t="shared" si="55"/>
        <v>0</v>
      </c>
      <c r="G88" s="51">
        <f t="shared" si="55"/>
        <v>0</v>
      </c>
      <c r="H88" s="51">
        <f t="shared" si="55"/>
        <v>0</v>
      </c>
      <c r="I88" s="51">
        <f t="shared" si="55"/>
        <v>0</v>
      </c>
      <c r="J88" s="51">
        <f t="shared" si="55"/>
        <v>0</v>
      </c>
      <c r="K88" s="51">
        <f t="shared" si="55"/>
        <v>0</v>
      </c>
      <c r="L88" s="51">
        <f t="shared" si="55"/>
        <v>0</v>
      </c>
      <c r="M88" s="51">
        <f t="shared" si="55"/>
        <v>0</v>
      </c>
      <c r="N88" s="51">
        <f t="shared" si="55"/>
        <v>0</v>
      </c>
      <c r="O88" s="51">
        <f t="shared" si="55"/>
        <v>0</v>
      </c>
      <c r="P88" s="51">
        <f t="shared" si="55"/>
        <v>0</v>
      </c>
      <c r="Q88" s="51">
        <f t="shared" si="55"/>
        <v>0</v>
      </c>
      <c r="R88" s="51">
        <f t="shared" si="55"/>
        <v>0</v>
      </c>
      <c r="S88" s="51">
        <f t="shared" si="55"/>
        <v>0</v>
      </c>
      <c r="T88" s="51">
        <f t="shared" si="55"/>
        <v>0</v>
      </c>
      <c r="U88" s="51">
        <f t="shared" si="55"/>
        <v>0</v>
      </c>
      <c r="V88" s="51">
        <f t="shared" si="55"/>
        <v>0</v>
      </c>
      <c r="W88" s="51">
        <f t="shared" si="55"/>
        <v>0</v>
      </c>
      <c r="X88" s="51">
        <f t="shared" si="55"/>
        <v>0</v>
      </c>
      <c r="Y88" s="51">
        <f t="shared" si="55"/>
        <v>0</v>
      </c>
      <c r="Z88" s="51">
        <f t="shared" si="55"/>
        <v>0</v>
      </c>
      <c r="AA88" s="51">
        <f t="shared" si="55"/>
        <v>0</v>
      </c>
      <c r="AB88" s="51">
        <f t="shared" si="55"/>
        <v>0</v>
      </c>
      <c r="AC88" s="51">
        <f t="shared" si="55"/>
        <v>0</v>
      </c>
      <c r="AD88" s="51">
        <f t="shared" si="55"/>
        <v>0</v>
      </c>
      <c r="AE88" s="51">
        <f t="shared" si="55"/>
        <v>0</v>
      </c>
      <c r="AF88" s="51">
        <f t="shared" si="55"/>
        <v>0</v>
      </c>
      <c r="AG88" s="51">
        <f t="shared" si="55"/>
        <v>0</v>
      </c>
      <c r="AH88" s="51">
        <f t="shared" si="55"/>
        <v>0</v>
      </c>
      <c r="AI88" s="51">
        <f t="shared" si="55"/>
        <v>0</v>
      </c>
      <c r="AJ88" s="51">
        <f t="shared" si="55"/>
        <v>0</v>
      </c>
      <c r="AK88" s="51">
        <f t="shared" si="55"/>
        <v>0</v>
      </c>
      <c r="AL88" s="51">
        <f t="shared" si="55"/>
        <v>0</v>
      </c>
      <c r="AM88" s="51">
        <f t="shared" si="55"/>
        <v>0</v>
      </c>
      <c r="AN88" s="51">
        <f t="shared" si="55"/>
        <v>0</v>
      </c>
      <c r="AO88" s="51">
        <f t="shared" si="55"/>
        <v>0</v>
      </c>
    </row>
    <row r="89" spans="1:41" x14ac:dyDescent="0.25">
      <c r="A89" s="492" t="s">
        <v>1014</v>
      </c>
      <c r="B89" s="319"/>
      <c r="C89" s="51">
        <f ca="1">C84+C87</f>
        <v>82454.568718872091</v>
      </c>
      <c r="D89" s="51">
        <f t="shared" ref="D89:AO89" ca="1" si="56">D84+D87</f>
        <v>14258.001863652828</v>
      </c>
      <c r="E89" s="51">
        <f t="shared" ca="1" si="56"/>
        <v>3919.4317310059582</v>
      </c>
      <c r="F89" s="51">
        <f t="shared" ca="1" si="56"/>
        <v>8650.4232034935758</v>
      </c>
      <c r="G89" s="51">
        <f t="shared" ca="1" si="56"/>
        <v>8176.5259809410945</v>
      </c>
      <c r="H89" s="51">
        <f t="shared" ca="1" si="56"/>
        <v>9.3010585064327981E-6</v>
      </c>
      <c r="I89" s="51">
        <f t="shared" ca="1" si="56"/>
        <v>7881.5819817066449</v>
      </c>
      <c r="J89" s="51">
        <f t="shared" ca="1" si="56"/>
        <v>10172.75328669539</v>
      </c>
      <c r="K89" s="51">
        <f t="shared" ca="1" si="56"/>
        <v>3059.8799495443791</v>
      </c>
      <c r="L89" s="51">
        <f t="shared" ca="1" si="56"/>
        <v>5342.3532729422977</v>
      </c>
      <c r="M89" s="51">
        <f t="shared" ca="1" si="56"/>
        <v>340.59488346138647</v>
      </c>
      <c r="N89" s="51">
        <f t="shared" ca="1" si="56"/>
        <v>17.306801657556534</v>
      </c>
      <c r="O89" s="51">
        <f t="shared" ca="1" si="56"/>
        <v>8624.9153812065688</v>
      </c>
      <c r="P89" s="51">
        <f t="shared" ca="1" si="56"/>
        <v>17048.491272117441</v>
      </c>
      <c r="Q89" s="51">
        <f t="shared" ca="1" si="56"/>
        <v>644.13831907536621</v>
      </c>
      <c r="R89" s="51">
        <f t="shared" ca="1" si="56"/>
        <v>422.14172682634745</v>
      </c>
      <c r="S89" s="51">
        <f t="shared" ca="1" si="56"/>
        <v>2.2836059683993343E-2</v>
      </c>
      <c r="T89" s="51">
        <f t="shared" ca="1" si="56"/>
        <v>261.8196049768103</v>
      </c>
      <c r="U89" s="51">
        <f t="shared" ca="1" si="56"/>
        <v>8.9176960979084119E-2</v>
      </c>
      <c r="V89" s="51">
        <f t="shared" ca="1" si="56"/>
        <v>34.694696155766145</v>
      </c>
      <c r="W89" s="51">
        <f t="shared" ca="1" si="56"/>
        <v>191.96175914636879</v>
      </c>
      <c r="X89" s="51">
        <f t="shared" ca="1" si="56"/>
        <v>1383.4933551886857</v>
      </c>
      <c r="Y89" s="51">
        <f t="shared" ca="1" si="56"/>
        <v>138.58007882265215</v>
      </c>
      <c r="Z89" s="51">
        <f t="shared" ca="1" si="56"/>
        <v>7088.0978596273335</v>
      </c>
      <c r="AA89" s="51">
        <f t="shared" ca="1" si="56"/>
        <v>23798.269391977708</v>
      </c>
      <c r="AB89" s="51">
        <f t="shared" ca="1" si="56"/>
        <v>4071.3785363149191</v>
      </c>
      <c r="AC89" s="51">
        <f t="shared" ca="1" si="56"/>
        <v>43839.092789491842</v>
      </c>
      <c r="AD89" s="51">
        <f t="shared" ca="1" si="56"/>
        <v>3.4463559620732083</v>
      </c>
      <c r="AE89" s="51">
        <f t="shared" ca="1" si="56"/>
        <v>2228.046569183774</v>
      </c>
      <c r="AF89" s="51">
        <f t="shared" ca="1" si="56"/>
        <v>2210.3370910073318</v>
      </c>
      <c r="AG89" s="51">
        <f t="shared" ca="1" si="56"/>
        <v>4341.6735329125422</v>
      </c>
      <c r="AH89" s="51">
        <f t="shared" ca="1" si="56"/>
        <v>450.99940971479185</v>
      </c>
      <c r="AI89" s="51">
        <f t="shared" ca="1" si="56"/>
        <v>5122.2345357011791</v>
      </c>
      <c r="AJ89" s="51">
        <f t="shared" ca="1" si="56"/>
        <v>4038.9933554479858</v>
      </c>
      <c r="AK89" s="51">
        <f t="shared" ca="1" si="56"/>
        <v>115.11162520789742</v>
      </c>
      <c r="AL89" s="51">
        <f t="shared" ca="1" si="56"/>
        <v>4806.918747728706</v>
      </c>
      <c r="AM89" s="51">
        <f t="shared" ca="1" si="56"/>
        <v>3769.876644163277</v>
      </c>
      <c r="AN89" s="51">
        <f t="shared" ca="1" si="56"/>
        <v>3745.6821085027586</v>
      </c>
      <c r="AO89" s="51">
        <f t="shared" ca="1" si="56"/>
        <v>1505.4576413746684</v>
      </c>
    </row>
    <row r="90" spans="1:41" x14ac:dyDescent="0.25">
      <c r="A90" s="492" t="s">
        <v>1015</v>
      </c>
      <c r="B90" s="319"/>
      <c r="C90" s="51">
        <f ca="1">C85+C88</f>
        <v>0</v>
      </c>
      <c r="D90" s="51">
        <f t="shared" ref="D90:AO90" ca="1" si="57">D85+D88</f>
        <v>0</v>
      </c>
      <c r="E90" s="51">
        <f t="shared" ca="1" si="57"/>
        <v>0</v>
      </c>
      <c r="F90" s="51">
        <f t="shared" ca="1" si="57"/>
        <v>0</v>
      </c>
      <c r="G90" s="51">
        <f t="shared" ca="1" si="57"/>
        <v>0</v>
      </c>
      <c r="H90" s="51">
        <f t="shared" ca="1" si="57"/>
        <v>0</v>
      </c>
      <c r="I90" s="51">
        <f t="shared" ca="1" si="57"/>
        <v>0</v>
      </c>
      <c r="J90" s="51">
        <f t="shared" ca="1" si="57"/>
        <v>0</v>
      </c>
      <c r="K90" s="51">
        <f t="shared" ca="1" si="57"/>
        <v>0</v>
      </c>
      <c r="L90" s="51">
        <f t="shared" ca="1" si="57"/>
        <v>0</v>
      </c>
      <c r="M90" s="51">
        <f t="shared" ca="1" si="57"/>
        <v>0</v>
      </c>
      <c r="N90" s="51">
        <f t="shared" ca="1" si="57"/>
        <v>0</v>
      </c>
      <c r="O90" s="51">
        <f t="shared" ca="1" si="57"/>
        <v>0</v>
      </c>
      <c r="P90" s="51">
        <f t="shared" ca="1" si="57"/>
        <v>0</v>
      </c>
      <c r="Q90" s="51">
        <f t="shared" ca="1" si="57"/>
        <v>0</v>
      </c>
      <c r="R90" s="51">
        <f t="shared" ca="1" si="57"/>
        <v>0</v>
      </c>
      <c r="S90" s="51">
        <f t="shared" ca="1" si="57"/>
        <v>0</v>
      </c>
      <c r="T90" s="51">
        <f t="shared" ca="1" si="57"/>
        <v>0</v>
      </c>
      <c r="U90" s="51">
        <f t="shared" ca="1" si="57"/>
        <v>0</v>
      </c>
      <c r="V90" s="51">
        <f t="shared" ca="1" si="57"/>
        <v>0</v>
      </c>
      <c r="W90" s="51">
        <f t="shared" ca="1" si="57"/>
        <v>0</v>
      </c>
      <c r="X90" s="51">
        <f t="shared" ca="1" si="57"/>
        <v>0</v>
      </c>
      <c r="Y90" s="51">
        <f t="shared" ca="1" si="57"/>
        <v>0</v>
      </c>
      <c r="Z90" s="51">
        <f t="shared" ca="1" si="57"/>
        <v>0</v>
      </c>
      <c r="AA90" s="51">
        <f t="shared" ca="1" si="57"/>
        <v>0</v>
      </c>
      <c r="AB90" s="51">
        <f t="shared" ca="1" si="57"/>
        <v>0</v>
      </c>
      <c r="AC90" s="51">
        <f t="shared" ca="1" si="57"/>
        <v>0</v>
      </c>
      <c r="AD90" s="51">
        <f t="shared" ca="1" si="57"/>
        <v>0</v>
      </c>
      <c r="AE90" s="51">
        <f t="shared" ca="1" si="57"/>
        <v>0</v>
      </c>
      <c r="AF90" s="51">
        <f t="shared" ca="1" si="57"/>
        <v>0</v>
      </c>
      <c r="AG90" s="51">
        <f t="shared" ca="1" si="57"/>
        <v>0</v>
      </c>
      <c r="AH90" s="51">
        <f t="shared" ca="1" si="57"/>
        <v>0</v>
      </c>
      <c r="AI90" s="51">
        <f t="shared" ca="1" si="57"/>
        <v>0</v>
      </c>
      <c r="AJ90" s="51">
        <f t="shared" ca="1" si="57"/>
        <v>0</v>
      </c>
      <c r="AK90" s="51">
        <f t="shared" ca="1" si="57"/>
        <v>0</v>
      </c>
      <c r="AL90" s="51">
        <f t="shared" ca="1" si="57"/>
        <v>0</v>
      </c>
      <c r="AM90" s="51">
        <f t="shared" ca="1" si="57"/>
        <v>0</v>
      </c>
      <c r="AN90" s="51">
        <f t="shared" ca="1" si="57"/>
        <v>0</v>
      </c>
      <c r="AO90" s="51">
        <f t="shared" ca="1" si="57"/>
        <v>0</v>
      </c>
    </row>
    <row r="91" spans="1:41" x14ac:dyDescent="0.25">
      <c r="A91" s="573" t="s">
        <v>1008</v>
      </c>
      <c r="B91" s="319"/>
      <c r="C91" s="320">
        <f>C87+C88</f>
        <v>0</v>
      </c>
      <c r="D91" s="320">
        <f t="shared" ref="D91:AO91" si="58">D87+D88</f>
        <v>0</v>
      </c>
      <c r="E91" s="320">
        <f t="shared" si="58"/>
        <v>0</v>
      </c>
      <c r="F91" s="320">
        <f t="shared" si="58"/>
        <v>0</v>
      </c>
      <c r="G91" s="320">
        <f t="shared" si="58"/>
        <v>0</v>
      </c>
      <c r="H91" s="320">
        <f t="shared" si="58"/>
        <v>0</v>
      </c>
      <c r="I91" s="320">
        <f t="shared" si="58"/>
        <v>0</v>
      </c>
      <c r="J91" s="320">
        <f t="shared" si="58"/>
        <v>0</v>
      </c>
      <c r="K91" s="320">
        <f t="shared" si="58"/>
        <v>0</v>
      </c>
      <c r="L91" s="320">
        <f t="shared" si="58"/>
        <v>0</v>
      </c>
      <c r="M91" s="320">
        <f t="shared" si="58"/>
        <v>0</v>
      </c>
      <c r="N91" s="320">
        <f t="shared" si="58"/>
        <v>0</v>
      </c>
      <c r="O91" s="320">
        <f t="shared" si="58"/>
        <v>0</v>
      </c>
      <c r="P91" s="320">
        <f t="shared" si="58"/>
        <v>0</v>
      </c>
      <c r="Q91" s="320">
        <f t="shared" si="58"/>
        <v>0</v>
      </c>
      <c r="R91" s="320">
        <f t="shared" si="58"/>
        <v>0</v>
      </c>
      <c r="S91" s="320">
        <f t="shared" si="58"/>
        <v>0</v>
      </c>
      <c r="T91" s="320">
        <f t="shared" si="58"/>
        <v>0</v>
      </c>
      <c r="U91" s="320">
        <f t="shared" si="58"/>
        <v>0</v>
      </c>
      <c r="V91" s="320">
        <f t="shared" si="58"/>
        <v>0</v>
      </c>
      <c r="W91" s="320">
        <f t="shared" si="58"/>
        <v>0</v>
      </c>
      <c r="X91" s="320">
        <f t="shared" si="58"/>
        <v>0</v>
      </c>
      <c r="Y91" s="320">
        <f t="shared" si="58"/>
        <v>0</v>
      </c>
      <c r="Z91" s="320">
        <f t="shared" si="58"/>
        <v>0</v>
      </c>
      <c r="AA91" s="320">
        <f t="shared" si="58"/>
        <v>0</v>
      </c>
      <c r="AB91" s="320">
        <f t="shared" si="58"/>
        <v>0</v>
      </c>
      <c r="AC91" s="320">
        <f t="shared" si="58"/>
        <v>0</v>
      </c>
      <c r="AD91" s="320">
        <f t="shared" si="58"/>
        <v>0</v>
      </c>
      <c r="AE91" s="320">
        <f t="shared" si="58"/>
        <v>0</v>
      </c>
      <c r="AF91" s="320">
        <f t="shared" si="58"/>
        <v>0</v>
      </c>
      <c r="AG91" s="320">
        <f t="shared" si="58"/>
        <v>0</v>
      </c>
      <c r="AH91" s="320">
        <f t="shared" si="58"/>
        <v>0</v>
      </c>
      <c r="AI91" s="320">
        <f t="shared" si="58"/>
        <v>0</v>
      </c>
      <c r="AJ91" s="320">
        <f t="shared" si="58"/>
        <v>0</v>
      </c>
      <c r="AK91" s="320">
        <f t="shared" si="58"/>
        <v>0</v>
      </c>
      <c r="AL91" s="320">
        <f t="shared" si="58"/>
        <v>0</v>
      </c>
      <c r="AM91" s="320">
        <f t="shared" si="58"/>
        <v>0</v>
      </c>
      <c r="AN91" s="320">
        <f t="shared" si="58"/>
        <v>0</v>
      </c>
      <c r="AO91" s="320">
        <f t="shared" si="58"/>
        <v>0</v>
      </c>
    </row>
    <row r="92" spans="1:41" x14ac:dyDescent="0.25">
      <c r="A92" s="573" t="s">
        <v>1009</v>
      </c>
      <c r="B92" s="319"/>
      <c r="C92" s="320">
        <f ca="1">C86+C91</f>
        <v>82454.568718872091</v>
      </c>
      <c r="D92" s="320">
        <f t="shared" ref="D92:AO92" ca="1" si="59">D86+D91</f>
        <v>14258.001863652828</v>
      </c>
      <c r="E92" s="320">
        <f t="shared" ca="1" si="59"/>
        <v>3919.4317310059582</v>
      </c>
      <c r="F92" s="320">
        <f t="shared" ca="1" si="59"/>
        <v>8650.4232034935758</v>
      </c>
      <c r="G92" s="320">
        <f t="shared" ca="1" si="59"/>
        <v>8176.5259809410945</v>
      </c>
      <c r="H92" s="320">
        <f t="shared" ca="1" si="59"/>
        <v>9.3010585064327981E-6</v>
      </c>
      <c r="I92" s="320">
        <f t="shared" ca="1" si="59"/>
        <v>7881.5819817066449</v>
      </c>
      <c r="J92" s="320">
        <f t="shared" ca="1" si="59"/>
        <v>10172.75328669539</v>
      </c>
      <c r="K92" s="320">
        <f t="shared" ca="1" si="59"/>
        <v>3059.8799495443791</v>
      </c>
      <c r="L92" s="320">
        <f t="shared" ca="1" si="59"/>
        <v>5342.3532729422977</v>
      </c>
      <c r="M92" s="320">
        <f t="shared" ca="1" si="59"/>
        <v>340.59488346138647</v>
      </c>
      <c r="N92" s="320">
        <f t="shared" ca="1" si="59"/>
        <v>17.306801657556534</v>
      </c>
      <c r="O92" s="320">
        <f t="shared" ca="1" si="59"/>
        <v>8624.9153812065688</v>
      </c>
      <c r="P92" s="320">
        <f t="shared" ca="1" si="59"/>
        <v>17048.491272117441</v>
      </c>
      <c r="Q92" s="320">
        <f t="shared" ca="1" si="59"/>
        <v>644.13831907536621</v>
      </c>
      <c r="R92" s="320">
        <f t="shared" ca="1" si="59"/>
        <v>422.14172682634745</v>
      </c>
      <c r="S92" s="320">
        <f t="shared" ca="1" si="59"/>
        <v>2.2836059683993343E-2</v>
      </c>
      <c r="T92" s="320">
        <f t="shared" ca="1" si="59"/>
        <v>261.8196049768103</v>
      </c>
      <c r="U92" s="320">
        <f t="shared" ca="1" si="59"/>
        <v>8.9176960979084119E-2</v>
      </c>
      <c r="V92" s="320">
        <f t="shared" ca="1" si="59"/>
        <v>34.694696155766145</v>
      </c>
      <c r="W92" s="320">
        <f t="shared" ca="1" si="59"/>
        <v>191.96175914636879</v>
      </c>
      <c r="X92" s="320">
        <f t="shared" ca="1" si="59"/>
        <v>1383.4933551886857</v>
      </c>
      <c r="Y92" s="320">
        <f t="shared" ca="1" si="59"/>
        <v>138.58007882265215</v>
      </c>
      <c r="Z92" s="320">
        <f t="shared" ca="1" si="59"/>
        <v>7088.0978596273335</v>
      </c>
      <c r="AA92" s="320">
        <f t="shared" ca="1" si="59"/>
        <v>23798.269391977708</v>
      </c>
      <c r="AB92" s="320">
        <f t="shared" ca="1" si="59"/>
        <v>4071.3785363149191</v>
      </c>
      <c r="AC92" s="320">
        <f t="shared" ca="1" si="59"/>
        <v>43839.092789491842</v>
      </c>
      <c r="AD92" s="320">
        <f t="shared" ca="1" si="59"/>
        <v>3.4463559620732083</v>
      </c>
      <c r="AE92" s="320">
        <f t="shared" ca="1" si="59"/>
        <v>2228.046569183774</v>
      </c>
      <c r="AF92" s="320">
        <f t="shared" ca="1" si="59"/>
        <v>2210.3370910073318</v>
      </c>
      <c r="AG92" s="320">
        <f t="shared" ca="1" si="59"/>
        <v>4341.6735329125422</v>
      </c>
      <c r="AH92" s="320">
        <f t="shared" ca="1" si="59"/>
        <v>450.99940971479185</v>
      </c>
      <c r="AI92" s="320">
        <f t="shared" ca="1" si="59"/>
        <v>5122.2345357011791</v>
      </c>
      <c r="AJ92" s="320">
        <f t="shared" ca="1" si="59"/>
        <v>4038.9933554479858</v>
      </c>
      <c r="AK92" s="320">
        <f t="shared" ca="1" si="59"/>
        <v>115.11162520789742</v>
      </c>
      <c r="AL92" s="320">
        <f t="shared" ca="1" si="59"/>
        <v>4806.918747728706</v>
      </c>
      <c r="AM92" s="320">
        <f t="shared" ca="1" si="59"/>
        <v>3769.876644163277</v>
      </c>
      <c r="AN92" s="320">
        <f t="shared" ca="1" si="59"/>
        <v>3745.6821085027586</v>
      </c>
      <c r="AO92" s="320">
        <f t="shared" ca="1" si="59"/>
        <v>1505.4576413746684</v>
      </c>
    </row>
    <row r="93" spans="1:41" x14ac:dyDescent="0.25">
      <c r="A93" s="121" t="s">
        <v>870</v>
      </c>
      <c r="C93" s="507">
        <f t="shared" ref="C93:AO93" ca="1" si="60">C86*C22</f>
        <v>50016.121547003553</v>
      </c>
      <c r="D93" s="507">
        <f t="shared" ca="1" si="60"/>
        <v>7837.9993608123277</v>
      </c>
      <c r="E93" s="507">
        <f t="shared" ca="1" si="60"/>
        <v>2786.1237056627619</v>
      </c>
      <c r="F93" s="507">
        <f t="shared" ca="1" si="60"/>
        <v>5379.0582244519546</v>
      </c>
      <c r="G93" s="507">
        <f t="shared" ca="1" si="60"/>
        <v>4376.7704904802122</v>
      </c>
      <c r="H93" s="507">
        <f t="shared" ca="1" si="60"/>
        <v>9.3010585064327981E-6</v>
      </c>
      <c r="I93" s="507">
        <f t="shared" ca="1" si="60"/>
        <v>6117.0421714495906</v>
      </c>
      <c r="J93" s="507">
        <f t="shared" ca="1" si="60"/>
        <v>5456.3300515009878</v>
      </c>
      <c r="K93" s="507">
        <f t="shared" ca="1" si="60"/>
        <v>1683.360379474218</v>
      </c>
      <c r="L93" s="507">
        <f t="shared" ca="1" si="60"/>
        <v>1974.4939861635719</v>
      </c>
      <c r="M93" s="507">
        <f t="shared" ca="1" si="60"/>
        <v>7.9052021571866895</v>
      </c>
      <c r="N93" s="507">
        <f t="shared" ca="1" si="60"/>
        <v>10.28802011774683</v>
      </c>
      <c r="O93" s="507">
        <f t="shared" ca="1" si="60"/>
        <v>4875.4468216608257</v>
      </c>
      <c r="P93" s="507">
        <f t="shared" ca="1" si="60"/>
        <v>3505.8016764755821</v>
      </c>
      <c r="Q93" s="507">
        <f t="shared" ca="1" si="60"/>
        <v>355.99420756671316</v>
      </c>
      <c r="R93" s="507">
        <f t="shared" ca="1" si="60"/>
        <v>102.67030853648599</v>
      </c>
      <c r="S93" s="507">
        <f t="shared" ca="1" si="60"/>
        <v>7.6120198946644478E-3</v>
      </c>
      <c r="T93" s="507">
        <f t="shared" ca="1" si="60"/>
        <v>165.26458041576257</v>
      </c>
      <c r="U93" s="507">
        <f t="shared" ca="1" si="60"/>
        <v>5.8726290593011661E-2</v>
      </c>
      <c r="V93" s="507">
        <f t="shared" ca="1" si="60"/>
        <v>1.4057994483096192</v>
      </c>
      <c r="W93" s="507">
        <f t="shared" ca="1" si="60"/>
        <v>100.26930122900679</v>
      </c>
      <c r="X93" s="507">
        <f t="shared" ca="1" si="60"/>
        <v>523.78664929437571</v>
      </c>
      <c r="Y93" s="507">
        <f t="shared" ca="1" si="60"/>
        <v>9.0133048124707944</v>
      </c>
      <c r="Z93" s="507">
        <f t="shared" ca="1" si="60"/>
        <v>4905.5486352311582</v>
      </c>
      <c r="AA93" s="507">
        <f t="shared" ca="1" si="60"/>
        <v>13492.09754253834</v>
      </c>
      <c r="AB93" s="507">
        <f t="shared" ca="1" si="60"/>
        <v>244.14019631046696</v>
      </c>
      <c r="AC93" s="507">
        <f t="shared" ca="1" si="60"/>
        <v>23935.203521772939</v>
      </c>
      <c r="AD93" s="507">
        <f t="shared" ca="1" si="60"/>
        <v>2.8236586005121227</v>
      </c>
      <c r="AE93" s="507">
        <f t="shared" ca="1" si="60"/>
        <v>1177.0807145658405</v>
      </c>
      <c r="AF93" s="507">
        <f t="shared" ca="1" si="60"/>
        <v>1201.8319297171161</v>
      </c>
      <c r="AG93" s="507">
        <f t="shared" ca="1" si="60"/>
        <v>2705.8440992631954</v>
      </c>
      <c r="AH93" s="507">
        <f t="shared" ca="1" si="60"/>
        <v>329.24271432160231</v>
      </c>
      <c r="AI93" s="507">
        <f t="shared" ca="1" si="60"/>
        <v>2929.3968490795287</v>
      </c>
      <c r="AJ93" s="507">
        <f t="shared" ca="1" si="60"/>
        <v>2200.8678918253668</v>
      </c>
      <c r="AK93" s="507">
        <f t="shared" ca="1" si="60"/>
        <v>14.375028794894529</v>
      </c>
      <c r="AL93" s="507">
        <f t="shared" ca="1" si="60"/>
        <v>2672.8070121891164</v>
      </c>
      <c r="AM93" s="507">
        <f t="shared" ca="1" si="60"/>
        <v>688.64259930208016</v>
      </c>
      <c r="AN93" s="507">
        <f t="shared" ca="1" si="60"/>
        <v>2083.1572597240529</v>
      </c>
      <c r="AO93" s="507">
        <f t="shared" ca="1" si="60"/>
        <v>843.89745839068485</v>
      </c>
    </row>
    <row r="94" spans="1:41" x14ac:dyDescent="0.25">
      <c r="A94" s="121" t="s">
        <v>871</v>
      </c>
      <c r="C94" s="342">
        <f t="shared" ref="C94:AO94" ca="1" si="61">C86*(1-C22)</f>
        <v>32438.447171868534</v>
      </c>
      <c r="D94" s="342">
        <f t="shared" ca="1" si="61"/>
        <v>6420.0025028404998</v>
      </c>
      <c r="E94" s="342">
        <f t="shared" ca="1" si="61"/>
        <v>1133.3080253431963</v>
      </c>
      <c r="F94" s="342">
        <f t="shared" ca="1" si="61"/>
        <v>3271.3649790416212</v>
      </c>
      <c r="G94" s="342">
        <f t="shared" ca="1" si="61"/>
        <v>3799.7554904608819</v>
      </c>
      <c r="H94" s="342">
        <f t="shared" ca="1" si="61"/>
        <v>0</v>
      </c>
      <c r="I94" s="342">
        <f t="shared" ca="1" si="61"/>
        <v>1764.5398102570539</v>
      </c>
      <c r="J94" s="342">
        <f t="shared" ca="1" si="61"/>
        <v>4716.423235194402</v>
      </c>
      <c r="K94" s="342">
        <f t="shared" ca="1" si="61"/>
        <v>1376.5195700701611</v>
      </c>
      <c r="L94" s="342">
        <f t="shared" ca="1" si="61"/>
        <v>3367.8592867787256</v>
      </c>
      <c r="M94" s="342">
        <f t="shared" ca="1" si="61"/>
        <v>332.68968130419978</v>
      </c>
      <c r="N94" s="342">
        <f t="shared" ca="1" si="61"/>
        <v>7.0187815398097024</v>
      </c>
      <c r="O94" s="342">
        <f t="shared" ca="1" si="61"/>
        <v>3749.4685595457436</v>
      </c>
      <c r="P94" s="342">
        <f t="shared" ca="1" si="61"/>
        <v>13542.689595641859</v>
      </c>
      <c r="Q94" s="342">
        <f t="shared" ca="1" si="61"/>
        <v>288.14411150865305</v>
      </c>
      <c r="R94" s="342">
        <f t="shared" ca="1" si="61"/>
        <v>319.47141828986145</v>
      </c>
      <c r="S94" s="342">
        <f t="shared" ca="1" si="61"/>
        <v>1.5224039789328897E-2</v>
      </c>
      <c r="T94" s="342">
        <f t="shared" ca="1" si="61"/>
        <v>96.555024561047716</v>
      </c>
      <c r="U94" s="342">
        <f t="shared" ca="1" si="61"/>
        <v>3.0450670386072454E-2</v>
      </c>
      <c r="V94" s="342">
        <f t="shared" ca="1" si="61"/>
        <v>33.288896707456523</v>
      </c>
      <c r="W94" s="342">
        <f t="shared" ca="1" si="61"/>
        <v>91.692457917362006</v>
      </c>
      <c r="X94" s="342">
        <f t="shared" ca="1" si="61"/>
        <v>859.70670589431006</v>
      </c>
      <c r="Y94" s="342">
        <f t="shared" ca="1" si="61"/>
        <v>129.56677401018138</v>
      </c>
      <c r="Z94" s="342">
        <f t="shared" ca="1" si="61"/>
        <v>2182.5492243961753</v>
      </c>
      <c r="AA94" s="342">
        <f t="shared" ca="1" si="61"/>
        <v>10306.171849439368</v>
      </c>
      <c r="AB94" s="342">
        <f t="shared" ca="1" si="61"/>
        <v>3827.2383400044523</v>
      </c>
      <c r="AC94" s="342">
        <f t="shared" ca="1" si="61"/>
        <v>19903.889267718903</v>
      </c>
      <c r="AD94" s="342">
        <f t="shared" ca="1" si="61"/>
        <v>0.62269736156108568</v>
      </c>
      <c r="AE94" s="342">
        <f t="shared" ca="1" si="61"/>
        <v>1050.9658546179335</v>
      </c>
      <c r="AF94" s="342">
        <f t="shared" ca="1" si="61"/>
        <v>1008.5051612902156</v>
      </c>
      <c r="AG94" s="342">
        <f t="shared" ca="1" si="61"/>
        <v>1635.829433649347</v>
      </c>
      <c r="AH94" s="342">
        <f t="shared" ca="1" si="61"/>
        <v>121.75669539318953</v>
      </c>
      <c r="AI94" s="342">
        <f t="shared" ca="1" si="61"/>
        <v>2192.8376866216504</v>
      </c>
      <c r="AJ94" s="342">
        <f t="shared" ca="1" si="61"/>
        <v>1838.125463622619</v>
      </c>
      <c r="AK94" s="342">
        <f t="shared" ca="1" si="61"/>
        <v>100.73659641300289</v>
      </c>
      <c r="AL94" s="342">
        <f t="shared" ca="1" si="61"/>
        <v>2134.1117355395895</v>
      </c>
      <c r="AM94" s="342">
        <f t="shared" ca="1" si="61"/>
        <v>3081.2340448611967</v>
      </c>
      <c r="AN94" s="342">
        <f t="shared" ca="1" si="61"/>
        <v>1662.5248487787055</v>
      </c>
      <c r="AO94" s="342">
        <f t="shared" ca="1" si="61"/>
        <v>661.56018298398351</v>
      </c>
    </row>
    <row r="96" spans="1:41" ht="30" x14ac:dyDescent="0.25">
      <c r="A96" s="492" t="s">
        <v>964</v>
      </c>
      <c r="B96" s="492"/>
      <c r="C96" s="342">
        <f ca="1">IF(Main!$B$268=1,0,Watersheds!B8)*(C27+C28)*Main!$C$180</f>
        <v>0</v>
      </c>
      <c r="D96" s="342">
        <f ca="1">IF(Main!$B$268=1,0,Watersheds!C8)*(D27+D28)*Main!$C$180</f>
        <v>0</v>
      </c>
      <c r="E96" s="342">
        <f ca="1">IF(Main!$B$268=1,0,Watersheds!D8)*(E27+E28)*Main!$C$180</f>
        <v>0</v>
      </c>
      <c r="F96" s="342">
        <f ca="1">IF(Main!$B$268=1,0,Watersheds!E8)*(F27+F28)*Main!$C$180</f>
        <v>0</v>
      </c>
      <c r="G96" s="342">
        <f ca="1">IF(Main!$B$268=1,0,Watersheds!F8)*(G27+G28)*Main!$C$180</f>
        <v>0</v>
      </c>
      <c r="H96" s="342">
        <f ca="1">IF(Main!$B$268=1,0,Watersheds!G8)*(H27+H28)*Main!$C$180</f>
        <v>0</v>
      </c>
      <c r="I96" s="342">
        <f ca="1">IF(Main!$B$268=1,0,Watersheds!H8)*(I27+I28)*Main!$C$180</f>
        <v>0</v>
      </c>
      <c r="J96" s="342">
        <f ca="1">IF(Main!$B$268=1,0,Watersheds!I8)*(J27+J28)*Main!$C$180</f>
        <v>0</v>
      </c>
      <c r="K96" s="342">
        <f ca="1">IF(Main!$B$268=1,0,Watersheds!J8)*(K27+K28)*Main!$C$180</f>
        <v>0</v>
      </c>
      <c r="L96" s="342">
        <f ca="1">IF(Main!$B$268=1,0,Watersheds!K8)*(L27+L28)*Main!$C$180</f>
        <v>0</v>
      </c>
      <c r="M96" s="342">
        <f ca="1">IF(Main!$B$268=1,0,Watersheds!L8)*(M27+M28)*Main!$C$180</f>
        <v>0</v>
      </c>
      <c r="N96" s="342">
        <f ca="1">IF(Main!$B$268=1,0,Watersheds!M8)*(N27+N28)*Main!$C$180</f>
        <v>0</v>
      </c>
      <c r="O96" s="342">
        <f ca="1">IF(Main!$B$268=1,0,Watersheds!N8)*(O27+O28)*Main!$C$180</f>
        <v>0</v>
      </c>
      <c r="P96" s="342">
        <f ca="1">IF(Main!$B$268=1,0,Watersheds!O8)*(P27+P28)*Main!$C$180</f>
        <v>0</v>
      </c>
      <c r="Q96" s="342">
        <f ca="1">IF(Main!$B$268=1,0,Watersheds!P8)*(Q27+Q28)*Main!$C$180</f>
        <v>0</v>
      </c>
      <c r="R96" s="342">
        <f ca="1">IF(Main!$B$268=1,0,Watersheds!Q8)*(R27+R28)*Main!$C$180</f>
        <v>0</v>
      </c>
      <c r="S96" s="342">
        <f ca="1">IF(Main!$B$268=1,0,Watersheds!R8)*(S27+S28)*Main!$C$180</f>
        <v>0</v>
      </c>
      <c r="T96" s="342">
        <f ca="1">IF(Main!$B$268=1,0,Watersheds!S8)*(T27+T28)*Main!$C$180</f>
        <v>0</v>
      </c>
      <c r="U96" s="342">
        <f ca="1">IF(Main!$B$268=1,0,Watersheds!T8)*(U27+U28)*Main!$C$180</f>
        <v>0</v>
      </c>
      <c r="V96" s="342">
        <f ca="1">IF(Main!$B$268=1,0,Watersheds!U8)*(V27+V28)*Main!$C$180</f>
        <v>0</v>
      </c>
      <c r="W96" s="342">
        <f ca="1">IF(Main!$B$268=1,0,Watersheds!V8)*(W27+W28)*Main!$C$180</f>
        <v>0</v>
      </c>
      <c r="X96" s="342">
        <f ca="1">IF(Main!$B$268=1,0,Watersheds!W8)*(X27+X28)*Main!$C$180</f>
        <v>0</v>
      </c>
      <c r="Y96" s="342">
        <f ca="1">IF(Main!$B$268=1,0,Watersheds!X8)*(Y27+Y28)*Main!$C$180</f>
        <v>0</v>
      </c>
      <c r="Z96" s="342">
        <f ca="1">IF(Main!$B$268=1,0,Watersheds!Y8)*(Z27+Z28)*Main!$C$180</f>
        <v>0</v>
      </c>
      <c r="AA96" s="342">
        <f ca="1">IF(Main!$B$268=1,0,Watersheds!Z8)*(AA27+AA28)*Main!$C$180</f>
        <v>0</v>
      </c>
      <c r="AB96" s="342">
        <f ca="1">IF(Main!$B$268=1,0,Watersheds!AA8)*(AB27+AB28)*Main!$C$180</f>
        <v>0</v>
      </c>
      <c r="AC96" s="342">
        <f ca="1">IF(Main!$B$268=1,0,Watersheds!AB8)*(AC27+AC28)*Main!$C$180</f>
        <v>0</v>
      </c>
      <c r="AD96" s="342">
        <f ca="1">IF(Main!$B$268=1,0,Watersheds!AC8)*(AD27+AD28)*Main!$C$180</f>
        <v>0</v>
      </c>
      <c r="AE96" s="342">
        <f ca="1">IF(Main!$B$268=1,0,Watersheds!AD8)*(AE27+AE28)*Main!$C$180</f>
        <v>0</v>
      </c>
      <c r="AF96" s="342">
        <f ca="1">IF(Main!$B$268=1,0,Watersheds!AE8)*(AF27+AF28)*Main!$C$180</f>
        <v>0</v>
      </c>
      <c r="AG96" s="342">
        <f ca="1">IF(Main!$B$268=1,0,Watersheds!AF8)*(AG27+AG28)*Main!$C$180</f>
        <v>0</v>
      </c>
      <c r="AH96" s="342">
        <f ca="1">IF(Main!$B$268=1,0,Watersheds!AG8)*(AH27+AH28)*Main!$C$180</f>
        <v>0</v>
      </c>
      <c r="AI96" s="342">
        <f ca="1">IF(Main!$B$268=1,0,Watersheds!AH8)*(AI27+AI28)*Main!$C$180</f>
        <v>0</v>
      </c>
      <c r="AJ96" s="342">
        <f ca="1">IF(Main!$B$268=1,0,Watersheds!AI8)*(AJ27+AJ28)*Main!$C$180</f>
        <v>0</v>
      </c>
      <c r="AK96" s="342">
        <f ca="1">IF(Main!$B$268=1,0,Watersheds!AJ8)*(AK27+AK28)*Main!$C$180</f>
        <v>0</v>
      </c>
      <c r="AL96" s="342">
        <f ca="1">IF(Main!$B$268=1,0,Watersheds!AK8)*(AL27+AL28)*Main!$C$180</f>
        <v>0</v>
      </c>
      <c r="AM96" s="342">
        <f ca="1">IF(Main!$B$268=1,0,Watersheds!AL8)*(AM27+AM28)*Main!$C$180</f>
        <v>0</v>
      </c>
      <c r="AN96" s="342">
        <f ca="1">IF(Main!$B$268=1,0,Watersheds!AM8)*(AN27+AN28)*Main!$C$180</f>
        <v>0</v>
      </c>
      <c r="AO96" s="342">
        <f ca="1">IF(Main!$B$268=1,0,Watersheds!AN8)*(AO27+AO28)*Main!$C$180</f>
        <v>0</v>
      </c>
    </row>
    <row r="97" spans="1:42" x14ac:dyDescent="0.25">
      <c r="A97" s="121" t="s">
        <v>999</v>
      </c>
      <c r="C97" s="342">
        <f t="shared" ref="C97:AO97" si="62">C91*C22</f>
        <v>0</v>
      </c>
      <c r="D97" s="342">
        <f t="shared" si="62"/>
        <v>0</v>
      </c>
      <c r="E97" s="342">
        <f t="shared" si="62"/>
        <v>0</v>
      </c>
      <c r="F97" s="342">
        <f t="shared" si="62"/>
        <v>0</v>
      </c>
      <c r="G97" s="342">
        <f t="shared" si="62"/>
        <v>0</v>
      </c>
      <c r="H97" s="342">
        <f t="shared" si="62"/>
        <v>0</v>
      </c>
      <c r="I97" s="342">
        <f t="shared" si="62"/>
        <v>0</v>
      </c>
      <c r="J97" s="342">
        <f t="shared" si="62"/>
        <v>0</v>
      </c>
      <c r="K97" s="342">
        <f t="shared" si="62"/>
        <v>0</v>
      </c>
      <c r="L97" s="342">
        <f t="shared" si="62"/>
        <v>0</v>
      </c>
      <c r="M97" s="342">
        <f t="shared" si="62"/>
        <v>0</v>
      </c>
      <c r="N97" s="342">
        <f t="shared" si="62"/>
        <v>0</v>
      </c>
      <c r="O97" s="342">
        <f t="shared" si="62"/>
        <v>0</v>
      </c>
      <c r="P97" s="342">
        <f t="shared" si="62"/>
        <v>0</v>
      </c>
      <c r="Q97" s="342">
        <f t="shared" si="62"/>
        <v>0</v>
      </c>
      <c r="R97" s="342">
        <f t="shared" si="62"/>
        <v>0</v>
      </c>
      <c r="S97" s="342">
        <f t="shared" si="62"/>
        <v>0</v>
      </c>
      <c r="T97" s="342">
        <f t="shared" si="62"/>
        <v>0</v>
      </c>
      <c r="U97" s="342">
        <f t="shared" si="62"/>
        <v>0</v>
      </c>
      <c r="V97" s="342">
        <f t="shared" si="62"/>
        <v>0</v>
      </c>
      <c r="W97" s="342">
        <f t="shared" si="62"/>
        <v>0</v>
      </c>
      <c r="X97" s="342">
        <f t="shared" si="62"/>
        <v>0</v>
      </c>
      <c r="Y97" s="342">
        <f t="shared" si="62"/>
        <v>0</v>
      </c>
      <c r="Z97" s="342">
        <f t="shared" si="62"/>
        <v>0</v>
      </c>
      <c r="AA97" s="342">
        <f t="shared" si="62"/>
        <v>0</v>
      </c>
      <c r="AB97" s="342">
        <f t="shared" si="62"/>
        <v>0</v>
      </c>
      <c r="AC97" s="342">
        <f t="shared" si="62"/>
        <v>0</v>
      </c>
      <c r="AD97" s="342">
        <f t="shared" si="62"/>
        <v>0</v>
      </c>
      <c r="AE97" s="342">
        <f t="shared" si="62"/>
        <v>0</v>
      </c>
      <c r="AF97" s="342">
        <f t="shared" si="62"/>
        <v>0</v>
      </c>
      <c r="AG97" s="342">
        <f t="shared" si="62"/>
        <v>0</v>
      </c>
      <c r="AH97" s="342">
        <f t="shared" si="62"/>
        <v>0</v>
      </c>
      <c r="AI97" s="342">
        <f t="shared" si="62"/>
        <v>0</v>
      </c>
      <c r="AJ97" s="342">
        <f t="shared" si="62"/>
        <v>0</v>
      </c>
      <c r="AK97" s="342">
        <f t="shared" si="62"/>
        <v>0</v>
      </c>
      <c r="AL97" s="342">
        <f t="shared" si="62"/>
        <v>0</v>
      </c>
      <c r="AM97" s="342">
        <f t="shared" si="62"/>
        <v>0</v>
      </c>
      <c r="AN97" s="342">
        <f t="shared" si="62"/>
        <v>0</v>
      </c>
      <c r="AO97" s="342">
        <f t="shared" si="62"/>
        <v>0</v>
      </c>
    </row>
    <row r="98" spans="1:42" x14ac:dyDescent="0.25">
      <c r="A98" s="121" t="s">
        <v>1000</v>
      </c>
      <c r="C98" s="342">
        <f t="shared" ref="C98:AO98" si="63">C91*(1-C22)</f>
        <v>0</v>
      </c>
      <c r="D98" s="342">
        <f t="shared" si="63"/>
        <v>0</v>
      </c>
      <c r="E98" s="342">
        <f t="shared" si="63"/>
        <v>0</v>
      </c>
      <c r="F98" s="342">
        <f t="shared" si="63"/>
        <v>0</v>
      </c>
      <c r="G98" s="342">
        <f t="shared" si="63"/>
        <v>0</v>
      </c>
      <c r="H98" s="342">
        <f t="shared" si="63"/>
        <v>0</v>
      </c>
      <c r="I98" s="342">
        <f t="shared" si="63"/>
        <v>0</v>
      </c>
      <c r="J98" s="342">
        <f t="shared" si="63"/>
        <v>0</v>
      </c>
      <c r="K98" s="342">
        <f t="shared" si="63"/>
        <v>0</v>
      </c>
      <c r="L98" s="342">
        <f t="shared" si="63"/>
        <v>0</v>
      </c>
      <c r="M98" s="342">
        <f t="shared" si="63"/>
        <v>0</v>
      </c>
      <c r="N98" s="342">
        <f t="shared" si="63"/>
        <v>0</v>
      </c>
      <c r="O98" s="342">
        <f t="shared" si="63"/>
        <v>0</v>
      </c>
      <c r="P98" s="342">
        <f t="shared" si="63"/>
        <v>0</v>
      </c>
      <c r="Q98" s="342">
        <f t="shared" si="63"/>
        <v>0</v>
      </c>
      <c r="R98" s="342">
        <f t="shared" si="63"/>
        <v>0</v>
      </c>
      <c r="S98" s="342">
        <f t="shared" si="63"/>
        <v>0</v>
      </c>
      <c r="T98" s="342">
        <f t="shared" si="63"/>
        <v>0</v>
      </c>
      <c r="U98" s="342">
        <f t="shared" si="63"/>
        <v>0</v>
      </c>
      <c r="V98" s="342">
        <f t="shared" si="63"/>
        <v>0</v>
      </c>
      <c r="W98" s="342">
        <f t="shared" si="63"/>
        <v>0</v>
      </c>
      <c r="X98" s="342">
        <f t="shared" si="63"/>
        <v>0</v>
      </c>
      <c r="Y98" s="342">
        <f t="shared" si="63"/>
        <v>0</v>
      </c>
      <c r="Z98" s="342">
        <f t="shared" si="63"/>
        <v>0</v>
      </c>
      <c r="AA98" s="342">
        <f t="shared" si="63"/>
        <v>0</v>
      </c>
      <c r="AB98" s="342">
        <f t="shared" si="63"/>
        <v>0</v>
      </c>
      <c r="AC98" s="342">
        <f t="shared" si="63"/>
        <v>0</v>
      </c>
      <c r="AD98" s="342">
        <f t="shared" si="63"/>
        <v>0</v>
      </c>
      <c r="AE98" s="342">
        <f t="shared" si="63"/>
        <v>0</v>
      </c>
      <c r="AF98" s="342">
        <f t="shared" si="63"/>
        <v>0</v>
      </c>
      <c r="AG98" s="342">
        <f t="shared" si="63"/>
        <v>0</v>
      </c>
      <c r="AH98" s="342">
        <f t="shared" si="63"/>
        <v>0</v>
      </c>
      <c r="AI98" s="342">
        <f t="shared" si="63"/>
        <v>0</v>
      </c>
      <c r="AJ98" s="342">
        <f t="shared" si="63"/>
        <v>0</v>
      </c>
      <c r="AK98" s="342">
        <f t="shared" si="63"/>
        <v>0</v>
      </c>
      <c r="AL98" s="342">
        <f t="shared" si="63"/>
        <v>0</v>
      </c>
      <c r="AM98" s="342">
        <f t="shared" si="63"/>
        <v>0</v>
      </c>
      <c r="AN98" s="342">
        <f t="shared" si="63"/>
        <v>0</v>
      </c>
      <c r="AO98" s="342">
        <f t="shared" si="63"/>
        <v>0</v>
      </c>
    </row>
    <row r="99" spans="1:42" x14ac:dyDescent="0.25">
      <c r="C99" s="342"/>
      <c r="D99" s="342"/>
      <c r="E99" s="342"/>
      <c r="F99" s="342"/>
      <c r="G99" s="342"/>
      <c r="H99" s="342"/>
      <c r="I99" s="342"/>
      <c r="J99" s="342"/>
      <c r="K99" s="342"/>
      <c r="L99" s="342"/>
      <c r="M99" s="342"/>
      <c r="N99" s="342"/>
      <c r="O99" s="342"/>
      <c r="P99" s="342"/>
      <c r="Q99" s="342"/>
      <c r="R99" s="342"/>
      <c r="S99" s="342"/>
      <c r="T99" s="342"/>
      <c r="U99" s="342"/>
      <c r="V99" s="342"/>
      <c r="W99" s="342"/>
      <c r="X99" s="342"/>
      <c r="Y99" s="342"/>
      <c r="Z99" s="342"/>
      <c r="AA99" s="342"/>
      <c r="AB99" s="342"/>
      <c r="AC99" s="342"/>
      <c r="AD99" s="342"/>
      <c r="AE99" s="342"/>
      <c r="AF99" s="342"/>
      <c r="AG99" s="342"/>
      <c r="AH99" s="342"/>
      <c r="AI99" s="342"/>
      <c r="AJ99" s="342"/>
      <c r="AK99" s="342"/>
      <c r="AL99" s="342"/>
      <c r="AM99" s="342"/>
      <c r="AN99" s="342"/>
      <c r="AO99" s="342"/>
    </row>
    <row r="100" spans="1:42" ht="15" customHeight="1" x14ac:dyDescent="0.25">
      <c r="A100" s="148" t="s">
        <v>379</v>
      </c>
      <c r="B100" s="148"/>
      <c r="C100" s="153">
        <f ca="1">C75*C84+C76*C87+C77*C85+C78*C88</f>
        <v>-338602.12683984195</v>
      </c>
      <c r="D100" s="153">
        <f t="shared" ref="D100:AO100" ca="1" si="64">D75*D84+D76*D87+D77*D85+D78*D88</f>
        <v>-321364.17503882974</v>
      </c>
      <c r="E100" s="153">
        <f t="shared" ca="1" si="64"/>
        <v>144815.95427317315</v>
      </c>
      <c r="F100" s="153">
        <f t="shared" ca="1" si="64"/>
        <v>-609177.28373379866</v>
      </c>
      <c r="G100" s="153">
        <f t="shared" ca="1" si="64"/>
        <v>131858.32144005355</v>
      </c>
      <c r="H100" s="153">
        <f t="shared" ca="1" si="64"/>
        <v>-1.8386376727541902E-3</v>
      </c>
      <c r="I100" s="153">
        <f t="shared" ca="1" si="64"/>
        <v>-764549.93830406514</v>
      </c>
      <c r="J100" s="153">
        <f t="shared" ca="1" si="64"/>
        <v>121868.85014297912</v>
      </c>
      <c r="K100" s="153">
        <f t="shared" ca="1" si="64"/>
        <v>-27294.697417677424</v>
      </c>
      <c r="L100" s="153">
        <f t="shared" ca="1" si="64"/>
        <v>-248800.6346489682</v>
      </c>
      <c r="M100" s="153">
        <f t="shared" ca="1" si="64"/>
        <v>-46544.903638048199</v>
      </c>
      <c r="N100" s="153">
        <f t="shared" ca="1" si="64"/>
        <v>-2258.7701689312667</v>
      </c>
      <c r="O100" s="153">
        <f t="shared" ca="1" si="64"/>
        <v>264057.71166627994</v>
      </c>
      <c r="P100" s="153">
        <f t="shared" ca="1" si="64"/>
        <v>73151.965918945891</v>
      </c>
      <c r="Q100" s="153">
        <f t="shared" ca="1" si="64"/>
        <v>20591.859373910647</v>
      </c>
      <c r="R100" s="153">
        <f t="shared" ca="1" si="64"/>
        <v>-26142.056630876217</v>
      </c>
      <c r="S100" s="153">
        <f t="shared" ca="1" si="64"/>
        <v>-1.0503952879511396</v>
      </c>
      <c r="T100" s="153">
        <f t="shared" ca="1" si="64"/>
        <v>-26867.978241361561</v>
      </c>
      <c r="U100" s="153">
        <f t="shared" ca="1" si="64"/>
        <v>-20.493699404541243</v>
      </c>
      <c r="V100" s="153">
        <f t="shared" ca="1" si="64"/>
        <v>-3782.5154566266287</v>
      </c>
      <c r="W100" s="153">
        <f t="shared" ca="1" si="64"/>
        <v>5101.7209301009498</v>
      </c>
      <c r="X100" s="153">
        <f t="shared" ca="1" si="64"/>
        <v>-56591.13345313492</v>
      </c>
      <c r="Y100" s="153">
        <f t="shared" ca="1" si="64"/>
        <v>-14455.247543986952</v>
      </c>
      <c r="Z100" s="153">
        <f t="shared" ca="1" si="64"/>
        <v>226627.61374241731</v>
      </c>
      <c r="AA100" s="153">
        <f t="shared" ca="1" si="64"/>
        <v>110669.40613051089</v>
      </c>
      <c r="AB100" s="153">
        <f t="shared" ca="1" si="64"/>
        <v>-56984.612595879487</v>
      </c>
      <c r="AC100" s="153">
        <f t="shared" ca="1" si="64"/>
        <v>-922901.06685808627</v>
      </c>
      <c r="AD100" s="153">
        <f t="shared" ca="1" si="64"/>
        <v>-451.55273437703335</v>
      </c>
      <c r="AE100" s="153">
        <f t="shared" ca="1" si="64"/>
        <v>117410.74504610615</v>
      </c>
      <c r="AF100" s="153">
        <f t="shared" ca="1" si="64"/>
        <v>-89.968090534915845</v>
      </c>
      <c r="AG100" s="153">
        <f t="shared" ca="1" si="64"/>
        <v>-183250.54132480753</v>
      </c>
      <c r="AH100" s="153">
        <f t="shared" ca="1" si="64"/>
        <v>17803.405420507243</v>
      </c>
      <c r="AI100" s="153">
        <f t="shared" ca="1" si="64"/>
        <v>-18969.629897356223</v>
      </c>
      <c r="AJ100" s="153">
        <f t="shared" ca="1" si="64"/>
        <v>62922.444100255649</v>
      </c>
      <c r="AK100" s="153">
        <f t="shared" ca="1" si="64"/>
        <v>-2586.4439412004058</v>
      </c>
      <c r="AL100" s="153">
        <f t="shared" ca="1" si="64"/>
        <v>149518.05549866892</v>
      </c>
      <c r="AM100" s="153">
        <f t="shared" ca="1" si="64"/>
        <v>-57030.347465914347</v>
      </c>
      <c r="AN100" s="153">
        <f t="shared" ca="1" si="64"/>
        <v>114039.83577232629</v>
      </c>
      <c r="AO100" s="153">
        <f t="shared" ca="1" si="64"/>
        <v>-87046.245331580838</v>
      </c>
      <c r="AP100" s="146"/>
    </row>
    <row r="101" spans="1:42" ht="29.25" customHeight="1" x14ac:dyDescent="0.25">
      <c r="A101" s="492" t="s">
        <v>843</v>
      </c>
      <c r="B101" s="492"/>
      <c r="C101" s="153">
        <f ca="1">-C92*Returns_Per_A!X229</f>
        <v>3536920.0579321319</v>
      </c>
      <c r="D101" s="153">
        <f ca="1">-D92*Returns_Per_A!Y229</f>
        <v>611602.40798209631</v>
      </c>
      <c r="E101" s="153">
        <f ca="1">-E92*Returns_Per_A!Z229</f>
        <v>168125.51348555836</v>
      </c>
      <c r="F101" s="153">
        <f ca="1">-F92*Returns_Per_A!AA229</f>
        <v>371063.19047467428</v>
      </c>
      <c r="G101" s="153">
        <f ca="1">-G92*Returns_Per_A!AB229</f>
        <v>350735.189032341</v>
      </c>
      <c r="H101" s="153">
        <f ca="1">-H92*Returns_Per_A!AC229</f>
        <v>3.9897243903566735E-4</v>
      </c>
      <c r="I101" s="153">
        <f ca="1">-I92*Returns_Per_A!AD229</f>
        <v>338083.45410645963</v>
      </c>
      <c r="J101" s="153">
        <f ca="1">-J92*Returns_Per_A!AE229</f>
        <v>436364.1178790477</v>
      </c>
      <c r="K101" s="153">
        <f ca="1">-K92*Returns_Per_A!AF229</f>
        <v>131254.71319008697</v>
      </c>
      <c r="L101" s="153">
        <f ca="1">-L92*Returns_Per_A!AG229</f>
        <v>229162.27373710359</v>
      </c>
      <c r="M101" s="153">
        <f ca="1">-M92*Returns_Per_A!AH229</f>
        <v>14609.94695213189</v>
      </c>
      <c r="N101" s="153">
        <f ca="1">-N92*Returns_Per_A!AI229</f>
        <v>742.38183368551745</v>
      </c>
      <c r="O101" s="153">
        <f ca="1">-O92*Returns_Per_A!AJ229</f>
        <v>369969.02274470066</v>
      </c>
      <c r="P101" s="153">
        <f ca="1">-P92*Returns_Per_A!AK229</f>
        <v>731301.51154416101</v>
      </c>
      <c r="Q101" s="153">
        <f ca="1">-Q92*Returns_Per_A!AL229</f>
        <v>27630.557969299083</v>
      </c>
      <c r="R101" s="153">
        <f ca="1">-R92*Returns_Per_A!AM229</f>
        <v>18107.929786072371</v>
      </c>
      <c r="S101" s="153">
        <f ca="1">-S92*Returns_Per_A!AN229</f>
        <v>0.97956145784757442</v>
      </c>
      <c r="T101" s="153">
        <f ca="1">-T92*Returns_Per_A!AO229</f>
        <v>11230.85144693017</v>
      </c>
      <c r="U101" s="153">
        <f ca="1">-U92*Returns_Per_A!AP229</f>
        <v>3.8252796284429857</v>
      </c>
      <c r="V101" s="153">
        <f ca="1">-V92*Returns_Per_A!AQ229</f>
        <v>1488.242175586128</v>
      </c>
      <c r="W101" s="153">
        <f ca="1">-W92*Returns_Per_A!AR229</f>
        <v>8234.2726040519647</v>
      </c>
      <c r="X101" s="153">
        <f ca="1">-X92*Returns_Per_A!AS229</f>
        <v>59345.47319829365</v>
      </c>
      <c r="Y101" s="153">
        <f ca="1">-Y92*Returns_Per_A!AT229</f>
        <v>5944.4451415276171</v>
      </c>
      <c r="Z101" s="153">
        <f ca="1">-Z92*Returns_Per_A!AU229</f>
        <v>304046.65116590116</v>
      </c>
      <c r="AA101" s="153">
        <f ca="1">-AA92*Returns_Per_A!AV229</f>
        <v>1020835.8089112529</v>
      </c>
      <c r="AB101" s="153">
        <f ca="1">-AB92*Returns_Per_A!AW229</f>
        <v>174643.32943907226</v>
      </c>
      <c r="AC101" s="153">
        <f ca="1">-AC92*Returns_Per_A!AX229</f>
        <v>1880494.5440605127</v>
      </c>
      <c r="AD101" s="153">
        <f ca="1">-AD92*Returns_Per_A!AY229</f>
        <v>147.83274860839586</v>
      </c>
      <c r="AE101" s="153">
        <f ca="1">-AE92*Returns_Per_A!AZ229</f>
        <v>95572.90424283428</v>
      </c>
      <c r="AF101" s="153">
        <f ca="1">-AF92*Returns_Per_A!BA229</f>
        <v>94813.249446854083</v>
      </c>
      <c r="AG101" s="153">
        <f ca="1">-AG92*Returns_Per_A!BB229</f>
        <v>186237.73603022602</v>
      </c>
      <c r="AH101" s="153">
        <f ca="1">-AH92*Returns_Per_A!BC229</f>
        <v>19345.79105949169</v>
      </c>
      <c r="AI101" s="153">
        <f ca="1">-AI92*Returns_Per_A!BD229</f>
        <v>219720.19685802565</v>
      </c>
      <c r="AJ101" s="153">
        <f ca="1">-AJ92*Returns_Per_A!BE229</f>
        <v>173254.15479941643</v>
      </c>
      <c r="AK101" s="153">
        <f ca="1">-AK92*Returns_Per_A!BF229</f>
        <v>4937.7569057103392</v>
      </c>
      <c r="AL101" s="153">
        <f ca="1">-AL92*Returns_Per_A!BG229</f>
        <v>206194.606312947</v>
      </c>
      <c r="AM101" s="153">
        <f ca="1">-AM92*Returns_Per_A!BH229</f>
        <v>161710.29120450857</v>
      </c>
      <c r="AN101" s="153">
        <f ca="1">-AN92*Returns_Per_A!BI229</f>
        <v>160672.45740342708</v>
      </c>
      <c r="AO101" s="153">
        <f ca="1">-AO92*Returns_Per_A!BJ229</f>
        <v>64577.177600670126</v>
      </c>
      <c r="AP101" s="146"/>
    </row>
    <row r="102" spans="1:42" ht="15" customHeight="1" x14ac:dyDescent="0.25">
      <c r="A102" s="148" t="s">
        <v>844</v>
      </c>
      <c r="B102" s="148"/>
      <c r="C102" s="147">
        <f t="shared" ref="C102:AO102" ca="1" si="65">C100+C101</f>
        <v>3198317.9310922902</v>
      </c>
      <c r="D102" s="147">
        <f t="shared" ca="1" si="65"/>
        <v>290238.23294326657</v>
      </c>
      <c r="E102" s="147">
        <f t="shared" ca="1" si="65"/>
        <v>312941.46775873151</v>
      </c>
      <c r="F102" s="147">
        <f t="shared" ca="1" si="65"/>
        <v>-238114.09325912438</v>
      </c>
      <c r="G102" s="147">
        <f t="shared" ca="1" si="65"/>
        <v>482593.51047239453</v>
      </c>
      <c r="H102" s="147">
        <f t="shared" ca="1" si="65"/>
        <v>-1.439665233718523E-3</v>
      </c>
      <c r="I102" s="147">
        <f t="shared" ca="1" si="65"/>
        <v>-426466.48419760552</v>
      </c>
      <c r="J102" s="147">
        <f t="shared" ca="1" si="65"/>
        <v>558232.96802202682</v>
      </c>
      <c r="K102" s="147">
        <f t="shared" ca="1" si="65"/>
        <v>103960.01577240955</v>
      </c>
      <c r="L102" s="147">
        <f t="shared" ca="1" si="65"/>
        <v>-19638.360911864613</v>
      </c>
      <c r="M102" s="147">
        <f t="shared" ca="1" si="65"/>
        <v>-31934.95668591631</v>
      </c>
      <c r="N102" s="147">
        <f t="shared" ca="1" si="65"/>
        <v>-1516.3883352457492</v>
      </c>
      <c r="O102" s="147">
        <f t="shared" ca="1" si="65"/>
        <v>634026.7344109806</v>
      </c>
      <c r="P102" s="147">
        <f t="shared" ca="1" si="65"/>
        <v>804453.47746310686</v>
      </c>
      <c r="Q102" s="147">
        <f t="shared" ca="1" si="65"/>
        <v>48222.41734320973</v>
      </c>
      <c r="R102" s="147">
        <f t="shared" ca="1" si="65"/>
        <v>-8034.1268448038463</v>
      </c>
      <c r="S102" s="147">
        <f t="shared" ca="1" si="65"/>
        <v>-7.0833830103565143E-2</v>
      </c>
      <c r="T102" s="147">
        <f t="shared" ca="1" si="65"/>
        <v>-15637.126794431391</v>
      </c>
      <c r="U102" s="147">
        <f t="shared" ca="1" si="65"/>
        <v>-16.668419776098258</v>
      </c>
      <c r="V102" s="147">
        <f t="shared" ca="1" si="65"/>
        <v>-2294.2732810405005</v>
      </c>
      <c r="W102" s="147">
        <f t="shared" ca="1" si="65"/>
        <v>13335.993534152914</v>
      </c>
      <c r="X102" s="147">
        <f t="shared" ca="1" si="65"/>
        <v>2754.3397451587298</v>
      </c>
      <c r="Y102" s="147">
        <f t="shared" ca="1" si="65"/>
        <v>-8510.802402459336</v>
      </c>
      <c r="Z102" s="147">
        <f t="shared" ca="1" si="65"/>
        <v>530674.26490831841</v>
      </c>
      <c r="AA102" s="147">
        <f t="shared" ca="1" si="65"/>
        <v>1131505.2150417638</v>
      </c>
      <c r="AB102" s="147">
        <f t="shared" ca="1" si="65"/>
        <v>117658.71684319277</v>
      </c>
      <c r="AC102" s="147">
        <f t="shared" ca="1" si="65"/>
        <v>957593.47720242641</v>
      </c>
      <c r="AD102" s="147">
        <f t="shared" ca="1" si="65"/>
        <v>-303.71998576863746</v>
      </c>
      <c r="AE102" s="147">
        <f t="shared" ca="1" si="65"/>
        <v>212983.64928894042</v>
      </c>
      <c r="AF102" s="147">
        <f t="shared" ca="1" si="65"/>
        <v>94723.281356319174</v>
      </c>
      <c r="AG102" s="147">
        <f t="shared" ca="1" si="65"/>
        <v>2987.1947054184857</v>
      </c>
      <c r="AH102" s="147">
        <f t="shared" ca="1" si="65"/>
        <v>37149.196479998936</v>
      </c>
      <c r="AI102" s="147">
        <f t="shared" ca="1" si="65"/>
        <v>200750.56696066941</v>
      </c>
      <c r="AJ102" s="147">
        <f t="shared" ca="1" si="65"/>
        <v>236176.59889967207</v>
      </c>
      <c r="AK102" s="147">
        <f t="shared" ca="1" si="65"/>
        <v>2351.3129645099334</v>
      </c>
      <c r="AL102" s="147">
        <f t="shared" ca="1" si="65"/>
        <v>355712.66181161592</v>
      </c>
      <c r="AM102" s="147">
        <f t="shared" ca="1" si="65"/>
        <v>104679.94373859421</v>
      </c>
      <c r="AN102" s="147">
        <f t="shared" ca="1" si="65"/>
        <v>274712.29317575338</v>
      </c>
      <c r="AO102" s="147">
        <f t="shared" ca="1" si="65"/>
        <v>-22469.067730910712</v>
      </c>
      <c r="AP102" s="147">
        <f ca="1">SUM(C102:AO102)</f>
        <v>9933799.3208124805</v>
      </c>
    </row>
    <row r="103" spans="1:42" x14ac:dyDescent="0.25">
      <c r="A103" s="41" t="s">
        <v>92</v>
      </c>
      <c r="B103" s="41"/>
      <c r="C103" s="21">
        <f>Parameters!$C$34</f>
        <v>5.0000000000000001E-3</v>
      </c>
      <c r="D103" s="21">
        <f>Parameters!$C$34</f>
        <v>5.0000000000000001E-3</v>
      </c>
      <c r="E103" s="21">
        <f>Parameters!$C$34</f>
        <v>5.0000000000000001E-3</v>
      </c>
      <c r="F103" s="21">
        <f>Parameters!$C$34</f>
        <v>5.0000000000000001E-3</v>
      </c>
      <c r="G103" s="21">
        <f>Parameters!$C$34</f>
        <v>5.0000000000000001E-3</v>
      </c>
      <c r="H103" s="21">
        <f>Parameters!$C$34</f>
        <v>5.0000000000000001E-3</v>
      </c>
      <c r="I103" s="21">
        <f>Parameters!$C$34</f>
        <v>5.0000000000000001E-3</v>
      </c>
      <c r="J103" s="21">
        <f>Parameters!$C$34</f>
        <v>5.0000000000000001E-3</v>
      </c>
      <c r="K103" s="21">
        <f>Parameters!$C$34</f>
        <v>5.0000000000000001E-3</v>
      </c>
      <c r="L103" s="21">
        <f>Parameters!$C$34</f>
        <v>5.0000000000000001E-3</v>
      </c>
      <c r="M103" s="21">
        <f>Parameters!$C$34</f>
        <v>5.0000000000000001E-3</v>
      </c>
      <c r="N103" s="21">
        <f>Parameters!$C$34</f>
        <v>5.0000000000000001E-3</v>
      </c>
      <c r="O103" s="21">
        <f>Parameters!$C$34</f>
        <v>5.0000000000000001E-3</v>
      </c>
      <c r="P103" s="21">
        <f>Parameters!$C$34</f>
        <v>5.0000000000000001E-3</v>
      </c>
      <c r="Q103" s="21">
        <f>Parameters!$C$34</f>
        <v>5.0000000000000001E-3</v>
      </c>
      <c r="R103" s="21">
        <f>Parameters!$C$34</f>
        <v>5.0000000000000001E-3</v>
      </c>
      <c r="S103" s="21">
        <f>Parameters!$C$34</f>
        <v>5.0000000000000001E-3</v>
      </c>
      <c r="T103" s="21">
        <f>Parameters!$C$34</f>
        <v>5.0000000000000001E-3</v>
      </c>
      <c r="U103" s="21">
        <f>Parameters!$C$34</f>
        <v>5.0000000000000001E-3</v>
      </c>
      <c r="V103" s="21">
        <f>Parameters!$C$34</f>
        <v>5.0000000000000001E-3</v>
      </c>
      <c r="W103" s="21">
        <f>Parameters!$C$34</f>
        <v>5.0000000000000001E-3</v>
      </c>
      <c r="X103" s="21">
        <f>Parameters!$C$34</f>
        <v>5.0000000000000001E-3</v>
      </c>
      <c r="Y103" s="21">
        <f>Parameters!$C$34</f>
        <v>5.0000000000000001E-3</v>
      </c>
      <c r="Z103" s="21">
        <f>Parameters!$C$34</f>
        <v>5.0000000000000001E-3</v>
      </c>
      <c r="AA103" s="21">
        <f>Parameters!$C$34</f>
        <v>5.0000000000000001E-3</v>
      </c>
      <c r="AB103" s="21">
        <f>Parameters!$C$34</f>
        <v>5.0000000000000001E-3</v>
      </c>
      <c r="AC103" s="21">
        <f>Parameters!$C$34</f>
        <v>5.0000000000000001E-3</v>
      </c>
      <c r="AD103" s="21">
        <f>Parameters!$C$34</f>
        <v>5.0000000000000001E-3</v>
      </c>
      <c r="AE103" s="21">
        <f>Parameters!$C$34</f>
        <v>5.0000000000000001E-3</v>
      </c>
      <c r="AF103" s="21">
        <f>Parameters!$C$34</f>
        <v>5.0000000000000001E-3</v>
      </c>
      <c r="AG103" s="21">
        <f>Parameters!$C$34</f>
        <v>5.0000000000000001E-3</v>
      </c>
      <c r="AH103" s="21">
        <f>Parameters!$C$34</f>
        <v>5.0000000000000001E-3</v>
      </c>
      <c r="AI103" s="21">
        <f>Parameters!$C$34</f>
        <v>5.0000000000000001E-3</v>
      </c>
      <c r="AJ103" s="21">
        <f>Parameters!$C$34</f>
        <v>5.0000000000000001E-3</v>
      </c>
      <c r="AK103" s="21">
        <f>Parameters!$C$34</f>
        <v>5.0000000000000001E-3</v>
      </c>
      <c r="AL103" s="21">
        <f>Parameters!$C$34</f>
        <v>5.0000000000000001E-3</v>
      </c>
      <c r="AM103" s="21">
        <f>Parameters!$C$34</f>
        <v>5.0000000000000001E-3</v>
      </c>
      <c r="AN103" s="21">
        <f>Parameters!$C$34</f>
        <v>5.0000000000000001E-3</v>
      </c>
      <c r="AO103" s="21">
        <f>Parameters!$C$34</f>
        <v>5.0000000000000001E-3</v>
      </c>
    </row>
    <row r="104" spans="1:42" x14ac:dyDescent="0.25">
      <c r="A104" s="21" t="s">
        <v>790</v>
      </c>
      <c r="C104" s="18">
        <v>0.98001063332330252</v>
      </c>
      <c r="D104" s="18">
        <v>0.92856564205069037</v>
      </c>
      <c r="E104" s="18">
        <v>0.99643677872383352</v>
      </c>
      <c r="F104" s="18">
        <v>0.98204749052948881</v>
      </c>
      <c r="G104" s="18">
        <v>0.99281382211110158</v>
      </c>
      <c r="H104" s="18">
        <v>1</v>
      </c>
      <c r="I104" s="18">
        <v>0.97439844490788952</v>
      </c>
      <c r="J104" s="18">
        <v>0.99646317714814925</v>
      </c>
      <c r="K104" s="18">
        <v>0.99623840282080911</v>
      </c>
      <c r="L104" s="18">
        <v>0.9606035579026645</v>
      </c>
      <c r="M104" s="18">
        <v>0.99000509943887183</v>
      </c>
      <c r="N104" s="18">
        <v>0.95662614635124821</v>
      </c>
      <c r="O104" s="18">
        <v>0.99112967389715023</v>
      </c>
      <c r="P104" s="18">
        <v>0.95759877625821344</v>
      </c>
      <c r="Q104" s="18">
        <v>0.99523481589833096</v>
      </c>
      <c r="R104" s="18">
        <v>0.96348874828595465</v>
      </c>
      <c r="S104" s="18">
        <v>0.98550836465071046</v>
      </c>
      <c r="T104" s="18">
        <v>0.97391887805231503</v>
      </c>
      <c r="U104" s="18">
        <v>0.99873439358047267</v>
      </c>
      <c r="V104" s="18">
        <v>0.99061429659137545</v>
      </c>
      <c r="W104" s="18">
        <v>0.98844448902656556</v>
      </c>
      <c r="X104" s="18">
        <v>0.9586252859334613</v>
      </c>
      <c r="Y104" s="18">
        <v>0.95520077283297711</v>
      </c>
      <c r="Z104" s="18">
        <v>0.99766264249743231</v>
      </c>
      <c r="AA104" s="18">
        <v>0.99354996454487554</v>
      </c>
      <c r="AB104" s="18">
        <v>0.97908112230239586</v>
      </c>
      <c r="AC104" s="18">
        <v>0.98208245077625245</v>
      </c>
      <c r="AD104" s="18">
        <v>0.97759174977732455</v>
      </c>
      <c r="AE104" s="18">
        <v>1</v>
      </c>
      <c r="AF104" s="18">
        <v>0.98747167569109828</v>
      </c>
      <c r="AG104" s="18">
        <v>0.96662519625785848</v>
      </c>
      <c r="AH104" s="18">
        <v>0.99750952439555285</v>
      </c>
      <c r="AI104" s="18">
        <v>0.98406434803352394</v>
      </c>
      <c r="AJ104" s="18">
        <v>0.99748308539684738</v>
      </c>
      <c r="AK104" s="18">
        <v>0.94694982795999427</v>
      </c>
      <c r="AL104" s="18">
        <v>0.99851271352489901</v>
      </c>
      <c r="AM104" s="18">
        <v>0.95357004428974546</v>
      </c>
      <c r="AN104" s="18">
        <v>0.99734838464307207</v>
      </c>
      <c r="AO104" s="18">
        <v>0.99567890186030594</v>
      </c>
    </row>
    <row r="105" spans="1:42" s="163" customFormat="1" x14ac:dyDescent="0.25">
      <c r="A105" s="787" t="s">
        <v>898</v>
      </c>
      <c r="B105" s="787"/>
      <c r="C105" s="787">
        <f t="shared" ref="C105:AO105" si="66">IF(fertlink=1,C4*C7*C8*C103*C104,IF(fertlink=3,C5*C7*C8*C103*C104,C6*C7*C8*C103*C104))</f>
        <v>0.57835794202822566</v>
      </c>
      <c r="D105" s="787">
        <f t="shared" si="66"/>
        <v>0.71435945959199798</v>
      </c>
      <c r="E105" s="787">
        <f t="shared" si="66"/>
        <v>11.151549525969116</v>
      </c>
      <c r="F105" s="787">
        <f t="shared" si="66"/>
        <v>0.68300144694800113</v>
      </c>
      <c r="G105" s="787">
        <f t="shared" si="66"/>
        <v>0.96129862235162378</v>
      </c>
      <c r="H105" s="787">
        <f t="shared" si="66"/>
        <v>1.3306637073363812</v>
      </c>
      <c r="I105" s="787">
        <f t="shared" si="66"/>
        <v>0.58385945582448529</v>
      </c>
      <c r="J105" s="787">
        <f t="shared" si="66"/>
        <v>0.54067426045278477</v>
      </c>
      <c r="K105" s="787">
        <f t="shared" si="66"/>
        <v>0.57829353122207527</v>
      </c>
      <c r="L105" s="787">
        <f t="shared" si="66"/>
        <v>0.62496903667511627</v>
      </c>
      <c r="M105" s="787">
        <f t="shared" si="66"/>
        <v>0.32578623406388785</v>
      </c>
      <c r="N105" s="787">
        <f t="shared" si="66"/>
        <v>0.74591117186159195</v>
      </c>
      <c r="O105" s="787">
        <f t="shared" si="66"/>
        <v>0.85968255949044803</v>
      </c>
      <c r="P105" s="787">
        <f t="shared" si="66"/>
        <v>0.20620611686267129</v>
      </c>
      <c r="Q105" s="787">
        <f t="shared" si="66"/>
        <v>0.65706423817789283</v>
      </c>
      <c r="R105" s="787">
        <f t="shared" si="66"/>
        <v>0.34271505633310961</v>
      </c>
      <c r="S105" s="787">
        <f t="shared" si="66"/>
        <v>2.8600201120985709</v>
      </c>
      <c r="T105" s="787">
        <f t="shared" si="66"/>
        <v>0.72779964232083649</v>
      </c>
      <c r="U105" s="787">
        <f t="shared" si="66"/>
        <v>0.53101679315467343</v>
      </c>
      <c r="V105" s="787">
        <f t="shared" si="66"/>
        <v>9.9292672117346617E-2</v>
      </c>
      <c r="W105" s="787">
        <f t="shared" si="66"/>
        <v>0.64301711785381954</v>
      </c>
      <c r="X105" s="787">
        <f t="shared" si="66"/>
        <v>0.35774072207361091</v>
      </c>
      <c r="Y105" s="787">
        <f t="shared" si="66"/>
        <v>0.1229698291827379</v>
      </c>
      <c r="Z105" s="787">
        <f t="shared" si="66"/>
        <v>2.1928820730637479</v>
      </c>
      <c r="AA105" s="787">
        <f t="shared" si="66"/>
        <v>1.962927304477492</v>
      </c>
      <c r="AB105" s="787">
        <f t="shared" si="66"/>
        <v>0.29243486148607223</v>
      </c>
      <c r="AC105" s="787">
        <f t="shared" si="66"/>
        <v>0.7472891676812321</v>
      </c>
      <c r="AD105" s="787">
        <f t="shared" si="66"/>
        <v>1.0992309414442247</v>
      </c>
      <c r="AE105" s="787">
        <f t="shared" si="66"/>
        <v>0.4750384083277927</v>
      </c>
      <c r="AF105" s="787">
        <f t="shared" si="66"/>
        <v>1.8468538494865971</v>
      </c>
      <c r="AG105" s="787">
        <f t="shared" si="66"/>
        <v>2.4713740023591586</v>
      </c>
      <c r="AH105" s="787">
        <f t="shared" si="66"/>
        <v>4.9387152221823625</v>
      </c>
      <c r="AI105" s="787">
        <f t="shared" si="66"/>
        <v>0.65383475758737108</v>
      </c>
      <c r="AJ105" s="787">
        <f t="shared" si="66"/>
        <v>0.4074080902751705</v>
      </c>
      <c r="AK105" s="787">
        <f t="shared" si="66"/>
        <v>0.21658866376845523</v>
      </c>
      <c r="AL105" s="787">
        <f t="shared" si="66"/>
        <v>0.8492828774383484</v>
      </c>
      <c r="AM105" s="787">
        <f t="shared" si="66"/>
        <v>0.19536022446662132</v>
      </c>
      <c r="AN105" s="787">
        <f t="shared" si="66"/>
        <v>0.74592173050301802</v>
      </c>
      <c r="AO105" s="787">
        <f t="shared" si="66"/>
        <v>0.52372833132610197</v>
      </c>
    </row>
    <row r="106" spans="1:42" s="163" customFormat="1" x14ac:dyDescent="0.25">
      <c r="A106" s="787" t="s">
        <v>1141</v>
      </c>
      <c r="B106" s="787"/>
      <c r="C106" s="447">
        <f t="shared" ref="C106:AO106" si="67">(C105-C59)/C59</f>
        <v>-0.94912718778708871</v>
      </c>
      <c r="D106" s="447">
        <f t="shared" si="67"/>
        <v>-0.95563425811197078</v>
      </c>
      <c r="E106" s="447">
        <f t="shared" si="67"/>
        <v>-0.95798364566890326</v>
      </c>
      <c r="F106" s="447">
        <f t="shared" si="67"/>
        <v>-0.9565097890701868</v>
      </c>
      <c r="G106" s="447">
        <f t="shared" si="67"/>
        <v>-0.96681044700412588</v>
      </c>
      <c r="H106" s="447">
        <f t="shared" si="67"/>
        <v>0.96215317867311934</v>
      </c>
      <c r="I106" s="447">
        <f t="shared" si="67"/>
        <v>-0.93840549897038927</v>
      </c>
      <c r="J106" s="447">
        <f t="shared" si="67"/>
        <v>-0.96887456559324514</v>
      </c>
      <c r="K106" s="447">
        <f t="shared" si="67"/>
        <v>-0.97226699936151295</v>
      </c>
      <c r="L106" s="447">
        <f t="shared" si="67"/>
        <v>-0.96531623623303042</v>
      </c>
      <c r="M106" s="447">
        <f t="shared" si="67"/>
        <v>-9.9667188157958123E-2</v>
      </c>
      <c r="N106" s="447">
        <f t="shared" si="67"/>
        <v>-0.87338087908858009</v>
      </c>
      <c r="O106" s="447">
        <f t="shared" si="67"/>
        <v>-0.96595167128081016</v>
      </c>
      <c r="P106" s="447">
        <f t="shared" si="67"/>
        <v>-0.9596413226576781</v>
      </c>
      <c r="Q106" s="447">
        <f t="shared" si="67"/>
        <v>-0.96908728609650419</v>
      </c>
      <c r="R106" s="447">
        <f t="shared" si="67"/>
        <v>-0.95963449673291379</v>
      </c>
      <c r="S106" s="447">
        <f t="shared" si="67"/>
        <v>0.70691613346278404</v>
      </c>
      <c r="T106" s="447">
        <f t="shared" si="67"/>
        <v>-0.83251457051251121</v>
      </c>
      <c r="U106" s="447">
        <f t="shared" si="67"/>
        <v>0.98815490228293412</v>
      </c>
      <c r="V106" s="447">
        <f t="shared" si="67"/>
        <v>-0.74531307577161765</v>
      </c>
      <c r="W106" s="447">
        <f t="shared" si="67"/>
        <v>-0.96902740794798015</v>
      </c>
      <c r="X106" s="447">
        <f t="shared" si="67"/>
        <v>-0.97024191423069828</v>
      </c>
      <c r="Y106" s="447">
        <f t="shared" si="67"/>
        <v>-0.77280727913679381</v>
      </c>
      <c r="Z106" s="447">
        <f t="shared" si="67"/>
        <v>-0.96086654783300074</v>
      </c>
      <c r="AA106" s="447">
        <f t="shared" si="67"/>
        <v>-0.96972133638387081</v>
      </c>
      <c r="AB106" s="447">
        <f t="shared" si="67"/>
        <v>-0.75321774012894793</v>
      </c>
      <c r="AC106" s="447">
        <f t="shared" si="67"/>
        <v>-0.96675419515957017</v>
      </c>
      <c r="AD106" s="447">
        <f t="shared" si="67"/>
        <v>-0.90219407811310681</v>
      </c>
      <c r="AE106" s="447">
        <f t="shared" si="67"/>
        <v>-0.97211074059353708</v>
      </c>
      <c r="AF106" s="447">
        <f t="shared" si="67"/>
        <v>-0.97023758385171799</v>
      </c>
      <c r="AG106" s="447">
        <f t="shared" si="67"/>
        <v>-0.95765787394698354</v>
      </c>
      <c r="AH106" s="447">
        <f t="shared" si="67"/>
        <v>-0.95922509755086527</v>
      </c>
      <c r="AI106" s="447">
        <f t="shared" si="67"/>
        <v>-0.9718600890135346</v>
      </c>
      <c r="AJ106" s="447">
        <f t="shared" si="67"/>
        <v>-0.96928272244567282</v>
      </c>
      <c r="AK106" s="447">
        <f t="shared" si="67"/>
        <v>-0.96174495120571035</v>
      </c>
      <c r="AL106" s="447">
        <f t="shared" si="67"/>
        <v>-0.96731769857837624</v>
      </c>
      <c r="AM106" s="447">
        <f t="shared" si="67"/>
        <v>-0.96023719614304459</v>
      </c>
      <c r="AN106" s="447">
        <f t="shared" si="67"/>
        <v>-0.9715524692182218</v>
      </c>
      <c r="AO106" s="447">
        <f t="shared" si="67"/>
        <v>-0.97190384839163257</v>
      </c>
    </row>
    <row r="107" spans="1:42" x14ac:dyDescent="0.25">
      <c r="A107" s="27" t="s">
        <v>82</v>
      </c>
      <c r="B107" s="27"/>
      <c r="C107" s="3">
        <f t="shared" ref="C107:AO107" si="68">C66*(1+C106)</f>
        <v>0.32617884625723786</v>
      </c>
      <c r="D107" s="3">
        <f t="shared" si="68"/>
        <v>0.30737622887291671</v>
      </c>
      <c r="E107" s="3">
        <f t="shared" si="68"/>
        <v>0.46719162185476437</v>
      </c>
      <c r="F107" s="3">
        <f t="shared" si="68"/>
        <v>0.29969677855593391</v>
      </c>
      <c r="G107" s="3">
        <f t="shared" si="68"/>
        <v>0.25897940681456039</v>
      </c>
      <c r="H107" s="3">
        <f t="shared" si="68"/>
        <v>4.8106109911091659</v>
      </c>
      <c r="I107" s="3">
        <f t="shared" si="68"/>
        <v>0.37835704227501959</v>
      </c>
      <c r="J107" s="3">
        <f t="shared" si="68"/>
        <v>0.21915653607946636</v>
      </c>
      <c r="K107" s="3">
        <f t="shared" si="68"/>
        <v>0.2028121079793595</v>
      </c>
      <c r="L107" s="3">
        <f t="shared" si="68"/>
        <v>0.2461018325434462</v>
      </c>
      <c r="M107" s="3">
        <f t="shared" si="68"/>
        <v>1.5507691575594718</v>
      </c>
      <c r="N107" s="3">
        <f t="shared" si="68"/>
        <v>0.68915785510698235</v>
      </c>
      <c r="O107" s="3">
        <f t="shared" si="68"/>
        <v>0.25870686695465622</v>
      </c>
      <c r="P107" s="3">
        <f t="shared" si="68"/>
        <v>0.21126458478976798</v>
      </c>
      <c r="Q107" s="3">
        <f t="shared" si="68"/>
        <v>0.22694765299075731</v>
      </c>
      <c r="R107" s="3">
        <f t="shared" si="68"/>
        <v>0.24138825288645749</v>
      </c>
      <c r="S107" s="3">
        <f t="shared" si="68"/>
        <v>6.2198773076877218</v>
      </c>
      <c r="T107" s="3">
        <f t="shared" si="68"/>
        <v>0.83725050953108004</v>
      </c>
      <c r="U107" s="3">
        <f t="shared" si="68"/>
        <v>2.8050277211213723</v>
      </c>
      <c r="V107" s="3">
        <f t="shared" si="68"/>
        <v>0.45929709224600906</v>
      </c>
      <c r="W107" s="3">
        <f t="shared" si="68"/>
        <v>0.22630076667998636</v>
      </c>
      <c r="X107" s="3">
        <f t="shared" si="68"/>
        <v>0.19326101526225756</v>
      </c>
      <c r="Y107" s="3">
        <f t="shared" si="68"/>
        <v>0.49488338336214416</v>
      </c>
      <c r="Z107" s="3">
        <f t="shared" si="68"/>
        <v>0.34395888274703779</v>
      </c>
      <c r="AA107" s="3">
        <f t="shared" si="68"/>
        <v>0.27273491402057837</v>
      </c>
      <c r="AB107" s="3">
        <f t="shared" si="68"/>
        <v>0.78291309770090345</v>
      </c>
      <c r="AC107" s="3">
        <f t="shared" si="68"/>
        <v>0.24684614556456072</v>
      </c>
      <c r="AD107" s="3">
        <f t="shared" si="68"/>
        <v>0.625434074036332</v>
      </c>
      <c r="AE107" s="3">
        <f t="shared" si="68"/>
        <v>0.19555565451552859</v>
      </c>
      <c r="AF107" s="3">
        <f t="shared" si="68"/>
        <v>0.26613577886040668</v>
      </c>
      <c r="AG107" s="3">
        <f t="shared" si="68"/>
        <v>0.37474300926033238</v>
      </c>
      <c r="AH107" s="3">
        <f t="shared" si="68"/>
        <v>0.40544618844549923</v>
      </c>
      <c r="AI107" s="3">
        <f t="shared" si="68"/>
        <v>0.21032569421607428</v>
      </c>
      <c r="AJ107" s="3">
        <f t="shared" si="68"/>
        <v>0.2039679874290575</v>
      </c>
      <c r="AK107" s="3">
        <f t="shared" si="68"/>
        <v>0.20599034427077598</v>
      </c>
      <c r="AL107" s="3">
        <f t="shared" si="68"/>
        <v>0.24973034846698022</v>
      </c>
      <c r="AM107" s="3">
        <f t="shared" si="68"/>
        <v>0.20587489638659595</v>
      </c>
      <c r="AN107" s="3">
        <f t="shared" si="68"/>
        <v>0.21775380592372615</v>
      </c>
      <c r="AO107" s="3">
        <f t="shared" si="68"/>
        <v>0.2007768441845672</v>
      </c>
    </row>
    <row r="108" spans="1:42" ht="19.5" customHeight="1" x14ac:dyDescent="0.35">
      <c r="A108" s="19"/>
      <c r="B108" s="19"/>
    </row>
    <row r="109" spans="1:42" ht="19.5" customHeight="1" x14ac:dyDescent="0.25">
      <c r="A109" s="580" t="s">
        <v>991</v>
      </c>
      <c r="B109" s="569">
        <f ca="1">Main!C179</f>
        <v>0.4</v>
      </c>
    </row>
    <row r="110" spans="1:42" ht="19.5" customHeight="1" x14ac:dyDescent="0.25">
      <c r="A110" s="329" t="s">
        <v>1013</v>
      </c>
      <c r="B110" s="569"/>
      <c r="C110" s="165">
        <f ca="1">IF(C13&gt;0,(C13*C15-C85-C88)/(C13-C92),0)</f>
        <v>0.31152637492356511</v>
      </c>
      <c r="D110" s="165">
        <f t="shared" ref="D110:AO110" ca="1" si="69">IF(D13&gt;0,(D13*D15-D85-D88)/(D13-D92),0)</f>
        <v>0.32044153778047063</v>
      </c>
      <c r="E110" s="165">
        <f t="shared" ca="1" si="69"/>
        <v>0.54019240632668108</v>
      </c>
      <c r="F110" s="165">
        <f t="shared" ca="1" si="69"/>
        <v>0.17657089687993258</v>
      </c>
      <c r="G110" s="165">
        <f t="shared" ca="1" si="69"/>
        <v>0.55587170898309524</v>
      </c>
      <c r="H110" s="165">
        <f t="shared" ca="1" si="69"/>
        <v>0.32139002991663235</v>
      </c>
      <c r="I110" s="165">
        <f t="shared" ca="1" si="69"/>
        <v>0.16097977567197921</v>
      </c>
      <c r="J110" s="165">
        <f t="shared" ca="1" si="69"/>
        <v>0.49920933204693535</v>
      </c>
      <c r="K110" s="165">
        <f t="shared" ca="1" si="69"/>
        <v>0.35288158857212204</v>
      </c>
      <c r="L110" s="165">
        <f t="shared" ca="1" si="69"/>
        <v>0.21064289374524767</v>
      </c>
      <c r="M110" s="165">
        <f t="shared" ca="1" si="69"/>
        <v>0.13734002832621703</v>
      </c>
      <c r="N110" s="165">
        <f t="shared" ca="1" si="69"/>
        <v>0.19487387158725911</v>
      </c>
      <c r="O110" s="165">
        <f t="shared" ca="1" si="69"/>
        <v>0.60355493288548989</v>
      </c>
      <c r="P110" s="165">
        <f t="shared" ca="1" si="69"/>
        <v>0.14159033690262779</v>
      </c>
      <c r="Q110" s="165">
        <f t="shared" ca="1" si="69"/>
        <v>0.43567395160148059</v>
      </c>
      <c r="R110" s="165">
        <f t="shared" ca="1" si="69"/>
        <v>0.13394392051088361</v>
      </c>
      <c r="S110" s="165">
        <f t="shared" ca="1" si="69"/>
        <v>0.25474273733781272</v>
      </c>
      <c r="T110" s="165">
        <f t="shared" ca="1" si="69"/>
        <v>0.22561930828135926</v>
      </c>
      <c r="U110" s="165">
        <f t="shared" ca="1" si="69"/>
        <v>0.37498874272817223</v>
      </c>
      <c r="V110" s="165">
        <f t="shared" ca="1" si="69"/>
        <v>8.2493020459467895E-2</v>
      </c>
      <c r="W110" s="165">
        <f t="shared" ca="1" si="69"/>
        <v>0.53159820890462761</v>
      </c>
      <c r="X110" s="165">
        <f t="shared" ca="1" si="69"/>
        <v>0.28265021207509206</v>
      </c>
      <c r="Y110" s="165">
        <f t="shared" ca="1" si="69"/>
        <v>0.14783914290280536</v>
      </c>
      <c r="Z110" s="165">
        <f t="shared" ca="1" si="69"/>
        <v>0.5001908412953282</v>
      </c>
      <c r="AA110" s="165">
        <f t="shared" ca="1" si="69"/>
        <v>0.32853853852724318</v>
      </c>
      <c r="AB110" s="165">
        <f t="shared" ca="1" si="69"/>
        <v>0.14402987566389611</v>
      </c>
      <c r="AC110" s="165">
        <f t="shared" ca="1" si="69"/>
        <v>0.18241764659657167</v>
      </c>
      <c r="AD110" s="165">
        <f t="shared" ca="1" si="69"/>
        <v>0.17389994225708438</v>
      </c>
      <c r="AE110" s="165">
        <f t="shared" ca="1" si="69"/>
        <v>0.38532710256304553</v>
      </c>
      <c r="AF110" s="165">
        <f t="shared" ca="1" si="69"/>
        <v>0.4244871026742203</v>
      </c>
      <c r="AG110" s="165">
        <f t="shared" ca="1" si="69"/>
        <v>0.36886466104139876</v>
      </c>
      <c r="AH110" s="165">
        <f t="shared" ca="1" si="69"/>
        <v>0.53587366021907268</v>
      </c>
      <c r="AI110" s="165">
        <f t="shared" ca="1" si="69"/>
        <v>0.351498861412052</v>
      </c>
      <c r="AJ110" s="165">
        <f t="shared" ca="1" si="69"/>
        <v>0.47049678551553681</v>
      </c>
      <c r="AK110" s="165">
        <f t="shared" ca="1" si="69"/>
        <v>0.12410288924384545</v>
      </c>
      <c r="AL110" s="165">
        <f t="shared" ca="1" si="69"/>
        <v>0.46024062390401704</v>
      </c>
      <c r="AM110" s="165">
        <f t="shared" ca="1" si="69"/>
        <v>0.16756586972119078</v>
      </c>
      <c r="AN110" s="165">
        <f t="shared" ca="1" si="69"/>
        <v>0.44161187315200018</v>
      </c>
      <c r="AO110" s="165">
        <f t="shared" ca="1" si="69"/>
        <v>0.34609118912186371</v>
      </c>
    </row>
    <row r="111" spans="1:42" customFormat="1" ht="15" customHeight="1" x14ac:dyDescent="0.25">
      <c r="A111" s="53" t="s">
        <v>100</v>
      </c>
      <c r="B111" s="53"/>
      <c r="C111" s="52">
        <f ca="1">(1-C110)</f>
        <v>0.68847362507643495</v>
      </c>
      <c r="D111" s="52">
        <f t="shared" ref="D111:AO111" ca="1" si="70">(1-D110)</f>
        <v>0.67955846221952942</v>
      </c>
      <c r="E111" s="52">
        <f t="shared" ca="1" si="70"/>
        <v>0.45980759367331892</v>
      </c>
      <c r="F111" s="52">
        <f t="shared" ca="1" si="70"/>
        <v>0.82342910312006745</v>
      </c>
      <c r="G111" s="52">
        <f t="shared" ca="1" si="70"/>
        <v>0.44412829101690476</v>
      </c>
      <c r="H111" s="52">
        <f t="shared" ca="1" si="70"/>
        <v>0.67860997008336765</v>
      </c>
      <c r="I111" s="52">
        <f t="shared" ca="1" si="70"/>
        <v>0.83902022432802081</v>
      </c>
      <c r="J111" s="52">
        <f t="shared" ca="1" si="70"/>
        <v>0.50079066795306471</v>
      </c>
      <c r="K111" s="52">
        <f t="shared" ca="1" si="70"/>
        <v>0.64711841142787796</v>
      </c>
      <c r="L111" s="52">
        <f t="shared" ca="1" si="70"/>
        <v>0.78935710625475231</v>
      </c>
      <c r="M111" s="52">
        <f t="shared" ca="1" si="70"/>
        <v>0.86265997167378294</v>
      </c>
      <c r="N111" s="52">
        <f t="shared" ca="1" si="70"/>
        <v>0.80512612841274089</v>
      </c>
      <c r="O111" s="52">
        <f t="shared" ca="1" si="70"/>
        <v>0.39644506711451011</v>
      </c>
      <c r="P111" s="52">
        <f t="shared" ca="1" si="70"/>
        <v>0.85840966309737221</v>
      </c>
      <c r="Q111" s="52">
        <f t="shared" ca="1" si="70"/>
        <v>0.56432604839851941</v>
      </c>
      <c r="R111" s="52">
        <f t="shared" ca="1" si="70"/>
        <v>0.86605607948911634</v>
      </c>
      <c r="S111" s="52">
        <f t="shared" ca="1" si="70"/>
        <v>0.74525726266218728</v>
      </c>
      <c r="T111" s="52">
        <f t="shared" ca="1" si="70"/>
        <v>0.77438069171864077</v>
      </c>
      <c r="U111" s="52">
        <f t="shared" ca="1" si="70"/>
        <v>0.62501125727182782</v>
      </c>
      <c r="V111" s="52">
        <f t="shared" ca="1" si="70"/>
        <v>0.91750697954053206</v>
      </c>
      <c r="W111" s="52">
        <f t="shared" ca="1" si="70"/>
        <v>0.46840179109537239</v>
      </c>
      <c r="X111" s="52">
        <f t="shared" ca="1" si="70"/>
        <v>0.717349787924908</v>
      </c>
      <c r="Y111" s="52">
        <f t="shared" ca="1" si="70"/>
        <v>0.85216085709719458</v>
      </c>
      <c r="Z111" s="52">
        <f t="shared" ca="1" si="70"/>
        <v>0.4998091587046718</v>
      </c>
      <c r="AA111" s="52">
        <f t="shared" ca="1" si="70"/>
        <v>0.67146146147275676</v>
      </c>
      <c r="AB111" s="52">
        <f t="shared" ca="1" si="70"/>
        <v>0.85597012433610387</v>
      </c>
      <c r="AC111" s="52">
        <f t="shared" ca="1" si="70"/>
        <v>0.81758235340342833</v>
      </c>
      <c r="AD111" s="52">
        <f t="shared" ca="1" si="70"/>
        <v>0.82610005774291562</v>
      </c>
      <c r="AE111" s="52">
        <f t="shared" ca="1" si="70"/>
        <v>0.61467289743695441</v>
      </c>
      <c r="AF111" s="52">
        <f t="shared" ca="1" si="70"/>
        <v>0.5755128973257797</v>
      </c>
      <c r="AG111" s="52">
        <f t="shared" ca="1" si="70"/>
        <v>0.63113533895860119</v>
      </c>
      <c r="AH111" s="52">
        <f t="shared" ca="1" si="70"/>
        <v>0.46412633978092732</v>
      </c>
      <c r="AI111" s="52">
        <f t="shared" ca="1" si="70"/>
        <v>0.648501138587948</v>
      </c>
      <c r="AJ111" s="52">
        <f t="shared" ca="1" si="70"/>
        <v>0.52950321448446314</v>
      </c>
      <c r="AK111" s="52">
        <f t="shared" ca="1" si="70"/>
        <v>0.87589711075615451</v>
      </c>
      <c r="AL111" s="52">
        <f t="shared" ca="1" si="70"/>
        <v>0.5397593760959829</v>
      </c>
      <c r="AM111" s="52">
        <f t="shared" ca="1" si="70"/>
        <v>0.83243413027880919</v>
      </c>
      <c r="AN111" s="52">
        <f t="shared" ca="1" si="70"/>
        <v>0.55838812684799977</v>
      </c>
      <c r="AO111" s="52">
        <f t="shared" ca="1" si="70"/>
        <v>0.65390881087813635</v>
      </c>
      <c r="AP111" s="52"/>
    </row>
    <row r="112" spans="1:42" customFormat="1" ht="15" customHeight="1" x14ac:dyDescent="0.25">
      <c r="A112" t="s">
        <v>99</v>
      </c>
      <c r="C112" s="14">
        <f ca="1">C111*$B$109</f>
        <v>0.27538945003057397</v>
      </c>
      <c r="D112" s="14">
        <f t="shared" ref="D112:AO112" ca="1" si="71">D111*$B$109</f>
        <v>0.27182338488781177</v>
      </c>
      <c r="E112" s="14">
        <f t="shared" ca="1" si="71"/>
        <v>0.18392303746932759</v>
      </c>
      <c r="F112" s="14">
        <f t="shared" ca="1" si="71"/>
        <v>0.32937164124802698</v>
      </c>
      <c r="G112" s="14">
        <f t="shared" ca="1" si="71"/>
        <v>0.17765131640676191</v>
      </c>
      <c r="H112" s="14">
        <f t="shared" ca="1" si="71"/>
        <v>0.27144398803334707</v>
      </c>
      <c r="I112" s="14">
        <f t="shared" ca="1" si="71"/>
        <v>0.33560808973120837</v>
      </c>
      <c r="J112" s="14">
        <f t="shared" ca="1" si="71"/>
        <v>0.20031626718122589</v>
      </c>
      <c r="K112" s="14">
        <f t="shared" ca="1" si="71"/>
        <v>0.25884736457115121</v>
      </c>
      <c r="L112" s="14">
        <f t="shared" ca="1" si="71"/>
        <v>0.31574284250190093</v>
      </c>
      <c r="M112" s="14">
        <f t="shared" ca="1" si="71"/>
        <v>0.34506398866951321</v>
      </c>
      <c r="N112" s="14">
        <f t="shared" ca="1" si="71"/>
        <v>0.32205045136509636</v>
      </c>
      <c r="O112" s="14">
        <f t="shared" ca="1" si="71"/>
        <v>0.15857802684580405</v>
      </c>
      <c r="P112" s="14">
        <f t="shared" ca="1" si="71"/>
        <v>0.34336386523894891</v>
      </c>
      <c r="Q112" s="14">
        <f t="shared" ca="1" si="71"/>
        <v>0.22573041935940777</v>
      </c>
      <c r="R112" s="14">
        <f t="shared" ca="1" si="71"/>
        <v>0.34642243179564658</v>
      </c>
      <c r="S112" s="14">
        <f t="shared" ca="1" si="71"/>
        <v>0.29810290506487491</v>
      </c>
      <c r="T112" s="14">
        <f t="shared" ca="1" si="71"/>
        <v>0.30975227668745631</v>
      </c>
      <c r="U112" s="14">
        <f t="shared" ca="1" si="71"/>
        <v>0.25000450290873116</v>
      </c>
      <c r="V112" s="14">
        <f t="shared" ca="1" si="71"/>
        <v>0.36700279181621287</v>
      </c>
      <c r="W112" s="14">
        <f t="shared" ca="1" si="71"/>
        <v>0.18736071643814897</v>
      </c>
      <c r="X112" s="14">
        <f t="shared" ca="1" si="71"/>
        <v>0.2869399151699632</v>
      </c>
      <c r="Y112" s="14">
        <f t="shared" ca="1" si="71"/>
        <v>0.34086434283887784</v>
      </c>
      <c r="Z112" s="14">
        <f t="shared" ca="1" si="71"/>
        <v>0.19992366348186874</v>
      </c>
      <c r="AA112" s="14">
        <f t="shared" ca="1" si="71"/>
        <v>0.26858458458910273</v>
      </c>
      <c r="AB112" s="14">
        <f t="shared" ca="1" si="71"/>
        <v>0.34238804973444159</v>
      </c>
      <c r="AC112" s="14">
        <f t="shared" ca="1" si="71"/>
        <v>0.32703294136137134</v>
      </c>
      <c r="AD112" s="14">
        <f t="shared" ca="1" si="71"/>
        <v>0.33044002309716625</v>
      </c>
      <c r="AE112" s="14">
        <f t="shared" ca="1" si="71"/>
        <v>0.24586915897478179</v>
      </c>
      <c r="AF112" s="14">
        <f t="shared" ca="1" si="71"/>
        <v>0.2302051589303119</v>
      </c>
      <c r="AG112" s="14">
        <f t="shared" ca="1" si="71"/>
        <v>0.25245413558344049</v>
      </c>
      <c r="AH112" s="14">
        <f t="shared" ca="1" si="71"/>
        <v>0.18565053591237093</v>
      </c>
      <c r="AI112" s="14">
        <f t="shared" ca="1" si="71"/>
        <v>0.2594004554351792</v>
      </c>
      <c r="AJ112" s="14">
        <f t="shared" ca="1" si="71"/>
        <v>0.21180128579378527</v>
      </c>
      <c r="AK112" s="14">
        <f t="shared" ca="1" si="71"/>
        <v>0.35035884430246184</v>
      </c>
      <c r="AL112" s="14">
        <f t="shared" ca="1" si="71"/>
        <v>0.21590375043839316</v>
      </c>
      <c r="AM112" s="14">
        <f t="shared" ca="1" si="71"/>
        <v>0.33297365211152369</v>
      </c>
      <c r="AN112" s="14">
        <f t="shared" ca="1" si="71"/>
        <v>0.22335525073919993</v>
      </c>
      <c r="AO112" s="14">
        <f t="shared" ca="1" si="71"/>
        <v>0.26156352435125457</v>
      </c>
    </row>
    <row r="113" spans="1:41" ht="18" customHeight="1" x14ac:dyDescent="0.25">
      <c r="A113" s="53" t="s">
        <v>98</v>
      </c>
      <c r="B113" s="53"/>
      <c r="C113" s="52">
        <f ca="1">C110+C112</f>
        <v>0.58691582495413908</v>
      </c>
      <c r="D113" s="52">
        <f t="shared" ref="D113:AO113" ca="1" si="72">D110+D112</f>
        <v>0.59226492266828235</v>
      </c>
      <c r="E113" s="52">
        <f t="shared" ca="1" si="72"/>
        <v>0.72411544379600867</v>
      </c>
      <c r="F113" s="52">
        <f t="shared" ca="1" si="72"/>
        <v>0.50594253812795953</v>
      </c>
      <c r="G113" s="52">
        <f t="shared" ca="1" si="72"/>
        <v>0.73352302538985714</v>
      </c>
      <c r="H113" s="52">
        <f t="shared" ca="1" si="72"/>
        <v>0.59283401794997936</v>
      </c>
      <c r="I113" s="52">
        <f t="shared" ca="1" si="72"/>
        <v>0.49658786540318756</v>
      </c>
      <c r="J113" s="52">
        <f t="shared" ca="1" si="72"/>
        <v>0.69952559922816127</v>
      </c>
      <c r="K113" s="52">
        <f t="shared" ca="1" si="72"/>
        <v>0.61172895314327325</v>
      </c>
      <c r="L113" s="52">
        <f t="shared" ca="1" si="72"/>
        <v>0.52638573624714857</v>
      </c>
      <c r="M113" s="52">
        <f t="shared" ca="1" si="72"/>
        <v>0.48240401699573021</v>
      </c>
      <c r="N113" s="52">
        <f t="shared" ca="1" si="72"/>
        <v>0.51692432295235546</v>
      </c>
      <c r="O113" s="52">
        <f t="shared" ca="1" si="72"/>
        <v>0.76213295973129391</v>
      </c>
      <c r="P113" s="52">
        <f t="shared" ca="1" si="72"/>
        <v>0.4849542021415767</v>
      </c>
      <c r="Q113" s="52">
        <f t="shared" ca="1" si="72"/>
        <v>0.66140437096088833</v>
      </c>
      <c r="R113" s="52">
        <f t="shared" ca="1" si="72"/>
        <v>0.48036635230653019</v>
      </c>
      <c r="S113" s="52">
        <f t="shared" ca="1" si="72"/>
        <v>0.55284564240268763</v>
      </c>
      <c r="T113" s="52">
        <f t="shared" ca="1" si="72"/>
        <v>0.53537158496881554</v>
      </c>
      <c r="U113" s="52">
        <f t="shared" ca="1" si="72"/>
        <v>0.62499324563690339</v>
      </c>
      <c r="V113" s="52">
        <f t="shared" ca="1" si="72"/>
        <v>0.44949581227568075</v>
      </c>
      <c r="W113" s="52">
        <f t="shared" ca="1" si="72"/>
        <v>0.71895892534277661</v>
      </c>
      <c r="X113" s="52">
        <f t="shared" ca="1" si="72"/>
        <v>0.5695901272450552</v>
      </c>
      <c r="Y113" s="52">
        <f t="shared" ca="1" si="72"/>
        <v>0.48870348574168321</v>
      </c>
      <c r="Z113" s="52">
        <f t="shared" ca="1" si="72"/>
        <v>0.70011450477719694</v>
      </c>
      <c r="AA113" s="52">
        <f t="shared" ca="1" si="72"/>
        <v>0.59712312311634586</v>
      </c>
      <c r="AB113" s="52">
        <f t="shared" ca="1" si="72"/>
        <v>0.48641792539833772</v>
      </c>
      <c r="AC113" s="52">
        <f t="shared" ca="1" si="72"/>
        <v>0.50945058795794296</v>
      </c>
      <c r="AD113" s="52">
        <f t="shared" ca="1" si="72"/>
        <v>0.50433996535425063</v>
      </c>
      <c r="AE113" s="52">
        <f t="shared" ca="1" si="72"/>
        <v>0.63119626153782726</v>
      </c>
      <c r="AF113" s="52">
        <f t="shared" ca="1" si="72"/>
        <v>0.6546922616045322</v>
      </c>
      <c r="AG113" s="52">
        <f t="shared" ca="1" si="72"/>
        <v>0.62131879662483924</v>
      </c>
      <c r="AH113" s="52">
        <f t="shared" ca="1" si="72"/>
        <v>0.72152419613144358</v>
      </c>
      <c r="AI113" s="52">
        <f t="shared" ca="1" si="72"/>
        <v>0.6108993168472312</v>
      </c>
      <c r="AJ113" s="52">
        <f t="shared" ca="1" si="72"/>
        <v>0.68229807130932207</v>
      </c>
      <c r="AK113" s="52">
        <f t="shared" ca="1" si="72"/>
        <v>0.47446173354630727</v>
      </c>
      <c r="AL113" s="52">
        <f t="shared" ca="1" si="72"/>
        <v>0.67614437434241026</v>
      </c>
      <c r="AM113" s="52">
        <f t="shared" ca="1" si="72"/>
        <v>0.50053952183271444</v>
      </c>
      <c r="AN113" s="52">
        <f t="shared" ca="1" si="72"/>
        <v>0.66496712389120005</v>
      </c>
      <c r="AO113" s="52">
        <f t="shared" ca="1" si="72"/>
        <v>0.60765471347311828</v>
      </c>
    </row>
    <row r="114" spans="1:41" ht="18" customHeight="1" x14ac:dyDescent="0.25">
      <c r="A114" s="59" t="s">
        <v>1012</v>
      </c>
      <c r="B114" s="53"/>
      <c r="C114" s="52"/>
      <c r="D114" s="52"/>
      <c r="E114" s="52"/>
      <c r="F114" s="52"/>
      <c r="G114" s="52"/>
      <c r="H114" s="52"/>
      <c r="I114" s="52"/>
      <c r="J114" s="52"/>
      <c r="K114" s="52"/>
      <c r="L114" s="52"/>
      <c r="M114" s="52"/>
      <c r="N114" s="52"/>
      <c r="O114" s="52"/>
      <c r="P114" s="52"/>
      <c r="Q114" s="52"/>
      <c r="R114" s="52"/>
      <c r="S114" s="52"/>
      <c r="T114" s="52"/>
      <c r="U114" s="52"/>
      <c r="V114" s="52"/>
      <c r="W114" s="52"/>
      <c r="X114" s="52"/>
      <c r="Y114" s="52"/>
      <c r="Z114" s="52"/>
      <c r="AA114" s="52"/>
      <c r="AB114" s="52"/>
      <c r="AC114" s="52"/>
      <c r="AD114" s="52"/>
      <c r="AE114" s="52"/>
      <c r="AF114" s="52"/>
      <c r="AG114" s="52"/>
      <c r="AH114" s="52"/>
      <c r="AI114" s="52"/>
      <c r="AJ114" s="52"/>
      <c r="AK114" s="52"/>
      <c r="AL114" s="52"/>
      <c r="AM114" s="52"/>
      <c r="AN114" s="52"/>
      <c r="AO114" s="52"/>
    </row>
    <row r="115" spans="1:41" ht="18" customHeight="1" x14ac:dyDescent="0.25">
      <c r="A115" s="59" t="s">
        <v>1011</v>
      </c>
      <c r="B115" s="53"/>
      <c r="C115" s="52">
        <f t="shared" ref="C115:AO115" ca="1" si="73">IF(C21&gt;0,(C23+C24-C93)/C21,0)</f>
        <v>0.42346782160705676</v>
      </c>
      <c r="D115" s="52">
        <f t="shared" ca="1" si="73"/>
        <v>0.69733282823881959</v>
      </c>
      <c r="E115" s="52">
        <f t="shared" ca="1" si="73"/>
        <v>5.4334660773237203E-2</v>
      </c>
      <c r="F115" s="52">
        <f t="shared" ca="1" si="73"/>
        <v>0.10694004469978863</v>
      </c>
      <c r="G115" s="52">
        <f t="shared" ca="1" si="73"/>
        <v>2.8213885838951562E-2</v>
      </c>
      <c r="H115" s="52">
        <f t="shared" ca="1" si="73"/>
        <v>1.2775115509650348E-6</v>
      </c>
      <c r="I115" s="52">
        <f t="shared" ca="1" si="73"/>
        <v>0.13126471262806952</v>
      </c>
      <c r="J115" s="52">
        <f t="shared" ca="1" si="73"/>
        <v>2.6504234037827666E-2</v>
      </c>
      <c r="K115" s="52">
        <f t="shared" ca="1" si="73"/>
        <v>3.5586282532437959E-2</v>
      </c>
      <c r="L115" s="52">
        <f t="shared" ca="1" si="73"/>
        <v>3.7049955485996461E-2</v>
      </c>
      <c r="M115" s="52">
        <f t="shared" ca="1" si="73"/>
        <v>0.16249785037370565</v>
      </c>
      <c r="N115" s="52">
        <f t="shared" ca="1" si="73"/>
        <v>3.8085256683695104E-3</v>
      </c>
      <c r="O115" s="52">
        <f t="shared" ca="1" si="73"/>
        <v>3.8924184578554628E-2</v>
      </c>
      <c r="P115" s="52">
        <f t="shared" ca="1" si="73"/>
        <v>0.26015916744021739</v>
      </c>
      <c r="Q115" s="52">
        <f t="shared" ca="1" si="73"/>
        <v>1.3131074718635328E-2</v>
      </c>
      <c r="R115" s="52">
        <f t="shared" ca="1" si="73"/>
        <v>1.9164808948436272E-2</v>
      </c>
      <c r="S115" s="52">
        <f t="shared" ca="1" si="73"/>
        <v>7.9459026647494269E-3</v>
      </c>
      <c r="T115" s="52">
        <f t="shared" ca="1" si="73"/>
        <v>2.7563870543260975E-2</v>
      </c>
      <c r="U115" s="52">
        <f t="shared" ca="1" si="73"/>
        <v>8.0995725973078067E-3</v>
      </c>
      <c r="V115" s="52">
        <f t="shared" ca="1" si="73"/>
        <v>3.6690697971650227E-2</v>
      </c>
      <c r="W115" s="52">
        <f t="shared" ca="1" si="73"/>
        <v>2.4354140758609946E-2</v>
      </c>
      <c r="X115" s="52">
        <f t="shared" ca="1" si="73"/>
        <v>4.3293822967518387E-2</v>
      </c>
      <c r="Y115" s="52">
        <f t="shared" ca="1" si="73"/>
        <v>0.13288127572716552</v>
      </c>
      <c r="Z115" s="52">
        <f t="shared" ca="1" si="73"/>
        <v>4.9970811242806057E-2</v>
      </c>
      <c r="AA115" s="52">
        <f t="shared" ca="1" si="73"/>
        <v>5.3088404947128687E-2</v>
      </c>
      <c r="AB115" s="52">
        <f t="shared" ca="1" si="73"/>
        <v>0.39049982270184747</v>
      </c>
      <c r="AC115" s="52">
        <f t="shared" ca="1" si="73"/>
        <v>0.15829316972407678</v>
      </c>
      <c r="AD115" s="52">
        <f t="shared" ca="1" si="73"/>
        <v>1.4516506785017064E-2</v>
      </c>
      <c r="AE115" s="52">
        <f t="shared" ca="1" si="73"/>
        <v>0.13264175088330599</v>
      </c>
      <c r="AF115" s="52">
        <f t="shared" ca="1" si="73"/>
        <v>0.12264842793128009</v>
      </c>
      <c r="AG115" s="52">
        <f t="shared" ca="1" si="73"/>
        <v>0.13636259626814851</v>
      </c>
      <c r="AH115" s="52">
        <f t="shared" ca="1" si="73"/>
        <v>9.5983126249813769E-2</v>
      </c>
      <c r="AI115" s="52">
        <f t="shared" ca="1" si="73"/>
        <v>1.8043075437108761E-2</v>
      </c>
      <c r="AJ115" s="52">
        <f t="shared" ca="1" si="73"/>
        <v>0.14185050224279841</v>
      </c>
      <c r="AK115" s="52">
        <f t="shared" ca="1" si="73"/>
        <v>6.2828860046067365E-3</v>
      </c>
      <c r="AL115" s="52">
        <f t="shared" ca="1" si="73"/>
        <v>3.733109943478341E-2</v>
      </c>
      <c r="AM115" s="52">
        <f t="shared" ca="1" si="73"/>
        <v>6.9705938337828788E-2</v>
      </c>
      <c r="AN115" s="52">
        <f t="shared" ca="1" si="73"/>
        <v>2.3404641224838874E-2</v>
      </c>
      <c r="AO115" s="52">
        <f t="shared" ca="1" si="73"/>
        <v>8.6240865831661174E-3</v>
      </c>
    </row>
    <row r="117" spans="1:41" s="49" customFormat="1" x14ac:dyDescent="0.25">
      <c r="A117" s="51" t="s">
        <v>956</v>
      </c>
      <c r="B117" s="51"/>
      <c r="C117" s="49">
        <f ca="1">MAX(C18*Main!$C$179*(1-C15)-C93-C97,0)</f>
        <v>33911.518549979446</v>
      </c>
      <c r="D117" s="49">
        <f ca="1">MAX(D18*Main!$C$179*(1-D15)-D93-D97,0)</f>
        <v>609.35270890548054</v>
      </c>
      <c r="E117" s="49">
        <f ca="1">MAX(E18*Main!$C$179*(1-E15)-E93-E97,0)</f>
        <v>19333.594267089367</v>
      </c>
      <c r="F117" s="49">
        <f ca="1">MAX(F18*Main!$C$179*(1-F15)-F93-F97,0)</f>
        <v>33578.790912005054</v>
      </c>
      <c r="G117" s="49">
        <f ca="1">MAX(G18*Main!$C$179*(1-G15)-G93-G97,0)</f>
        <v>71800.364351648532</v>
      </c>
      <c r="H117" s="49">
        <f ca="1">MAX(H18*Main!$C$179*(1-H15)-H93-H97,0)</f>
        <v>3.5421633581447414E-3</v>
      </c>
      <c r="I117" s="49">
        <f ca="1">MAX(I18*Main!$C$179*(1-I15)-I93-I97,0)</f>
        <v>26469.939171794114</v>
      </c>
      <c r="J117" s="49">
        <f ca="1">MAX(J18*Main!$C$179*(1-J15)-J93-J97,0)</f>
        <v>108774.92738517813</v>
      </c>
      <c r="K117" s="49">
        <f ca="1">MAX(K18*Main!$C$179*(1-K15)-K93-K97,0)</f>
        <v>30471.540946517438</v>
      </c>
      <c r="L117" s="49">
        <f ca="1">MAX(L18*Main!$C$179*(1-L15)-L93-L97,0)</f>
        <v>35645.56792692931</v>
      </c>
      <c r="M117" s="49">
        <f ca="1">MAX(M18*Main!$C$179*(1-M15)-M93-M97,0)</f>
        <v>33.37690792994556</v>
      </c>
      <c r="N117" s="49">
        <f ca="1">MAX(N18*Main!$C$179*(1-N15)-N93-N97,0)</f>
        <v>147.28755899416458</v>
      </c>
      <c r="O117" s="49">
        <f ca="1">MAX(O18*Main!$C$179*(1-O15)-O93-O97,0)</f>
        <v>50529.171866484045</v>
      </c>
      <c r="P117" s="49">
        <f ca="1">MAX(P18*Main!$C$179*(1-P15)-P93-P97,0)</f>
        <v>4609.5060398761443</v>
      </c>
      <c r="Q117" s="49">
        <f ca="1">MAX(Q18*Main!$C$179*(1-Q15)-Q93-Q97,0)</f>
        <v>16426.994705547819</v>
      </c>
      <c r="R117" s="49">
        <f ca="1">MAX(R18*Main!$C$179*(1-R15)-R93-R97,0)</f>
        <v>3185.3500815747416</v>
      </c>
      <c r="S117" s="49">
        <f ca="1">MAX(S18*Main!$C$179*(1-S15)-S93-S97,0)</f>
        <v>0.13041516339237319</v>
      </c>
      <c r="T117" s="49">
        <f ca="1">MAX(T18*Main!$C$179*(1-T15)-T93-T97,0)</f>
        <v>1709.4845222993199</v>
      </c>
      <c r="U117" s="49">
        <f ca="1">MAX(U18*Main!$C$179*(1-U15)-U93-U97,0)</f>
        <v>0.52008252082369155</v>
      </c>
      <c r="V117" s="49">
        <f ca="1">MAX(V18*Main!$C$179*(1-V15)-V93-V97,0)</f>
        <v>3.9936405070556424</v>
      </c>
      <c r="W117" s="49">
        <f ca="1">MAX(W18*Main!$C$179*(1-W15)-W93-W97,0)</f>
        <v>2080.1262882294636</v>
      </c>
      <c r="X117" s="49">
        <f ca="1">MAX(X18*Main!$C$179*(1-X15)-X93-X97,0)</f>
        <v>7445.2893912307309</v>
      </c>
      <c r="Y117" s="49">
        <f ca="1">MAX(Y18*Main!$C$179*(1-Y15)-Y93-Y97,0)</f>
        <v>26.771230426413268</v>
      </c>
      <c r="Z117" s="49">
        <f ca="1">MAX(Z18*Main!$C$179*(1-Z15)-Z93-Z97,0)</f>
        <v>45160.431321038021</v>
      </c>
      <c r="AA117" s="49">
        <f ca="1">MAX(AA18*Main!$C$179*(1-AA15)-AA93-AA97,0)</f>
        <v>170484.40887950591</v>
      </c>
      <c r="AB117" s="49">
        <f ca="1">MAX(AB18*Main!$C$179*(1-AB15)-AB93-AB97,0)</f>
        <v>130.36864387908136</v>
      </c>
      <c r="AC117" s="49">
        <f ca="1">MAX(AC18*Main!$C$179*(1-AC15)-AC93-AC97,0)</f>
        <v>83650.377302777706</v>
      </c>
      <c r="AD117" s="49">
        <f ca="1">MAX(AD18*Main!$C$179*(1-AD15)-AD93-AD97,0)</f>
        <v>52.849485487898107</v>
      </c>
      <c r="AE117" s="49">
        <f ca="1">MAX(AE18*Main!$C$179*(1-AE15)-AE93-AE97,0)</f>
        <v>5043.8793961640422</v>
      </c>
      <c r="AF117" s="49">
        <f ca="1">MAX(AF18*Main!$C$179*(1-AF15)-AF93-AF97,0)</f>
        <v>4926.2950111359987</v>
      </c>
      <c r="AG117" s="49">
        <f ca="1">MAX(AG18*Main!$C$179*(1-AG15)-AG93-AG97,0)</f>
        <v>10310.875158362</v>
      </c>
      <c r="AH117" s="49">
        <f ca="1">MAX(AH18*Main!$C$179*(1-AH15)-AH93-AH97,0)</f>
        <v>1166.0898542114255</v>
      </c>
      <c r="AI117" s="49">
        <f ca="1">MAX(AI18*Main!$C$179*(1-AI15)-AI93-AI97,0)</f>
        <v>108717.79162777896</v>
      </c>
      <c r="AJ117" s="49">
        <f ca="1">MAX(AJ18*Main!$C$179*(1-AJ15)-AJ93-AJ97,0)</f>
        <v>6939.8680645649747</v>
      </c>
      <c r="AK117" s="49">
        <f ca="1">MAX(AK18*Main!$C$179*(1-AK15)-AK93-AK97,0)</f>
        <v>1742.1193475726775</v>
      </c>
      <c r="AL117" s="49">
        <f ca="1">MAX(AL18*Main!$C$179*(1-AL15)-AL93-AL97,0)</f>
        <v>39658.453641226581</v>
      </c>
      <c r="AM117" s="49">
        <f ca="1">MAX(AM18*Main!$C$179*(1-AM15)-AM93-AM97,0)</f>
        <v>6250.6299862436572</v>
      </c>
      <c r="AN117" s="49">
        <f ca="1">MAX(AN18*Main!$C$179*(1-AN15)-AN93-AN97,0)</f>
        <v>52662.179363285111</v>
      </c>
      <c r="AO117" s="49">
        <f ca="1">MAX(AO18*Main!$C$179*(1-AO15)-AO93-AO97,0)</f>
        <v>69475.671580199923</v>
      </c>
    </row>
    <row r="118" spans="1:41" s="49" customFormat="1" x14ac:dyDescent="0.25">
      <c r="A118" s="50" t="s">
        <v>91</v>
      </c>
      <c r="B118" s="50"/>
      <c r="C118" s="49">
        <f ca="1">MAX(C19*Main!$C$179*(1-C15)-C94-C98,0)</f>
        <v>21993.648627224498</v>
      </c>
      <c r="D118" s="49">
        <f ca="1">MAX(D19*Main!$C$179*(1-D15)-D94-D98,0)</f>
        <v>499.11281389545638</v>
      </c>
      <c r="E118" s="49">
        <f ca="1">MAX(E19*Main!$C$179*(1-E15)-E94-E98,0)</f>
        <v>7864.3017526780732</v>
      </c>
      <c r="F118" s="49">
        <f ca="1">MAX(F19*Main!$C$179*(1-F15)-F94-F98,0)</f>
        <v>20421.508012080743</v>
      </c>
      <c r="G118" s="49">
        <f ca="1">MAX(G19*Main!$C$179*(1-G15)-G94-G98,0)</f>
        <v>62334.506517003712</v>
      </c>
      <c r="H118" s="49">
        <f ca="1">MAX(H19*Main!$C$179*(1-H15)-H94-H98,0)</f>
        <v>0</v>
      </c>
      <c r="I118" s="49">
        <f ca="1">MAX(I19*Main!$C$179*(1-I15)-I94-I98,0)</f>
        <v>7635.5957887151253</v>
      </c>
      <c r="J118" s="49">
        <f ca="1">MAX(J19*Main!$C$179*(1-J15)-J94-J98,0)</f>
        <v>94024.479839687963</v>
      </c>
      <c r="K118" s="49">
        <f ca="1">MAX(K19*Main!$C$179*(1-K15)-K94-K98,0)</f>
        <v>24917.226848463972</v>
      </c>
      <c r="L118" s="49">
        <f ca="1">MAX(L19*Main!$C$179*(1-L15)-L94-L98,0)</f>
        <v>60800.011454309686</v>
      </c>
      <c r="M118" s="49">
        <f ca="1">MAX(M19*Main!$C$179*(1-M15)-M94-M98,0)</f>
        <v>1404.6639973701772</v>
      </c>
      <c r="N118" s="49">
        <f ca="1">MAX(N19*Main!$C$179*(1-N15)-N94-N98,0)</f>
        <v>100.48378485658348</v>
      </c>
      <c r="O118" s="49">
        <f ca="1">MAX(O19*Main!$C$179*(1-O15)-O94-O98,0)</f>
        <v>38859.523687456887</v>
      </c>
      <c r="P118" s="49">
        <f ca="1">MAX(P19*Main!$C$179*(1-P15)-P94-P98,0)</f>
        <v>17806.229572585391</v>
      </c>
      <c r="Q118" s="49">
        <f ca="1">MAX(Q19*Main!$C$179*(1-Q15)-Q94-Q98,0)</f>
        <v>13296.120255834214</v>
      </c>
      <c r="R118" s="49">
        <f ca="1">MAX(R19*Main!$C$179*(1-R15)-R94-R98,0)</f>
        <v>9911.6124497548772</v>
      </c>
      <c r="S118" s="49">
        <f ca="1">MAX(S19*Main!$C$179*(1-S15)-S94-S98,0)</f>
        <v>0.26083032678474638</v>
      </c>
      <c r="T118" s="49">
        <f ca="1">MAX(T19*Main!$C$179*(1-T15)-T94-T98,0)</f>
        <v>998.75798929265761</v>
      </c>
      <c r="U118" s="49">
        <f ca="1">MAX(U19*Main!$C$179*(1-U15)-U94-U98,0)</f>
        <v>0.26967242874087571</v>
      </c>
      <c r="V118" s="49">
        <f ca="1">MAX(V19*Main!$C$179*(1-V15)-V94-V98,0)</f>
        <v>94.568173636677585</v>
      </c>
      <c r="W118" s="49">
        <f ca="1">MAX(W19*Main!$C$179*(1-W15)-W94-W98,0)</f>
        <v>1902.1962834932167</v>
      </c>
      <c r="X118" s="49">
        <f ca="1">MAX(X19*Main!$C$179*(1-X15)-X94-X98,0)</f>
        <v>12220.176336276758</v>
      </c>
      <c r="Y118" s="49">
        <f ca="1">MAX(Y19*Main!$C$179*(1-Y15)-Y94-Y98,0)</f>
        <v>384.83797395094666</v>
      </c>
      <c r="Z118" s="49">
        <f ca="1">MAX(Z19*Main!$C$179*(1-Z15)-Z94-Z98,0)</f>
        <v>20092.526174390638</v>
      </c>
      <c r="AA118" s="49">
        <f ca="1">MAX(AA19*Main!$C$179*(1-AA15)-AA94-AA98,0)</f>
        <v>130227.46166951543</v>
      </c>
      <c r="AB118" s="49">
        <f ca="1">MAX(AB19*Main!$C$179*(1-AB15)-AB94-AB98,0)</f>
        <v>2043.7104570601009</v>
      </c>
      <c r="AC118" s="49">
        <f ca="1">MAX(AC19*Main!$C$179*(1-AC15)-AC94-AC98,0)</f>
        <v>69561.466044056651</v>
      </c>
      <c r="AD118" s="49">
        <f ca="1">MAX(AD19*Main!$C$179*(1-AD15)-AD94-AD98,0)</f>
        <v>11.654820865102582</v>
      </c>
      <c r="AE118" s="49">
        <f ca="1">MAX(AE19*Main!$C$179*(1-AE15)-AE94-AE98,0)</f>
        <v>4503.4677355448421</v>
      </c>
      <c r="AF118" s="49">
        <f ca="1">MAX(AF19*Main!$C$179*(1-AF15)-AF94-AF98,0)</f>
        <v>4133.8508504581778</v>
      </c>
      <c r="AG118" s="49">
        <f ca="1">MAX(AG19*Main!$C$179*(1-AG15)-AG94-AG98,0)</f>
        <v>6233.4829546629398</v>
      </c>
      <c r="AH118" s="49">
        <f ca="1">MAX(AH19*Main!$C$179*(1-AH15)-AH94-AH98,0)</f>
        <v>431.2297311509372</v>
      </c>
      <c r="AI118" s="49">
        <f ca="1">MAX(AI19*Main!$C$179*(1-AI15)-AI94-AI98,0)</f>
        <v>81382.101152523363</v>
      </c>
      <c r="AJ118" s="49">
        <f ca="1">MAX(AJ19*Main!$C$179*(1-AJ15)-AJ94-AJ98,0)</f>
        <v>5796.0535709748474</v>
      </c>
      <c r="AK118" s="49">
        <f ca="1">MAX(AK19*Main!$C$179*(1-AK15)-AK94-AK98,0)</f>
        <v>12208.335449181293</v>
      </c>
      <c r="AL118" s="49">
        <f ca="1">MAX(AL19*Main!$C$179*(1-AL15)-AL94-AL98,0)</f>
        <v>31665.425503270846</v>
      </c>
      <c r="AM118" s="49">
        <f ca="1">MAX(AM19*Main!$C$179*(1-AM15)-AM94-AM98,0)</f>
        <v>27967.561017810032</v>
      </c>
      <c r="AN118" s="49">
        <f ca="1">MAX(AN19*Main!$C$179*(1-AN15)-AN94-AN98,0)</f>
        <v>42028.599316549116</v>
      </c>
      <c r="AO118" s="49">
        <f ca="1">MAX(AO19*Main!$C$179*(1-AO15)-AO94-AO98,0)</f>
        <v>54464.363586522166</v>
      </c>
    </row>
    <row r="119" spans="1:41" s="49" customFormat="1" x14ac:dyDescent="0.25">
      <c r="A119" s="50" t="s">
        <v>90</v>
      </c>
      <c r="B119" s="50"/>
      <c r="C119" s="49">
        <f ca="1">(C120-C117-C118)*Main!$C$179</f>
        <v>40232.999443026609</v>
      </c>
      <c r="D119" s="49">
        <f ca="1">(D120-D117-D118)*Main!$C$179</f>
        <v>6475.9581334191016</v>
      </c>
      <c r="E119" s="49">
        <f ca="1">(E120-E117-E118)*Main!$C$179</f>
        <v>3376.9074826380202</v>
      </c>
      <c r="F119" s="49">
        <f ca="1">(F120-F117-F118)*Main!$C$179</f>
        <v>7541.3470953055503</v>
      </c>
      <c r="G119" s="49">
        <f ca="1">(G120-G117-G118)*Main!$C$179</f>
        <v>4695.4327354844309</v>
      </c>
      <c r="H119" s="49">
        <f ca="1">(H120-H117-H118)*Main!$C$179</f>
        <v>1.843108607287391</v>
      </c>
      <c r="I119" s="49">
        <f ca="1">(I120-I117-I118)*Main!$C$179</f>
        <v>7173.0219516907237</v>
      </c>
      <c r="J119" s="49">
        <f ca="1">(J120-J117-J118)*Main!$C$179</f>
        <v>5710.2453623284237</v>
      </c>
      <c r="K119" s="49">
        <f ca="1">(K120-K117-K118)*Main!$C$179</f>
        <v>2795.4127966594883</v>
      </c>
      <c r="L119" s="49">
        <f ca="1">(L120-L117-L118)*Main!$C$179</f>
        <v>15575.078854765627</v>
      </c>
      <c r="M119" s="49">
        <f ca="1">(M120-M117-M118)*Main!$C$179</f>
        <v>389.89043002325343</v>
      </c>
      <c r="N119" s="49">
        <f ca="1">(N120-N117-N118)*Main!$C$179</f>
        <v>1504.7408619524356</v>
      </c>
      <c r="O119" s="49">
        <f ca="1">(O120-O117-O118)*Main!$C$179</f>
        <v>3983.1521549843692</v>
      </c>
      <c r="P119" s="49">
        <f ca="1">(P120-P117-P118)*Main!$C$179</f>
        <v>19570.420754187562</v>
      </c>
      <c r="Q119" s="49">
        <f ca="1">(Q120-Q117-Q118)*Main!$C$179</f>
        <v>471.88489970224549</v>
      </c>
      <c r="R119" s="49">
        <f ca="1">(R120-R117-R118)*Main!$C$179</f>
        <v>4202.0751650269103</v>
      </c>
      <c r="S119" s="49">
        <f ca="1">(S120-S117-S118)*Main!$C$179</f>
        <v>0.87250895909118698</v>
      </c>
      <c r="T119" s="49">
        <f ca="1">(T120-T117-T118)*Main!$C$179</f>
        <v>2106.2542596520439</v>
      </c>
      <c r="U119" s="49">
        <f ca="1">(U120-U117-U118)*Main!$C$179</f>
        <v>2.6344747666586787</v>
      </c>
      <c r="V119" s="49">
        <f ca="1">(V120-V117-V118)*Main!$C$179</f>
        <v>418.12528792455828</v>
      </c>
      <c r="W119" s="49">
        <f ca="1">(W120-W117-W118)*Main!$C$179</f>
        <v>83.903684639165022</v>
      </c>
      <c r="X119" s="49">
        <f ca="1">(X120-X117-X118)*Main!$C$179</f>
        <v>3033.67365985475</v>
      </c>
      <c r="Y119" s="49">
        <f ca="1">(Y120-Y117-Y118)*Main!$C$179</f>
        <v>303.3630914735765</v>
      </c>
      <c r="Z119" s="49">
        <f ca="1">(Z120-Z117-Z118)*Main!$C$179</f>
        <v>4426.4491103077107</v>
      </c>
      <c r="AA119" s="49">
        <f ca="1">(AA120-AA117-AA118)*Main!$C$179</f>
        <v>14196.017842433026</v>
      </c>
      <c r="AB119" s="49">
        <f ca="1">(AB120-AB117-AB118)*Main!$C$179</f>
        <v>3898.2505051402327</v>
      </c>
      <c r="AC119" s="49">
        <f ca="1">(AC120-AC117-AC118)*Main!$C$179</f>
        <v>40976.591187612896</v>
      </c>
      <c r="AD119" s="49">
        <f ca="1">(AD120-AD117-AD118)*Main!$C$179</f>
        <v>53.183579580033395</v>
      </c>
      <c r="AE119" s="49">
        <f ca="1">(AE120-AE117-AE118)*Main!$C$179</f>
        <v>952.31663291450241</v>
      </c>
      <c r="AF119" s="49">
        <f ca="1">(AF120-AF117-AF118)*Main!$C$179</f>
        <v>1155.345280663211</v>
      </c>
      <c r="AG119" s="49">
        <f ca="1">(AG120-AG117-AG118)*Main!$C$179</f>
        <v>2351.9596203441256</v>
      </c>
      <c r="AH119" s="49">
        <f ca="1">(AH120-AH117-AH118)*Main!$C$179</f>
        <v>308.10953485519434</v>
      </c>
      <c r="AI119" s="49">
        <f ca="1">(AI120-AI117-AI118)*Main!$C$179</f>
        <v>5590.0445017564462</v>
      </c>
      <c r="AJ119" s="49">
        <f ca="1">(AJ120-AJ117-AJ118)*Main!$C$179</f>
        <v>1936.2029110951546</v>
      </c>
      <c r="AK119" s="49">
        <f ca="1">(AK120-AK117-AK118)*Main!$C$179</f>
        <v>2660.239450793606</v>
      </c>
      <c r="AL119" s="49">
        <f ca="1">(AL120-AL117-AL118)*Main!$C$179</f>
        <v>2708.8087949719429</v>
      </c>
      <c r="AM119" s="49">
        <f ca="1">(AM120-AM117-AM118)*Main!$C$179</f>
        <v>9108.7470350565836</v>
      </c>
      <c r="AN119" s="49">
        <f ca="1">(AN120-AN117-AN118)*Main!$C$179</f>
        <v>2097.4279858303375</v>
      </c>
      <c r="AO119" s="49">
        <f ca="1">(AO120-AO117-AO118)*Main!$C$179</f>
        <v>1148.9208259516076</v>
      </c>
    </row>
    <row r="120" spans="1:41" s="49" customFormat="1" x14ac:dyDescent="0.25">
      <c r="A120" s="50" t="s">
        <v>97</v>
      </c>
      <c r="B120" s="50"/>
      <c r="C120" s="49">
        <f ca="1">C21*Main!$C$179*(1-C15)</f>
        <v>156487.66578477045</v>
      </c>
      <c r="D120" s="49">
        <f ca="1">D21*Main!$C$179*(1-D15)</f>
        <v>17298.360856348689</v>
      </c>
      <c r="E120" s="49">
        <f ca="1">E21*Main!$C$179*(1-E15)</f>
        <v>35640.164726362491</v>
      </c>
      <c r="F120" s="49">
        <f ca="1">F21*Main!$C$179*(1-F15)</f>
        <v>72853.666662349671</v>
      </c>
      <c r="G120" s="49">
        <f ca="1">G21*Main!$C$179*(1-G15)</f>
        <v>145873.45270736332</v>
      </c>
      <c r="H120" s="49">
        <f ca="1">H21*Main!$C$179*(1-H15)</f>
        <v>4.6113136815766227</v>
      </c>
      <c r="I120" s="49">
        <f ca="1">I21*Main!$C$179*(1-I15)</f>
        <v>52038.089839736051</v>
      </c>
      <c r="J120" s="49">
        <f ca="1">J21*Main!$C$179*(1-J15)</f>
        <v>217075.02063068716</v>
      </c>
      <c r="K120" s="49">
        <f ca="1">K21*Main!$C$179*(1-K15)</f>
        <v>62377.29978663013</v>
      </c>
      <c r="L120" s="49">
        <f ca="1">L21*Main!$C$179*(1-L15)</f>
        <v>135383.27651815306</v>
      </c>
      <c r="M120" s="49">
        <f ca="1">M21*Main!$C$179*(1-M15)</f>
        <v>2412.7669803582562</v>
      </c>
      <c r="N120" s="49">
        <f ca="1">N21*Main!$C$179*(1-N15)</f>
        <v>4009.6234987318367</v>
      </c>
      <c r="O120" s="49">
        <f ca="1">O21*Main!$C$179*(1-O15)</f>
        <v>99346.575941401854</v>
      </c>
      <c r="P120" s="49">
        <f ca="1">P21*Main!$C$179*(1-P15)</f>
        <v>71341.787497930432</v>
      </c>
      <c r="Q120" s="49">
        <f ca="1">Q21*Main!$C$179*(1-Q15)</f>
        <v>30902.827210637646</v>
      </c>
      <c r="R120" s="49">
        <f ca="1">R21*Main!$C$179*(1-R15)</f>
        <v>23602.150443896895</v>
      </c>
      <c r="S120" s="49">
        <f ca="1">S21*Main!$C$179*(1-S15)</f>
        <v>2.5725178879050867</v>
      </c>
      <c r="T120" s="49">
        <f ca="1">T21*Main!$C$179*(1-T15)</f>
        <v>7973.8781607220872</v>
      </c>
      <c r="U120" s="49">
        <f ca="1">U21*Main!$C$179*(1-U15)</f>
        <v>7.3759418662112637</v>
      </c>
      <c r="V120" s="49">
        <f ca="1">V21*Main!$C$179*(1-V15)</f>
        <v>1143.8750339551289</v>
      </c>
      <c r="W120" s="49">
        <f ca="1">W21*Main!$C$179*(1-W15)</f>
        <v>4192.0817833205929</v>
      </c>
      <c r="X120" s="49">
        <f ca="1">X21*Main!$C$179*(1-X15)</f>
        <v>27249.649877144362</v>
      </c>
      <c r="Y120" s="49">
        <f ca="1">Y21*Main!$C$179*(1-Y15)</f>
        <v>1170.0169330613012</v>
      </c>
      <c r="Z120" s="49">
        <f ca="1">Z21*Main!$C$179*(1-Z15)</f>
        <v>76319.080271197934</v>
      </c>
      <c r="AA120" s="49">
        <f ca="1">AA21*Main!$C$179*(1-AA15)</f>
        <v>336201.9151551039</v>
      </c>
      <c r="AB120" s="49">
        <f ca="1">AB21*Main!$C$179*(1-AB15)</f>
        <v>11919.705363789762</v>
      </c>
      <c r="AC120" s="49">
        <f ca="1">AC21*Main!$C$179*(1-AC15)</f>
        <v>255653.32131586657</v>
      </c>
      <c r="AD120" s="49">
        <f ca="1">AD21*Main!$C$179*(1-AD15)</f>
        <v>197.46325530308417</v>
      </c>
      <c r="AE120" s="49">
        <f ca="1">AE21*Main!$C$179*(1-AE15)</f>
        <v>11928.13871399514</v>
      </c>
      <c r="AF120" s="49">
        <f ca="1">AF21*Main!$C$179*(1-AF15)</f>
        <v>11948.509063252204</v>
      </c>
      <c r="AG120" s="49">
        <f ca="1">AG21*Main!$C$179*(1-AG15)</f>
        <v>22424.257163885253</v>
      </c>
      <c r="AH120" s="49">
        <f ca="1">AH21*Main!$C$179*(1-AH15)</f>
        <v>2367.5934225003484</v>
      </c>
      <c r="AI120" s="49">
        <f ca="1">AI21*Main!$C$179*(1-AI15)</f>
        <v>204075.00403469344</v>
      </c>
      <c r="AJ120" s="49">
        <f ca="1">AJ21*Main!$C$179*(1-AJ15)</f>
        <v>17576.428913277708</v>
      </c>
      <c r="AK120" s="49">
        <f ca="1">AK21*Main!$C$179*(1-AK15)</f>
        <v>20601.053423737983</v>
      </c>
      <c r="AL120" s="49">
        <f ca="1">AL21*Main!$C$179*(1-AL15)</f>
        <v>78095.901131927283</v>
      </c>
      <c r="AM120" s="49">
        <f ca="1">AM21*Main!$C$179*(1-AM15)</f>
        <v>56990.058591695146</v>
      </c>
      <c r="AN120" s="49">
        <f ca="1">AN21*Main!$C$179*(1-AN15)</f>
        <v>99934.348644410071</v>
      </c>
      <c r="AO120" s="49">
        <f ca="1">AO21*Main!$C$179*(1-AO15)</f>
        <v>126812.33723160111</v>
      </c>
    </row>
    <row r="121" spans="1:41" s="49" customFormat="1" x14ac:dyDescent="0.25">
      <c r="A121" s="50"/>
      <c r="B121" s="50"/>
    </row>
    <row r="122" spans="1:41" s="39" customFormat="1" x14ac:dyDescent="0.25">
      <c r="A122" s="41" t="s">
        <v>96</v>
      </c>
      <c r="B122" s="41"/>
      <c r="C122" s="48">
        <f>Impl_select!$D$17</f>
        <v>0.10958062499999996</v>
      </c>
      <c r="D122" s="48">
        <f>Impl_select!$D$17</f>
        <v>0.10958062499999996</v>
      </c>
      <c r="E122" s="48">
        <f>Impl_select!$D$17</f>
        <v>0.10958062499999996</v>
      </c>
      <c r="F122" s="48">
        <f>Impl_select!$D$17</f>
        <v>0.10958062499999996</v>
      </c>
      <c r="G122" s="48">
        <f>Impl_select!$D$17</f>
        <v>0.10958062499999996</v>
      </c>
      <c r="H122" s="48">
        <f>Impl_select!$D$17</f>
        <v>0.10958062499999996</v>
      </c>
      <c r="I122" s="48">
        <f>Impl_select!$D$17</f>
        <v>0.10958062499999996</v>
      </c>
      <c r="J122" s="48">
        <f>Impl_select!$D$17</f>
        <v>0.10958062499999996</v>
      </c>
      <c r="K122" s="48">
        <f>Impl_select!$D$17</f>
        <v>0.10958062499999996</v>
      </c>
      <c r="L122" s="48">
        <f>Impl_select!$D$17</f>
        <v>0.10958062499999996</v>
      </c>
      <c r="M122" s="48">
        <f>Impl_select!$D$17</f>
        <v>0.10958062499999996</v>
      </c>
      <c r="N122" s="48">
        <f>Impl_select!$D$17</f>
        <v>0.10958062499999996</v>
      </c>
      <c r="O122" s="48">
        <f>Impl_select!$D$17</f>
        <v>0.10958062499999996</v>
      </c>
      <c r="P122" s="48">
        <f>Impl_select!$D$17</f>
        <v>0.10958062499999996</v>
      </c>
      <c r="Q122" s="48">
        <f>Impl_select!$D$17</f>
        <v>0.10958062499999996</v>
      </c>
      <c r="R122" s="48">
        <f>Impl_select!$D$17</f>
        <v>0.10958062499999996</v>
      </c>
      <c r="S122" s="48">
        <f>Impl_select!$D$17</f>
        <v>0.10958062499999996</v>
      </c>
      <c r="T122" s="48">
        <f>Impl_select!$D$17</f>
        <v>0.10958062499999996</v>
      </c>
      <c r="U122" s="48">
        <f>Impl_select!$D$17</f>
        <v>0.10958062499999996</v>
      </c>
      <c r="V122" s="48">
        <f>Impl_select!$D$17</f>
        <v>0.10958062499999996</v>
      </c>
      <c r="W122" s="48">
        <f>Impl_select!$D$17</f>
        <v>0.10958062499999996</v>
      </c>
      <c r="X122" s="48">
        <f>Impl_select!$D$17</f>
        <v>0.10958062499999996</v>
      </c>
      <c r="Y122" s="48">
        <f>Impl_select!$D$17</f>
        <v>0.10958062499999996</v>
      </c>
      <c r="Z122" s="48">
        <f>Impl_select!$D$17</f>
        <v>0.10958062499999996</v>
      </c>
      <c r="AA122" s="48">
        <f>Impl_select!$D$17</f>
        <v>0.10958062499999996</v>
      </c>
      <c r="AB122" s="48">
        <f>Impl_select!$D$17</f>
        <v>0.10958062499999996</v>
      </c>
      <c r="AC122" s="48">
        <f>Impl_select!$D$17</f>
        <v>0.10958062499999996</v>
      </c>
      <c r="AD122" s="48">
        <f>Impl_select!$D$17</f>
        <v>0.10958062499999996</v>
      </c>
      <c r="AE122" s="48">
        <f>Impl_select!$D$17</f>
        <v>0.10958062499999996</v>
      </c>
      <c r="AF122" s="48">
        <f>Impl_select!$D$17</f>
        <v>0.10958062499999996</v>
      </c>
      <c r="AG122" s="48">
        <f>Impl_select!$D$17</f>
        <v>0.10958062499999996</v>
      </c>
      <c r="AH122" s="48">
        <f>Impl_select!$D$17</f>
        <v>0.10958062499999996</v>
      </c>
      <c r="AI122" s="48">
        <f>Impl_select!$D$17</f>
        <v>0.10958062499999996</v>
      </c>
      <c r="AJ122" s="48">
        <f>Impl_select!$D$17</f>
        <v>0.10958062499999996</v>
      </c>
      <c r="AK122" s="48">
        <f>Impl_select!$D$17</f>
        <v>0.10958062499999996</v>
      </c>
      <c r="AL122" s="48">
        <f>Impl_select!$D$17</f>
        <v>0.10958062499999996</v>
      </c>
      <c r="AM122" s="48">
        <f>Impl_select!$D$17</f>
        <v>0.10958062499999996</v>
      </c>
      <c r="AN122" s="48">
        <f>Impl_select!$D$17</f>
        <v>0.10958062499999996</v>
      </c>
      <c r="AO122" s="48">
        <f>Impl_select!$D$17</f>
        <v>0.10958062499999996</v>
      </c>
    </row>
    <row r="123" spans="1:41" s="39" customFormat="1" x14ac:dyDescent="0.25">
      <c r="A123" s="39" t="s">
        <v>91</v>
      </c>
      <c r="C123" s="48">
        <f>Impl_select!$D$33</f>
        <v>0.28957500000000008</v>
      </c>
      <c r="D123" s="48">
        <f>Impl_select!$D$33</f>
        <v>0.28957500000000008</v>
      </c>
      <c r="E123" s="48">
        <f>Impl_select!$D$33</f>
        <v>0.28957500000000008</v>
      </c>
      <c r="F123" s="48">
        <f>Impl_select!$D$33</f>
        <v>0.28957500000000008</v>
      </c>
      <c r="G123" s="48">
        <f>Impl_select!$D$33</f>
        <v>0.28957500000000008</v>
      </c>
      <c r="H123" s="48">
        <f>Impl_select!$D$33</f>
        <v>0.28957500000000008</v>
      </c>
      <c r="I123" s="48">
        <f>Impl_select!$D$33</f>
        <v>0.28957500000000008</v>
      </c>
      <c r="J123" s="48">
        <f>Impl_select!$D$33</f>
        <v>0.28957500000000008</v>
      </c>
      <c r="K123" s="48">
        <f>Impl_select!$D$33</f>
        <v>0.28957500000000008</v>
      </c>
      <c r="L123" s="48">
        <f>Impl_select!$D$33</f>
        <v>0.28957500000000008</v>
      </c>
      <c r="M123" s="48">
        <f>Impl_select!$D$33</f>
        <v>0.28957500000000008</v>
      </c>
      <c r="N123" s="48">
        <f>Impl_select!$D$33</f>
        <v>0.28957500000000008</v>
      </c>
      <c r="O123" s="48">
        <f>Impl_select!$D$33</f>
        <v>0.28957500000000008</v>
      </c>
      <c r="P123" s="48">
        <f>Impl_select!$D$33</f>
        <v>0.28957500000000008</v>
      </c>
      <c r="Q123" s="48">
        <f>Impl_select!$D$33</f>
        <v>0.28957500000000008</v>
      </c>
      <c r="R123" s="48">
        <f>Impl_select!$D$33</f>
        <v>0.28957500000000008</v>
      </c>
      <c r="S123" s="48">
        <f>Impl_select!$D$33</f>
        <v>0.28957500000000008</v>
      </c>
      <c r="T123" s="48">
        <f>Impl_select!$D$33</f>
        <v>0.28957500000000008</v>
      </c>
      <c r="U123" s="48">
        <f>Impl_select!$D$33</f>
        <v>0.28957500000000008</v>
      </c>
      <c r="V123" s="48">
        <f>Impl_select!$D$33</f>
        <v>0.28957500000000008</v>
      </c>
      <c r="W123" s="48">
        <f>Impl_select!$D$33</f>
        <v>0.28957500000000008</v>
      </c>
      <c r="X123" s="48">
        <f>Impl_select!$D$33</f>
        <v>0.28957500000000008</v>
      </c>
      <c r="Y123" s="48">
        <f>Impl_select!$D$33</f>
        <v>0.28957500000000008</v>
      </c>
      <c r="Z123" s="48">
        <f>Impl_select!$D$33</f>
        <v>0.28957500000000008</v>
      </c>
      <c r="AA123" s="48">
        <f>Impl_select!$D$33</f>
        <v>0.28957500000000008</v>
      </c>
      <c r="AB123" s="48">
        <f>Impl_select!$D$33</f>
        <v>0.28957500000000008</v>
      </c>
      <c r="AC123" s="48">
        <f>Impl_select!$D$33</f>
        <v>0.28957500000000008</v>
      </c>
      <c r="AD123" s="48">
        <f>Impl_select!$D$33</f>
        <v>0.28957500000000008</v>
      </c>
      <c r="AE123" s="48">
        <f>Impl_select!$D$33</f>
        <v>0.28957500000000008</v>
      </c>
      <c r="AF123" s="48">
        <f>Impl_select!$D$33</f>
        <v>0.28957500000000008</v>
      </c>
      <c r="AG123" s="48">
        <f>Impl_select!$D$33</f>
        <v>0.28957500000000008</v>
      </c>
      <c r="AH123" s="48">
        <f>Impl_select!$D$33</f>
        <v>0.28957500000000008</v>
      </c>
      <c r="AI123" s="48">
        <f>Impl_select!$D$33</f>
        <v>0.28957500000000008</v>
      </c>
      <c r="AJ123" s="48">
        <f>Impl_select!$D$33</f>
        <v>0.28957500000000008</v>
      </c>
      <c r="AK123" s="48">
        <f>Impl_select!$D$33</f>
        <v>0.28957500000000008</v>
      </c>
      <c r="AL123" s="48">
        <f>Impl_select!$D$33</f>
        <v>0.28957500000000008</v>
      </c>
      <c r="AM123" s="48">
        <f>Impl_select!$D$33</f>
        <v>0.28957500000000008</v>
      </c>
      <c r="AN123" s="48">
        <f>Impl_select!$D$33</f>
        <v>0.28957500000000008</v>
      </c>
      <c r="AO123" s="48">
        <f>Impl_select!$D$33</f>
        <v>0.28957500000000008</v>
      </c>
    </row>
    <row r="124" spans="1:41" s="39" customFormat="1" x14ac:dyDescent="0.25">
      <c r="A124" s="39" t="s">
        <v>94</v>
      </c>
      <c r="C124" s="47">
        <f t="shared" ref="C124:AO124" ca="1" si="74">IFERROR((C122*C117+C123*C118)/(C117+C118),0)</f>
        <v>0.18039220179179799</v>
      </c>
      <c r="D124" s="47">
        <f t="shared" ca="1" si="74"/>
        <v>0.19062734873083581</v>
      </c>
      <c r="E124" s="47">
        <f t="shared" ca="1" si="74"/>
        <v>0.16162619785445487</v>
      </c>
      <c r="F124" s="47">
        <f t="shared" ca="1" si="74"/>
        <v>0.1776498143272551</v>
      </c>
      <c r="G124" s="47">
        <f t="shared" ca="1" si="74"/>
        <v>0.19322673781765978</v>
      </c>
      <c r="H124" s="47">
        <f t="shared" ca="1" si="74"/>
        <v>0.10958062499999996</v>
      </c>
      <c r="I124" s="47">
        <f t="shared" ca="1" si="74"/>
        <v>0.14987802227976074</v>
      </c>
      <c r="J124" s="47">
        <f t="shared" ca="1" si="74"/>
        <v>0.19303194132795834</v>
      </c>
      <c r="K124" s="47">
        <f t="shared" ca="1" si="74"/>
        <v>0.19055301077184708</v>
      </c>
      <c r="L124" s="47">
        <f t="shared" ca="1" si="74"/>
        <v>0.22305041938479192</v>
      </c>
      <c r="M124" s="47">
        <f t="shared" ca="1" si="74"/>
        <v>0.2853973332450831</v>
      </c>
      <c r="N124" s="47">
        <f t="shared" ca="1" si="74"/>
        <v>0.18257742830986995</v>
      </c>
      <c r="O124" s="47">
        <f t="shared" ca="1" si="74"/>
        <v>0.18782872601072262</v>
      </c>
      <c r="P124" s="47">
        <f t="shared" ca="1" si="74"/>
        <v>0.25256148534001333</v>
      </c>
      <c r="Q124" s="47">
        <f t="shared" ca="1" si="74"/>
        <v>0.19009798862366922</v>
      </c>
      <c r="R124" s="47">
        <f t="shared" ca="1" si="74"/>
        <v>0.24579804822834084</v>
      </c>
      <c r="S124" s="47">
        <f t="shared" ca="1" si="74"/>
        <v>0.22957687500000004</v>
      </c>
      <c r="T124" s="47">
        <f t="shared" ca="1" si="74"/>
        <v>0.17595976914588912</v>
      </c>
      <c r="U124" s="47">
        <f t="shared" ca="1" si="74"/>
        <v>0.17104212048376785</v>
      </c>
      <c r="V124" s="47">
        <f t="shared" ca="1" si="74"/>
        <v>0.28228178169545581</v>
      </c>
      <c r="W124" s="47">
        <f t="shared" ca="1" si="74"/>
        <v>0.19555674195392497</v>
      </c>
      <c r="X124" s="47">
        <f t="shared" ca="1" si="74"/>
        <v>0.22142964157128009</v>
      </c>
      <c r="Y124" s="47">
        <f t="shared" ca="1" si="74"/>
        <v>0.27786809248350652</v>
      </c>
      <c r="Z124" s="47">
        <f t="shared" ca="1" si="74"/>
        <v>0.16500403919825979</v>
      </c>
      <c r="AA124" s="47">
        <f t="shared" ca="1" si="74"/>
        <v>0.18752969474654904</v>
      </c>
      <c r="AB124" s="47">
        <f t="shared" ca="1" si="74"/>
        <v>0.27878163808208462</v>
      </c>
      <c r="AC124" s="47">
        <f t="shared" ca="1" si="74"/>
        <v>0.19130193538421059</v>
      </c>
      <c r="AD124" s="47">
        <f t="shared" ca="1" si="74"/>
        <v>0.14210251874568028</v>
      </c>
      <c r="AE124" s="47">
        <f t="shared" ca="1" si="74"/>
        <v>0.19448367180552345</v>
      </c>
      <c r="AF124" s="47">
        <f t="shared" ca="1" si="74"/>
        <v>0.19170622336652732</v>
      </c>
      <c r="AG124" s="47">
        <f t="shared" ca="1" si="74"/>
        <v>0.17739781445109115</v>
      </c>
      <c r="AH124" s="47">
        <f t="shared" ca="1" si="74"/>
        <v>0.15817385997390324</v>
      </c>
      <c r="AI124" s="47">
        <f t="shared" ca="1" si="74"/>
        <v>0.18663653607336514</v>
      </c>
      <c r="AJ124" s="47">
        <f t="shared" ca="1" si="74"/>
        <v>0.19149515539903356</v>
      </c>
      <c r="AK124" s="47">
        <f t="shared" ca="1" si="74"/>
        <v>0.26709747595435285</v>
      </c>
      <c r="AL124" s="47">
        <f t="shared" ca="1" si="74"/>
        <v>0.1894921292666607</v>
      </c>
      <c r="AM124" s="47">
        <f t="shared" ca="1" si="74"/>
        <v>0.25669546415320732</v>
      </c>
      <c r="AN124" s="47">
        <f t="shared" ca="1" si="74"/>
        <v>0.18947131310687415</v>
      </c>
      <c r="AO124" s="47">
        <f t="shared" ca="1" si="74"/>
        <v>0.18867757757340867</v>
      </c>
    </row>
    <row r="125" spans="1:41" s="43" customFormat="1" x14ac:dyDescent="0.25">
      <c r="A125" s="46" t="s">
        <v>95</v>
      </c>
      <c r="B125" s="46"/>
      <c r="C125" s="44">
        <f>Impl_select!$I$17</f>
        <v>0.33206249999999993</v>
      </c>
      <c r="D125" s="44">
        <f>Impl_select!$I$17</f>
        <v>0.33206249999999993</v>
      </c>
      <c r="E125" s="44">
        <f>Impl_select!$I$17</f>
        <v>0.33206249999999993</v>
      </c>
      <c r="F125" s="44">
        <f>Impl_select!$I$17</f>
        <v>0.33206249999999993</v>
      </c>
      <c r="G125" s="44">
        <f>Impl_select!$I$17</f>
        <v>0.33206249999999993</v>
      </c>
      <c r="H125" s="44">
        <f>Impl_select!$I$17</f>
        <v>0.33206249999999993</v>
      </c>
      <c r="I125" s="44">
        <f>Impl_select!$I$17</f>
        <v>0.33206249999999993</v>
      </c>
      <c r="J125" s="44">
        <f>Impl_select!$I$17</f>
        <v>0.33206249999999993</v>
      </c>
      <c r="K125" s="44">
        <f>Impl_select!$I$17</f>
        <v>0.33206249999999993</v>
      </c>
      <c r="L125" s="44">
        <f>Impl_select!$I$17</f>
        <v>0.33206249999999993</v>
      </c>
      <c r="M125" s="44">
        <f>Impl_select!$I$17</f>
        <v>0.33206249999999993</v>
      </c>
      <c r="N125" s="44">
        <f>Impl_select!$I$17</f>
        <v>0.33206249999999993</v>
      </c>
      <c r="O125" s="44">
        <f>Impl_select!$I$17</f>
        <v>0.33206249999999993</v>
      </c>
      <c r="P125" s="44">
        <f>Impl_select!$I$17</f>
        <v>0.33206249999999993</v>
      </c>
      <c r="Q125" s="44">
        <f>Impl_select!$I$17</f>
        <v>0.33206249999999993</v>
      </c>
      <c r="R125" s="44">
        <f>Impl_select!$I$17</f>
        <v>0.33206249999999993</v>
      </c>
      <c r="S125" s="44">
        <f>Impl_select!$I$17</f>
        <v>0.33206249999999993</v>
      </c>
      <c r="T125" s="44">
        <f>Impl_select!$I$17</f>
        <v>0.33206249999999993</v>
      </c>
      <c r="U125" s="44">
        <f>Impl_select!$I$17</f>
        <v>0.33206249999999993</v>
      </c>
      <c r="V125" s="44">
        <f>Impl_select!$I$17</f>
        <v>0.33206249999999993</v>
      </c>
      <c r="W125" s="44">
        <f>Impl_select!$I$17</f>
        <v>0.33206249999999993</v>
      </c>
      <c r="X125" s="44">
        <f>Impl_select!$I$17</f>
        <v>0.33206249999999993</v>
      </c>
      <c r="Y125" s="44">
        <f>Impl_select!$I$17</f>
        <v>0.33206249999999993</v>
      </c>
      <c r="Z125" s="44">
        <f>Impl_select!$I$17</f>
        <v>0.33206249999999993</v>
      </c>
      <c r="AA125" s="44">
        <f>Impl_select!$I$17</f>
        <v>0.33206249999999993</v>
      </c>
      <c r="AB125" s="44">
        <f>Impl_select!$I$17</f>
        <v>0.33206249999999993</v>
      </c>
      <c r="AC125" s="44">
        <f>Impl_select!$I$17</f>
        <v>0.33206249999999993</v>
      </c>
      <c r="AD125" s="44">
        <f>Impl_select!$I$17</f>
        <v>0.33206249999999993</v>
      </c>
      <c r="AE125" s="44">
        <f>Impl_select!$I$17</f>
        <v>0.33206249999999993</v>
      </c>
      <c r="AF125" s="44">
        <f>Impl_select!$I$17</f>
        <v>0.33206249999999993</v>
      </c>
      <c r="AG125" s="44">
        <f>Impl_select!$I$17</f>
        <v>0.33206249999999993</v>
      </c>
      <c r="AH125" s="44">
        <f>Impl_select!$I$17</f>
        <v>0.33206249999999993</v>
      </c>
      <c r="AI125" s="44">
        <f>Impl_select!$I$17</f>
        <v>0.33206249999999993</v>
      </c>
      <c r="AJ125" s="44">
        <f>Impl_select!$I$17</f>
        <v>0.33206249999999993</v>
      </c>
      <c r="AK125" s="44">
        <f>Impl_select!$I$17</f>
        <v>0.33206249999999993</v>
      </c>
      <c r="AL125" s="44">
        <f>Impl_select!$I$17</f>
        <v>0.33206249999999993</v>
      </c>
      <c r="AM125" s="44">
        <f>Impl_select!$I$17</f>
        <v>0.33206249999999993</v>
      </c>
      <c r="AN125" s="44">
        <f>Impl_select!$I$17</f>
        <v>0.33206249999999993</v>
      </c>
      <c r="AO125" s="44">
        <f>Impl_select!$I$17</f>
        <v>0.33206249999999993</v>
      </c>
    </row>
    <row r="126" spans="1:41" s="43" customFormat="1" x14ac:dyDescent="0.25">
      <c r="A126" s="45" t="s">
        <v>91</v>
      </c>
      <c r="B126" s="45"/>
      <c r="C126" s="44">
        <f>Impl_select!$I$33</f>
        <v>0.44550000000000006</v>
      </c>
      <c r="D126" s="44">
        <f>Impl_select!$I$33</f>
        <v>0.44550000000000006</v>
      </c>
      <c r="E126" s="44">
        <f>Impl_select!$I$33</f>
        <v>0.44550000000000006</v>
      </c>
      <c r="F126" s="44">
        <f>Impl_select!$I$33</f>
        <v>0.44550000000000006</v>
      </c>
      <c r="G126" s="44">
        <f>Impl_select!$I$33</f>
        <v>0.44550000000000006</v>
      </c>
      <c r="H126" s="44">
        <f>Impl_select!$I$33</f>
        <v>0.44550000000000006</v>
      </c>
      <c r="I126" s="44">
        <f>Impl_select!$I$33</f>
        <v>0.44550000000000006</v>
      </c>
      <c r="J126" s="44">
        <f>Impl_select!$I$33</f>
        <v>0.44550000000000006</v>
      </c>
      <c r="K126" s="44">
        <f>Impl_select!$I$33</f>
        <v>0.44550000000000006</v>
      </c>
      <c r="L126" s="44">
        <f>Impl_select!$I$33</f>
        <v>0.44550000000000006</v>
      </c>
      <c r="M126" s="44">
        <f>Impl_select!$I$33</f>
        <v>0.44550000000000006</v>
      </c>
      <c r="N126" s="44">
        <f>Impl_select!$I$33</f>
        <v>0.44550000000000006</v>
      </c>
      <c r="O126" s="44">
        <f>Impl_select!$I$33</f>
        <v>0.44550000000000006</v>
      </c>
      <c r="P126" s="44">
        <f>Impl_select!$I$33</f>
        <v>0.44550000000000006</v>
      </c>
      <c r="Q126" s="44">
        <f>Impl_select!$I$33</f>
        <v>0.44550000000000006</v>
      </c>
      <c r="R126" s="44">
        <f>Impl_select!$I$33</f>
        <v>0.44550000000000006</v>
      </c>
      <c r="S126" s="44">
        <f>Impl_select!$I$33</f>
        <v>0.44550000000000006</v>
      </c>
      <c r="T126" s="44">
        <f>Impl_select!$I$33</f>
        <v>0.44550000000000006</v>
      </c>
      <c r="U126" s="44">
        <f>Impl_select!$I$33</f>
        <v>0.44550000000000006</v>
      </c>
      <c r="V126" s="44">
        <f>Impl_select!$I$33</f>
        <v>0.44550000000000006</v>
      </c>
      <c r="W126" s="44">
        <f>Impl_select!$I$33</f>
        <v>0.44550000000000006</v>
      </c>
      <c r="X126" s="44">
        <f>Impl_select!$I$33</f>
        <v>0.44550000000000006</v>
      </c>
      <c r="Y126" s="44">
        <f>Impl_select!$I$33</f>
        <v>0.44550000000000006</v>
      </c>
      <c r="Z126" s="44">
        <f>Impl_select!$I$33</f>
        <v>0.44550000000000006</v>
      </c>
      <c r="AA126" s="44">
        <f>Impl_select!$I$33</f>
        <v>0.44550000000000006</v>
      </c>
      <c r="AB126" s="44">
        <f>Impl_select!$I$33</f>
        <v>0.44550000000000006</v>
      </c>
      <c r="AC126" s="44">
        <f>Impl_select!$I$33</f>
        <v>0.44550000000000006</v>
      </c>
      <c r="AD126" s="44">
        <f>Impl_select!$I$33</f>
        <v>0.44550000000000006</v>
      </c>
      <c r="AE126" s="44">
        <f>Impl_select!$I$33</f>
        <v>0.44550000000000006</v>
      </c>
      <c r="AF126" s="44">
        <f>Impl_select!$I$33</f>
        <v>0.44550000000000006</v>
      </c>
      <c r="AG126" s="44">
        <f>Impl_select!$I$33</f>
        <v>0.44550000000000006</v>
      </c>
      <c r="AH126" s="44">
        <f>Impl_select!$I$33</f>
        <v>0.44550000000000006</v>
      </c>
      <c r="AI126" s="44">
        <f>Impl_select!$I$33</f>
        <v>0.44550000000000006</v>
      </c>
      <c r="AJ126" s="44">
        <f>Impl_select!$I$33</f>
        <v>0.44550000000000006</v>
      </c>
      <c r="AK126" s="44">
        <f>Impl_select!$I$33</f>
        <v>0.44550000000000006</v>
      </c>
      <c r="AL126" s="44">
        <f>Impl_select!$I$33</f>
        <v>0.44550000000000006</v>
      </c>
      <c r="AM126" s="44">
        <f>Impl_select!$I$33</f>
        <v>0.44550000000000006</v>
      </c>
      <c r="AN126" s="44">
        <f>Impl_select!$I$33</f>
        <v>0.44550000000000006</v>
      </c>
      <c r="AO126" s="44">
        <f>Impl_select!$I$33</f>
        <v>0.44550000000000006</v>
      </c>
    </row>
    <row r="127" spans="1:41" s="43" customFormat="1" x14ac:dyDescent="0.25">
      <c r="A127" s="45" t="s">
        <v>94</v>
      </c>
      <c r="B127" s="45"/>
      <c r="C127" s="44">
        <f t="shared" ref="C127:AO127" ca="1" si="75">IFERROR((C125*C117+C126*C118)/(C117+C118),0)</f>
        <v>0.37668994039817683</v>
      </c>
      <c r="D127" s="44">
        <f t="shared" ca="1" si="75"/>
        <v>0.38314041686943928</v>
      </c>
      <c r="E127" s="44">
        <f t="shared" ca="1" si="75"/>
        <v>0.36486307874407031</v>
      </c>
      <c r="F127" s="44">
        <f t="shared" ca="1" si="75"/>
        <v>0.37496161095449787</v>
      </c>
      <c r="G127" s="44">
        <f t="shared" ca="1" si="75"/>
        <v>0.38477862472752705</v>
      </c>
      <c r="H127" s="44">
        <f t="shared" ca="1" si="75"/>
        <v>0.33206249999999993</v>
      </c>
      <c r="I127" s="44">
        <f t="shared" ca="1" si="75"/>
        <v>0.35745904921951227</v>
      </c>
      <c r="J127" s="44">
        <f t="shared" ca="1" si="75"/>
        <v>0.38465585851996914</v>
      </c>
      <c r="K127" s="44">
        <f t="shared" ca="1" si="75"/>
        <v>0.38309356700414327</v>
      </c>
      <c r="L127" s="44">
        <f t="shared" ca="1" si="75"/>
        <v>0.40357434474806414</v>
      </c>
      <c r="M127" s="44">
        <f t="shared" ca="1" si="75"/>
        <v>0.44286711731957795</v>
      </c>
      <c r="N127" s="44">
        <f t="shared" ca="1" si="75"/>
        <v>0.37806713139730547</v>
      </c>
      <c r="O127" s="44">
        <f t="shared" ca="1" si="75"/>
        <v>0.38137664639154056</v>
      </c>
      <c r="P127" s="44">
        <f t="shared" ca="1" si="75"/>
        <v>0.42217304564799735</v>
      </c>
      <c r="Q127" s="44">
        <f t="shared" ca="1" si="75"/>
        <v>0.38280679929301947</v>
      </c>
      <c r="R127" s="44">
        <f t="shared" ca="1" si="75"/>
        <v>0.41791053801488193</v>
      </c>
      <c r="S127" s="44">
        <f t="shared" ca="1" si="75"/>
        <v>0.40768750000000004</v>
      </c>
      <c r="T127" s="44">
        <f t="shared" ca="1" si="75"/>
        <v>0.37389649711268363</v>
      </c>
      <c r="U127" s="44">
        <f t="shared" ca="1" si="75"/>
        <v>0.37079725709415867</v>
      </c>
      <c r="V127" s="44">
        <f t="shared" ca="1" si="75"/>
        <v>0.44090360941045115</v>
      </c>
      <c r="W127" s="44">
        <f t="shared" ca="1" si="75"/>
        <v>0.38624705863946224</v>
      </c>
      <c r="X127" s="44">
        <f t="shared" ca="1" si="75"/>
        <v>0.4025528851428945</v>
      </c>
      <c r="Y127" s="44">
        <f t="shared" ca="1" si="75"/>
        <v>0.43812197876237952</v>
      </c>
      <c r="Z127" s="44">
        <f t="shared" ca="1" si="75"/>
        <v>0.36699188903293556</v>
      </c>
      <c r="AA127" s="44">
        <f t="shared" ca="1" si="75"/>
        <v>0.38118818850762226</v>
      </c>
      <c r="AB127" s="44">
        <f t="shared" ca="1" si="75"/>
        <v>0.43869772080342223</v>
      </c>
      <c r="AC127" s="44">
        <f t="shared" ca="1" si="75"/>
        <v>0.38356556028568334</v>
      </c>
      <c r="AD127" s="44">
        <f t="shared" ca="1" si="75"/>
        <v>0.35255870896083896</v>
      </c>
      <c r="AE127" s="44">
        <f t="shared" ca="1" si="75"/>
        <v>0.3855707797559732</v>
      </c>
      <c r="AF127" s="44">
        <f t="shared" ca="1" si="75"/>
        <v>0.38382035390350638</v>
      </c>
      <c r="AG127" s="44">
        <f t="shared" ca="1" si="75"/>
        <v>0.37480279356949708</v>
      </c>
      <c r="AH127" s="44">
        <f t="shared" ca="1" si="75"/>
        <v>0.36268731864976139</v>
      </c>
      <c r="AI127" s="44">
        <f t="shared" ca="1" si="75"/>
        <v>0.38062529487836694</v>
      </c>
      <c r="AJ127" s="44">
        <f t="shared" ca="1" si="75"/>
        <v>0.3836873329545874</v>
      </c>
      <c r="AK127" s="44">
        <f t="shared" ca="1" si="75"/>
        <v>0.43133403434730611</v>
      </c>
      <c r="AL127" s="44">
        <f t="shared" ca="1" si="75"/>
        <v>0.38242496974523132</v>
      </c>
      <c r="AM127" s="44">
        <f t="shared" ca="1" si="75"/>
        <v>0.42477839496306175</v>
      </c>
      <c r="AN127" s="44">
        <f t="shared" ca="1" si="75"/>
        <v>0.38241185081789936</v>
      </c>
      <c r="AO127" s="44">
        <f t="shared" ca="1" si="75"/>
        <v>0.38191161643792226</v>
      </c>
    </row>
    <row r="128" spans="1:41" s="39" customFormat="1" x14ac:dyDescent="0.25">
      <c r="A128" s="41" t="s">
        <v>93</v>
      </c>
      <c r="B128" s="41"/>
      <c r="C128" s="42">
        <f ca="1">IF(C124&gt;0,C127/C124,0)</f>
        <v>2.0881719755986925</v>
      </c>
      <c r="D128" s="42">
        <f t="shared" ref="D128:AO128" ca="1" si="76">IF(D124&gt;0,D127/D124,0)</f>
        <v>2.0098921766489566</v>
      </c>
      <c r="E128" s="42">
        <f t="shared" ca="1" si="76"/>
        <v>2.2574501138276557</v>
      </c>
      <c r="F128" s="42">
        <f t="shared" ca="1" si="76"/>
        <v>2.1106783160705569</v>
      </c>
      <c r="G128" s="42">
        <f t="shared" ca="1" si="76"/>
        <v>1.9913321990180624</v>
      </c>
      <c r="H128" s="42">
        <f t="shared" ca="1" si="76"/>
        <v>3.0303030303030307</v>
      </c>
      <c r="I128" s="42">
        <f t="shared" ca="1" si="76"/>
        <v>2.3849997736978605</v>
      </c>
      <c r="J128" s="42">
        <f t="shared" ca="1" si="76"/>
        <v>1.992705745348355</v>
      </c>
      <c r="K128" s="42">
        <f t="shared" ca="1" si="76"/>
        <v>2.0104304070158663</v>
      </c>
      <c r="L128" s="42">
        <f t="shared" ca="1" si="76"/>
        <v>1.8093413402278531</v>
      </c>
      <c r="M128" s="42">
        <f t="shared" ca="1" si="76"/>
        <v>1.5517563261155938</v>
      </c>
      <c r="N128" s="42">
        <f t="shared" ca="1" si="76"/>
        <v>2.0707221856343101</v>
      </c>
      <c r="O128" s="42">
        <f t="shared" ca="1" si="76"/>
        <v>2.0304489866463173</v>
      </c>
      <c r="P128" s="42">
        <f t="shared" ca="1" si="76"/>
        <v>1.6715654213057973</v>
      </c>
      <c r="Q128" s="42">
        <f t="shared" ca="1" si="76"/>
        <v>2.0137340855870369</v>
      </c>
      <c r="R128" s="42">
        <f t="shared" ca="1" si="76"/>
        <v>1.7002191068118346</v>
      </c>
      <c r="S128" s="42">
        <f t="shared" ca="1" si="76"/>
        <v>1.7758212799089628</v>
      </c>
      <c r="T128" s="42">
        <f t="shared" ca="1" si="76"/>
        <v>2.1248976338601819</v>
      </c>
      <c r="U128" s="42">
        <f t="shared" ca="1" si="76"/>
        <v>2.1678710252504607</v>
      </c>
      <c r="V128" s="42">
        <f t="shared" ca="1" si="76"/>
        <v>1.5619272585084043</v>
      </c>
      <c r="W128" s="42">
        <f t="shared" ca="1" si="76"/>
        <v>1.9751150217590847</v>
      </c>
      <c r="X128" s="42">
        <f t="shared" ca="1" si="76"/>
        <v>1.8179719855316177</v>
      </c>
      <c r="Y128" s="42">
        <f t="shared" ca="1" si="76"/>
        <v>1.576726477828271</v>
      </c>
      <c r="Z128" s="42">
        <f t="shared" ca="1" si="76"/>
        <v>2.2241388199714205</v>
      </c>
      <c r="AA128" s="42">
        <f t="shared" ca="1" si="76"/>
        <v>2.0326817522036036</v>
      </c>
      <c r="AB128" s="42">
        <f t="shared" ca="1" si="76"/>
        <v>1.5736248765216447</v>
      </c>
      <c r="AC128" s="42">
        <f t="shared" ca="1" si="76"/>
        <v>2.0050270767795983</v>
      </c>
      <c r="AD128" s="42">
        <f t="shared" ca="1" si="76"/>
        <v>2.4810166073960338</v>
      </c>
      <c r="AE128" s="42">
        <f t="shared" ca="1" si="76"/>
        <v>1.9825354806213751</v>
      </c>
      <c r="AF128" s="42">
        <f t="shared" ca="1" si="76"/>
        <v>2.0021277721885524</v>
      </c>
      <c r="AG128" s="42">
        <f t="shared" ca="1" si="76"/>
        <v>2.1127813481198823</v>
      </c>
      <c r="AH128" s="42">
        <f t="shared" ca="1" si="76"/>
        <v>2.2929662253269938</v>
      </c>
      <c r="AI128" s="42">
        <f t="shared" ca="1" si="76"/>
        <v>2.0393932661113392</v>
      </c>
      <c r="AJ128" s="42">
        <f t="shared" ca="1" si="76"/>
        <v>2.0036398944666138</v>
      </c>
      <c r="AK128" s="42">
        <f t="shared" ca="1" si="76"/>
        <v>1.6148937117661921</v>
      </c>
      <c r="AL128" s="42">
        <f t="shared" ca="1" si="76"/>
        <v>2.0181575415571378</v>
      </c>
      <c r="AM128" s="42">
        <f t="shared" ca="1" si="76"/>
        <v>1.6547950948970995</v>
      </c>
      <c r="AN128" s="42">
        <f t="shared" ca="1" si="76"/>
        <v>2.0183100256564654</v>
      </c>
      <c r="AO128" s="42">
        <f t="shared" ca="1" si="76"/>
        <v>2.0241494582965598</v>
      </c>
    </row>
    <row r="129" spans="1:43" s="39" customFormat="1" x14ac:dyDescent="0.25">
      <c r="A129" s="41" t="s">
        <v>92</v>
      </c>
      <c r="B129" s="41"/>
      <c r="C129" s="40">
        <f t="shared" ref="C129:AO129" ca="1" si="77">IFERROR((C9/C128),0)</f>
        <v>5.2534758814847052E-2</v>
      </c>
      <c r="D129" s="40">
        <f t="shared" ca="1" si="77"/>
        <v>6.2531466148868578E-2</v>
      </c>
      <c r="E129" s="40">
        <f t="shared" ca="1" si="77"/>
        <v>6.4416011255033975E-2</v>
      </c>
      <c r="F129" s="40">
        <f t="shared" ca="1" si="77"/>
        <v>5.789815049813346E-2</v>
      </c>
      <c r="G129" s="40">
        <f t="shared" ca="1" si="77"/>
        <v>0.10096022619386993</v>
      </c>
      <c r="H129" s="40">
        <f t="shared" ca="1" si="77"/>
        <v>8.409129409130999E-4</v>
      </c>
      <c r="I129" s="40">
        <f t="shared" ca="1" si="77"/>
        <v>3.6144625521595843E-2</v>
      </c>
      <c r="J129" s="40">
        <f t="shared" ca="1" si="77"/>
        <v>0.1042693316281262</v>
      </c>
      <c r="K129" s="40">
        <f t="shared" ca="1" si="77"/>
        <v>0.1053033213530824</v>
      </c>
      <c r="L129" s="40">
        <f t="shared" ca="1" si="77"/>
        <v>8.3231769568717959E-2</v>
      </c>
      <c r="M129" s="40">
        <f t="shared" ca="1" si="77"/>
        <v>3.5805736506764577E-3</v>
      </c>
      <c r="N129" s="40">
        <f t="shared" ca="1" si="77"/>
        <v>1.9690460633911711E-2</v>
      </c>
      <c r="O129" s="40">
        <f t="shared" ca="1" si="77"/>
        <v>9.9822403562461651E-2</v>
      </c>
      <c r="P129" s="40">
        <f t="shared" ca="1" si="77"/>
        <v>7.4403903430141291E-2</v>
      </c>
      <c r="Q129" s="40">
        <f t="shared" ca="1" si="77"/>
        <v>0.10052006526769944</v>
      </c>
      <c r="R129" s="40">
        <f t="shared" ca="1" si="77"/>
        <v>7.3573643429148933E-2</v>
      </c>
      <c r="S129" s="40">
        <f t="shared" ca="1" si="77"/>
        <v>1.6495237204276368E-3</v>
      </c>
      <c r="T129" s="40">
        <f t="shared" ca="1" si="77"/>
        <v>1.4487286861897642E-2</v>
      </c>
      <c r="U129" s="40">
        <f t="shared" ca="1" si="77"/>
        <v>1.1600757410231298E-3</v>
      </c>
      <c r="V129" s="40">
        <f t="shared" ca="1" si="77"/>
        <v>1.2634856784269261E-2</v>
      </c>
      <c r="W129" s="40">
        <f t="shared" ca="1" si="77"/>
        <v>0.10848761801687938</v>
      </c>
      <c r="X129" s="40">
        <f t="shared" ca="1" si="77"/>
        <v>9.775165656968772E-2</v>
      </c>
      <c r="Y129" s="40">
        <f t="shared" ca="1" si="77"/>
        <v>1.3975431559854852E-2</v>
      </c>
      <c r="Z129" s="40">
        <f t="shared" ca="1" si="77"/>
        <v>7.0133418230164418E-2</v>
      </c>
      <c r="AA129" s="40">
        <f t="shared" ca="1" si="77"/>
        <v>9.5270025876437681E-2</v>
      </c>
      <c r="AB129" s="40">
        <f t="shared" ca="1" si="77"/>
        <v>1.3039995465665068E-2</v>
      </c>
      <c r="AC129" s="40">
        <f t="shared" ca="1" si="77"/>
        <v>8.0091002481585044E-2</v>
      </c>
      <c r="AD129" s="40">
        <f t="shared" ca="1" si="77"/>
        <v>2.1826086511059026E-2</v>
      </c>
      <c r="AE129" s="40">
        <f t="shared" ca="1" si="77"/>
        <v>0.1091630888442757</v>
      </c>
      <c r="AF129" s="40">
        <f t="shared" ca="1" si="77"/>
        <v>0.1020025596941608</v>
      </c>
      <c r="AG129" s="40">
        <f t="shared" ca="1" si="77"/>
        <v>6.6709810849770276E-2</v>
      </c>
      <c r="AH129" s="40">
        <f t="shared" ca="1" si="77"/>
        <v>6.5417490109610704E-2</v>
      </c>
      <c r="AI129" s="40">
        <f t="shared" ca="1" si="77"/>
        <v>0.10090177725376763</v>
      </c>
      <c r="AJ129" s="40">
        <f t="shared" ca="1" si="77"/>
        <v>0.10136431323008085</v>
      </c>
      <c r="AK129" s="40">
        <f t="shared" ca="1" si="77"/>
        <v>8.1324255100582291E-2</v>
      </c>
      <c r="AL129" s="40">
        <f t="shared" ca="1" si="77"/>
        <v>9.4793388426650596E-2</v>
      </c>
      <c r="AM129" s="40">
        <f t="shared" ca="1" si="77"/>
        <v>7.6772094215024178E-2</v>
      </c>
      <c r="AN129" s="40">
        <f t="shared" ca="1" si="77"/>
        <v>0.10910239660201759</v>
      </c>
      <c r="AO129" s="40">
        <f t="shared" ca="1" si="77"/>
        <v>0.10455517042407703</v>
      </c>
    </row>
    <row r="130" spans="1:43" x14ac:dyDescent="0.25">
      <c r="A130" s="35" t="s">
        <v>1215</v>
      </c>
      <c r="B130" s="142"/>
      <c r="C130" s="581">
        <f>Impl_select!$C$17</f>
        <v>34.782329378630109</v>
      </c>
      <c r="D130" s="581">
        <f>Impl_select!$C$17</f>
        <v>34.782329378630109</v>
      </c>
      <c r="E130" s="581">
        <f>Impl_select!$C$17</f>
        <v>34.782329378630109</v>
      </c>
      <c r="F130" s="581">
        <f>Impl_select!$C$17</f>
        <v>34.782329378630109</v>
      </c>
      <c r="G130" s="581">
        <f>Impl_select!$C$17</f>
        <v>34.782329378630109</v>
      </c>
      <c r="H130" s="581">
        <f>Impl_select!$C$17</f>
        <v>34.782329378630109</v>
      </c>
      <c r="I130" s="581">
        <f>Impl_select!$C$17</f>
        <v>34.782329378630109</v>
      </c>
      <c r="J130" s="581">
        <f>Impl_select!$C$17</f>
        <v>34.782329378630109</v>
      </c>
      <c r="K130" s="581">
        <f>Impl_select!$C$17</f>
        <v>34.782329378630109</v>
      </c>
      <c r="L130" s="581">
        <f>Impl_select!$C$17</f>
        <v>34.782329378630109</v>
      </c>
      <c r="M130" s="581">
        <f>Impl_select!$C$17</f>
        <v>34.782329378630109</v>
      </c>
      <c r="N130" s="581">
        <f>Impl_select!$C$17</f>
        <v>34.782329378630109</v>
      </c>
      <c r="O130" s="581">
        <f>Impl_select!$C$17</f>
        <v>34.782329378630109</v>
      </c>
      <c r="P130" s="581">
        <f>Impl_select!$C$17</f>
        <v>34.782329378630109</v>
      </c>
      <c r="Q130" s="581">
        <f>Impl_select!$C$17</f>
        <v>34.782329378630109</v>
      </c>
      <c r="R130" s="581">
        <f>Impl_select!$C$17</f>
        <v>34.782329378630109</v>
      </c>
      <c r="S130" s="581">
        <f>Impl_select!$C$17</f>
        <v>34.782329378630109</v>
      </c>
      <c r="T130" s="581">
        <f>Impl_select!$C$17</f>
        <v>34.782329378630109</v>
      </c>
      <c r="U130" s="581">
        <f>Impl_select!$C$17</f>
        <v>34.782329378630109</v>
      </c>
      <c r="V130" s="581">
        <f>Impl_select!$C$17</f>
        <v>34.782329378630109</v>
      </c>
      <c r="W130" s="581">
        <f>Impl_select!$C$17</f>
        <v>34.782329378630109</v>
      </c>
      <c r="X130" s="581">
        <f>Impl_select!$C$17</f>
        <v>34.782329378630109</v>
      </c>
      <c r="Y130" s="581">
        <f>Impl_select!$C$17</f>
        <v>34.782329378630109</v>
      </c>
      <c r="Z130" s="581">
        <f>Impl_select!$C$17</f>
        <v>34.782329378630109</v>
      </c>
      <c r="AA130" s="581">
        <f>Impl_select!$C$17</f>
        <v>34.782329378630109</v>
      </c>
      <c r="AB130" s="581">
        <f>Impl_select!$C$17</f>
        <v>34.782329378630109</v>
      </c>
      <c r="AC130" s="581">
        <f>Impl_select!$C$17</f>
        <v>34.782329378630109</v>
      </c>
      <c r="AD130" s="581">
        <f>Impl_select!$C$17</f>
        <v>34.782329378630109</v>
      </c>
      <c r="AE130" s="581">
        <f>Impl_select!$C$17</f>
        <v>34.782329378630109</v>
      </c>
      <c r="AF130" s="581">
        <f>Impl_select!$C$17</f>
        <v>34.782329378630109</v>
      </c>
      <c r="AG130" s="581">
        <f>Impl_select!$C$17</f>
        <v>34.782329378630109</v>
      </c>
      <c r="AH130" s="581">
        <f>Impl_select!$C$17</f>
        <v>34.782329378630109</v>
      </c>
      <c r="AI130" s="581">
        <f>Impl_select!$C$17</f>
        <v>34.782329378630109</v>
      </c>
      <c r="AJ130" s="581">
        <f>Impl_select!$C$17</f>
        <v>34.782329378630109</v>
      </c>
      <c r="AK130" s="581">
        <f>Impl_select!$C$17</f>
        <v>34.782329378630109</v>
      </c>
      <c r="AL130" s="581">
        <f>Impl_select!$C$17</f>
        <v>34.782329378630109</v>
      </c>
      <c r="AM130" s="581">
        <f>Impl_select!$C$17</f>
        <v>34.782329378630109</v>
      </c>
      <c r="AN130" s="581">
        <f>Impl_select!$C$17</f>
        <v>34.782329378630109</v>
      </c>
      <c r="AO130" s="581">
        <f>Impl_select!$C$17</f>
        <v>34.782329378630109</v>
      </c>
      <c r="AP130" s="98"/>
      <c r="AQ130" s="99"/>
    </row>
    <row r="131" spans="1:43" x14ac:dyDescent="0.25">
      <c r="A131" s="34" t="s">
        <v>91</v>
      </c>
      <c r="B131" s="142"/>
      <c r="C131" s="581">
        <f>Impl_select!$C$33</f>
        <v>33.414097349417602</v>
      </c>
      <c r="D131" s="581">
        <f>Impl_select!$C$33</f>
        <v>33.414097349417602</v>
      </c>
      <c r="E131" s="581">
        <f>Impl_select!$C$33</f>
        <v>33.414097349417602</v>
      </c>
      <c r="F131" s="581">
        <f>Impl_select!$C$33</f>
        <v>33.414097349417602</v>
      </c>
      <c r="G131" s="581">
        <f>Impl_select!$C$33</f>
        <v>33.414097349417602</v>
      </c>
      <c r="H131" s="581">
        <f>Impl_select!$C$33</f>
        <v>33.414097349417602</v>
      </c>
      <c r="I131" s="581">
        <f>Impl_select!$C$33</f>
        <v>33.414097349417602</v>
      </c>
      <c r="J131" s="581">
        <f>Impl_select!$C$33</f>
        <v>33.414097349417602</v>
      </c>
      <c r="K131" s="581">
        <f>Impl_select!$C$33</f>
        <v>33.414097349417602</v>
      </c>
      <c r="L131" s="581">
        <f>Impl_select!$C$33</f>
        <v>33.414097349417602</v>
      </c>
      <c r="M131" s="581">
        <f>Impl_select!$C$33</f>
        <v>33.414097349417602</v>
      </c>
      <c r="N131" s="581">
        <f>Impl_select!$C$33</f>
        <v>33.414097349417602</v>
      </c>
      <c r="O131" s="581">
        <f>Impl_select!$C$33</f>
        <v>33.414097349417602</v>
      </c>
      <c r="P131" s="581">
        <f>Impl_select!$C$33</f>
        <v>33.414097349417602</v>
      </c>
      <c r="Q131" s="581">
        <f>Impl_select!$C$33</f>
        <v>33.414097349417602</v>
      </c>
      <c r="R131" s="581">
        <f>Impl_select!$C$33</f>
        <v>33.414097349417602</v>
      </c>
      <c r="S131" s="581">
        <f>Impl_select!$C$33</f>
        <v>33.414097349417602</v>
      </c>
      <c r="T131" s="581">
        <f>Impl_select!$C$33</f>
        <v>33.414097349417602</v>
      </c>
      <c r="U131" s="581">
        <f>Impl_select!$C$33</f>
        <v>33.414097349417602</v>
      </c>
      <c r="V131" s="581">
        <f>Impl_select!$C$33</f>
        <v>33.414097349417602</v>
      </c>
      <c r="W131" s="581">
        <f>Impl_select!$C$33</f>
        <v>33.414097349417602</v>
      </c>
      <c r="X131" s="581">
        <f>Impl_select!$C$33</f>
        <v>33.414097349417602</v>
      </c>
      <c r="Y131" s="581">
        <f>Impl_select!$C$33</f>
        <v>33.414097349417602</v>
      </c>
      <c r="Z131" s="581">
        <f>Impl_select!$C$33</f>
        <v>33.414097349417602</v>
      </c>
      <c r="AA131" s="581">
        <f>Impl_select!$C$33</f>
        <v>33.414097349417602</v>
      </c>
      <c r="AB131" s="581">
        <f>Impl_select!$C$33</f>
        <v>33.414097349417602</v>
      </c>
      <c r="AC131" s="581">
        <f>Impl_select!$C$33</f>
        <v>33.414097349417602</v>
      </c>
      <c r="AD131" s="581">
        <f>Impl_select!$C$33</f>
        <v>33.414097349417602</v>
      </c>
      <c r="AE131" s="581">
        <f>Impl_select!$C$33</f>
        <v>33.414097349417602</v>
      </c>
      <c r="AF131" s="581">
        <f>Impl_select!$C$33</f>
        <v>33.414097349417602</v>
      </c>
      <c r="AG131" s="581">
        <f>Impl_select!$C$33</f>
        <v>33.414097349417602</v>
      </c>
      <c r="AH131" s="581">
        <f>Impl_select!$C$33</f>
        <v>33.414097349417602</v>
      </c>
      <c r="AI131" s="581">
        <f>Impl_select!$C$33</f>
        <v>33.414097349417602</v>
      </c>
      <c r="AJ131" s="581">
        <f>Impl_select!$C$33</f>
        <v>33.414097349417602</v>
      </c>
      <c r="AK131" s="581">
        <f>Impl_select!$C$33</f>
        <v>33.414097349417602</v>
      </c>
      <c r="AL131" s="581">
        <f>Impl_select!$C$33</f>
        <v>33.414097349417602</v>
      </c>
      <c r="AM131" s="581">
        <f>Impl_select!$C$33</f>
        <v>33.414097349417602</v>
      </c>
      <c r="AN131" s="581">
        <f>Impl_select!$C$33</f>
        <v>33.414097349417602</v>
      </c>
      <c r="AO131" s="581">
        <f>Impl_select!$C$33</f>
        <v>33.414097349417602</v>
      </c>
      <c r="AP131" s="98"/>
      <c r="AQ131" s="99"/>
    </row>
    <row r="132" spans="1:43" x14ac:dyDescent="0.25">
      <c r="A132" s="34" t="s">
        <v>90</v>
      </c>
      <c r="B132" s="142"/>
      <c r="C132" s="582">
        <f t="shared" ref="C132:AO132" ca="1" si="78">IFERROR((C130*C117+C131*C118)/(C117+C118),0)</f>
        <v>34.244053294138148</v>
      </c>
      <c r="D132" s="582">
        <f t="shared" ca="1" si="78"/>
        <v>34.166250552437532</v>
      </c>
      <c r="E132" s="582">
        <f t="shared" ca="1" si="78"/>
        <v>34.386703572222672</v>
      </c>
      <c r="F132" s="582">
        <f t="shared" ca="1" si="78"/>
        <v>34.264899625394314</v>
      </c>
      <c r="G132" s="582">
        <f t="shared" ca="1" si="78"/>
        <v>34.146491227153184</v>
      </c>
      <c r="H132" s="582">
        <f t="shared" ca="1" si="78"/>
        <v>34.782329378630109</v>
      </c>
      <c r="I132" s="582">
        <f t="shared" ca="1" si="78"/>
        <v>34.476007641342093</v>
      </c>
      <c r="J132" s="582">
        <f t="shared" ca="1" si="78"/>
        <v>34.147971977851022</v>
      </c>
      <c r="K132" s="582">
        <f t="shared" ca="1" si="78"/>
        <v>34.166815634410092</v>
      </c>
      <c r="L132" s="582">
        <f t="shared" ca="1" si="78"/>
        <v>33.919785718443897</v>
      </c>
      <c r="M132" s="582">
        <f t="shared" ca="1" si="78"/>
        <v>33.445853994376392</v>
      </c>
      <c r="N132" s="582">
        <f t="shared" ca="1" si="78"/>
        <v>34.227442236636428</v>
      </c>
      <c r="O132" s="582">
        <f t="shared" ca="1" si="78"/>
        <v>34.187524357484719</v>
      </c>
      <c r="P132" s="582">
        <f t="shared" ca="1" si="78"/>
        <v>33.695456565623779</v>
      </c>
      <c r="Q132" s="582">
        <f t="shared" ca="1" si="78"/>
        <v>34.170274497372553</v>
      </c>
      <c r="R132" s="582">
        <f t="shared" ca="1" si="78"/>
        <v>33.746869012728055</v>
      </c>
      <c r="S132" s="582">
        <f t="shared" ca="1" si="78"/>
        <v>33.870174692488433</v>
      </c>
      <c r="T132" s="582">
        <f t="shared" ca="1" si="78"/>
        <v>34.277746548793786</v>
      </c>
      <c r="U132" s="582">
        <f t="shared" ca="1" si="78"/>
        <v>34.315128185902886</v>
      </c>
      <c r="V132" s="582">
        <f t="shared" ca="1" si="78"/>
        <v>33.469536942351084</v>
      </c>
      <c r="W132" s="582">
        <f t="shared" ca="1" si="78"/>
        <v>34.128779638735843</v>
      </c>
      <c r="X132" s="582">
        <f t="shared" ca="1" si="78"/>
        <v>33.932106104104193</v>
      </c>
      <c r="Y132" s="582">
        <f t="shared" ca="1" si="78"/>
        <v>33.503087718294935</v>
      </c>
      <c r="Z132" s="582">
        <f t="shared" ca="1" si="78"/>
        <v>34.36102682140092</v>
      </c>
      <c r="AA132" s="582">
        <f t="shared" ca="1" si="78"/>
        <v>34.189797451593236</v>
      </c>
      <c r="AB132" s="582">
        <f t="shared" ca="1" si="78"/>
        <v>33.49614337712805</v>
      </c>
      <c r="AC132" s="582">
        <f t="shared" ca="1" si="78"/>
        <v>34.161122664048641</v>
      </c>
      <c r="AD132" s="582">
        <f t="shared" ca="1" si="78"/>
        <v>34.535113338276155</v>
      </c>
      <c r="AE132" s="582">
        <f t="shared" ca="1" si="78"/>
        <v>34.136936610011389</v>
      </c>
      <c r="AF132" s="582">
        <f t="shared" ca="1" si="78"/>
        <v>34.158049458197453</v>
      </c>
      <c r="AG132" s="582">
        <f t="shared" ca="1" si="78"/>
        <v>34.266815209155894</v>
      </c>
      <c r="AH132" s="582">
        <f t="shared" ca="1" si="78"/>
        <v>34.412946610450028</v>
      </c>
      <c r="AI132" s="582">
        <f t="shared" ca="1" si="78"/>
        <v>34.196586821004466</v>
      </c>
      <c r="AJ132" s="582">
        <f t="shared" ca="1" si="78"/>
        <v>34.159653896966532</v>
      </c>
      <c r="AK132" s="582">
        <f t="shared" ca="1" si="78"/>
        <v>33.584960846327704</v>
      </c>
      <c r="AL132" s="582">
        <f t="shared" ca="1" si="78"/>
        <v>34.174879953390032</v>
      </c>
      <c r="AM132" s="582">
        <f t="shared" ca="1" si="78"/>
        <v>33.664032015716053</v>
      </c>
      <c r="AN132" s="582">
        <f t="shared" ca="1" si="78"/>
        <v>34.175038187982331</v>
      </c>
      <c r="AO132" s="582">
        <f t="shared" ca="1" si="78"/>
        <v>34.181071789752451</v>
      </c>
      <c r="AP132" s="98"/>
      <c r="AQ132" s="99"/>
    </row>
    <row r="133" spans="1:43" x14ac:dyDescent="0.25">
      <c r="A133" s="35" t="s">
        <v>1216</v>
      </c>
      <c r="B133" s="142"/>
      <c r="C133" s="581">
        <f>Impl_select!$H$17</f>
        <v>17.11214255185461</v>
      </c>
      <c r="D133" s="581">
        <f>Impl_select!$H$17</f>
        <v>17.11214255185461</v>
      </c>
      <c r="E133" s="581">
        <f>Impl_select!$H$17</f>
        <v>17.11214255185461</v>
      </c>
      <c r="F133" s="581">
        <f>Impl_select!$H$17</f>
        <v>17.11214255185461</v>
      </c>
      <c r="G133" s="581">
        <f>Impl_select!$H$17</f>
        <v>17.11214255185461</v>
      </c>
      <c r="H133" s="581">
        <f>Impl_select!$H$17</f>
        <v>17.11214255185461</v>
      </c>
      <c r="I133" s="581">
        <f>Impl_select!$H$17</f>
        <v>17.11214255185461</v>
      </c>
      <c r="J133" s="581">
        <f>Impl_select!$H$17</f>
        <v>17.11214255185461</v>
      </c>
      <c r="K133" s="581">
        <f>Impl_select!$H$17</f>
        <v>17.11214255185461</v>
      </c>
      <c r="L133" s="581">
        <f>Impl_select!$H$17</f>
        <v>17.11214255185461</v>
      </c>
      <c r="M133" s="581">
        <f>Impl_select!$H$17</f>
        <v>17.11214255185461</v>
      </c>
      <c r="N133" s="581">
        <f>Impl_select!$H$17</f>
        <v>17.11214255185461</v>
      </c>
      <c r="O133" s="581">
        <f>Impl_select!$H$17</f>
        <v>17.11214255185461</v>
      </c>
      <c r="P133" s="581">
        <f>Impl_select!$H$17</f>
        <v>17.11214255185461</v>
      </c>
      <c r="Q133" s="581">
        <f>Impl_select!$H$17</f>
        <v>17.11214255185461</v>
      </c>
      <c r="R133" s="581">
        <f>Impl_select!$H$17</f>
        <v>17.11214255185461</v>
      </c>
      <c r="S133" s="581">
        <f>Impl_select!$H$17</f>
        <v>17.11214255185461</v>
      </c>
      <c r="T133" s="581">
        <f>Impl_select!$H$17</f>
        <v>17.11214255185461</v>
      </c>
      <c r="U133" s="581">
        <f>Impl_select!$H$17</f>
        <v>17.11214255185461</v>
      </c>
      <c r="V133" s="581">
        <f>Impl_select!$H$17</f>
        <v>17.11214255185461</v>
      </c>
      <c r="W133" s="581">
        <f>Impl_select!$H$17</f>
        <v>17.11214255185461</v>
      </c>
      <c r="X133" s="581">
        <f>Impl_select!$H$17</f>
        <v>17.11214255185461</v>
      </c>
      <c r="Y133" s="581">
        <f>Impl_select!$H$17</f>
        <v>17.11214255185461</v>
      </c>
      <c r="Z133" s="581">
        <f>Impl_select!$H$17</f>
        <v>17.11214255185461</v>
      </c>
      <c r="AA133" s="581">
        <f>Impl_select!$H$17</f>
        <v>17.11214255185461</v>
      </c>
      <c r="AB133" s="581">
        <f>Impl_select!$H$17</f>
        <v>17.11214255185461</v>
      </c>
      <c r="AC133" s="581">
        <f>Impl_select!$H$17</f>
        <v>17.11214255185461</v>
      </c>
      <c r="AD133" s="581">
        <f>Impl_select!$H$17</f>
        <v>17.11214255185461</v>
      </c>
      <c r="AE133" s="581">
        <f>Impl_select!$H$17</f>
        <v>17.11214255185461</v>
      </c>
      <c r="AF133" s="581">
        <f>Impl_select!$H$17</f>
        <v>17.11214255185461</v>
      </c>
      <c r="AG133" s="581">
        <f>Impl_select!$H$17</f>
        <v>17.11214255185461</v>
      </c>
      <c r="AH133" s="581">
        <f>Impl_select!$H$17</f>
        <v>17.11214255185461</v>
      </c>
      <c r="AI133" s="581">
        <f>Impl_select!$H$17</f>
        <v>17.11214255185461</v>
      </c>
      <c r="AJ133" s="581">
        <f>Impl_select!$H$17</f>
        <v>17.11214255185461</v>
      </c>
      <c r="AK133" s="581">
        <f>Impl_select!$H$17</f>
        <v>17.11214255185461</v>
      </c>
      <c r="AL133" s="581">
        <f>Impl_select!$H$17</f>
        <v>17.11214255185461</v>
      </c>
      <c r="AM133" s="581">
        <f>Impl_select!$H$17</f>
        <v>17.11214255185461</v>
      </c>
      <c r="AN133" s="581">
        <f>Impl_select!$H$17</f>
        <v>17.11214255185461</v>
      </c>
      <c r="AO133" s="581">
        <f>Impl_select!$H$17</f>
        <v>17.11214255185461</v>
      </c>
      <c r="AP133" s="98"/>
      <c r="AQ133" s="99"/>
    </row>
    <row r="134" spans="1:43" x14ac:dyDescent="0.25">
      <c r="A134" s="34" t="s">
        <v>91</v>
      </c>
      <c r="B134" s="142"/>
      <c r="C134" s="581">
        <f>Impl_select!$H$33</f>
        <v>19.292857712206821</v>
      </c>
      <c r="D134" s="581">
        <f>Impl_select!$H$33</f>
        <v>19.292857712206821</v>
      </c>
      <c r="E134" s="581">
        <f>Impl_select!$H$33</f>
        <v>19.292857712206821</v>
      </c>
      <c r="F134" s="581">
        <f>Impl_select!$H$33</f>
        <v>19.292857712206821</v>
      </c>
      <c r="G134" s="581">
        <f>Impl_select!$H$33</f>
        <v>19.292857712206821</v>
      </c>
      <c r="H134" s="581">
        <f>Impl_select!$H$33</f>
        <v>19.292857712206821</v>
      </c>
      <c r="I134" s="581">
        <f>Impl_select!$H$33</f>
        <v>19.292857712206821</v>
      </c>
      <c r="J134" s="581">
        <f>Impl_select!$H$33</f>
        <v>19.292857712206821</v>
      </c>
      <c r="K134" s="581">
        <f>Impl_select!$H$33</f>
        <v>19.292857712206821</v>
      </c>
      <c r="L134" s="581">
        <f>Impl_select!$H$33</f>
        <v>19.292857712206821</v>
      </c>
      <c r="M134" s="581">
        <f>Impl_select!$H$33</f>
        <v>19.292857712206821</v>
      </c>
      <c r="N134" s="581">
        <f>Impl_select!$H$33</f>
        <v>19.292857712206821</v>
      </c>
      <c r="O134" s="581">
        <f>Impl_select!$H$33</f>
        <v>19.292857712206821</v>
      </c>
      <c r="P134" s="581">
        <f>Impl_select!$H$33</f>
        <v>19.292857712206821</v>
      </c>
      <c r="Q134" s="581">
        <f>Impl_select!$H$33</f>
        <v>19.292857712206821</v>
      </c>
      <c r="R134" s="581">
        <f>Impl_select!$H$33</f>
        <v>19.292857712206821</v>
      </c>
      <c r="S134" s="581">
        <f>Impl_select!$H$33</f>
        <v>19.292857712206821</v>
      </c>
      <c r="T134" s="581">
        <f>Impl_select!$H$33</f>
        <v>19.292857712206821</v>
      </c>
      <c r="U134" s="581">
        <f>Impl_select!$H$33</f>
        <v>19.292857712206821</v>
      </c>
      <c r="V134" s="581">
        <f>Impl_select!$H$33</f>
        <v>19.292857712206821</v>
      </c>
      <c r="W134" s="581">
        <f>Impl_select!$H$33</f>
        <v>19.292857712206821</v>
      </c>
      <c r="X134" s="581">
        <f>Impl_select!$H$33</f>
        <v>19.292857712206821</v>
      </c>
      <c r="Y134" s="581">
        <f>Impl_select!$H$33</f>
        <v>19.292857712206821</v>
      </c>
      <c r="Z134" s="581">
        <f>Impl_select!$H$33</f>
        <v>19.292857712206821</v>
      </c>
      <c r="AA134" s="581">
        <f>Impl_select!$H$33</f>
        <v>19.292857712206821</v>
      </c>
      <c r="AB134" s="581">
        <f>Impl_select!$H$33</f>
        <v>19.292857712206821</v>
      </c>
      <c r="AC134" s="581">
        <f>Impl_select!$H$33</f>
        <v>19.292857712206821</v>
      </c>
      <c r="AD134" s="581">
        <f>Impl_select!$H$33</f>
        <v>19.292857712206821</v>
      </c>
      <c r="AE134" s="581">
        <f>Impl_select!$H$33</f>
        <v>19.292857712206821</v>
      </c>
      <c r="AF134" s="581">
        <f>Impl_select!$H$33</f>
        <v>19.292857712206821</v>
      </c>
      <c r="AG134" s="581">
        <f>Impl_select!$H$33</f>
        <v>19.292857712206821</v>
      </c>
      <c r="AH134" s="581">
        <f>Impl_select!$H$33</f>
        <v>19.292857712206821</v>
      </c>
      <c r="AI134" s="581">
        <f>Impl_select!$H$33</f>
        <v>19.292857712206821</v>
      </c>
      <c r="AJ134" s="581">
        <f>Impl_select!$H$33</f>
        <v>19.292857712206821</v>
      </c>
      <c r="AK134" s="581">
        <f>Impl_select!$H$33</f>
        <v>19.292857712206821</v>
      </c>
      <c r="AL134" s="581">
        <f>Impl_select!$H$33</f>
        <v>19.292857712206821</v>
      </c>
      <c r="AM134" s="581">
        <f>Impl_select!$H$33</f>
        <v>19.292857712206821</v>
      </c>
      <c r="AN134" s="581">
        <f>Impl_select!$H$33</f>
        <v>19.292857712206821</v>
      </c>
      <c r="AO134" s="581">
        <f>Impl_select!$H$33</f>
        <v>19.292857712206821</v>
      </c>
      <c r="AP134" s="98"/>
      <c r="AQ134" s="99"/>
    </row>
    <row r="135" spans="1:43" x14ac:dyDescent="0.25">
      <c r="A135" s="34" t="s">
        <v>90</v>
      </c>
      <c r="B135" s="142"/>
      <c r="C135" s="582">
        <f t="shared" ref="C135:AO135" ca="1" si="79">IFERROR((C133*C117+C134*C118)/(C117+C118),0)</f>
        <v>17.970057578578746</v>
      </c>
      <c r="D135" s="582">
        <f t="shared" ca="1" si="79"/>
        <v>18.094061120902733</v>
      </c>
      <c r="E135" s="582">
        <f t="shared" ca="1" si="79"/>
        <v>17.742698755363332</v>
      </c>
      <c r="F135" s="582">
        <f t="shared" ca="1" si="79"/>
        <v>17.936832285180053</v>
      </c>
      <c r="G135" s="582">
        <f t="shared" ca="1" si="79"/>
        <v>18.125553922771072</v>
      </c>
      <c r="H135" s="582">
        <f t="shared" ca="1" si="79"/>
        <v>17.11214255185461</v>
      </c>
      <c r="I135" s="582">
        <f t="shared" ca="1" si="79"/>
        <v>17.600364170839704</v>
      </c>
      <c r="J135" s="582">
        <f t="shared" ca="1" si="79"/>
        <v>18.123193873140217</v>
      </c>
      <c r="K135" s="582">
        <f t="shared" ca="1" si="79"/>
        <v>18.093160482123569</v>
      </c>
      <c r="L135" s="582">
        <f t="shared" ca="1" si="79"/>
        <v>18.48688162832277</v>
      </c>
      <c r="M135" s="582">
        <f t="shared" ca="1" si="79"/>
        <v>19.242243345911504</v>
      </c>
      <c r="N135" s="582">
        <f t="shared" ca="1" si="79"/>
        <v>17.996532609238802</v>
      </c>
      <c r="O135" s="582">
        <f t="shared" ca="1" si="79"/>
        <v>18.060154511355314</v>
      </c>
      <c r="P135" s="582">
        <f t="shared" ca="1" si="79"/>
        <v>18.844421851047539</v>
      </c>
      <c r="Q135" s="582">
        <f t="shared" ca="1" si="79"/>
        <v>18.087647678199406</v>
      </c>
      <c r="R135" s="582">
        <f t="shared" ca="1" si="79"/>
        <v>18.762479680101848</v>
      </c>
      <c r="S135" s="582">
        <f t="shared" ca="1" si="79"/>
        <v>18.565952658756082</v>
      </c>
      <c r="T135" s="582">
        <f t="shared" ca="1" si="79"/>
        <v>17.91635660560015</v>
      </c>
      <c r="U135" s="582">
        <f t="shared" ca="1" si="79"/>
        <v>17.856777016011456</v>
      </c>
      <c r="V135" s="582">
        <f t="shared" ca="1" si="79"/>
        <v>19.20449699690959</v>
      </c>
      <c r="W135" s="582">
        <f t="shared" ca="1" si="79"/>
        <v>18.153783001283315</v>
      </c>
      <c r="X135" s="582">
        <f t="shared" ca="1" si="79"/>
        <v>18.467245154963603</v>
      </c>
      <c r="Y135" s="582">
        <f t="shared" ca="1" si="79"/>
        <v>19.15102310930849</v>
      </c>
      <c r="Z135" s="582">
        <f t="shared" ca="1" si="79"/>
        <v>17.783622866617918</v>
      </c>
      <c r="AA135" s="582">
        <f t="shared" ca="1" si="79"/>
        <v>18.056531609188493</v>
      </c>
      <c r="AB135" s="582">
        <f t="shared" ca="1" si="79"/>
        <v>19.162091137053757</v>
      </c>
      <c r="AC135" s="582">
        <f t="shared" ca="1" si="79"/>
        <v>18.102234050428919</v>
      </c>
      <c r="AD135" s="582">
        <f t="shared" ca="1" si="79"/>
        <v>17.506160346769416</v>
      </c>
      <c r="AE135" s="582">
        <f t="shared" ca="1" si="79"/>
        <v>18.140782259783805</v>
      </c>
      <c r="AF135" s="582">
        <f t="shared" ca="1" si="79"/>
        <v>18.107132186452262</v>
      </c>
      <c r="AG135" s="582">
        <f t="shared" ca="1" si="79"/>
        <v>17.933779190046625</v>
      </c>
      <c r="AH135" s="582">
        <f t="shared" ca="1" si="79"/>
        <v>17.700872084086647</v>
      </c>
      <c r="AI135" s="582">
        <f t="shared" ca="1" si="79"/>
        <v>18.045710578480104</v>
      </c>
      <c r="AJ135" s="582">
        <f t="shared" ca="1" si="79"/>
        <v>18.104575000336986</v>
      </c>
      <c r="AK135" s="582">
        <f t="shared" ca="1" si="79"/>
        <v>19.020532105067577</v>
      </c>
      <c r="AL135" s="582">
        <f t="shared" ca="1" si="79"/>
        <v>18.080307411677911</v>
      </c>
      <c r="AM135" s="582">
        <f t="shared" ca="1" si="79"/>
        <v>18.894506917708686</v>
      </c>
      <c r="AN135" s="582">
        <f t="shared" ca="1" si="79"/>
        <v>18.080055214267706</v>
      </c>
      <c r="AO135" s="582">
        <f t="shared" ca="1" si="79"/>
        <v>18.07043874091325</v>
      </c>
      <c r="AP135" s="98"/>
      <c r="AQ135" s="99"/>
    </row>
    <row r="136" spans="1:43" customFormat="1" ht="30" x14ac:dyDescent="0.25">
      <c r="A136" s="35" t="s">
        <v>1217</v>
      </c>
      <c r="B136" s="35"/>
      <c r="C136" s="38">
        <f>Impl_select!$H$18</f>
        <v>-17.670186826775499</v>
      </c>
      <c r="D136" s="38">
        <f>Impl_select!$H$18</f>
        <v>-17.670186826775499</v>
      </c>
      <c r="E136" s="38">
        <f>Impl_select!$H$18</f>
        <v>-17.670186826775499</v>
      </c>
      <c r="F136" s="38">
        <f>Impl_select!$H$18</f>
        <v>-17.670186826775499</v>
      </c>
      <c r="G136" s="38">
        <f>Impl_select!$H$18</f>
        <v>-17.670186826775499</v>
      </c>
      <c r="H136" s="38">
        <f>Impl_select!$H$18</f>
        <v>-17.670186826775499</v>
      </c>
      <c r="I136" s="38">
        <f>Impl_select!$H$18</f>
        <v>-17.670186826775499</v>
      </c>
      <c r="J136" s="38">
        <f>Impl_select!$H$18</f>
        <v>-17.670186826775499</v>
      </c>
      <c r="K136" s="38">
        <f>Impl_select!$H$18</f>
        <v>-17.670186826775499</v>
      </c>
      <c r="L136" s="38">
        <f>Impl_select!$H$18</f>
        <v>-17.670186826775499</v>
      </c>
      <c r="M136" s="38">
        <f>Impl_select!$H$18</f>
        <v>-17.670186826775499</v>
      </c>
      <c r="N136" s="38">
        <f>Impl_select!$H$18</f>
        <v>-17.670186826775499</v>
      </c>
      <c r="O136" s="38">
        <f>Impl_select!$H$18</f>
        <v>-17.670186826775499</v>
      </c>
      <c r="P136" s="38">
        <f>Impl_select!$H$18</f>
        <v>-17.670186826775499</v>
      </c>
      <c r="Q136" s="38">
        <f>Impl_select!$H$18</f>
        <v>-17.670186826775499</v>
      </c>
      <c r="R136" s="38">
        <f>Impl_select!$H$18</f>
        <v>-17.670186826775499</v>
      </c>
      <c r="S136" s="38">
        <f>Impl_select!$H$18</f>
        <v>-17.670186826775499</v>
      </c>
      <c r="T136" s="38">
        <f>Impl_select!$H$18</f>
        <v>-17.670186826775499</v>
      </c>
      <c r="U136" s="38">
        <f>Impl_select!$H$18</f>
        <v>-17.670186826775499</v>
      </c>
      <c r="V136" s="38">
        <f>Impl_select!$H$18</f>
        <v>-17.670186826775499</v>
      </c>
      <c r="W136" s="38">
        <f>Impl_select!$H$18</f>
        <v>-17.670186826775499</v>
      </c>
      <c r="X136" s="38">
        <f>Impl_select!$H$18</f>
        <v>-17.670186826775499</v>
      </c>
      <c r="Y136" s="38">
        <f>Impl_select!$H$18</f>
        <v>-17.670186826775499</v>
      </c>
      <c r="Z136" s="38">
        <f>Impl_select!$H$18</f>
        <v>-17.670186826775499</v>
      </c>
      <c r="AA136" s="38">
        <f>Impl_select!$H$18</f>
        <v>-17.670186826775499</v>
      </c>
      <c r="AB136" s="38">
        <f>Impl_select!$H$18</f>
        <v>-17.670186826775499</v>
      </c>
      <c r="AC136" s="38">
        <f>Impl_select!$H$18</f>
        <v>-17.670186826775499</v>
      </c>
      <c r="AD136" s="38">
        <f>Impl_select!$H$18</f>
        <v>-17.670186826775499</v>
      </c>
      <c r="AE136" s="38">
        <f>Impl_select!$H$18</f>
        <v>-17.670186826775499</v>
      </c>
      <c r="AF136" s="38">
        <f>Impl_select!$H$18</f>
        <v>-17.670186826775499</v>
      </c>
      <c r="AG136" s="38">
        <f>Impl_select!$H$18</f>
        <v>-17.670186826775499</v>
      </c>
      <c r="AH136" s="38">
        <f>Impl_select!$H$18</f>
        <v>-17.670186826775499</v>
      </c>
      <c r="AI136" s="38">
        <f>Impl_select!$H$18</f>
        <v>-17.670186826775499</v>
      </c>
      <c r="AJ136" s="38">
        <f>Impl_select!$H$18</f>
        <v>-17.670186826775499</v>
      </c>
      <c r="AK136" s="38">
        <f>Impl_select!$H$18</f>
        <v>-17.670186826775499</v>
      </c>
      <c r="AL136" s="38">
        <f>Impl_select!$H$18</f>
        <v>-17.670186826775499</v>
      </c>
      <c r="AM136" s="38">
        <f>Impl_select!$H$18</f>
        <v>-17.670186826775499</v>
      </c>
      <c r="AN136" s="38">
        <f>Impl_select!$H$18</f>
        <v>-17.670186826775499</v>
      </c>
      <c r="AO136" s="38">
        <f>Impl_select!$H$18</f>
        <v>-17.670186826775499</v>
      </c>
    </row>
    <row r="137" spans="1:43" customFormat="1" x14ac:dyDescent="0.25">
      <c r="A137" s="34" t="s">
        <v>91</v>
      </c>
      <c r="B137" s="34"/>
      <c r="C137" s="37">
        <f>Impl_select!$H$34</f>
        <v>-14.121239637210781</v>
      </c>
      <c r="D137" s="37">
        <f>Impl_select!$H$34</f>
        <v>-14.121239637210781</v>
      </c>
      <c r="E137" s="37">
        <f>Impl_select!$H$34</f>
        <v>-14.121239637210781</v>
      </c>
      <c r="F137" s="37">
        <f>Impl_select!$H$34</f>
        <v>-14.121239637210781</v>
      </c>
      <c r="G137" s="37">
        <f>Impl_select!$H$34</f>
        <v>-14.121239637210781</v>
      </c>
      <c r="H137" s="37">
        <f>Impl_select!$H$34</f>
        <v>-14.121239637210781</v>
      </c>
      <c r="I137" s="37">
        <f>Impl_select!$H$34</f>
        <v>-14.121239637210781</v>
      </c>
      <c r="J137" s="37">
        <f>Impl_select!$H$34</f>
        <v>-14.121239637210781</v>
      </c>
      <c r="K137" s="37">
        <f>Impl_select!$H$34</f>
        <v>-14.121239637210781</v>
      </c>
      <c r="L137" s="37">
        <f>Impl_select!$H$34</f>
        <v>-14.121239637210781</v>
      </c>
      <c r="M137" s="37">
        <f>Impl_select!$H$34</f>
        <v>-14.121239637210781</v>
      </c>
      <c r="N137" s="37">
        <f>Impl_select!$H$34</f>
        <v>-14.121239637210781</v>
      </c>
      <c r="O137" s="37">
        <f>Impl_select!$H$34</f>
        <v>-14.121239637210781</v>
      </c>
      <c r="P137" s="37">
        <f>Impl_select!$H$34</f>
        <v>-14.121239637210781</v>
      </c>
      <c r="Q137" s="37">
        <f>Impl_select!$H$34</f>
        <v>-14.121239637210781</v>
      </c>
      <c r="R137" s="37">
        <f>Impl_select!$H$34</f>
        <v>-14.121239637210781</v>
      </c>
      <c r="S137" s="37">
        <f>Impl_select!$H$34</f>
        <v>-14.121239637210781</v>
      </c>
      <c r="T137" s="37">
        <f>Impl_select!$H$34</f>
        <v>-14.121239637210781</v>
      </c>
      <c r="U137" s="37">
        <f>Impl_select!$H$34</f>
        <v>-14.121239637210781</v>
      </c>
      <c r="V137" s="37">
        <f>Impl_select!$H$34</f>
        <v>-14.121239637210781</v>
      </c>
      <c r="W137" s="37">
        <f>Impl_select!$H$34</f>
        <v>-14.121239637210781</v>
      </c>
      <c r="X137" s="37">
        <f>Impl_select!$H$34</f>
        <v>-14.121239637210781</v>
      </c>
      <c r="Y137" s="37">
        <f>Impl_select!$H$34</f>
        <v>-14.121239637210781</v>
      </c>
      <c r="Z137" s="37">
        <f>Impl_select!$H$34</f>
        <v>-14.121239637210781</v>
      </c>
      <c r="AA137" s="37">
        <f>Impl_select!$H$34</f>
        <v>-14.121239637210781</v>
      </c>
      <c r="AB137" s="37">
        <f>Impl_select!$H$34</f>
        <v>-14.121239637210781</v>
      </c>
      <c r="AC137" s="37">
        <f>Impl_select!$H$34</f>
        <v>-14.121239637210781</v>
      </c>
      <c r="AD137" s="37">
        <f>Impl_select!$H$34</f>
        <v>-14.121239637210781</v>
      </c>
      <c r="AE137" s="37">
        <f>Impl_select!$H$34</f>
        <v>-14.121239637210781</v>
      </c>
      <c r="AF137" s="37">
        <f>Impl_select!$H$34</f>
        <v>-14.121239637210781</v>
      </c>
      <c r="AG137" s="37">
        <f>Impl_select!$H$34</f>
        <v>-14.121239637210781</v>
      </c>
      <c r="AH137" s="37">
        <f>Impl_select!$H$34</f>
        <v>-14.121239637210781</v>
      </c>
      <c r="AI137" s="37">
        <f>Impl_select!$H$34</f>
        <v>-14.121239637210781</v>
      </c>
      <c r="AJ137" s="37">
        <f>Impl_select!$H$34</f>
        <v>-14.121239637210781</v>
      </c>
      <c r="AK137" s="37">
        <f>Impl_select!$H$34</f>
        <v>-14.121239637210781</v>
      </c>
      <c r="AL137" s="37">
        <f>Impl_select!$H$34</f>
        <v>-14.121239637210781</v>
      </c>
      <c r="AM137" s="37">
        <f>Impl_select!$H$34</f>
        <v>-14.121239637210781</v>
      </c>
      <c r="AN137" s="37">
        <f>Impl_select!$H$34</f>
        <v>-14.121239637210781</v>
      </c>
      <c r="AO137" s="37">
        <f>Impl_select!$H$34</f>
        <v>-14.121239637210781</v>
      </c>
    </row>
    <row r="138" spans="1:43" customFormat="1" x14ac:dyDescent="0.25">
      <c r="A138" s="34" t="s">
        <v>90</v>
      </c>
      <c r="B138" s="34"/>
      <c r="C138" s="36">
        <f t="shared" ref="C138:AO138" ca="1" si="80">IFERROR((C136*C117+C137*C118)/(C117+C118),0)</f>
        <v>-16.273995715559398</v>
      </c>
      <c r="D138" s="36">
        <f t="shared" ca="1" si="80"/>
        <v>-16.072189431534799</v>
      </c>
      <c r="E138" s="36">
        <f t="shared" ca="1" si="80"/>
        <v>-16.644004816859336</v>
      </c>
      <c r="F138" s="36">
        <f t="shared" ca="1" si="80"/>
        <v>-16.328067340214261</v>
      </c>
      <c r="G138" s="36">
        <f t="shared" ca="1" si="80"/>
        <v>-16.020937304382105</v>
      </c>
      <c r="H138" s="36">
        <f t="shared" ca="1" si="80"/>
        <v>-17.670186826775499</v>
      </c>
      <c r="I138" s="36">
        <f t="shared" ca="1" si="80"/>
        <v>-16.875643470502393</v>
      </c>
      <c r="J138" s="36">
        <f t="shared" ca="1" si="80"/>
        <v>-16.024778104710801</v>
      </c>
      <c r="K138" s="36">
        <f t="shared" ca="1" si="80"/>
        <v>-16.073655152286523</v>
      </c>
      <c r="L138" s="36">
        <f t="shared" ca="1" si="80"/>
        <v>-15.432904090121127</v>
      </c>
      <c r="M138" s="36">
        <f t="shared" ca="1" si="80"/>
        <v>-14.203610648464888</v>
      </c>
      <c r="N138" s="36">
        <f t="shared" ca="1" si="80"/>
        <v>-16.230909627397622</v>
      </c>
      <c r="O138" s="36">
        <f t="shared" ca="1" si="80"/>
        <v>-16.127369846129408</v>
      </c>
      <c r="P138" s="36">
        <f t="shared" ca="1" si="80"/>
        <v>-14.851034714576238</v>
      </c>
      <c r="Q138" s="36">
        <f t="shared" ca="1" si="80"/>
        <v>-16.082626819173147</v>
      </c>
      <c r="R138" s="36">
        <f t="shared" ca="1" si="80"/>
        <v>-14.984389332626211</v>
      </c>
      <c r="S138" s="36">
        <f t="shared" ca="1" si="80"/>
        <v>-15.304222033732355</v>
      </c>
      <c r="T138" s="36">
        <f t="shared" ca="1" si="80"/>
        <v>-16.36138994319364</v>
      </c>
      <c r="U138" s="36">
        <f t="shared" ca="1" si="80"/>
        <v>-16.458351169891429</v>
      </c>
      <c r="V138" s="36">
        <f t="shared" ca="1" si="80"/>
        <v>-14.265039945441492</v>
      </c>
      <c r="W138" s="36">
        <f t="shared" ca="1" si="80"/>
        <v>-15.974996637452529</v>
      </c>
      <c r="X138" s="36">
        <f t="shared" ca="1" si="80"/>
        <v>-15.46486094914059</v>
      </c>
      <c r="Y138" s="36">
        <f t="shared" ca="1" si="80"/>
        <v>-14.352064608986449</v>
      </c>
      <c r="Z138" s="36">
        <f t="shared" ca="1" si="80"/>
        <v>-16.577403954782998</v>
      </c>
      <c r="AA138" s="36">
        <f t="shared" ca="1" si="80"/>
        <v>-16.133265842404743</v>
      </c>
      <c r="AB138" s="36">
        <f t="shared" ca="1" si="80"/>
        <v>-14.334052240074291</v>
      </c>
      <c r="AC138" s="36">
        <f t="shared" ca="1" si="80"/>
        <v>-16.058888613619725</v>
      </c>
      <c r="AD138" s="36">
        <f t="shared" ca="1" si="80"/>
        <v>-17.028952991506735</v>
      </c>
      <c r="AE138" s="36">
        <f t="shared" ca="1" si="80"/>
        <v>-15.996154350227586</v>
      </c>
      <c r="AF138" s="36">
        <f t="shared" ca="1" si="80"/>
        <v>-16.050917271745192</v>
      </c>
      <c r="AG138" s="36">
        <f t="shared" ca="1" si="80"/>
        <v>-16.333036019109269</v>
      </c>
      <c r="AH138" s="36">
        <f t="shared" ca="1" si="80"/>
        <v>-16.712074526363381</v>
      </c>
      <c r="AI138" s="36">
        <f t="shared" ca="1" si="80"/>
        <v>-16.150876242524362</v>
      </c>
      <c r="AJ138" s="36">
        <f t="shared" ca="1" si="80"/>
        <v>-16.055078896629549</v>
      </c>
      <c r="AK138" s="36">
        <f t="shared" ca="1" si="80"/>
        <v>-14.564428741260132</v>
      </c>
      <c r="AL138" s="36">
        <f t="shared" ca="1" si="80"/>
        <v>-16.094572541712125</v>
      </c>
      <c r="AM138" s="36">
        <f t="shared" ca="1" si="80"/>
        <v>-14.769525098007364</v>
      </c>
      <c r="AN138" s="36">
        <f t="shared" ca="1" si="80"/>
        <v>-16.094982973714632</v>
      </c>
      <c r="AO138" s="36">
        <f t="shared" ca="1" si="80"/>
        <v>-16.110633048839205</v>
      </c>
    </row>
    <row r="139" spans="1:43" customFormat="1" x14ac:dyDescent="0.25">
      <c r="A139" s="35" t="s">
        <v>1218</v>
      </c>
      <c r="B139" s="35"/>
      <c r="C139" s="5">
        <f t="shared" ref="C139:AO139" ca="1" si="81">(-C117)*C130+C117*C133</f>
        <v>-599222.86835779983</v>
      </c>
      <c r="D139" s="5">
        <f t="shared" ca="1" si="81"/>
        <v>-10767.376209761585</v>
      </c>
      <c r="E139" s="5">
        <f t="shared" ca="1" si="81"/>
        <v>-341628.22273254488</v>
      </c>
      <c r="F139" s="5">
        <f t="shared" ca="1" si="81"/>
        <v>-593343.50883236062</v>
      </c>
      <c r="G139" s="5">
        <f t="shared" ca="1" si="81"/>
        <v>-1268725.8523241812</v>
      </c>
      <c r="H139" s="5">
        <f t="shared" ca="1" si="81"/>
        <v>-6.2590688309376086E-2</v>
      </c>
      <c r="I139" s="5">
        <f t="shared" ca="1" si="81"/>
        <v>-467728.77045898512</v>
      </c>
      <c r="J139" s="5">
        <f t="shared" ca="1" si="81"/>
        <v>-1922073.2889650359</v>
      </c>
      <c r="K139" s="5">
        <f t="shared" ca="1" si="81"/>
        <v>-538437.82142470265</v>
      </c>
      <c r="L139" s="5">
        <f t="shared" ca="1" si="81"/>
        <v>-629863.84481535747</v>
      </c>
      <c r="M139" s="5">
        <f t="shared" ca="1" si="81"/>
        <v>-589.77619882222268</v>
      </c>
      <c r="N139" s="5">
        <f t="shared" ca="1" si="81"/>
        <v>-2602.5986846866067</v>
      </c>
      <c r="O139" s="5">
        <f t="shared" ca="1" si="81"/>
        <v>-892859.90708302159</v>
      </c>
      <c r="P139" s="5">
        <f t="shared" ca="1" si="81"/>
        <v>-81450.832903761548</v>
      </c>
      <c r="Q139" s="5">
        <f t="shared" ca="1" si="81"/>
        <v>-290268.06544948195</v>
      </c>
      <c r="R139" s="5">
        <f t="shared" ca="1" si="81"/>
        <v>-56285.731050110255</v>
      </c>
      <c r="S139" s="5">
        <f t="shared" ca="1" si="81"/>
        <v>-2.304460302187687</v>
      </c>
      <c r="T139" s="5">
        <f t="shared" ca="1" si="81"/>
        <v>-30206.91088651005</v>
      </c>
      <c r="U139" s="5">
        <f t="shared" ca="1" si="81"/>
        <v>-9.1899553082949872</v>
      </c>
      <c r="V139" s="5">
        <f t="shared" ca="1" si="81"/>
        <v>-70.568373878651627</v>
      </c>
      <c r="W139" s="5">
        <f t="shared" ca="1" si="81"/>
        <v>-36756.220136301687</v>
      </c>
      <c r="X139" s="5">
        <f t="shared" ca="1" si="81"/>
        <v>-131559.65452245664</v>
      </c>
      <c r="Y139" s="5">
        <f t="shared" ca="1" si="81"/>
        <v>-473.05264321737917</v>
      </c>
      <c r="Z139" s="5">
        <f t="shared" ca="1" si="81"/>
        <v>-797993.25862050557</v>
      </c>
      <c r="AA139" s="5">
        <f t="shared" ca="1" si="81"/>
        <v>-3012491.3559532533</v>
      </c>
      <c r="AB139" s="5">
        <f t="shared" ca="1" si="81"/>
        <v>-2303.6382936967293</v>
      </c>
      <c r="AC139" s="5">
        <f t="shared" ca="1" si="81"/>
        <v>-1478117.7950703427</v>
      </c>
      <c r="AD139" s="5">
        <f t="shared" ca="1" si="81"/>
        <v>-933.86028227012014</v>
      </c>
      <c r="AE139" s="5">
        <f t="shared" ca="1" si="81"/>
        <v>-89126.291261942213</v>
      </c>
      <c r="AF139" s="5">
        <f t="shared" ca="1" si="81"/>
        <v>-87048.553210585203</v>
      </c>
      <c r="AG139" s="5">
        <f t="shared" ca="1" si="81"/>
        <v>-182195.09039581494</v>
      </c>
      <c r="AH139" s="5">
        <f t="shared" ca="1" si="81"/>
        <v>-20605.025580723293</v>
      </c>
      <c r="AI139" s="5">
        <f t="shared" ca="1" si="81"/>
        <v>-1921063.6894573031</v>
      </c>
      <c r="AJ139" s="5">
        <f t="shared" ca="1" si="81"/>
        <v>-122628.76525403598</v>
      </c>
      <c r="AK139" s="5">
        <f t="shared" ca="1" si="81"/>
        <v>-30783.574346149453</v>
      </c>
      <c r="AL139" s="5">
        <f t="shared" ca="1" si="81"/>
        <v>-700772.28510148858</v>
      </c>
      <c r="AM139" s="5">
        <f t="shared" ca="1" si="81"/>
        <v>-110449.79964197059</v>
      </c>
      <c r="AN139" s="5">
        <f t="shared" ca="1" si="81"/>
        <v>-930550.54805440898</v>
      </c>
      <c r="AO139" s="5">
        <f t="shared" ca="1" si="81"/>
        <v>-1227648.0967378295</v>
      </c>
    </row>
    <row r="140" spans="1:43" customFormat="1" x14ac:dyDescent="0.25">
      <c r="A140" s="34" t="s">
        <v>91</v>
      </c>
      <c r="B140" s="34"/>
      <c r="C140" s="5">
        <f t="shared" ref="C140:AO140" ca="1" si="82">(-C118)*C131+C118*C134</f>
        <v>-310577.58276164904</v>
      </c>
      <c r="D140" s="5">
        <f t="shared" ca="1" si="82"/>
        <v>-7048.091651020326</v>
      </c>
      <c r="E140" s="5">
        <f t="shared" ca="1" si="82"/>
        <v>-111053.68962890381</v>
      </c>
      <c r="F140" s="5">
        <f t="shared" ca="1" si="82"/>
        <v>-288377.00839181215</v>
      </c>
      <c r="G140" s="5">
        <f t="shared" ca="1" si="82"/>
        <v>-880240.50419388665</v>
      </c>
      <c r="H140" s="5">
        <f t="shared" ca="1" si="82"/>
        <v>0</v>
      </c>
      <c r="I140" s="5">
        <f t="shared" ca="1" si="82"/>
        <v>-107824.07790532373</v>
      </c>
      <c r="J140" s="5">
        <f t="shared" ca="1" si="82"/>
        <v>-1327742.2115803277</v>
      </c>
      <c r="K140" s="5">
        <f t="shared" ca="1" si="82"/>
        <v>-351862.1314219021</v>
      </c>
      <c r="L140" s="5">
        <f t="shared" ca="1" si="82"/>
        <v>-858571.53169146762</v>
      </c>
      <c r="M140" s="5">
        <f t="shared" ca="1" si="82"/>
        <v>-19835.596916626684</v>
      </c>
      <c r="N140" s="5">
        <f t="shared" ca="1" si="82"/>
        <v>-1418.9556056137474</v>
      </c>
      <c r="O140" s="5">
        <f t="shared" ca="1" si="82"/>
        <v>-548744.64617844729</v>
      </c>
      <c r="P140" s="5">
        <f t="shared" ca="1" si="82"/>
        <v>-251446.03482966765</v>
      </c>
      <c r="Q140" s="5">
        <f t="shared" ca="1" si="82"/>
        <v>-187757.70037780728</v>
      </c>
      <c r="R140" s="5">
        <f t="shared" ca="1" si="82"/>
        <v>-139964.25459415044</v>
      </c>
      <c r="S140" s="5">
        <f t="shared" ca="1" si="82"/>
        <v>-3.6832475491794012</v>
      </c>
      <c r="T140" s="5">
        <f t="shared" ca="1" si="82"/>
        <v>-14103.700906380414</v>
      </c>
      <c r="U140" s="5">
        <f t="shared" ca="1" si="82"/>
        <v>-3.8081089897985549</v>
      </c>
      <c r="V140" s="5">
        <f t="shared" ca="1" si="82"/>
        <v>-1335.4198419768829</v>
      </c>
      <c r="W140" s="5">
        <f t="shared" ca="1" si="82"/>
        <v>-26861.369556219448</v>
      </c>
      <c r="X140" s="5">
        <f t="shared" ca="1" si="82"/>
        <v>-172564.03845353654</v>
      </c>
      <c r="Y140" s="5">
        <f t="shared" ca="1" si="82"/>
        <v>-5434.3892516599972</v>
      </c>
      <c r="Z140" s="5">
        <f t="shared" ca="1" si="82"/>
        <v>-283731.37702550023</v>
      </c>
      <c r="AA140" s="5">
        <f t="shared" ca="1" si="82"/>
        <v>-1838973.1935809087</v>
      </c>
      <c r="AB140" s="5">
        <f t="shared" ca="1" si="82"/>
        <v>-28859.725113219254</v>
      </c>
      <c r="AC140" s="5">
        <f t="shared" ca="1" si="82"/>
        <v>-982294.13152382453</v>
      </c>
      <c r="AD140" s="5">
        <f t="shared" ca="1" si="82"/>
        <v>-164.58051836487783</v>
      </c>
      <c r="AE140" s="5">
        <f t="shared" ca="1" si="82"/>
        <v>-63594.547092075692</v>
      </c>
      <c r="AF140" s="5">
        <f t="shared" ca="1" si="82"/>
        <v>-58375.098483807524</v>
      </c>
      <c r="AG140" s="5">
        <f t="shared" ca="1" si="82"/>
        <v>-88024.506577264081</v>
      </c>
      <c r="AH140" s="5">
        <f t="shared" ca="1" si="82"/>
        <v>-6089.4983722723628</v>
      </c>
      <c r="AI140" s="5">
        <f t="shared" ca="1" si="82"/>
        <v>-1149216.1525545104</v>
      </c>
      <c r="AJ140" s="5">
        <f t="shared" ca="1" si="82"/>
        <v>-81847.461425847112</v>
      </c>
      <c r="AK140" s="5">
        <f t="shared" ca="1" si="82"/>
        <v>-172396.83044934433</v>
      </c>
      <c r="AL140" s="5">
        <f t="shared" ca="1" si="82"/>
        <v>-447155.06174593349</v>
      </c>
      <c r="AM140" s="5">
        <f t="shared" ca="1" si="82"/>
        <v>-394936.63120081008</v>
      </c>
      <c r="AN140" s="5">
        <f t="shared" ca="1" si="82"/>
        <v>-593495.92256530339</v>
      </c>
      <c r="AO140" s="5">
        <f t="shared" ca="1" si="82"/>
        <v>-769104.32989345631</v>
      </c>
    </row>
    <row r="141" spans="1:43" customFormat="1" x14ac:dyDescent="0.25">
      <c r="A141" s="34" t="s">
        <v>90</v>
      </c>
      <c r="B141" s="34"/>
      <c r="C141" s="5">
        <f t="shared" ref="C141:AO141" ca="1" si="83">C138*C119</f>
        <v>-654751.66055991862</v>
      </c>
      <c r="D141" s="5">
        <f t="shared" ca="1" si="83"/>
        <v>-104082.82587100031</v>
      </c>
      <c r="E141" s="5">
        <f t="shared" ca="1" si="83"/>
        <v>-56205.264407115545</v>
      </c>
      <c r="F141" s="5">
        <f t="shared" ca="1" si="83"/>
        <v>-123135.62320807824</v>
      </c>
      <c r="G141" s="5">
        <f t="shared" ca="1" si="83"/>
        <v>-75225.233472139429</v>
      </c>
      <c r="H141" s="5">
        <f t="shared" ca="1" si="83"/>
        <v>-32.568073432806194</v>
      </c>
      <c r="I141" s="5">
        <f t="shared" ca="1" si="83"/>
        <v>-121049.36106281989</v>
      </c>
      <c r="J141" s="5">
        <f t="shared" ca="1" si="83"/>
        <v>-91505.414854766917</v>
      </c>
      <c r="K141" s="5">
        <f t="shared" ca="1" si="83"/>
        <v>-44932.501301793462</v>
      </c>
      <c r="L141" s="5">
        <f t="shared" ca="1" si="83"/>
        <v>-240368.69816167152</v>
      </c>
      <c r="M141" s="5">
        <f t="shared" ca="1" si="83"/>
        <v>-5537.8518636128365</v>
      </c>
      <c r="N141" s="5">
        <f t="shared" ca="1" si="83"/>
        <v>-24423.312943002384</v>
      </c>
      <c r="O141" s="5">
        <f t="shared" ca="1" si="83"/>
        <v>-64237.767956840289</v>
      </c>
      <c r="P141" s="5">
        <f t="shared" ca="1" si="83"/>
        <v>-290640.99799930275</v>
      </c>
      <c r="Q141" s="5">
        <f t="shared" ca="1" si="83"/>
        <v>-7589.1487435141635</v>
      </c>
      <c r="R141" s="5">
        <f t="shared" ca="1" si="83"/>
        <v>-62965.530277722763</v>
      </c>
      <c r="S141" s="5">
        <f t="shared" ca="1" si="83"/>
        <v>-13.353070836352225</v>
      </c>
      <c r="T141" s="5">
        <f t="shared" ca="1" si="83"/>
        <v>-34461.247261679717</v>
      </c>
      <c r="U141" s="5">
        <f t="shared" ca="1" si="83"/>
        <v>-43.359110857886314</v>
      </c>
      <c r="V141" s="5">
        <f t="shared" ca="1" si="83"/>
        <v>-5964.5739344430485</v>
      </c>
      <c r="W141" s="5">
        <f t="shared" ca="1" si="83"/>
        <v>-1340.3610799805385</v>
      </c>
      <c r="X141" s="5">
        <f t="shared" ca="1" si="83"/>
        <v>-46915.341314724137</v>
      </c>
      <c r="Y141" s="5">
        <f t="shared" ca="1" si="83"/>
        <v>-4353.8866888106359</v>
      </c>
      <c r="Z141" s="5">
        <f t="shared" ca="1" si="83"/>
        <v>-73379.03498686073</v>
      </c>
      <c r="AA141" s="5">
        <f t="shared" ca="1" si="83"/>
        <v>-229028.12975549302</v>
      </c>
      <c r="AB141" s="5">
        <f t="shared" ca="1" si="83"/>
        <v>-55877.72638557609</v>
      </c>
      <c r="AC141" s="5">
        <f t="shared" ca="1" si="83"/>
        <v>-658038.51364770706</v>
      </c>
      <c r="AD141" s="5">
        <f t="shared" ca="1" si="83"/>
        <v>-905.66067658844622</v>
      </c>
      <c r="AE141" s="5">
        <f t="shared" ca="1" si="83"/>
        <v>-15233.403850389404</v>
      </c>
      <c r="AF141" s="5">
        <f t="shared" ca="1" si="83"/>
        <v>-18544.351520226432</v>
      </c>
      <c r="AG141" s="5">
        <f t="shared" ca="1" si="83"/>
        <v>-38414.641194571166</v>
      </c>
      <c r="AH141" s="5">
        <f t="shared" ca="1" si="83"/>
        <v>-5149.1495087831636</v>
      </c>
      <c r="AI141" s="5">
        <f t="shared" ca="1" si="83"/>
        <v>-90284.116938072126</v>
      </c>
      <c r="AJ141" s="5">
        <f t="shared" ca="1" si="83"/>
        <v>-31085.890497516517</v>
      </c>
      <c r="AK141" s="5">
        <f t="shared" ca="1" si="83"/>
        <v>-38744.867915772462</v>
      </c>
      <c r="AL141" s="5">
        <f t="shared" ca="1" si="83"/>
        <v>-43597.119652303743</v>
      </c>
      <c r="AM141" s="5">
        <f t="shared" ca="1" si="83"/>
        <v>-134531.86794566837</v>
      </c>
      <c r="AN141" s="5">
        <f t="shared" ca="1" si="83"/>
        <v>-33758.067720531857</v>
      </c>
      <c r="AO141" s="5">
        <f t="shared" ca="1" si="83"/>
        <v>-18509.841829075605</v>
      </c>
    </row>
    <row r="142" spans="1:43" customFormat="1" x14ac:dyDescent="0.25">
      <c r="A142" s="34" t="s">
        <v>1219</v>
      </c>
      <c r="B142" s="34"/>
      <c r="C142" s="5">
        <f t="shared" ref="C142:AO142" ca="1" si="84">SUM(C139:C141)</f>
        <v>-1564552.1116793675</v>
      </c>
      <c r="D142" s="5">
        <f t="shared" ca="1" si="84"/>
        <v>-121898.29373178222</v>
      </c>
      <c r="E142" s="5">
        <f t="shared" ca="1" si="84"/>
        <v>-508887.17676856421</v>
      </c>
      <c r="F142" s="5">
        <f t="shared" ca="1" si="84"/>
        <v>-1004856.140432251</v>
      </c>
      <c r="G142" s="5">
        <f t="shared" ca="1" si="84"/>
        <v>-2224191.5899902075</v>
      </c>
      <c r="H142" s="5">
        <f t="shared" ca="1" si="84"/>
        <v>-32.630664121115572</v>
      </c>
      <c r="I142" s="5">
        <f t="shared" ca="1" si="84"/>
        <v>-696602.20942712878</v>
      </c>
      <c r="J142" s="5">
        <f t="shared" ca="1" si="84"/>
        <v>-3341320.9154001307</v>
      </c>
      <c r="K142" s="5">
        <f t="shared" ca="1" si="84"/>
        <v>-935232.45414839825</v>
      </c>
      <c r="L142" s="5">
        <f t="shared" ca="1" si="84"/>
        <v>-1728804.0746684964</v>
      </c>
      <c r="M142" s="5">
        <f t="shared" ca="1" si="84"/>
        <v>-25963.224979061742</v>
      </c>
      <c r="N142" s="5">
        <f t="shared" ca="1" si="84"/>
        <v>-28444.867233302739</v>
      </c>
      <c r="O142" s="5">
        <f t="shared" ca="1" si="84"/>
        <v>-1505842.3212183092</v>
      </c>
      <c r="P142" s="5">
        <f t="shared" ca="1" si="84"/>
        <v>-623537.865732732</v>
      </c>
      <c r="Q142" s="5">
        <f t="shared" ca="1" si="84"/>
        <v>-485614.91457080335</v>
      </c>
      <c r="R142" s="5">
        <f t="shared" ca="1" si="84"/>
        <v>-259215.51592198346</v>
      </c>
      <c r="S142" s="5">
        <f t="shared" ca="1" si="84"/>
        <v>-19.340778687719315</v>
      </c>
      <c r="T142" s="5">
        <f t="shared" ca="1" si="84"/>
        <v>-78771.859054570174</v>
      </c>
      <c r="U142" s="5">
        <f t="shared" ca="1" si="84"/>
        <v>-56.35717515597986</v>
      </c>
      <c r="V142" s="5">
        <f t="shared" ca="1" si="84"/>
        <v>-7370.5621502985832</v>
      </c>
      <c r="W142" s="5">
        <f t="shared" ca="1" si="84"/>
        <v>-64957.950772501674</v>
      </c>
      <c r="X142" s="5">
        <f t="shared" ca="1" si="84"/>
        <v>-351039.03429071727</v>
      </c>
      <c r="Y142" s="5">
        <f t="shared" ca="1" si="84"/>
        <v>-10261.328583688013</v>
      </c>
      <c r="Z142" s="5">
        <f t="shared" ca="1" si="84"/>
        <v>-1155103.6706328667</v>
      </c>
      <c r="AA142" s="5">
        <f t="shared" ca="1" si="84"/>
        <v>-5080492.6792896558</v>
      </c>
      <c r="AB142" s="5">
        <f t="shared" ca="1" si="84"/>
        <v>-87041.089792492072</v>
      </c>
      <c r="AC142" s="5">
        <f t="shared" ca="1" si="84"/>
        <v>-3118450.4402418742</v>
      </c>
      <c r="AD142" s="5">
        <f t="shared" ca="1" si="84"/>
        <v>-2004.1014772234441</v>
      </c>
      <c r="AE142" s="5">
        <f t="shared" ca="1" si="84"/>
        <v>-167954.24220440732</v>
      </c>
      <c r="AF142" s="5">
        <f t="shared" ca="1" si="84"/>
        <v>-163968.00321461915</v>
      </c>
      <c r="AG142" s="5">
        <f t="shared" ca="1" si="84"/>
        <v>-308634.23816765018</v>
      </c>
      <c r="AH142" s="5">
        <f t="shared" ca="1" si="84"/>
        <v>-31843.673461778821</v>
      </c>
      <c r="AI142" s="5">
        <f t="shared" ca="1" si="84"/>
        <v>-3160563.9589498858</v>
      </c>
      <c r="AJ142" s="5">
        <f t="shared" ca="1" si="84"/>
        <v>-235562.1171773996</v>
      </c>
      <c r="AK142" s="5">
        <f t="shared" ca="1" si="84"/>
        <v>-241925.27271126624</v>
      </c>
      <c r="AL142" s="5">
        <f t="shared" ca="1" si="84"/>
        <v>-1191524.4664997256</v>
      </c>
      <c r="AM142" s="5">
        <f t="shared" ca="1" si="84"/>
        <v>-639918.29878844903</v>
      </c>
      <c r="AN142" s="5">
        <f t="shared" ca="1" si="84"/>
        <v>-1557804.5383402444</v>
      </c>
      <c r="AO142" s="5">
        <f t="shared" ca="1" si="84"/>
        <v>-2015262.2684603615</v>
      </c>
      <c r="AP142" s="33">
        <f ca="1">SUM(C142:AO142)</f>
        <v>-34725525.79878217</v>
      </c>
    </row>
    <row r="144" spans="1:43" x14ac:dyDescent="0.25">
      <c r="A144" s="32" t="s">
        <v>89</v>
      </c>
      <c r="B144" s="32"/>
      <c r="C144" s="557">
        <f t="shared" ref="C144:AO144" ca="1" si="85">(C110*C10)+((1-C113)*C9)+C112*C129</f>
        <v>8.0442056035694043E-2</v>
      </c>
      <c r="D144" s="557">
        <f t="shared" ca="1" si="85"/>
        <v>9.119472694210462E-2</v>
      </c>
      <c r="E144" s="557">
        <f t="shared" ca="1" si="85"/>
        <v>0.1035446718170723</v>
      </c>
      <c r="F144" s="557">
        <f t="shared" ca="1" si="85"/>
        <v>9.3490656212970064E-2</v>
      </c>
      <c r="G144" s="557">
        <f t="shared" ca="1" si="85"/>
        <v>0.13235622527567009</v>
      </c>
      <c r="H144" s="557">
        <f t="shared" ca="1" si="85"/>
        <v>2.0847825157333261E-3</v>
      </c>
      <c r="I144" s="557">
        <f t="shared" ca="1" si="85"/>
        <v>6.4103332918830636E-2</v>
      </c>
      <c r="J144" s="557">
        <f t="shared" ca="1" si="85"/>
        <v>0.13945488508753057</v>
      </c>
      <c r="K144" s="557">
        <f t="shared" ca="1" si="85"/>
        <v>0.15234195983366799</v>
      </c>
      <c r="L144" s="557">
        <f t="shared" ca="1" si="85"/>
        <v>0.12280885153088816</v>
      </c>
      <c r="M144" s="557">
        <f t="shared" ca="1" si="85"/>
        <v>4.8716539240166359E-3</v>
      </c>
      <c r="N144" s="557">
        <f t="shared" ca="1" si="85"/>
        <v>3.2696923511904098E-2</v>
      </c>
      <c r="O144" s="557">
        <f t="shared" ca="1" si="85"/>
        <v>0.12974211619086851</v>
      </c>
      <c r="P144" s="557">
        <f t="shared" ca="1" si="85"/>
        <v>0.10668848152910471</v>
      </c>
      <c r="Q144" s="557">
        <f t="shared" ca="1" si="85"/>
        <v>0.13855068839373927</v>
      </c>
      <c r="R144" s="557">
        <f t="shared" ca="1" si="85"/>
        <v>0.10601363448826241</v>
      </c>
      <c r="S144" s="557">
        <f t="shared" ca="1" si="85"/>
        <v>2.5477664231759812E-3</v>
      </c>
      <c r="T144" s="557">
        <f t="shared" ca="1" si="85"/>
        <v>2.4795807333964005E-2</v>
      </c>
      <c r="U144" s="557">
        <f t="shared" ca="1" si="85"/>
        <v>2.1761837741751762E-3</v>
      </c>
      <c r="V144" s="557">
        <f t="shared" ca="1" si="85"/>
        <v>1.702511579311581E-2</v>
      </c>
      <c r="W144" s="557">
        <f t="shared" ca="1" si="85"/>
        <v>0.14115072946642951</v>
      </c>
      <c r="X144" s="557">
        <f t="shared" ca="1" si="85"/>
        <v>0.144934319044353</v>
      </c>
      <c r="Y144" s="557">
        <f t="shared" ca="1" si="85"/>
        <v>1.9259206921124344E-2</v>
      </c>
      <c r="Z144" s="557">
        <f t="shared" ca="1" si="85"/>
        <v>0.11005969886462176</v>
      </c>
      <c r="AA144" s="557">
        <f t="shared" ca="1" si="85"/>
        <v>0.13815042332902272</v>
      </c>
      <c r="AB144" s="557">
        <f t="shared" ca="1" si="85"/>
        <v>1.7664568895469489E-2</v>
      </c>
      <c r="AC144" s="557">
        <f t="shared" ca="1" si="85"/>
        <v>0.12345733545904047</v>
      </c>
      <c r="AD144" s="557">
        <f t="shared" ca="1" si="85"/>
        <v>4.0422649295027181E-2</v>
      </c>
      <c r="AE144" s="557">
        <f t="shared" ca="1" si="85"/>
        <v>0.15106602228653088</v>
      </c>
      <c r="AF144" s="557">
        <f t="shared" ca="1" si="85"/>
        <v>0.14279970888136281</v>
      </c>
      <c r="AG144" s="557">
        <f t="shared" ca="1" si="85"/>
        <v>9.8134130412184453E-2</v>
      </c>
      <c r="AH144" s="557">
        <f t="shared" ca="1" si="85"/>
        <v>0.10587367323923022</v>
      </c>
      <c r="AI144" s="557">
        <f t="shared" ca="1" si="85"/>
        <v>0.15029375303677528</v>
      </c>
      <c r="AJ144" s="557">
        <f t="shared" ca="1" si="85"/>
        <v>0.13906639844893398</v>
      </c>
      <c r="AK144" s="557">
        <f t="shared" ca="1" si="85"/>
        <v>0.11318050464382229</v>
      </c>
      <c r="AL144" s="557">
        <f t="shared" ca="1" si="85"/>
        <v>0.13162804112206977</v>
      </c>
      <c r="AM144" s="557">
        <f t="shared" ca="1" si="85"/>
        <v>0.10897774591986256</v>
      </c>
      <c r="AN144" s="557">
        <f t="shared" ca="1" si="85"/>
        <v>0.150569694107032</v>
      </c>
      <c r="AO144" s="557">
        <f t="shared" ca="1" si="85"/>
        <v>0.14984699630233531</v>
      </c>
    </row>
    <row r="145" spans="1:41" x14ac:dyDescent="0.25">
      <c r="A145" s="21" t="s">
        <v>790</v>
      </c>
      <c r="C145" s="18">
        <v>0.98001063332330252</v>
      </c>
      <c r="D145" s="18">
        <v>0.92856564205069037</v>
      </c>
      <c r="E145" s="18">
        <v>0.99643677872383352</v>
      </c>
      <c r="F145" s="18">
        <v>0.98204749052948881</v>
      </c>
      <c r="G145" s="18">
        <v>0.99281382211110158</v>
      </c>
      <c r="H145" s="18">
        <v>1</v>
      </c>
      <c r="I145" s="18">
        <v>0.97439844490788952</v>
      </c>
      <c r="J145" s="18">
        <v>0.99646317714814925</v>
      </c>
      <c r="K145" s="18">
        <v>0.99623840282080911</v>
      </c>
      <c r="L145" s="18">
        <v>0.9606035579026645</v>
      </c>
      <c r="M145" s="18">
        <v>0.99000509943887183</v>
      </c>
      <c r="N145" s="18">
        <v>0.95662614635124821</v>
      </c>
      <c r="O145" s="18">
        <v>0.99112967389715023</v>
      </c>
      <c r="P145" s="18">
        <v>0.95759877625821344</v>
      </c>
      <c r="Q145" s="18">
        <v>0.99523481589833096</v>
      </c>
      <c r="R145" s="18">
        <v>0.96348874828595465</v>
      </c>
      <c r="S145" s="18">
        <v>0.98550836465071046</v>
      </c>
      <c r="T145" s="18">
        <v>0.97391887805231503</v>
      </c>
      <c r="U145" s="18">
        <v>0.99873439358047267</v>
      </c>
      <c r="V145" s="18">
        <v>0.99061429659137545</v>
      </c>
      <c r="W145" s="18">
        <v>0.98844448902656556</v>
      </c>
      <c r="X145" s="18">
        <v>0.9586252859334613</v>
      </c>
      <c r="Y145" s="18">
        <v>0.95520077283297711</v>
      </c>
      <c r="Z145" s="18">
        <v>0.99766264249743231</v>
      </c>
      <c r="AA145" s="18">
        <v>0.99354996454487554</v>
      </c>
      <c r="AB145" s="18">
        <v>0.97908112230239586</v>
      </c>
      <c r="AC145" s="18">
        <v>0.98208245077625245</v>
      </c>
      <c r="AD145" s="18">
        <v>0.97759174977732455</v>
      </c>
      <c r="AE145" s="18">
        <v>1</v>
      </c>
      <c r="AF145" s="18">
        <v>0.98747167569109828</v>
      </c>
      <c r="AG145" s="18">
        <v>0.96662519625785848</v>
      </c>
      <c r="AH145" s="18">
        <v>0.99750952439555285</v>
      </c>
      <c r="AI145" s="18">
        <v>0.98406434803352394</v>
      </c>
      <c r="AJ145" s="18">
        <v>0.99748308539684738</v>
      </c>
      <c r="AK145" s="18">
        <v>0.94694982795999427</v>
      </c>
      <c r="AL145" s="18">
        <v>0.99851271352489901</v>
      </c>
      <c r="AM145" s="18">
        <v>0.95357004428974546</v>
      </c>
      <c r="AN145" s="18">
        <v>0.99734838464307207</v>
      </c>
      <c r="AO145" s="18">
        <v>0.99567890186030594</v>
      </c>
    </row>
    <row r="146" spans="1:41" x14ac:dyDescent="0.25">
      <c r="A146" s="20" t="s">
        <v>88</v>
      </c>
      <c r="B146" s="20"/>
      <c r="C146" s="20">
        <f t="shared" ref="C146:AO146" ca="1" si="86">IF(fertlink=1,C4*C7*C8*C144*C145,IF(fertlink=3,C5*C7*C8*C144*C145,C6*C7*C8*C144*C145))</f>
        <v>9.3048603962646439</v>
      </c>
      <c r="D146" s="20">
        <f t="shared" ca="1" si="86"/>
        <v>13.029163171200334</v>
      </c>
      <c r="E146" s="20">
        <f t="shared" ca="1" si="86"/>
        <v>230.93670718366008</v>
      </c>
      <c r="F146" s="20">
        <f t="shared" ca="1" si="86"/>
        <v>12.770850693915337</v>
      </c>
      <c r="G146" s="20">
        <f t="shared" ca="1" si="86"/>
        <v>25.44677140343256</v>
      </c>
      <c r="H146" s="20">
        <f t="shared" ca="1" si="86"/>
        <v>0.55482888627515503</v>
      </c>
      <c r="I146" s="20">
        <f t="shared" ca="1" si="86"/>
        <v>7.4854674149048543</v>
      </c>
      <c r="J146" s="20">
        <f t="shared" ca="1" si="86"/>
        <v>15.079933372245733</v>
      </c>
      <c r="K146" s="20">
        <f t="shared" ca="1" si="86"/>
        <v>17.619673981100682</v>
      </c>
      <c r="L146" s="20">
        <f t="shared" ca="1" si="86"/>
        <v>15.350345927287311</v>
      </c>
      <c r="M146" s="20">
        <f t="shared" ca="1" si="86"/>
        <v>0.31742355711358827</v>
      </c>
      <c r="N146" s="20">
        <f t="shared" ca="1" si="86"/>
        <v>4.877800106606645</v>
      </c>
      <c r="O146" s="20">
        <f t="shared" ca="1" si="86"/>
        <v>22.307406904134588</v>
      </c>
      <c r="P146" s="20">
        <f t="shared" ca="1" si="86"/>
        <v>4.3999634980183018</v>
      </c>
      <c r="Q146" s="20">
        <f t="shared" ca="1" si="86"/>
        <v>18.207340503690986</v>
      </c>
      <c r="R146" s="20">
        <f t="shared" ca="1" si="86"/>
        <v>7.2664937431445082</v>
      </c>
      <c r="S146" s="20">
        <f t="shared" ca="1" si="86"/>
        <v>1.4573326422425488</v>
      </c>
      <c r="T146" s="20">
        <f t="shared" ca="1" si="86"/>
        <v>3.6092759417430753</v>
      </c>
      <c r="U146" s="20">
        <f t="shared" ca="1" si="86"/>
        <v>0.23111802581554725</v>
      </c>
      <c r="V146" s="20">
        <f t="shared" ca="1" si="86"/>
        <v>0.33809384804114156</v>
      </c>
      <c r="W146" s="20">
        <f t="shared" ca="1" si="86"/>
        <v>18.152467048893541</v>
      </c>
      <c r="X146" s="20">
        <f t="shared" ca="1" si="86"/>
        <v>10.369781589634789</v>
      </c>
      <c r="Y146" s="20">
        <f t="shared" ca="1" si="86"/>
        <v>0.47366027705713282</v>
      </c>
      <c r="Z146" s="20">
        <f t="shared" ca="1" si="86"/>
        <v>48.269588121404709</v>
      </c>
      <c r="AA146" s="20">
        <f t="shared" ca="1" si="86"/>
        <v>54.235847615532606</v>
      </c>
      <c r="AB146" s="20">
        <f t="shared" ca="1" si="86"/>
        <v>1.03314715163156</v>
      </c>
      <c r="AC146" s="20">
        <f t="shared" ca="1" si="86"/>
        <v>18.451665891865805</v>
      </c>
      <c r="AD146" s="20">
        <f t="shared" ca="1" si="86"/>
        <v>8.8867653680484917</v>
      </c>
      <c r="AE146" s="20">
        <f t="shared" ca="1" si="86"/>
        <v>14.352432555880897</v>
      </c>
      <c r="AF146" s="20">
        <f t="shared" ca="1" si="86"/>
        <v>52.74603841062207</v>
      </c>
      <c r="AG146" s="20">
        <f t="shared" ca="1" si="86"/>
        <v>48.505227728959177</v>
      </c>
      <c r="AH146" s="20">
        <f t="shared" ca="1" si="86"/>
        <v>104.57598433098956</v>
      </c>
      <c r="AI146" s="20">
        <f t="shared" ca="1" si="86"/>
        <v>19.653455916739237</v>
      </c>
      <c r="AJ146" s="20">
        <f t="shared" ca="1" si="86"/>
        <v>11.331355162705227</v>
      </c>
      <c r="AK146" s="20">
        <f t="shared" ca="1" si="86"/>
        <v>4.9027228530889824</v>
      </c>
      <c r="AL146" s="20">
        <f t="shared" ca="1" si="86"/>
        <v>22.357888303144932</v>
      </c>
      <c r="AM146" s="20">
        <f t="shared" ca="1" si="86"/>
        <v>4.2579833809541556</v>
      </c>
      <c r="AN146" s="20">
        <f t="shared" ca="1" si="86"/>
        <v>22.462641357925477</v>
      </c>
      <c r="AO146" s="20">
        <f t="shared" ca="1" si="86"/>
        <v>15.695823465530127</v>
      </c>
    </row>
    <row r="147" spans="1:41" x14ac:dyDescent="0.25">
      <c r="A147" s="20" t="s">
        <v>1141</v>
      </c>
      <c r="B147" s="20"/>
      <c r="C147" s="12">
        <f t="shared" ref="C147:AO147" ca="1" si="87">MIN((C146-C59)/C59,0)</f>
        <v>-0.18153727785512785</v>
      </c>
      <c r="D147" s="12">
        <f t="shared" ca="1" si="87"/>
        <v>-0.19081565658745578</v>
      </c>
      <c r="E147" s="12">
        <f t="shared" ca="1" si="87"/>
        <v>-0.12988607596735416</v>
      </c>
      <c r="F147" s="12">
        <f t="shared" ca="1" si="87"/>
        <v>-0.1868143282662556</v>
      </c>
      <c r="G147" s="12">
        <f t="shared" ca="1" si="87"/>
        <v>-0.12143120937585888</v>
      </c>
      <c r="H147" s="12">
        <f t="shared" ca="1" si="87"/>
        <v>-0.18186747198234235</v>
      </c>
      <c r="I147" s="12">
        <f t="shared" ca="1" si="87"/>
        <v>-0.21031743890592258</v>
      </c>
      <c r="J147" s="12">
        <f t="shared" ca="1" si="87"/>
        <v>-0.13188122430130717</v>
      </c>
      <c r="K147" s="12">
        <f t="shared" ca="1" si="87"/>
        <v>-0.15502006613290498</v>
      </c>
      <c r="L147" s="12">
        <f t="shared" ca="1" si="87"/>
        <v>-0.1481053610019635</v>
      </c>
      <c r="M147" s="12">
        <f t="shared" ca="1" si="87"/>
        <v>-0.12277802485375708</v>
      </c>
      <c r="N147" s="12">
        <f t="shared" ca="1" si="87"/>
        <v>-0.17198885768295319</v>
      </c>
      <c r="O147" s="12">
        <f t="shared" ca="1" si="87"/>
        <v>-0.11649955584199755</v>
      </c>
      <c r="P147" s="12">
        <f t="shared" ca="1" si="87"/>
        <v>-0.13883879956491843</v>
      </c>
      <c r="Q147" s="12">
        <f t="shared" ca="1" si="87"/>
        <v>-0.14340444171038549</v>
      </c>
      <c r="R147" s="12">
        <f t="shared" ca="1" si="87"/>
        <v>-0.14414125814167134</v>
      </c>
      <c r="S147" s="12">
        <f t="shared" ca="1" si="87"/>
        <v>-0.1302352775972295</v>
      </c>
      <c r="T147" s="12">
        <f t="shared" ca="1" si="87"/>
        <v>-0.16941271183640325</v>
      </c>
      <c r="U147" s="12">
        <f t="shared" ca="1" si="87"/>
        <v>-0.13468191222100906</v>
      </c>
      <c r="V147" s="12">
        <f t="shared" ca="1" si="87"/>
        <v>-0.13278512480385543</v>
      </c>
      <c r="W147" s="12">
        <f t="shared" ca="1" si="87"/>
        <v>-0.12563920767825323</v>
      </c>
      <c r="X147" s="12">
        <f t="shared" ca="1" si="87"/>
        <v>-0.1374064205925622</v>
      </c>
      <c r="Y147" s="12">
        <f t="shared" ca="1" si="87"/>
        <v>-0.12488967558445355</v>
      </c>
      <c r="Z147" s="12">
        <f t="shared" ca="1" si="87"/>
        <v>-0.1385968077933965</v>
      </c>
      <c r="AA147" s="12">
        <f t="shared" ca="1" si="87"/>
        <v>-0.16339796071893448</v>
      </c>
      <c r="AB147" s="12">
        <f t="shared" ca="1" si="87"/>
        <v>-0.12813955366562918</v>
      </c>
      <c r="AC147" s="12">
        <f t="shared" ca="1" si="87"/>
        <v>-0.17911230384185162</v>
      </c>
      <c r="AD147" s="12">
        <f t="shared" ca="1" si="87"/>
        <v>-0.20928510411785817</v>
      </c>
      <c r="AE147" s="12">
        <f t="shared" ca="1" si="87"/>
        <v>-0.1573761033896903</v>
      </c>
      <c r="AF147" s="12">
        <f t="shared" ca="1" si="87"/>
        <v>-0.14998712768387298</v>
      </c>
      <c r="AG147" s="12">
        <f t="shared" ca="1" si="87"/>
        <v>-0.16895845599682416</v>
      </c>
      <c r="AH147" s="12">
        <f t="shared" ca="1" si="87"/>
        <v>-0.13660226034776529</v>
      </c>
      <c r="AI147" s="12">
        <f t="shared" ca="1" si="87"/>
        <v>-0.15414943354466851</v>
      </c>
      <c r="AJ147" s="12">
        <f t="shared" ca="1" si="87"/>
        <v>-0.1456517680726867</v>
      </c>
      <c r="AK147" s="12">
        <f t="shared" ca="1" si="87"/>
        <v>-0.134054854457651</v>
      </c>
      <c r="AL147" s="12">
        <f t="shared" ca="1" si="87"/>
        <v>-0.13961853690212458</v>
      </c>
      <c r="AM147" s="12">
        <f t="shared" ca="1" si="87"/>
        <v>-0.1333478528430771</v>
      </c>
      <c r="AN147" s="12">
        <f t="shared" ca="1" si="87"/>
        <v>-0.14333279841745378</v>
      </c>
      <c r="AO147" s="12">
        <f t="shared" ca="1" si="87"/>
        <v>-0.15797521476621965</v>
      </c>
    </row>
    <row r="148" spans="1:41" x14ac:dyDescent="0.25">
      <c r="A148" s="27" t="s">
        <v>82</v>
      </c>
      <c r="B148" s="20"/>
      <c r="C148" s="20">
        <f t="shared" ref="C148:AO148" ca="1" si="88">C66*(1+C147)</f>
        <v>5.247699405656566</v>
      </c>
      <c r="D148" s="20">
        <f t="shared" ca="1" si="88"/>
        <v>5.6062182521119031</v>
      </c>
      <c r="E148" s="20">
        <f t="shared" ca="1" si="88"/>
        <v>9.6750406321274482</v>
      </c>
      <c r="F148" s="20">
        <f t="shared" ca="1" si="88"/>
        <v>5.6037696984214911</v>
      </c>
      <c r="G148" s="20">
        <f t="shared" ca="1" si="88"/>
        <v>6.8555073420214727</v>
      </c>
      <c r="H148" s="20">
        <f t="shared" ca="1" si="88"/>
        <v>2.0058155368517916</v>
      </c>
      <c r="I148" s="20">
        <f t="shared" ca="1" si="88"/>
        <v>4.8507894886279246</v>
      </c>
      <c r="J148" s="20">
        <f t="shared" ca="1" si="88"/>
        <v>6.1124899110286384</v>
      </c>
      <c r="K148" s="20">
        <f t="shared" ca="1" si="88"/>
        <v>6.1793588015146126</v>
      </c>
      <c r="L148" s="20">
        <f t="shared" ca="1" si="88"/>
        <v>6.0446966828615416</v>
      </c>
      <c r="M148" s="20">
        <f t="shared" ca="1" si="88"/>
        <v>1.5109621303337146</v>
      </c>
      <c r="N148" s="20">
        <f t="shared" ca="1" si="88"/>
        <v>4.5066683352121784</v>
      </c>
      <c r="O148" s="20">
        <f t="shared" ca="1" si="88"/>
        <v>6.7130352783613123</v>
      </c>
      <c r="P148" s="20">
        <f t="shared" ca="1" si="88"/>
        <v>4.5078995504194284</v>
      </c>
      <c r="Q148" s="20">
        <f t="shared" ca="1" si="88"/>
        <v>6.2887507102425957</v>
      </c>
      <c r="R148" s="20">
        <f t="shared" ca="1" si="88"/>
        <v>5.118089202253036</v>
      </c>
      <c r="S148" s="20">
        <f t="shared" ca="1" si="88"/>
        <v>3.1693589121601997</v>
      </c>
      <c r="T148" s="20">
        <f t="shared" ca="1" si="88"/>
        <v>4.1520604649191686</v>
      </c>
      <c r="U148" s="20">
        <f t="shared" ca="1" si="88"/>
        <v>1.2208511625631806</v>
      </c>
      <c r="V148" s="20">
        <f t="shared" ca="1" si="88"/>
        <v>1.5639172357859399</v>
      </c>
      <c r="W148" s="20">
        <f t="shared" ca="1" si="88"/>
        <v>6.3885036591384603</v>
      </c>
      <c r="X148" s="20">
        <f t="shared" ca="1" si="88"/>
        <v>5.602030728971112</v>
      </c>
      <c r="Y148" s="20">
        <f t="shared" ca="1" si="88"/>
        <v>1.9062122963995281</v>
      </c>
      <c r="Z148" s="20">
        <f t="shared" ca="1" si="88"/>
        <v>7.5712022113901423</v>
      </c>
      <c r="AA148" s="20">
        <f t="shared" ca="1" si="88"/>
        <v>7.5356887657095077</v>
      </c>
      <c r="AB148" s="20">
        <f t="shared" ca="1" si="88"/>
        <v>2.7659644707006086</v>
      </c>
      <c r="AC148" s="20">
        <f t="shared" ca="1" si="88"/>
        <v>6.0949934799470293</v>
      </c>
      <c r="AD148" s="20">
        <f t="shared" ca="1" si="88"/>
        <v>5.0563404463861463</v>
      </c>
      <c r="AE148" s="20">
        <f t="shared" ca="1" si="88"/>
        <v>5.9083629726599671</v>
      </c>
      <c r="AF148" s="20">
        <f t="shared" ca="1" si="88"/>
        <v>7.6008223488361519</v>
      </c>
      <c r="AG148" s="20">
        <f t="shared" ca="1" si="88"/>
        <v>7.3550158683615976</v>
      </c>
      <c r="AH148" s="20">
        <f t="shared" ca="1" si="88"/>
        <v>8.5852154543140209</v>
      </c>
      <c r="AI148" s="20">
        <f t="shared" ca="1" si="88"/>
        <v>6.322127588759777</v>
      </c>
      <c r="AJ148" s="20">
        <f t="shared" ca="1" si="88"/>
        <v>5.6730186821273012</v>
      </c>
      <c r="AK148" s="20">
        <f t="shared" ca="1" si="88"/>
        <v>4.6628182232642201</v>
      </c>
      <c r="AL148" s="20">
        <f t="shared" ca="1" si="88"/>
        <v>6.5743033154881054</v>
      </c>
      <c r="AM148" s="20">
        <f t="shared" ca="1" si="88"/>
        <v>4.4871564299392936</v>
      </c>
      <c r="AN148" s="20">
        <f t="shared" ca="1" si="88"/>
        <v>6.5574247897155091</v>
      </c>
      <c r="AO148" s="20">
        <f t="shared" ca="1" si="88"/>
        <v>6.0171614056239013</v>
      </c>
    </row>
    <row r="149" spans="1:41" x14ac:dyDescent="0.25">
      <c r="A149" s="20"/>
      <c r="B149" s="20"/>
      <c r="C149" s="20"/>
      <c r="D149" s="20"/>
      <c r="E149" s="20"/>
      <c r="F149" s="20"/>
      <c r="G149" s="20"/>
      <c r="H149" s="20"/>
      <c r="I149" s="20"/>
      <c r="J149" s="20"/>
      <c r="K149" s="20"/>
      <c r="L149" s="20"/>
      <c r="M149" s="20"/>
      <c r="N149" s="20"/>
      <c r="O149" s="20"/>
      <c r="P149" s="20"/>
      <c r="Q149" s="20"/>
      <c r="R149" s="20"/>
      <c r="S149" s="20"/>
      <c r="T149" s="20"/>
      <c r="U149" s="20"/>
      <c r="V149" s="20"/>
      <c r="W149" s="20"/>
      <c r="X149" s="20"/>
      <c r="Y149" s="20"/>
      <c r="Z149" s="20"/>
      <c r="AA149" s="20"/>
      <c r="AB149" s="20"/>
      <c r="AC149" s="20"/>
      <c r="AD149" s="20"/>
      <c r="AE149" s="20"/>
      <c r="AF149" s="20"/>
      <c r="AG149" s="20"/>
      <c r="AH149" s="20"/>
      <c r="AI149" s="20"/>
      <c r="AJ149" s="20"/>
      <c r="AK149" s="20"/>
      <c r="AL149" s="20"/>
      <c r="AM149" s="20"/>
      <c r="AN149" s="20"/>
      <c r="AO149" s="20"/>
    </row>
    <row r="150" spans="1:41" x14ac:dyDescent="0.25">
      <c r="A150" s="21" t="s">
        <v>1197</v>
      </c>
      <c r="C150" s="345">
        <f t="shared" ref="C150:AO150" ca="1" si="89">IF(C13&gt;0,(C146*(C13-C92)+C105*C92)/C13,0)</f>
        <v>7.9496198729824536</v>
      </c>
      <c r="D150" s="345">
        <f t="shared" ca="1" si="89"/>
        <v>9.9441310667890583</v>
      </c>
      <c r="E150" s="345">
        <f t="shared" ca="1" si="89"/>
        <v>226.38302831376805</v>
      </c>
      <c r="F150" s="345">
        <f t="shared" ca="1" si="89"/>
        <v>12.294113960798075</v>
      </c>
      <c r="G150" s="345">
        <f t="shared" ca="1" si="89"/>
        <v>25.19987420415525</v>
      </c>
      <c r="H150" s="345">
        <f t="shared" ca="1" si="89"/>
        <v>0.55482931104856026</v>
      </c>
      <c r="I150" s="345">
        <f t="shared" ca="1" si="89"/>
        <v>7.1312001081618117</v>
      </c>
      <c r="J150" s="345">
        <f t="shared" ca="1" si="89"/>
        <v>14.942158407388856</v>
      </c>
      <c r="K150" s="345">
        <f t="shared" ca="1" si="89"/>
        <v>17.401780659978929</v>
      </c>
      <c r="L150" s="345">
        <f t="shared" ca="1" si="89"/>
        <v>15.16626283811633</v>
      </c>
      <c r="M150" s="345">
        <f t="shared" ca="1" si="89"/>
        <v>0.31783409076590757</v>
      </c>
      <c r="N150" s="345">
        <f t="shared" ca="1" si="89"/>
        <v>4.8720545525054195</v>
      </c>
      <c r="O150" s="345">
        <f t="shared" ca="1" si="89"/>
        <v>22.005810982732569</v>
      </c>
      <c r="P150" s="345">
        <f t="shared" ca="1" si="89"/>
        <v>4.0511302563983902</v>
      </c>
      <c r="Q150" s="345">
        <f t="shared" ca="1" si="89"/>
        <v>18.12446324010196</v>
      </c>
      <c r="R150" s="345">
        <f t="shared" ca="1" si="89"/>
        <v>7.223552732241397</v>
      </c>
      <c r="S150" s="345">
        <f t="shared" ca="1" si="89"/>
        <v>1.4610478482773954</v>
      </c>
      <c r="T150" s="345">
        <f t="shared" ca="1" si="89"/>
        <v>3.5798824647772256</v>
      </c>
      <c r="U150" s="345">
        <f t="shared" ca="1" si="89"/>
        <v>0.23202615157567233</v>
      </c>
      <c r="V150" s="345">
        <f t="shared" ca="1" si="89"/>
        <v>0.3354329685253819</v>
      </c>
      <c r="W150" s="345">
        <f t="shared" ca="1" si="89"/>
        <v>18.000767078646625</v>
      </c>
      <c r="X150" s="345">
        <f t="shared" ca="1" si="89"/>
        <v>10.223081681820856</v>
      </c>
      <c r="Y150" s="345">
        <f t="shared" ca="1" si="89"/>
        <v>0.45940200977269507</v>
      </c>
      <c r="Z150" s="345">
        <f t="shared" ca="1" si="89"/>
        <v>47.397845699287039</v>
      </c>
      <c r="AA150" s="345">
        <f t="shared" ca="1" si="89"/>
        <v>53.232706813116089</v>
      </c>
      <c r="AB150" s="345">
        <f t="shared" ca="1" si="89"/>
        <v>0.94478312163621458</v>
      </c>
      <c r="AC150" s="345">
        <f t="shared" ca="1" si="89"/>
        <v>17.446238843886061</v>
      </c>
      <c r="AD150" s="345">
        <f t="shared" ca="1" si="89"/>
        <v>8.8417983555767279</v>
      </c>
      <c r="AE150" s="345">
        <f t="shared" ca="1" si="89"/>
        <v>13.696211138166753</v>
      </c>
      <c r="AF150" s="345">
        <f t="shared" ca="1" si="89"/>
        <v>50.508189643902362</v>
      </c>
      <c r="AG150" s="345">
        <f t="shared" ca="1" si="89"/>
        <v>46.188974096771418</v>
      </c>
      <c r="AH150" s="345">
        <f t="shared" ca="1" si="89"/>
        <v>100.90238497604059</v>
      </c>
      <c r="AI150" s="345">
        <f t="shared" ca="1" si="89"/>
        <v>19.529313365983363</v>
      </c>
      <c r="AJ150" s="345">
        <f t="shared" ca="1" si="89"/>
        <v>10.775641612496342</v>
      </c>
      <c r="AK150" s="345">
        <f t="shared" ca="1" si="89"/>
        <v>4.8935463325012387</v>
      </c>
      <c r="AL150" s="345">
        <f t="shared" ca="1" si="89"/>
        <v>22.06878021784118</v>
      </c>
      <c r="AM150" s="345">
        <f t="shared" ca="1" si="89"/>
        <v>4.1681010574618202</v>
      </c>
      <c r="AN150" s="345">
        <f t="shared" ca="1" si="89"/>
        <v>22.279624328587218</v>
      </c>
      <c r="AO150" s="345">
        <f t="shared" ca="1" si="89"/>
        <v>15.648634104007117</v>
      </c>
    </row>
    <row r="151" spans="1:41" x14ac:dyDescent="0.25">
      <c r="A151" s="20" t="s">
        <v>1141</v>
      </c>
      <c r="B151" s="20"/>
      <c r="C151" s="12">
        <f t="shared" ref="C151:AO151" ca="1" si="90">MIN((C150-C59)/C59,0)</f>
        <v>-0.30074528319950322</v>
      </c>
      <c r="D151" s="12">
        <f t="shared" ca="1" si="90"/>
        <v>-0.38241350865309048</v>
      </c>
      <c r="E151" s="12">
        <f t="shared" ca="1" si="90"/>
        <v>-0.1470432418358153</v>
      </c>
      <c r="F151" s="12">
        <f t="shared" ca="1" si="90"/>
        <v>-0.21717060521692258</v>
      </c>
      <c r="G151" s="12">
        <f t="shared" ca="1" si="90"/>
        <v>-0.12995551960518303</v>
      </c>
      <c r="H151" s="12">
        <f t="shared" ca="1" si="90"/>
        <v>-0.18186684562537275</v>
      </c>
      <c r="I151" s="12">
        <f t="shared" ca="1" si="90"/>
        <v>-0.24769101874994132</v>
      </c>
      <c r="J151" s="12">
        <f t="shared" ca="1" si="90"/>
        <v>-0.13981262763453495</v>
      </c>
      <c r="K151" s="12">
        <f t="shared" ca="1" si="90"/>
        <v>-0.16546949239749012</v>
      </c>
      <c r="L151" s="12">
        <f t="shared" ca="1" si="90"/>
        <v>-0.15832137812221542</v>
      </c>
      <c r="M151" s="12">
        <f t="shared" ca="1" si="90"/>
        <v>-0.12164348668454783</v>
      </c>
      <c r="N151" s="12">
        <f t="shared" ca="1" si="90"/>
        <v>-0.17296417087960439</v>
      </c>
      <c r="O151" s="12">
        <f t="shared" ca="1" si="90"/>
        <v>-0.1284444731360618</v>
      </c>
      <c r="P151" s="12">
        <f t="shared" ca="1" si="90"/>
        <v>-0.20711246893521246</v>
      </c>
      <c r="Q151" s="12">
        <f t="shared" ca="1" si="90"/>
        <v>-0.14730354470454141</v>
      </c>
      <c r="R151" s="12">
        <f t="shared" ca="1" si="90"/>
        <v>-0.14919891605272839</v>
      </c>
      <c r="S151" s="12">
        <f t="shared" ca="1" si="90"/>
        <v>-0.12801796972124924</v>
      </c>
      <c r="T151" s="12">
        <f t="shared" ca="1" si="90"/>
        <v>-0.17617690740272335</v>
      </c>
      <c r="U151" s="12">
        <f t="shared" ca="1" si="90"/>
        <v>-0.13128184144140906</v>
      </c>
      <c r="V151" s="12">
        <f t="shared" ca="1" si="90"/>
        <v>-0.13961031346239233</v>
      </c>
      <c r="W151" s="12">
        <f t="shared" ca="1" si="90"/>
        <v>-0.13294623133641567</v>
      </c>
      <c r="X151" s="12">
        <f t="shared" ca="1" si="90"/>
        <v>-0.1496094161413255</v>
      </c>
      <c r="Y151" s="12">
        <f t="shared" ca="1" si="90"/>
        <v>-0.15123251561826717</v>
      </c>
      <c r="Z151" s="12">
        <f t="shared" ca="1" si="90"/>
        <v>-0.15415363631460546</v>
      </c>
      <c r="AA151" s="12">
        <f t="shared" ca="1" si="90"/>
        <v>-0.17887166819995035</v>
      </c>
      <c r="AB151" s="12">
        <f t="shared" ca="1" si="90"/>
        <v>-0.20270889503194012</v>
      </c>
      <c r="AC151" s="12">
        <f t="shared" ca="1" si="90"/>
        <v>-0.22384228637611278</v>
      </c>
      <c r="AD151" s="12">
        <f t="shared" ca="1" si="90"/>
        <v>-0.21328611968563496</v>
      </c>
      <c r="AE151" s="12">
        <f t="shared" ca="1" si="90"/>
        <v>-0.19590252362406821</v>
      </c>
      <c r="AF151" s="12">
        <f t="shared" ca="1" si="90"/>
        <v>-0.18605050448574961</v>
      </c>
      <c r="AG151" s="12">
        <f t="shared" ca="1" si="90"/>
        <v>-0.2086429000231956</v>
      </c>
      <c r="AH151" s="12">
        <f t="shared" ca="1" si="90"/>
        <v>-0.16693214344417456</v>
      </c>
      <c r="AI151" s="12">
        <f t="shared" ca="1" si="90"/>
        <v>-0.15949231305262465</v>
      </c>
      <c r="AJ151" s="12">
        <f t="shared" ca="1" si="90"/>
        <v>-0.18755080682505296</v>
      </c>
      <c r="AK151" s="12">
        <f t="shared" ca="1" si="90"/>
        <v>-0.13567566062884207</v>
      </c>
      <c r="AL151" s="12">
        <f t="shared" ca="1" si="90"/>
        <v>-0.15074406155160941</v>
      </c>
      <c r="AM151" s="12">
        <f t="shared" ca="1" si="90"/>
        <v>-0.15164212543101518</v>
      </c>
      <c r="AN151" s="12">
        <f t="shared" ca="1" si="90"/>
        <v>-0.15031259584496509</v>
      </c>
      <c r="AO151" s="12">
        <f t="shared" ca="1" si="90"/>
        <v>-0.1605067552163906</v>
      </c>
    </row>
    <row r="152" spans="1:41" x14ac:dyDescent="0.25">
      <c r="A152" s="27" t="s">
        <v>82</v>
      </c>
      <c r="B152" s="27"/>
      <c r="C152" s="3">
        <f t="shared" ref="C152:AO152" ca="1" si="91">C66*(1+C151)</f>
        <v>4.4833789767971872</v>
      </c>
      <c r="D152" s="3">
        <f t="shared" ca="1" si="91"/>
        <v>4.2787835531335867</v>
      </c>
      <c r="E152" s="3">
        <f t="shared" ca="1" si="91"/>
        <v>9.4842652953299602</v>
      </c>
      <c r="F152" s="3">
        <f t="shared" ca="1" si="91"/>
        <v>5.3945805908830389</v>
      </c>
      <c r="G152" s="3">
        <f t="shared" ca="1" si="91"/>
        <v>6.788991809047344</v>
      </c>
      <c r="H152" s="3">
        <f t="shared" ca="1" si="91"/>
        <v>2.0058170724911877</v>
      </c>
      <c r="I152" s="3">
        <f t="shared" ca="1" si="91"/>
        <v>4.6212144958503334</v>
      </c>
      <c r="J152" s="3">
        <f t="shared" ca="1" si="91"/>
        <v>6.0566443007138124</v>
      </c>
      <c r="K152" s="3">
        <f t="shared" ca="1" si="91"/>
        <v>6.1029418931706116</v>
      </c>
      <c r="L152" s="3">
        <f t="shared" ca="1" si="91"/>
        <v>5.9722079947398798</v>
      </c>
      <c r="M152" s="3">
        <f t="shared" ca="1" si="91"/>
        <v>1.5129163041433795</v>
      </c>
      <c r="N152" s="3">
        <f t="shared" ca="1" si="91"/>
        <v>4.501359936718937</v>
      </c>
      <c r="O152" s="3">
        <f t="shared" ca="1" si="91"/>
        <v>6.6222751075856419</v>
      </c>
      <c r="P152" s="3">
        <f t="shared" ca="1" si="91"/>
        <v>4.1505090371167634</v>
      </c>
      <c r="Q152" s="3">
        <f t="shared" ca="1" si="91"/>
        <v>6.2601251979030641</v>
      </c>
      <c r="R152" s="3">
        <f t="shared" ca="1" si="91"/>
        <v>5.0878440892720489</v>
      </c>
      <c r="S152" s="3">
        <f t="shared" ca="1" si="91"/>
        <v>3.1774386195761632</v>
      </c>
      <c r="T152" s="3">
        <f t="shared" ca="1" si="91"/>
        <v>4.1182466209221165</v>
      </c>
      <c r="U152" s="3">
        <f t="shared" ca="1" si="91"/>
        <v>1.2256482197641065</v>
      </c>
      <c r="V152" s="3">
        <f t="shared" ca="1" si="91"/>
        <v>1.5516088327754838</v>
      </c>
      <c r="W152" s="3">
        <f t="shared" ca="1" si="91"/>
        <v>6.3351150033484087</v>
      </c>
      <c r="X152" s="3">
        <f t="shared" ca="1" si="91"/>
        <v>5.522779552424411</v>
      </c>
      <c r="Y152" s="3">
        <f t="shared" ca="1" si="91"/>
        <v>1.8488309077979499</v>
      </c>
      <c r="Z152" s="3">
        <f t="shared" ca="1" si="91"/>
        <v>7.4344672937956604</v>
      </c>
      <c r="AA152" s="3">
        <f t="shared" ca="1" si="91"/>
        <v>7.3963094214650553</v>
      </c>
      <c r="AB152" s="3">
        <f t="shared" ca="1" si="91"/>
        <v>2.5293943295846311</v>
      </c>
      <c r="AC152" s="3">
        <f t="shared" ca="1" si="91"/>
        <v>5.762878681320613</v>
      </c>
      <c r="AD152" s="3">
        <f t="shared" ca="1" si="91"/>
        <v>5.0307553752722391</v>
      </c>
      <c r="AE152" s="3">
        <f t="shared" ca="1" si="91"/>
        <v>5.638221008139813</v>
      </c>
      <c r="AF152" s="3">
        <f t="shared" ca="1" si="91"/>
        <v>7.2783433261087653</v>
      </c>
      <c r="AG152" s="3">
        <f t="shared" ca="1" si="91"/>
        <v>7.0037942986972599</v>
      </c>
      <c r="AH152" s="3">
        <f t="shared" ca="1" si="91"/>
        <v>8.2836295581177755</v>
      </c>
      <c r="AI152" s="3">
        <f t="shared" ca="1" si="91"/>
        <v>6.2821933884645373</v>
      </c>
      <c r="AJ152" s="3">
        <f t="shared" ca="1" si="91"/>
        <v>5.3948018839615948</v>
      </c>
      <c r="AK152" s="3">
        <f t="shared" ca="1" si="91"/>
        <v>4.6540907367827575</v>
      </c>
      <c r="AL152" s="3">
        <f t="shared" ca="1" si="91"/>
        <v>6.4892915192944773</v>
      </c>
      <c r="AM152" s="3">
        <f t="shared" ca="1" si="91"/>
        <v>4.3924364628298544</v>
      </c>
      <c r="AN152" s="3">
        <f t="shared" ca="1" si="91"/>
        <v>6.5039973950471897</v>
      </c>
      <c r="AO152" s="3">
        <f t="shared" ca="1" si="91"/>
        <v>5.9990708603565022</v>
      </c>
    </row>
    <row r="197" spans="5:6" x14ac:dyDescent="0.25">
      <c r="E197" s="54"/>
      <c r="F197"/>
    </row>
    <row r="198" spans="5:6" x14ac:dyDescent="0.25">
      <c r="E198" s="54"/>
      <c r="F198"/>
    </row>
    <row r="199" spans="5:6" x14ac:dyDescent="0.25">
      <c r="E199" s="54"/>
      <c r="F199"/>
    </row>
  </sheetData>
  <sheetProtection algorithmName="SHA-512" hashValue="S+k2FkzVHzs/usmuITulx7tZVBmIyumz1KbdiC1vfCvmKPATGEAggZ/PQV0GoG2B6AWXOmNWAzNq1xypX2sTsQ==" saltValue="wrP3ufVspUzUjkgLgysYcQ==" spinCount="100000" sheet="1" objects="1" scenarios="1"/>
  <pageMargins left="0.7" right="0.7" top="0.75" bottom="0.75" header="0.3" footer="0.3"/>
  <pageSetup orientation="portrait" horizontalDpi="1200" verticalDpi="1200" r:id="rId1"/>
  <legacy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8"/>
  <dimension ref="A1:AS140"/>
  <sheetViews>
    <sheetView workbookViewId="0">
      <pane xSplit="1" ySplit="2" topLeftCell="N61" activePane="bottomRight" state="frozen"/>
      <selection pane="topRight" activeCell="B1" sqref="B1"/>
      <selection pane="bottomLeft" activeCell="A3" sqref="A3"/>
      <selection pane="bottomRight" activeCell="P81" sqref="P81"/>
    </sheetView>
  </sheetViews>
  <sheetFormatPr defaultColWidth="9.140625" defaultRowHeight="15" x14ac:dyDescent="0.25"/>
  <cols>
    <col min="1" max="1" width="40.5703125" style="146" customWidth="1"/>
    <col min="2" max="2" width="22.5703125" style="146" bestFit="1" customWidth="1"/>
    <col min="3" max="5" width="12.5703125" style="146" customWidth="1"/>
    <col min="6" max="6" width="13.7109375" style="146" customWidth="1"/>
    <col min="7" max="8" width="12.5703125" style="146" customWidth="1"/>
    <col min="9" max="9" width="13.7109375" style="146" customWidth="1"/>
    <col min="10" max="40" width="12.5703125" style="146" customWidth="1"/>
    <col min="41" max="41" width="16.42578125" style="146" customWidth="1"/>
    <col min="42" max="16384" width="9.140625" style="146"/>
  </cols>
  <sheetData>
    <row r="1" spans="1:42" ht="17.25" customHeight="1" x14ac:dyDescent="0.25">
      <c r="A1" s="146" t="s">
        <v>61</v>
      </c>
      <c r="B1" s="146">
        <v>1</v>
      </c>
      <c r="C1" s="146">
        <v>2</v>
      </c>
      <c r="D1" s="146">
        <v>3</v>
      </c>
      <c r="E1" s="146">
        <v>4</v>
      </c>
      <c r="F1" s="146">
        <v>5</v>
      </c>
      <c r="G1" s="146">
        <v>6</v>
      </c>
      <c r="H1" s="146">
        <v>7</v>
      </c>
      <c r="I1" s="146">
        <v>8</v>
      </c>
      <c r="J1" s="146">
        <v>9</v>
      </c>
      <c r="K1" s="146">
        <v>10</v>
      </c>
      <c r="L1" s="146">
        <v>11</v>
      </c>
      <c r="M1" s="146">
        <v>12</v>
      </c>
      <c r="N1" s="146">
        <v>13</v>
      </c>
      <c r="O1" s="146">
        <v>14</v>
      </c>
      <c r="P1" s="146">
        <v>15</v>
      </c>
      <c r="Q1" s="146">
        <v>16</v>
      </c>
      <c r="R1" s="146">
        <v>17</v>
      </c>
      <c r="S1" s="146">
        <v>18</v>
      </c>
      <c r="T1" s="146">
        <v>19</v>
      </c>
      <c r="U1" s="146">
        <v>20</v>
      </c>
      <c r="V1" s="146">
        <v>21</v>
      </c>
      <c r="W1" s="146">
        <v>22</v>
      </c>
      <c r="X1" s="146">
        <v>23</v>
      </c>
      <c r="Y1" s="146">
        <v>24</v>
      </c>
      <c r="Z1" s="146">
        <v>25</v>
      </c>
      <c r="AA1" s="146">
        <v>26</v>
      </c>
      <c r="AB1" s="146">
        <v>27</v>
      </c>
      <c r="AC1" s="146">
        <v>28</v>
      </c>
      <c r="AD1" s="146">
        <v>29</v>
      </c>
      <c r="AE1" s="146">
        <v>30</v>
      </c>
      <c r="AF1" s="146">
        <v>31</v>
      </c>
      <c r="AG1" s="146">
        <v>32</v>
      </c>
      <c r="AH1" s="146">
        <v>33</v>
      </c>
      <c r="AI1" s="146">
        <v>34</v>
      </c>
      <c r="AJ1" s="146">
        <v>35</v>
      </c>
      <c r="AK1" s="146">
        <v>36</v>
      </c>
      <c r="AL1" s="146">
        <v>37</v>
      </c>
      <c r="AM1" s="146">
        <v>38</v>
      </c>
      <c r="AN1" s="146">
        <v>39</v>
      </c>
      <c r="AO1" s="152" t="s">
        <v>97</v>
      </c>
    </row>
    <row r="2" spans="1:42" s="552" customFormat="1" ht="64.5" customHeight="1" x14ac:dyDescent="0.25">
      <c r="A2" s="552" t="s">
        <v>111</v>
      </c>
      <c r="B2" s="552" t="s">
        <v>60</v>
      </c>
      <c r="C2" s="552" t="s">
        <v>59</v>
      </c>
      <c r="D2" s="552" t="s">
        <v>58</v>
      </c>
      <c r="E2" s="552" t="s">
        <v>57</v>
      </c>
      <c r="F2" s="552" t="s">
        <v>56</v>
      </c>
      <c r="G2" s="552" t="s">
        <v>55</v>
      </c>
      <c r="H2" s="552" t="s">
        <v>54</v>
      </c>
      <c r="I2" s="552" t="s">
        <v>53</v>
      </c>
      <c r="J2" s="552" t="s">
        <v>52</v>
      </c>
      <c r="K2" s="552" t="s">
        <v>51</v>
      </c>
      <c r="L2" s="552" t="s">
        <v>50</v>
      </c>
      <c r="M2" s="552" t="s">
        <v>49</v>
      </c>
      <c r="N2" s="552" t="s">
        <v>48</v>
      </c>
      <c r="O2" s="552" t="s">
        <v>47</v>
      </c>
      <c r="P2" s="552" t="s">
        <v>46</v>
      </c>
      <c r="Q2" s="552" t="s">
        <v>45</v>
      </c>
      <c r="R2" s="552" t="s">
        <v>44</v>
      </c>
      <c r="S2" s="552" t="s">
        <v>43</v>
      </c>
      <c r="T2" s="552" t="s">
        <v>42</v>
      </c>
      <c r="U2" s="552" t="s">
        <v>41</v>
      </c>
      <c r="V2" s="552" t="s">
        <v>40</v>
      </c>
      <c r="W2" s="552" t="s">
        <v>39</v>
      </c>
      <c r="X2" s="552" t="s">
        <v>38</v>
      </c>
      <c r="Y2" s="552" t="s">
        <v>37</v>
      </c>
      <c r="Z2" s="552" t="s">
        <v>36</v>
      </c>
      <c r="AA2" s="552" t="s">
        <v>35</v>
      </c>
      <c r="AB2" s="552" t="s">
        <v>34</v>
      </c>
      <c r="AC2" s="552" t="s">
        <v>33</v>
      </c>
      <c r="AD2" s="552" t="s">
        <v>32</v>
      </c>
      <c r="AE2" s="552" t="s">
        <v>31</v>
      </c>
      <c r="AF2" s="552" t="s">
        <v>30</v>
      </c>
      <c r="AG2" s="552" t="s">
        <v>29</v>
      </c>
      <c r="AH2" s="552" t="s">
        <v>28</v>
      </c>
      <c r="AI2" s="552" t="s">
        <v>27</v>
      </c>
      <c r="AJ2" s="552" t="s">
        <v>26</v>
      </c>
      <c r="AK2" s="552" t="s">
        <v>25</v>
      </c>
      <c r="AL2" s="552" t="s">
        <v>24</v>
      </c>
      <c r="AM2" s="552" t="s">
        <v>23</v>
      </c>
      <c r="AN2" s="552" t="s">
        <v>22</v>
      </c>
      <c r="AO2" s="752"/>
    </row>
    <row r="3" spans="1:42" s="408" customFormat="1" x14ac:dyDescent="0.25">
      <c r="A3" s="405" t="str">
        <f>INDEX(watershed_list,Main!B7)</f>
        <v>Statewide</v>
      </c>
      <c r="B3" s="405">
        <f>Watersheds!B122</f>
        <v>1</v>
      </c>
      <c r="C3" s="405">
        <f>Watersheds!C122</f>
        <v>1</v>
      </c>
      <c r="D3" s="405">
        <f>Watersheds!D122</f>
        <v>1</v>
      </c>
      <c r="E3" s="405">
        <f>Watersheds!E122</f>
        <v>1</v>
      </c>
      <c r="F3" s="405">
        <f>Watersheds!F122</f>
        <v>1</v>
      </c>
      <c r="G3" s="405">
        <f>Watersheds!G122</f>
        <v>1</v>
      </c>
      <c r="H3" s="405">
        <f>Watersheds!H122</f>
        <v>1</v>
      </c>
      <c r="I3" s="405">
        <f>Watersheds!I122</f>
        <v>1</v>
      </c>
      <c r="J3" s="405">
        <f>Watersheds!J122</f>
        <v>1</v>
      </c>
      <c r="K3" s="405">
        <f>Watersheds!K122</f>
        <v>1</v>
      </c>
      <c r="L3" s="405">
        <f>Watersheds!L122</f>
        <v>1</v>
      </c>
      <c r="M3" s="405">
        <f>Watersheds!M122</f>
        <v>1</v>
      </c>
      <c r="N3" s="405">
        <f>Watersheds!N122</f>
        <v>1</v>
      </c>
      <c r="O3" s="405">
        <f>Watersheds!O122</f>
        <v>1</v>
      </c>
      <c r="P3" s="405">
        <f>Watersheds!P122</f>
        <v>1</v>
      </c>
      <c r="Q3" s="405">
        <f>Watersheds!Q122</f>
        <v>1</v>
      </c>
      <c r="R3" s="405">
        <f>Watersheds!R122</f>
        <v>1</v>
      </c>
      <c r="S3" s="405">
        <f>Watersheds!S122</f>
        <v>1</v>
      </c>
      <c r="T3" s="405">
        <f>Watersheds!T122</f>
        <v>1</v>
      </c>
      <c r="U3" s="405">
        <f>Watersheds!U122</f>
        <v>1</v>
      </c>
      <c r="V3" s="405">
        <f>Watersheds!V122</f>
        <v>1</v>
      </c>
      <c r="W3" s="405">
        <f>Watersheds!W122</f>
        <v>1</v>
      </c>
      <c r="X3" s="405">
        <f>Watersheds!X122</f>
        <v>1</v>
      </c>
      <c r="Y3" s="405">
        <f>Watersheds!Y122</f>
        <v>1</v>
      </c>
      <c r="Z3" s="405">
        <f>Watersheds!Z122</f>
        <v>1</v>
      </c>
      <c r="AA3" s="405">
        <f>Watersheds!AA122</f>
        <v>1</v>
      </c>
      <c r="AB3" s="405">
        <f>Watersheds!AB122</f>
        <v>1</v>
      </c>
      <c r="AC3" s="405">
        <f>Watersheds!AC122</f>
        <v>1</v>
      </c>
      <c r="AD3" s="405">
        <f>Watersheds!AD122</f>
        <v>1</v>
      </c>
      <c r="AE3" s="405">
        <f>Watersheds!AE122</f>
        <v>1</v>
      </c>
      <c r="AF3" s="405">
        <f>Watersheds!AF122</f>
        <v>1</v>
      </c>
      <c r="AG3" s="405">
        <f>Watersheds!AG122</f>
        <v>1</v>
      </c>
      <c r="AH3" s="405">
        <f>Watersheds!AH122</f>
        <v>1</v>
      </c>
      <c r="AI3" s="405">
        <f>Watersheds!AI122</f>
        <v>1</v>
      </c>
      <c r="AJ3" s="405">
        <f>Watersheds!AJ122</f>
        <v>1</v>
      </c>
      <c r="AK3" s="405">
        <f>Watersheds!AK122</f>
        <v>1</v>
      </c>
      <c r="AL3" s="405">
        <f>Watersheds!AL122</f>
        <v>1</v>
      </c>
      <c r="AM3" s="405">
        <f>Watersheds!AM122</f>
        <v>1</v>
      </c>
      <c r="AN3" s="405">
        <f>Watersheds!AN122</f>
        <v>1</v>
      </c>
      <c r="AO3" s="407"/>
    </row>
    <row r="4" spans="1:42" s="408" customFormat="1" x14ac:dyDescent="0.25">
      <c r="A4" s="738" t="s">
        <v>1162</v>
      </c>
      <c r="B4" s="51">
        <f>Inlets!B4</f>
        <v>1984718.6428827527</v>
      </c>
      <c r="C4" s="51">
        <f>Inlets!C4</f>
        <v>359996.55843532766</v>
      </c>
      <c r="D4" s="51">
        <f>Inlets!D4</f>
        <v>483005.02733980352</v>
      </c>
      <c r="E4" s="51">
        <f>Inlets!E4</f>
        <v>737363.1237188516</v>
      </c>
      <c r="F4" s="51">
        <f>Inlets!F4</f>
        <v>588628.71823122562</v>
      </c>
      <c r="G4" s="51">
        <f>Inlets!G4</f>
        <v>1058510.9816779916</v>
      </c>
      <c r="H4" s="51">
        <f>Inlets!H4</f>
        <v>939670.44002494414</v>
      </c>
      <c r="I4" s="51">
        <f>Inlets!I4</f>
        <v>860454.56760389777</v>
      </c>
      <c r="J4" s="51">
        <f>Inlets!J4</f>
        <v>236577.99726259071</v>
      </c>
      <c r="K4" s="51">
        <f>Inlets!K4</f>
        <v>436979.00530845928</v>
      </c>
      <c r="L4" s="51">
        <f>Inlets!L4</f>
        <v>914187.15502126049</v>
      </c>
      <c r="M4" s="51">
        <f>Inlets!M4</f>
        <v>1271377.1401554178</v>
      </c>
      <c r="N4" s="51">
        <f>Inlets!N4</f>
        <v>394415.90145275468</v>
      </c>
      <c r="O4" s="51">
        <f>Inlets!O4</f>
        <v>669316.42651179852</v>
      </c>
      <c r="P4" s="51">
        <f>Inlets!P4</f>
        <v>115689.33165808732</v>
      </c>
      <c r="Q4" s="51">
        <f>Inlets!Q4</f>
        <v>99828.256882981514</v>
      </c>
      <c r="R4" s="51">
        <f>Inlets!R4</f>
        <v>119778.38834379298</v>
      </c>
      <c r="S4" s="51">
        <f>Inlets!S4</f>
        <v>1116907.827085499</v>
      </c>
      <c r="T4" s="51">
        <f>Inlets!T4</f>
        <v>447872.05665613024</v>
      </c>
      <c r="U4" s="51">
        <f>Inlets!U4</f>
        <v>866319.5762193203</v>
      </c>
      <c r="V4" s="51">
        <f>Inlets!V4</f>
        <v>32544.2164267642</v>
      </c>
      <c r="W4" s="51">
        <f>Inlets!W4</f>
        <v>265466.08633120597</v>
      </c>
      <c r="X4" s="51">
        <f>Inlets!X4</f>
        <v>371532.09294750536</v>
      </c>
      <c r="Y4" s="51">
        <f>Inlets!Y4</f>
        <v>341352.27993186645</v>
      </c>
      <c r="Z4" s="51">
        <f>Inlets!Z4</f>
        <v>1142433.0101251188</v>
      </c>
      <c r="AA4" s="51">
        <f>Inlets!AA4</f>
        <v>1238048.5585527306</v>
      </c>
      <c r="AB4" s="51">
        <f>Inlets!AB4</f>
        <v>1034596.4149611697</v>
      </c>
      <c r="AC4" s="51">
        <f>Inlets!AC4</f>
        <v>260242.22306688316</v>
      </c>
      <c r="AD4" s="51">
        <f>Inlets!AD4</f>
        <v>45614.791106583172</v>
      </c>
      <c r="AE4" s="51">
        <f>Inlets!AE4</f>
        <v>84345.73083085088</v>
      </c>
      <c r="AF4" s="51">
        <f>Inlets!AF4</f>
        <v>273639.23614343855</v>
      </c>
      <c r="AG4" s="51">
        <f>Inlets!AG4</f>
        <v>34022.399140564587</v>
      </c>
      <c r="AH4" s="51">
        <f>Inlets!AH4</f>
        <v>703429.6575796532</v>
      </c>
      <c r="AI4" s="51">
        <f>Inlets!AI4</f>
        <v>79708.120696702623</v>
      </c>
      <c r="AJ4" s="51">
        <f>Inlets!AJ4</f>
        <v>355396.01996851421</v>
      </c>
      <c r="AK4" s="51">
        <f>Inlets!AK4</f>
        <v>254894.56379471204</v>
      </c>
      <c r="AL4" s="51">
        <f>Inlets!AL4</f>
        <v>809048.22215568577</v>
      </c>
      <c r="AM4" s="51">
        <f>Inlets!AM4</f>
        <v>376050.3461231016</v>
      </c>
      <c r="AN4" s="51">
        <f>Inlets!AN4</f>
        <v>448745.89733742207</v>
      </c>
      <c r="AO4" s="407"/>
    </row>
    <row r="5" spans="1:42" x14ac:dyDescent="0.25">
      <c r="A5" s="148" t="s">
        <v>1183</v>
      </c>
      <c r="B5" s="159">
        <f>Watersheds!B12*B3</f>
        <v>1183611.8269754259</v>
      </c>
      <c r="C5" s="159">
        <f>Watersheds!C12*C3</f>
        <v>95754.758676922065</v>
      </c>
      <c r="D5" s="159">
        <f>Watersheds!D12*D3</f>
        <v>384363.31644598179</v>
      </c>
      <c r="E5" s="159">
        <f>Watersheds!E12*E3</f>
        <v>526499.4754478957</v>
      </c>
      <c r="F5" s="159">
        <f>Watersheds!F12*F3</f>
        <v>1087765.8836466991</v>
      </c>
      <c r="G5" s="159">
        <f>Watersheds!G12*G3</f>
        <v>21773.538325770438</v>
      </c>
      <c r="H5" s="159">
        <f>Watersheds!H12*H3</f>
        <v>476975.34015582805</v>
      </c>
      <c r="I5" s="159">
        <f>Watersheds!I12*I3</f>
        <v>1782881.9850823716</v>
      </c>
      <c r="J5" s="159">
        <f>Watersheds!J12*J3</f>
        <v>458429.5700289816</v>
      </c>
      <c r="K5" s="159">
        <f>Watersheds!K12*K3</f>
        <v>819176.20611457271</v>
      </c>
      <c r="L5" s="159">
        <f>Watersheds!L12*L3</f>
        <v>49840.38319707138</v>
      </c>
      <c r="M5" s="159">
        <f>Watersheds!M12*M3</f>
        <v>264659.08028609771</v>
      </c>
      <c r="N5" s="159">
        <f>Watersheds!N12*N3</f>
        <v>769733.41808108822</v>
      </c>
      <c r="O5" s="159">
        <f>Watersheds!O12*O3</f>
        <v>828673.71056960034</v>
      </c>
      <c r="P5" s="159">
        <f>Watersheds!P12*P3</f>
        <v>241824.56323169585</v>
      </c>
      <c r="Q5" s="159">
        <f>Watersheds!Q12*Q3</f>
        <v>246814.27028150437</v>
      </c>
      <c r="R5" s="159">
        <f>Watersheds!R12*R3</f>
        <v>4285.7491912003497</v>
      </c>
      <c r="S5" s="159">
        <f>Watersheds!S12*S3</f>
        <v>178246.72078017835</v>
      </c>
      <c r="T5" s="159">
        <f>Watersheds!T12*T3</f>
        <v>6495.4972264640001</v>
      </c>
      <c r="U5" s="159">
        <f>Watersheds!U12*U3</f>
        <v>106361.17112664781</v>
      </c>
      <c r="V5" s="159">
        <f>Watersheds!V12*V3</f>
        <v>64243.015453628868</v>
      </c>
      <c r="W5" s="159">
        <f>Watersheds!W12*W3</f>
        <v>534860.91880764207</v>
      </c>
      <c r="X5" s="159">
        <f>Watersheds!X12*X3</f>
        <v>72691.488463081871</v>
      </c>
      <c r="Y5" s="159">
        <f>Watersheds!Y12*Y3</f>
        <v>578435.98666543269</v>
      </c>
      <c r="Z5" s="159">
        <f>Watersheds!Z12*Z3</f>
        <v>1740522.0190968886</v>
      </c>
      <c r="AA5" s="159">
        <f>Watersheds!AA12*AA3</f>
        <v>310501.91638817242</v>
      </c>
      <c r="AB5" s="159">
        <f>Watersheds!AB12*AB3</f>
        <v>1118256.7685890032</v>
      </c>
      <c r="AC5" s="159">
        <f>Watersheds!AC12*AC3</f>
        <v>46608.093375328011</v>
      </c>
      <c r="AD5" s="159">
        <f>Watersheds!AD12*AD3</f>
        <v>54441.211277657247</v>
      </c>
      <c r="AE5" s="159">
        <f>Watersheds!AE12*AE3</f>
        <v>65663.160762143409</v>
      </c>
      <c r="AF5" s="159">
        <f>Watersheds!AF12*AF3</f>
        <v>130947.11348153764</v>
      </c>
      <c r="AG5" s="159">
        <f>Watersheds!AG12*AG3</f>
        <v>25765.811486446426</v>
      </c>
      <c r="AH5" s="159">
        <f>Watersheds!AH12*AH3</f>
        <v>1340660.9713842301</v>
      </c>
      <c r="AI5" s="159">
        <f>Watersheds!AI12*AI3</f>
        <v>128358.10151161565</v>
      </c>
      <c r="AJ5" s="159">
        <f>Watersheds!AJ12*AJ3</f>
        <v>574366.93169227615</v>
      </c>
      <c r="AK5" s="159">
        <f>Watersheds!AK12*AK3</f>
        <v>522509.1045987652</v>
      </c>
      <c r="AL5" s="159">
        <f>Watersheds!AL12*AL3</f>
        <v>1064528.7062601969</v>
      </c>
      <c r="AM5" s="159">
        <f>Watersheds!AM12*AM3</f>
        <v>790004.66459855286</v>
      </c>
      <c r="AN5" s="159">
        <f>Watersheds!AN12*AN3</f>
        <v>949734.58489426749</v>
      </c>
      <c r="AO5" s="158">
        <f>SUM(B5:AN5)</f>
        <v>19647267.033658866</v>
      </c>
    </row>
    <row r="6" spans="1:42" s="743" customFormat="1" x14ac:dyDescent="0.25">
      <c r="A6" s="743" t="s">
        <v>1170</v>
      </c>
      <c r="B6" s="169">
        <v>5.4290465137799997E-2</v>
      </c>
      <c r="C6" s="169">
        <v>6.4899448881399993E-2</v>
      </c>
      <c r="D6" s="169">
        <v>3.7334137881500001E-2</v>
      </c>
      <c r="E6" s="169">
        <v>5.6045729354300002E-2</v>
      </c>
      <c r="F6" s="169">
        <v>3.1491852775499998E-2</v>
      </c>
      <c r="G6" s="169">
        <v>0</v>
      </c>
      <c r="H6" s="169">
        <v>6.4083321929299997E-2</v>
      </c>
      <c r="I6" s="169">
        <v>6.4519520935199998E-2</v>
      </c>
      <c r="J6" s="169">
        <v>2.9052333933399999E-2</v>
      </c>
      <c r="K6" s="169">
        <v>4.3204545865999998E-2</v>
      </c>
      <c r="L6" s="169">
        <v>0.14760821172399999</v>
      </c>
      <c r="M6" s="169">
        <v>2.31648016609E-2</v>
      </c>
      <c r="N6" s="169">
        <v>3.3331087125500002E-2</v>
      </c>
      <c r="O6" s="169">
        <v>7.6092212994E-2</v>
      </c>
      <c r="P6" s="169">
        <v>6.2977387004800003E-2</v>
      </c>
      <c r="Q6" s="169">
        <v>7.3261702946699994E-2</v>
      </c>
      <c r="R6" s="169">
        <v>0</v>
      </c>
      <c r="S6" s="169">
        <v>3.8389130686900003E-2</v>
      </c>
      <c r="T6" s="169">
        <v>8.6143033526500004E-2</v>
      </c>
      <c r="U6" s="169">
        <v>0.17120283718400001</v>
      </c>
      <c r="V6" s="169">
        <v>6.03021343591E-2</v>
      </c>
      <c r="W6" s="169">
        <v>8.4954378922000001E-2</v>
      </c>
      <c r="X6" s="169">
        <v>0.165745798429</v>
      </c>
      <c r="Y6" s="169">
        <v>1.3656283315900001E-2</v>
      </c>
      <c r="Z6" s="169">
        <v>6.3193981654400003E-2</v>
      </c>
      <c r="AA6" s="169">
        <v>0.10989732608</v>
      </c>
      <c r="AB6" s="169">
        <v>2.8218079680200001E-2</v>
      </c>
      <c r="AC6" s="169">
        <v>2.9883700033400001E-2</v>
      </c>
      <c r="AD6" s="169">
        <v>0.15199848064800001</v>
      </c>
      <c r="AE6" s="169">
        <v>7.1976026937900006E-2</v>
      </c>
      <c r="AF6" s="169">
        <v>4.1451262829899999E-2</v>
      </c>
      <c r="AG6" s="169">
        <v>0.229536625971</v>
      </c>
      <c r="AH6" s="169">
        <v>8.6474695047499994E-2</v>
      </c>
      <c r="AI6" s="169">
        <v>0.129262705443</v>
      </c>
      <c r="AJ6" s="169">
        <v>0.108538433268</v>
      </c>
      <c r="AK6" s="169">
        <v>4.6778236572400003E-2</v>
      </c>
      <c r="AL6" s="169">
        <v>9.9165030916699995E-2</v>
      </c>
      <c r="AM6" s="169">
        <v>6.1676264347900002E-2</v>
      </c>
      <c r="AN6" s="169">
        <v>8.0723989712399996E-2</v>
      </c>
      <c r="AO6" s="158"/>
    </row>
    <row r="7" spans="1:42" s="756" customFormat="1" x14ac:dyDescent="0.25">
      <c r="A7" s="756" t="str">
        <f>"% Ag w/in "&amp;Returns_Per_A!$C$85&amp;" feet, region, permanent"</f>
        <v>% Ag w/in 50 feet, region, permanent</v>
      </c>
      <c r="B7" s="768">
        <f>B6*B3*Returns_Per_A!$C$85/(90*Parameters!$C$19)</f>
        <v>9.1955394881097548E-3</v>
      </c>
      <c r="C7" s="768">
        <f>C6*C3*Returns_Per_A!$C$85/(90*Parameters!$C$19)</f>
        <v>1.0992454078827912E-2</v>
      </c>
      <c r="D7" s="768">
        <f>D6*D3*Returns_Per_A!$C$85/(90*Parameters!$C$19)</f>
        <v>6.3235328390074527E-3</v>
      </c>
      <c r="E7" s="768">
        <f>E6*E3*Returns_Per_A!$C$85/(90*Parameters!$C$19)</f>
        <v>9.4928403377879406E-3</v>
      </c>
      <c r="F7" s="768">
        <f>F6*F3*Returns_Per_A!$C$85/(90*Parameters!$C$19)</f>
        <v>5.3339859037093498E-3</v>
      </c>
      <c r="G7" s="768">
        <f>G6*G3*Returns_Per_A!$C$85/(90*Parameters!$C$19)</f>
        <v>0</v>
      </c>
      <c r="H7" s="768">
        <f>H6*H3*Returns_Per_A!$C$85/(90*Parameters!$C$19)</f>
        <v>1.0854221193987127E-2</v>
      </c>
      <c r="I7" s="768">
        <f>I6*I3*Returns_Per_A!$C$85/(90*Parameters!$C$19)</f>
        <v>1.0928103139430895E-2</v>
      </c>
      <c r="J7" s="768">
        <f>J6*J3*Returns_Per_A!$C$85/(90*Parameters!$C$19)</f>
        <v>4.9207882678523034E-3</v>
      </c>
      <c r="K7" s="768">
        <f>K6*K3*Returns_Per_A!$C$85/(90*Parameters!$C$19)</f>
        <v>7.3178431344850942E-3</v>
      </c>
      <c r="L7" s="768">
        <f>L6*L3*Returns_Per_A!$C$85/(90*Parameters!$C$19)</f>
        <v>2.5001390874661245E-2</v>
      </c>
      <c r="M7" s="768">
        <f>M6*M3*Returns_Per_A!$C$85/(90*Parameters!$C$19)</f>
        <v>3.9235775170901087E-3</v>
      </c>
      <c r="N7" s="768">
        <f>N6*N3*Returns_Per_A!$C$85/(90*Parameters!$C$19)</f>
        <v>5.6455093369749323E-3</v>
      </c>
      <c r="O7" s="768">
        <f>O6*O3*Returns_Per_A!$C$85/(90*Parameters!$C$19)</f>
        <v>1.2888247458333333E-2</v>
      </c>
      <c r="P7" s="768">
        <f>P6*P3*Returns_Per_A!$C$85/(90*Parameters!$C$19)</f>
        <v>1.066690159295393E-2</v>
      </c>
      <c r="Q7" s="768">
        <f>Q6*Q3*Returns_Per_A!$C$85/(90*Parameters!$C$19)</f>
        <v>1.2408825024847562E-2</v>
      </c>
      <c r="R7" s="768">
        <f>R6*R3*Returns_Per_A!$C$85/(90*Parameters!$C$19)</f>
        <v>0</v>
      </c>
      <c r="S7" s="768">
        <f>S6*S3*Returns_Per_A!$C$85/(90*Parameters!$C$19)</f>
        <v>6.5022240323340114E-3</v>
      </c>
      <c r="T7" s="768">
        <f>T6*T3*Returns_Per_A!$C$85/(90*Parameters!$C$19)</f>
        <v>1.4590622209773038E-2</v>
      </c>
      <c r="U7" s="768">
        <f>U6*U3*Returns_Per_A!$C$85/(90*Parameters!$C$19)</f>
        <v>2.8997770525745259E-2</v>
      </c>
      <c r="V7" s="768">
        <f>V6*V3*Returns_Per_A!$C$85/(90*Parameters!$C$19)</f>
        <v>1.0213776144834012E-2</v>
      </c>
      <c r="W7" s="768">
        <f>W6*W3*Returns_Per_A!$C$85/(90*Parameters!$C$19)</f>
        <v>1.4389291822831978E-2</v>
      </c>
      <c r="X7" s="768">
        <f>X6*X3*Returns_Per_A!$C$85/(90*Parameters!$C$19)</f>
        <v>2.8073475343665312E-2</v>
      </c>
      <c r="Y7" s="768">
        <f>Y6*Y3*Returns_Per_A!$C$85/(90*Parameters!$C$19)</f>
        <v>2.3130561171917346E-3</v>
      </c>
      <c r="Z7" s="768">
        <f>Z6*Z3*Returns_Per_A!$C$85/(90*Parameters!$C$19)</f>
        <v>1.0703587678590787E-2</v>
      </c>
      <c r="AA7" s="768">
        <f>AA6*AA3*Returns_Per_A!$C$85/(90*Parameters!$C$19)</f>
        <v>1.8614045745257452E-2</v>
      </c>
      <c r="AB7" s="768">
        <f>AB6*AB3*Returns_Per_A!$C$85/(90*Parameters!$C$19)</f>
        <v>4.7794850406842814E-3</v>
      </c>
      <c r="AC7" s="768">
        <f>AC6*AC3*Returns_Per_A!$C$85/(90*Parameters!$C$19)</f>
        <v>5.0616023091802171E-3</v>
      </c>
      <c r="AD7" s="768">
        <f>AD6*AD3*Returns_Per_A!$C$85/(90*Parameters!$C$19)</f>
        <v>2.5745000109756101E-2</v>
      </c>
      <c r="AE7" s="768">
        <f>AE6*AE3*Returns_Per_A!$C$85/(90*Parameters!$C$19)</f>
        <v>1.2191061473221547E-2</v>
      </c>
      <c r="AF7" s="768">
        <f>AF6*AF3*Returns_Per_A!$C$85/(90*Parameters!$C$19)</f>
        <v>7.0208778505928184E-3</v>
      </c>
      <c r="AG7" s="768">
        <f>AG6*AG3*Returns_Per_A!$C$85/(90*Parameters!$C$19)</f>
        <v>3.8878154805386179E-2</v>
      </c>
      <c r="AH7" s="768">
        <f>AH6*AH3*Returns_Per_A!$C$85/(90*Parameters!$C$19)</f>
        <v>1.4646797941649728E-2</v>
      </c>
      <c r="AI7" s="768">
        <f>AI6*AI3*Returns_Per_A!$C$85/(90*Parameters!$C$19)</f>
        <v>2.1894089675304877E-2</v>
      </c>
      <c r="AJ7" s="768">
        <f>AJ6*AJ3*Returns_Per_A!$C$85/(90*Parameters!$C$19)</f>
        <v>1.8383880973577238E-2</v>
      </c>
      <c r="AK7" s="768">
        <f>AK6*AK3*Returns_Per_A!$C$85/(90*Parameters!$C$19)</f>
        <v>7.9231430508807602E-3</v>
      </c>
      <c r="AL7" s="768">
        <f>AL6*AL3*Returns_Per_A!$C$85/(90*Parameters!$C$19)</f>
        <v>1.6796245073966803E-2</v>
      </c>
      <c r="AM7" s="768">
        <f>AM6*AM3*Returns_Per_A!$C$85/(90*Parameters!$C$19)</f>
        <v>1.0446521739142954E-2</v>
      </c>
      <c r="AN7" s="768">
        <f>AN6*AN3*Returns_Per_A!$C$85/(90*Parameters!$C$19)</f>
        <v>1.3672762485162603E-2</v>
      </c>
      <c r="AO7" s="758"/>
    </row>
    <row r="8" spans="1:42" s="756" customFormat="1" x14ac:dyDescent="0.25">
      <c r="A8" s="756" t="s">
        <v>1174</v>
      </c>
      <c r="B8" s="757">
        <f>B4*B6</f>
        <v>107751.2982897678</v>
      </c>
      <c r="C8" s="757">
        <f t="shared" ref="C8:AN8" si="0">C4*C6</f>
        <v>23363.578241653475</v>
      </c>
      <c r="D8" s="757">
        <f t="shared" si="0"/>
        <v>18032.576288161901</v>
      </c>
      <c r="E8" s="757">
        <f t="shared" si="0"/>
        <v>41326.054067787984</v>
      </c>
      <c r="F8" s="757">
        <f t="shared" si="0"/>
        <v>18537.008933969028</v>
      </c>
      <c r="G8" s="757">
        <f t="shared" si="0"/>
        <v>0</v>
      </c>
      <c r="H8" s="757">
        <f t="shared" si="0"/>
        <v>60217.203315565479</v>
      </c>
      <c r="I8" s="757">
        <f t="shared" si="0"/>
        <v>55516.116488308144</v>
      </c>
      <c r="J8" s="757">
        <f t="shared" si="0"/>
        <v>6873.1429777677758</v>
      </c>
      <c r="K8" s="757">
        <f t="shared" si="0"/>
        <v>18879.479477328387</v>
      </c>
      <c r="L8" s="757">
        <f t="shared" si="0"/>
        <v>134941.53113373942</v>
      </c>
      <c r="M8" s="757">
        <f t="shared" si="0"/>
        <v>29451.199287902517</v>
      </c>
      <c r="N8" s="757">
        <f t="shared" si="0"/>
        <v>13146.310775004389</v>
      </c>
      <c r="O8" s="757">
        <f t="shared" si="0"/>
        <v>50929.768086518721</v>
      </c>
      <c r="P8" s="757">
        <f t="shared" si="0"/>
        <v>7285.8118121580264</v>
      </c>
      <c r="Q8" s="757">
        <f t="shared" si="0"/>
        <v>7313.5881014478509</v>
      </c>
      <c r="R8" s="757">
        <f t="shared" si="0"/>
        <v>0</v>
      </c>
      <c r="S8" s="757">
        <f t="shared" si="0"/>
        <v>42877.120539206728</v>
      </c>
      <c r="T8" s="757">
        <f t="shared" si="0"/>
        <v>38581.057592111538</v>
      </c>
      <c r="U8" s="757">
        <f t="shared" si="0"/>
        <v>148316.36935678817</v>
      </c>
      <c r="V8" s="757">
        <f t="shared" si="0"/>
        <v>1962.4857115783641</v>
      </c>
      <c r="W8" s="757">
        <f t="shared" si="0"/>
        <v>22552.506489121635</v>
      </c>
      <c r="X8" s="757">
        <f t="shared" si="0"/>
        <v>61579.883387581714</v>
      </c>
      <c r="Y8" s="757">
        <f t="shared" si="0"/>
        <v>4661.6034452779741</v>
      </c>
      <c r="Z8" s="757">
        <f t="shared" si="0"/>
        <v>72194.890683227728</v>
      </c>
      <c r="AA8" s="757">
        <f t="shared" si="0"/>
        <v>136058.22614214339</v>
      </c>
      <c r="AB8" s="757">
        <f t="shared" si="0"/>
        <v>29194.32407422355</v>
      </c>
      <c r="AC8" s="757">
        <f t="shared" si="0"/>
        <v>7777.0005301559067</v>
      </c>
      <c r="AD8" s="757">
        <f t="shared" si="0"/>
        <v>6933.3789432765452</v>
      </c>
      <c r="AE8" s="757">
        <f t="shared" si="0"/>
        <v>6070.8705943781861</v>
      </c>
      <c r="AF8" s="757">
        <f t="shared" si="0"/>
        <v>11342.691897954743</v>
      </c>
      <c r="AG8" s="757">
        <f t="shared" si="0"/>
        <v>7809.3867061638457</v>
      </c>
      <c r="AH8" s="757">
        <f t="shared" si="0"/>
        <v>60828.865126567856</v>
      </c>
      <c r="AI8" s="757">
        <f t="shared" si="0"/>
        <v>10303.287327032964</v>
      </c>
      <c r="AJ8" s="757">
        <f t="shared" si="0"/>
        <v>38574.127197065376</v>
      </c>
      <c r="AK8" s="757">
        <f t="shared" si="0"/>
        <v>11923.518206207744</v>
      </c>
      <c r="AL8" s="757">
        <f t="shared" si="0"/>
        <v>80229.291963169744</v>
      </c>
      <c r="AM8" s="757">
        <f t="shared" si="0"/>
        <v>23193.380555607706</v>
      </c>
      <c r="AN8" s="757">
        <f t="shared" si="0"/>
        <v>36224.559200147763</v>
      </c>
      <c r="AO8" s="758"/>
    </row>
    <row r="9" spans="1:42" s="168" customFormat="1" x14ac:dyDescent="0.25">
      <c r="A9" s="170" t="s">
        <v>1172</v>
      </c>
      <c r="B9" s="169">
        <v>0.89171880483599997</v>
      </c>
      <c r="C9" s="169">
        <v>0.86299699544899999</v>
      </c>
      <c r="D9" s="169">
        <v>0.76334559917400002</v>
      </c>
      <c r="E9" s="169">
        <v>0.89353245496699996</v>
      </c>
      <c r="F9" s="169">
        <v>0.73387438058900001</v>
      </c>
      <c r="G9" s="169">
        <v>0.84594219923000002</v>
      </c>
      <c r="H9" s="169">
        <v>0.968116819859</v>
      </c>
      <c r="I9" s="169">
        <v>0.73881357908199996</v>
      </c>
      <c r="J9" s="169">
        <v>0.71817135810900001</v>
      </c>
      <c r="K9" s="169">
        <v>0.52099943160999995</v>
      </c>
      <c r="L9" s="169">
        <v>0.95630866289100003</v>
      </c>
      <c r="M9" s="169">
        <v>0.88257837295499997</v>
      </c>
      <c r="N9" s="169">
        <v>0.64679718017599996</v>
      </c>
      <c r="O9" s="169">
        <v>0.466330111027</v>
      </c>
      <c r="P9" s="169">
        <v>0.79765498638200005</v>
      </c>
      <c r="Q9" s="169">
        <v>0.53621006012000005</v>
      </c>
      <c r="R9" s="169">
        <v>0.95933312177700003</v>
      </c>
      <c r="S9" s="169">
        <v>0.87830597162199997</v>
      </c>
      <c r="T9" s="169">
        <v>0.99671489000299995</v>
      </c>
      <c r="U9" s="169">
        <v>0.89047878980600004</v>
      </c>
      <c r="V9" s="169">
        <v>0.85343003272999995</v>
      </c>
      <c r="W9" s="169">
        <v>0.38059431314499997</v>
      </c>
      <c r="X9" s="169">
        <v>0.73435300588600005</v>
      </c>
      <c r="Y9" s="169">
        <v>0.69280058145500001</v>
      </c>
      <c r="Z9" s="169">
        <v>0.71782904863399999</v>
      </c>
      <c r="AA9" s="169">
        <v>0.86216622591000003</v>
      </c>
      <c r="AB9" s="169">
        <v>0.68280643224699999</v>
      </c>
      <c r="AC9" s="169">
        <v>0.97101545333899997</v>
      </c>
      <c r="AD9" s="169">
        <v>0.73176872730300002</v>
      </c>
      <c r="AE9" s="169">
        <v>0.84708344936400004</v>
      </c>
      <c r="AF9" s="169">
        <v>0.67022496461900005</v>
      </c>
      <c r="AG9" s="169">
        <v>0.71222263574599998</v>
      </c>
      <c r="AH9" s="169">
        <v>0.65484637022000003</v>
      </c>
      <c r="AI9" s="169">
        <v>0.72703003883399997</v>
      </c>
      <c r="AJ9" s="169">
        <v>0.35071080923100001</v>
      </c>
      <c r="AK9" s="169">
        <v>0.759536862373</v>
      </c>
      <c r="AL9" s="169">
        <v>0.48199036717400001</v>
      </c>
      <c r="AM9" s="169">
        <v>0.72725647687899997</v>
      </c>
      <c r="AN9" s="169">
        <v>0.67545336484899998</v>
      </c>
      <c r="AO9" s="642"/>
      <c r="AP9" s="748"/>
    </row>
    <row r="10" spans="1:42" s="756" customFormat="1" x14ac:dyDescent="0.25">
      <c r="A10" s="756" t="s">
        <v>1175</v>
      </c>
      <c r="B10" s="759">
        <f t="shared" ref="B10:AN10" si="1">B8*B9</f>
        <v>96083.858930479066</v>
      </c>
      <c r="C10" s="759">
        <f t="shared" si="1"/>
        <v>20162.697825484578</v>
      </c>
      <c r="D10" s="759">
        <f t="shared" si="1"/>
        <v>13765.087751337811</v>
      </c>
      <c r="E10" s="759">
        <f t="shared" si="1"/>
        <v>36926.170545289569</v>
      </c>
      <c r="F10" s="759">
        <f t="shared" si="1"/>
        <v>13603.83594938928</v>
      </c>
      <c r="G10" s="759">
        <f t="shared" si="1"/>
        <v>0</v>
      </c>
      <c r="H10" s="759">
        <f t="shared" si="1"/>
        <v>58297.287374668085</v>
      </c>
      <c r="I10" s="759">
        <f t="shared" si="1"/>
        <v>41016.060719460169</v>
      </c>
      <c r="J10" s="759">
        <f t="shared" si="1"/>
        <v>4936.0944268208204</v>
      </c>
      <c r="K10" s="759">
        <f t="shared" si="1"/>
        <v>9836.198076780749</v>
      </c>
      <c r="L10" s="759">
        <f t="shared" si="1"/>
        <v>129045.7552069706</v>
      </c>
      <c r="M10" s="759">
        <f t="shared" si="1"/>
        <v>25992.991549090457</v>
      </c>
      <c r="N10" s="759">
        <f t="shared" si="1"/>
        <v>8502.9967389902031</v>
      </c>
      <c r="O10" s="759">
        <f t="shared" si="1"/>
        <v>23750.084406365637</v>
      </c>
      <c r="P10" s="759">
        <f t="shared" si="1"/>
        <v>5811.5641218087258</v>
      </c>
      <c r="Q10" s="759">
        <f t="shared" si="1"/>
        <v>3921.6195155702694</v>
      </c>
      <c r="R10" s="759">
        <f t="shared" si="1"/>
        <v>0</v>
      </c>
      <c r="S10" s="759">
        <f t="shared" si="1"/>
        <v>37659.231015541576</v>
      </c>
      <c r="T10" s="759">
        <f t="shared" si="1"/>
        <v>38454.314574120857</v>
      </c>
      <c r="U10" s="759">
        <f t="shared" si="1"/>
        <v>132072.58109325243</v>
      </c>
      <c r="V10" s="759">
        <f t="shared" si="1"/>
        <v>1674.8442450644804</v>
      </c>
      <c r="W10" s="759">
        <f t="shared" si="1"/>
        <v>8583.3557169254036</v>
      </c>
      <c r="X10" s="759">
        <f t="shared" si="1"/>
        <v>45221.372467779991</v>
      </c>
      <c r="Y10" s="759">
        <f t="shared" si="1"/>
        <v>3229.5615774012117</v>
      </c>
      <c r="Z10" s="759">
        <f t="shared" si="1"/>
        <v>51823.589695376992</v>
      </c>
      <c r="AA10" s="759">
        <f t="shared" si="1"/>
        <v>117304.80733698107</v>
      </c>
      <c r="AB10" s="759">
        <f t="shared" si="1"/>
        <v>19934.072262983282</v>
      </c>
      <c r="AC10" s="759">
        <f t="shared" si="1"/>
        <v>7551.5876954069809</v>
      </c>
      <c r="AD10" s="759">
        <f t="shared" si="1"/>
        <v>5073.6298852308964</v>
      </c>
      <c r="AE10" s="759">
        <f t="shared" si="1"/>
        <v>5142.5340037283513</v>
      </c>
      <c r="AF10" s="759">
        <f t="shared" si="1"/>
        <v>7602.1552759909364</v>
      </c>
      <c r="AG10" s="759">
        <f t="shared" si="1"/>
        <v>5562.0219834237869</v>
      </c>
      <c r="AH10" s="759">
        <f t="shared" si="1"/>
        <v>39833.561532734901</v>
      </c>
      <c r="AI10" s="759">
        <f t="shared" si="1"/>
        <v>7490.7993854906354</v>
      </c>
      <c r="AJ10" s="759">
        <f t="shared" si="1"/>
        <v>13528.363364662324</v>
      </c>
      <c r="AK10" s="759">
        <f t="shared" si="1"/>
        <v>9056.3516067903711</v>
      </c>
      <c r="AL10" s="759">
        <f t="shared" si="1"/>
        <v>38669.74589143823</v>
      </c>
      <c r="AM10" s="759">
        <f t="shared" si="1"/>
        <v>16867.536229785164</v>
      </c>
      <c r="AN10" s="759">
        <f t="shared" si="1"/>
        <v>24468.000401911606</v>
      </c>
      <c r="AO10" s="758"/>
      <c r="AP10" s="760"/>
    </row>
    <row r="11" spans="1:42" s="756" customFormat="1" x14ac:dyDescent="0.25">
      <c r="A11" s="756" t="str">
        <f>"Existing buffers "&amp;Returns_Per_A!$C$85&amp;" feet, region, permanent"</f>
        <v>Existing buffers 50 feet, region, permanent</v>
      </c>
      <c r="B11" s="759">
        <f>B10*B3*Returns_Per_A!$C$85/(Parameters!$C$19*90)</f>
        <v>16274.366350013392</v>
      </c>
      <c r="C11" s="759">
        <f>C10*C3*Returns_Per_A!$C$85/(Parameters!$C$19*90)</f>
        <v>3415.0910951024016</v>
      </c>
      <c r="D11" s="759">
        <f>D10*D3*Returns_Per_A!$C$85/(Parameters!$C$19*90)</f>
        <v>2331.4850527333692</v>
      </c>
      <c r="E11" s="759">
        <f>E10*E3*Returns_Per_A!$C$85/(Parameters!$C$19*90)</f>
        <v>6254.4326804352249</v>
      </c>
      <c r="F11" s="759">
        <f>F10*F3*Returns_Per_A!$C$85/(Parameters!$C$19*90)</f>
        <v>2304.172755655366</v>
      </c>
      <c r="G11" s="759">
        <f>G10*G3*Returns_Per_A!$C$85/(Parameters!$C$19*90)</f>
        <v>0</v>
      </c>
      <c r="H11" s="759">
        <f>H10*H3*Returns_Per_A!$C$85/(Parameters!$C$19*90)</f>
        <v>9874.2017911023177</v>
      </c>
      <c r="I11" s="759">
        <f>I10*I3*Returns_Per_A!$C$85/(Parameters!$C$19*90)</f>
        <v>6947.1647560061265</v>
      </c>
      <c r="J11" s="759">
        <f>J10*J3*Returns_Per_A!$C$85/(Parameters!$C$19*90)</f>
        <v>836.05935413631789</v>
      </c>
      <c r="K11" s="759">
        <f>K10*K3*Returns_Per_A!$C$85/(Parameters!$C$19*90)</f>
        <v>1666.0227094818342</v>
      </c>
      <c r="L11" s="759">
        <f>L10*L3*Returns_Per_A!$C$85/(Parameters!$C$19*90)</f>
        <v>21857.343361614261</v>
      </c>
      <c r="M11" s="759">
        <f>M10*M3*Returns_Per_A!$C$85/(Parameters!$C$19*90)</f>
        <v>4402.6069696968934</v>
      </c>
      <c r="N11" s="759">
        <f>N10*N3*Returns_Per_A!$C$85/(Parameters!$C$19*90)</f>
        <v>1440.2094747612134</v>
      </c>
      <c r="O11" s="759">
        <f>O10*O3*Returns_Per_A!$C$85/(Parameters!$C$19*90)</f>
        <v>4022.7107734359142</v>
      </c>
      <c r="P11" s="759">
        <f>P10*P3*Returns_Per_A!$C$85/(Parameters!$C$19*90)</f>
        <v>984.3435165665187</v>
      </c>
      <c r="Q11" s="759">
        <f>Q10*Q3*Returns_Per_A!$C$85/(Parameters!$C$19*90)</f>
        <v>664.23094775919196</v>
      </c>
      <c r="R11" s="759">
        <f>R10*R3*Returns_Per_A!$C$85/(Parameters!$C$19*90)</f>
        <v>0</v>
      </c>
      <c r="S11" s="759">
        <f>S10*S3*Returns_Per_A!$C$85/(Parameters!$C$19*90)</f>
        <v>6378.5960392177467</v>
      </c>
      <c r="T11" s="759">
        <f>T10*T3*Returns_Per_A!$C$85/(Parameters!$C$19*90)</f>
        <v>6513.2646636383561</v>
      </c>
      <c r="U11" s="759">
        <f>U10*U3*Returns_Per_A!$C$85/(Parameters!$C$19*90)</f>
        <v>22370.017122840858</v>
      </c>
      <c r="V11" s="759">
        <f>V10*V3*Returns_Per_A!$C$85/(Parameters!$C$19*90)</f>
        <v>283.67958080360438</v>
      </c>
      <c r="W11" s="759">
        <f>W10*W3*Returns_Per_A!$C$85/(Parameters!$C$19*90)</f>
        <v>1453.8204127583679</v>
      </c>
      <c r="X11" s="759">
        <f>X10*X3*Returns_Per_A!$C$85/(Parameters!$C$19*90)</f>
        <v>7659.4465561957986</v>
      </c>
      <c r="Y11" s="759">
        <f>Y10*Y3*Returns_Per_A!$C$85/(Parameters!$C$19*90)</f>
        <v>547.01246229695323</v>
      </c>
      <c r="Z11" s="759">
        <f>Z10*Z3*Returns_Per_A!$C$85/(Parameters!$C$19*90)</f>
        <v>8777.7082817372957</v>
      </c>
      <c r="AA11" s="759">
        <f>AA10*AA3*Returns_Per_A!$C$85/(Parameters!$C$19*90)</f>
        <v>19868.700429705466</v>
      </c>
      <c r="AB11" s="759">
        <f>AB10*AB3*Returns_Per_A!$C$85/(Parameters!$C$19*90)</f>
        <v>3376.3672532153259</v>
      </c>
      <c r="AC11" s="759">
        <f>AC10*AC3*Returns_Per_A!$C$85/(Parameters!$C$19*90)</f>
        <v>1279.0629565391228</v>
      </c>
      <c r="AD11" s="759">
        <f>AD10*AD3*Returns_Per_A!$C$85/(Parameters!$C$19*90)</f>
        <v>859.35465535753667</v>
      </c>
      <c r="AE11" s="759">
        <f>AE10*AE3*Returns_Per_A!$C$85/(Parameters!$C$19*90)</f>
        <v>871.02540713556084</v>
      </c>
      <c r="AF11" s="759">
        <f>AF10*AF3*Returns_Per_A!$C$85/(Parameters!$C$19*90)</f>
        <v>1287.6279261502264</v>
      </c>
      <c r="AG11" s="759">
        <f>AG10*AG3*Returns_Per_A!$C$85/(Parameters!$C$19*90)</f>
        <v>942.07689421134614</v>
      </c>
      <c r="AH11" s="759">
        <f>AH10*AH3*Returns_Per_A!$C$85/(Parameters!$C$19*90)</f>
        <v>6746.876953376508</v>
      </c>
      <c r="AI11" s="759">
        <f>AI10*AI3*Returns_Per_A!$C$85/(Parameters!$C$19*90)</f>
        <v>1268.7668335858123</v>
      </c>
      <c r="AJ11" s="759">
        <f>AJ10*AJ3*Returns_Per_A!$C$85/(Parameters!$C$19*90)</f>
        <v>2291.3894587842688</v>
      </c>
      <c r="AK11" s="759">
        <f>AK10*AK3*Returns_Per_A!$C$85/(Parameters!$C$19*90)</f>
        <v>1533.9348927490466</v>
      </c>
      <c r="AL11" s="759">
        <f>AL10*AL3*Returns_Per_A!$C$85/(Parameters!$C$19*90)</f>
        <v>6549.7537078994292</v>
      </c>
      <c r="AM11" s="759">
        <f>AM10*AM3*Returns_Per_A!$C$85/(Parameters!$C$19*90)</f>
        <v>2856.9675185950482</v>
      </c>
      <c r="AN11" s="759">
        <f>AN10*AN3*Returns_Per_A!$C$85/(Parameters!$C$19*90)</f>
        <v>4144.3090111638903</v>
      </c>
      <c r="AO11" s="758"/>
      <c r="AP11" s="760"/>
    </row>
    <row r="12" spans="1:42" s="742" customFormat="1" ht="31.5" x14ac:dyDescent="0.35">
      <c r="A12" s="744" t="str">
        <f>"Pot Buff_acres lost - "&amp;Returns_Per_A!$C$85&amp;" ft, permanent, region"</f>
        <v>Pot Buff_acres lost - 50 ft, permanent, region</v>
      </c>
      <c r="B12" s="745">
        <f>(B8-B10)*B3*Returns_Per_A!$C$85/(90*Parameters!$C$19)</f>
        <v>1976.1923034025635</v>
      </c>
      <c r="C12" s="745">
        <f>(C8-C10)*C3*Returns_Per_A!$C$85/(90*Parameters!$C$19)</f>
        <v>542.15454203402726</v>
      </c>
      <c r="D12" s="745">
        <f>(D8-D10)*D3*Returns_Per_A!$C$85/(90*Parameters!$C$19)</f>
        <v>722.81309905557089</v>
      </c>
      <c r="E12" s="745">
        <f>(E8-E10)*E3*Returns_Per_A!$C$85/(90*Parameters!$C$19)</f>
        <v>745.237724000409</v>
      </c>
      <c r="F12" s="745">
        <f>(F8-F10)*F3*Returns_Per_A!$C$85/(90*Parameters!$C$19)</f>
        <v>835.5645299084938</v>
      </c>
      <c r="G12" s="745">
        <f>(G8-G10)*G3*Returns_Per_A!$C$85/(90*Parameters!$C$19)</f>
        <v>0</v>
      </c>
      <c r="H12" s="745">
        <f>(H8-H10)*H3*Returns_Per_A!$C$85/(90*Parameters!$C$19)</f>
        <v>325.1890143796399</v>
      </c>
      <c r="I12" s="745">
        <f>(I8-I10)*I3*Returns_Per_A!$C$85/(90*Parameters!$C$19)</f>
        <v>2455.9715055636816</v>
      </c>
      <c r="J12" s="745">
        <f>(J8-J10)*J3*Returns_Per_A!$C$85/(90*Parameters!$C$19)</f>
        <v>328.09087922543284</v>
      </c>
      <c r="K12" s="745">
        <f>(K8-K10)*K3*Returns_Per_A!$C$85/(90*Parameters!$C$19)</f>
        <v>1531.7211044288006</v>
      </c>
      <c r="L12" s="745">
        <f>(L8-L10)*L3*Returns_Per_A!$C$85/(90*Parameters!$C$19)</f>
        <v>998.60703366680627</v>
      </c>
      <c r="M12" s="745">
        <f>(M8-M10)*M3*Returns_Per_A!$C$85/(90*Parameters!$C$19)</f>
        <v>585.73979315922418</v>
      </c>
      <c r="N12" s="745">
        <f>(N8-N10)*N3*Returns_Per_A!$C$85/(90*Parameters!$C$19)</f>
        <v>786.46917954169817</v>
      </c>
      <c r="O12" s="745">
        <f>(O8-O10)*O3*Returns_Per_A!$C$85/(90*Parameters!$C$19)</f>
        <v>4603.6049593755224</v>
      </c>
      <c r="P12" s="745">
        <f>(P8-P10)*P3*Returns_Per_A!$C$85/(90*Parameters!$C$19)</f>
        <v>249.70319958490867</v>
      </c>
      <c r="Q12" s="745">
        <f>(Q8-Q10)*Q3*Returns_Per_A!$C$85/(90*Parameters!$C$19)</f>
        <v>574.52042443725975</v>
      </c>
      <c r="R12" s="745">
        <f>(R8-R10)*R3*Returns_Per_A!$C$85/(90*Parameters!$C$19)</f>
        <v>0</v>
      </c>
      <c r="S12" s="745">
        <f>(S8-S10)*S3*Returns_Per_A!$C$85/(90*Parameters!$C$19)</f>
        <v>883.78887595954473</v>
      </c>
      <c r="T12" s="745">
        <f>(T8-T10)*T3*Returns_Per_A!$C$85/(90*Parameters!$C$19)</f>
        <v>21.467313345304969</v>
      </c>
      <c r="U12" s="745">
        <f>(U8-U10)*U3*Returns_Per_A!$C$85/(90*Parameters!$C$19)</f>
        <v>2751.319150327869</v>
      </c>
      <c r="V12" s="745">
        <f>(V8-V10)*V3*Returns_Per_A!$C$85/(90*Parameters!$C$19)</f>
        <v>48.719760588394927</v>
      </c>
      <c r="W12" s="745">
        <f>(W8-W10)*W3*Returns_Per_A!$C$85/(90*Parameters!$C$19)</f>
        <v>2366.0485725264621</v>
      </c>
      <c r="X12" s="770">
        <f>(X8-X10)*X3*Returns_Per_A!$C$85/(90*Parameters!$C$19)</f>
        <v>2770.7504945463625</v>
      </c>
      <c r="Y12" s="745">
        <f>(Y8-Y10)*Y3*Returns_Per_A!$C$85/(90*Parameters!$C$19)</f>
        <v>242.55451691679582</v>
      </c>
      <c r="Z12" s="745">
        <f>(Z8-Z10)*Z3*Returns_Per_A!$C$85/(90*Parameters!$C$19)</f>
        <v>3450.4236090533095</v>
      </c>
      <c r="AA12" s="745">
        <f>(AA8-AA10)*AA3*Returns_Per_A!$C$85/(90*Parameters!$C$19)</f>
        <v>3176.3920740451085</v>
      </c>
      <c r="AB12" s="745">
        <f>(AB8-AB10)*AB3*Returns_Per_A!$C$85/(90*Parameters!$C$19)</f>
        <v>1568.4708352371729</v>
      </c>
      <c r="AC12" s="745">
        <f>(AC8-AC10)*AC3*Returns_Per_A!$C$85/(90*Parameters!$C$19)</f>
        <v>38.179680682406151</v>
      </c>
      <c r="AD12" s="745">
        <f>(AD8-AD10)*AD3*Returns_Per_A!$C$85/(90*Parameters!$C$19)</f>
        <v>314.99814668794869</v>
      </c>
      <c r="AE12" s="745">
        <f>(AE8-AE10)*AE3*Returns_Per_A!$C$85/(90*Parameters!$C$19)</f>
        <v>157.23858242714005</v>
      </c>
      <c r="AF12" s="745">
        <f>(AF8-AF10)*AF3*Returns_Per_A!$C$85/(90*Parameters!$C$19)</f>
        <v>633.55972594237915</v>
      </c>
      <c r="AG12" s="745">
        <f>(AG8-AG10)*AG3*Returns_Per_A!$C$85/(90*Parameters!$C$19)</f>
        <v>380.65120642616171</v>
      </c>
      <c r="AH12" s="745">
        <f>(AH8-AH10)*AH3*Returns_Per_A!$C$85/(90*Parameters!$C$19)</f>
        <v>3556.1151073565311</v>
      </c>
      <c r="AI12" s="745">
        <f>(AI8-AI10)*AI3*Returns_Per_A!$C$85/(90*Parameters!$C$19)</f>
        <v>476.36990879781985</v>
      </c>
      <c r="AJ12" s="745">
        <f>(AJ8-AJ10)*AJ3*Returns_Per_A!$C$85/(90*Parameters!$C$19)</f>
        <v>4242.1686707999752</v>
      </c>
      <c r="AK12" s="745">
        <f>(AK8-AK10)*AK3*Returns_Per_A!$C$85/(90*Parameters!$C$19)</f>
        <v>485.63119908830839</v>
      </c>
      <c r="AL12" s="745">
        <f>(AL8-AL10)*AL3*Returns_Per_A!$C$85/(90*Parameters!$C$19)</f>
        <v>7039.2185080846066</v>
      </c>
      <c r="AM12" s="745">
        <f>(AM8-AM10)*AM3*Returns_Per_A!$C$85/(90*Parameters!$C$19)</f>
        <v>1071.4505971921649</v>
      </c>
      <c r="AN12" s="745">
        <f>(AN8-AN10)*AN3*Returns_Per_A!$C$85/(90*Parameters!$C$19)</f>
        <v>1991.2870593218424</v>
      </c>
      <c r="AO12" s="158">
        <f>SUM(B12:AN12)</f>
        <v>54928.382887117659</v>
      </c>
      <c r="AP12" s="137"/>
    </row>
    <row r="13" spans="1:42" s="753" customFormat="1" x14ac:dyDescent="0.25">
      <c r="A13" s="715" t="str">
        <f>"Pot buff lost "&amp;Returns_Per_A!$C$85&amp;" feet of streams, permanent"</f>
        <v>Pot buff lost 50 feet of streams, permanent</v>
      </c>
      <c r="B13" s="754">
        <f t="shared" ref="B13:AN13" si="2">B12/B4</f>
        <v>9.9570400595028175E-4</v>
      </c>
      <c r="C13" s="754">
        <f t="shared" si="2"/>
        <v>1.5059992361883196E-3</v>
      </c>
      <c r="D13" s="754">
        <f t="shared" si="2"/>
        <v>1.4964918751188437E-3</v>
      </c>
      <c r="E13" s="754">
        <f t="shared" si="2"/>
        <v>1.0106794061545176E-3</v>
      </c>
      <c r="F13" s="754">
        <f t="shared" si="2"/>
        <v>1.4195103025541928E-3</v>
      </c>
      <c r="G13" s="754">
        <f t="shared" si="2"/>
        <v>0</v>
      </c>
      <c r="H13" s="754">
        <f t="shared" si="2"/>
        <v>3.460670896181512E-4</v>
      </c>
      <c r="I13" s="754">
        <f t="shared" si="2"/>
        <v>2.8542721464107157E-3</v>
      </c>
      <c r="J13" s="754">
        <f t="shared" si="2"/>
        <v>1.3868190745619806E-3</v>
      </c>
      <c r="K13" s="754">
        <f t="shared" si="2"/>
        <v>3.5052510208072201E-3</v>
      </c>
      <c r="L13" s="754">
        <f t="shared" si="2"/>
        <v>1.0923441968987001E-3</v>
      </c>
      <c r="M13" s="754">
        <f t="shared" si="2"/>
        <v>4.6071285589390192E-4</v>
      </c>
      <c r="N13" s="754">
        <f t="shared" si="2"/>
        <v>1.9940098171622673E-3</v>
      </c>
      <c r="O13" s="754">
        <f t="shared" si="2"/>
        <v>6.8780695901452995E-3</v>
      </c>
      <c r="P13" s="754">
        <f t="shared" si="2"/>
        <v>2.1583943480881287E-3</v>
      </c>
      <c r="Q13" s="754">
        <f t="shared" si="2"/>
        <v>5.7550882122554886E-3</v>
      </c>
      <c r="R13" s="754">
        <f t="shared" si="2"/>
        <v>0</v>
      </c>
      <c r="S13" s="754">
        <f t="shared" si="2"/>
        <v>7.9128183591096904E-4</v>
      </c>
      <c r="T13" s="754">
        <f t="shared" si="2"/>
        <v>4.7931798883776459E-5</v>
      </c>
      <c r="U13" s="754">
        <f t="shared" si="2"/>
        <v>3.1758709209075242E-3</v>
      </c>
      <c r="V13" s="754">
        <f t="shared" si="2"/>
        <v>1.4970328352514285E-3</v>
      </c>
      <c r="W13" s="754">
        <f t="shared" si="2"/>
        <v>8.9128091848782766E-3</v>
      </c>
      <c r="X13" s="754">
        <f t="shared" si="2"/>
        <v>7.4576343393781821E-3</v>
      </c>
      <c r="Y13" s="754">
        <f t="shared" si="2"/>
        <v>7.1056949426325628E-4</v>
      </c>
      <c r="Z13" s="754">
        <f t="shared" si="2"/>
        <v>3.0202415182973581E-3</v>
      </c>
      <c r="AA13" s="754">
        <f t="shared" si="2"/>
        <v>2.5656441761527406E-3</v>
      </c>
      <c r="AB13" s="754">
        <f t="shared" si="2"/>
        <v>1.5160219120767401E-3</v>
      </c>
      <c r="AC13" s="754">
        <f t="shared" si="2"/>
        <v>1.4670824830985955E-4</v>
      </c>
      <c r="AD13" s="754">
        <f t="shared" si="2"/>
        <v>6.9056141450242843E-3</v>
      </c>
      <c r="AE13" s="754">
        <f t="shared" si="2"/>
        <v>1.8642150690764703E-3</v>
      </c>
      <c r="AF13" s="754">
        <f t="shared" si="2"/>
        <v>2.3153102415849254E-3</v>
      </c>
      <c r="AG13" s="754">
        <f t="shared" si="2"/>
        <v>1.1188252916953021E-2</v>
      </c>
      <c r="AH13" s="754">
        <f t="shared" si="2"/>
        <v>5.0553954742146379E-3</v>
      </c>
      <c r="AI13" s="754">
        <f t="shared" si="2"/>
        <v>5.9764288084328951E-3</v>
      </c>
      <c r="AJ13" s="754">
        <f t="shared" si="2"/>
        <v>1.1936455200527579E-2</v>
      </c>
      <c r="AK13" s="754">
        <f t="shared" si="2"/>
        <v>1.9052238378823485E-3</v>
      </c>
      <c r="AL13" s="754">
        <f t="shared" si="2"/>
        <v>8.7006167436210549E-3</v>
      </c>
      <c r="AM13" s="754">
        <f t="shared" si="2"/>
        <v>2.8492211434939648E-3</v>
      </c>
      <c r="AN13" s="754">
        <f t="shared" si="2"/>
        <v>4.4374490577783468E-3</v>
      </c>
      <c r="AO13" s="158"/>
      <c r="AP13" s="137"/>
    </row>
    <row r="14" spans="1:42" x14ac:dyDescent="0.25">
      <c r="A14" s="54" t="s">
        <v>395</v>
      </c>
      <c r="B14" s="167">
        <v>1.0271450438900001</v>
      </c>
      <c r="C14" s="167">
        <v>0.96062849462699995</v>
      </c>
      <c r="D14" s="167">
        <v>1.56709013838</v>
      </c>
      <c r="E14" s="167">
        <v>0.92585168635299997</v>
      </c>
      <c r="F14" s="167">
        <v>0.965590319473</v>
      </c>
      <c r="G14" s="167">
        <v>1.2174131243699999</v>
      </c>
      <c r="H14" s="167">
        <v>0.92757963919999997</v>
      </c>
      <c r="I14" s="167">
        <v>0.91709303865299996</v>
      </c>
      <c r="J14" s="167">
        <v>1.0627500332199999</v>
      </c>
      <c r="K14" s="167">
        <v>1.00281908734</v>
      </c>
      <c r="L14" s="167">
        <v>1.0227249440499999</v>
      </c>
      <c r="M14" s="167">
        <v>0.98087443061699997</v>
      </c>
      <c r="N14" s="167">
        <v>0.94451424741500001</v>
      </c>
      <c r="O14" s="167">
        <v>0.80774390739599999</v>
      </c>
      <c r="P14" s="167">
        <v>1.1485509310199999</v>
      </c>
      <c r="Q14" s="167">
        <v>0.66354097755999997</v>
      </c>
      <c r="R14" s="167">
        <v>0.94836339016000004</v>
      </c>
      <c r="S14" s="167">
        <v>0.93542231641899998</v>
      </c>
      <c r="T14" s="167">
        <v>1.1610469132900001</v>
      </c>
      <c r="U14" s="167">
        <v>0.71783440860600001</v>
      </c>
      <c r="V14" s="167">
        <v>0.57345534134300002</v>
      </c>
      <c r="W14" s="167">
        <v>0.76768772418599995</v>
      </c>
      <c r="X14" s="167">
        <v>0.64477349742699996</v>
      </c>
      <c r="Y14" s="167">
        <v>1.31963646333</v>
      </c>
      <c r="Z14" s="167">
        <v>1.1869142585200001</v>
      </c>
      <c r="AA14" s="167">
        <v>0.81149725446700005</v>
      </c>
      <c r="AB14" s="167">
        <v>1.01986420038</v>
      </c>
      <c r="AC14" s="167">
        <v>0.85375627266700005</v>
      </c>
      <c r="AD14" s="167">
        <v>1.18351244154</v>
      </c>
      <c r="AE14" s="167">
        <v>1.2026413199199999</v>
      </c>
      <c r="AF14" s="167">
        <v>1.2174449631699999</v>
      </c>
      <c r="AG14" s="167">
        <v>1.54702909083</v>
      </c>
      <c r="AH14" s="167">
        <v>1.05353884639</v>
      </c>
      <c r="AI14" s="167">
        <v>0.87039241545099999</v>
      </c>
      <c r="AJ14" s="167">
        <v>0.83691150199099995</v>
      </c>
      <c r="AK14" s="167">
        <v>1.1080007810000001</v>
      </c>
      <c r="AL14" s="167">
        <v>0.86042957238999995</v>
      </c>
      <c r="AM14" s="167">
        <v>1.0162180997800001</v>
      </c>
      <c r="AN14" s="167">
        <v>1.02112732544</v>
      </c>
      <c r="AO14" s="152"/>
    </row>
    <row r="15" spans="1:42" s="168" customFormat="1" x14ac:dyDescent="0.25">
      <c r="A15" s="168" t="s">
        <v>1163</v>
      </c>
      <c r="B15" s="741">
        <f>Returns_Per_A!$C$87*Buffer!B14</f>
        <v>102.71450438900001</v>
      </c>
      <c r="C15" s="741">
        <f>Returns_Per_A!$C$87*Buffer!C14</f>
        <v>96.062849462700001</v>
      </c>
      <c r="D15" s="741">
        <f>Returns_Per_A!$C$87*Buffer!D14</f>
        <v>156.709013838</v>
      </c>
      <c r="E15" s="741">
        <f>Returns_Per_A!$C$87*Buffer!E14</f>
        <v>92.585168635299993</v>
      </c>
      <c r="F15" s="741">
        <f>Returns_Per_A!$C$87*Buffer!F14</f>
        <v>96.559031947299999</v>
      </c>
      <c r="G15" s="741">
        <f>Returns_Per_A!$C$87*Buffer!G14</f>
        <v>121.74131243699999</v>
      </c>
      <c r="H15" s="741">
        <f>Returns_Per_A!$C$87*Buffer!H14</f>
        <v>92.757963919999995</v>
      </c>
      <c r="I15" s="741">
        <f>Returns_Per_A!$C$87*Buffer!I14</f>
        <v>91.709303865300001</v>
      </c>
      <c r="J15" s="741">
        <f>Returns_Per_A!$C$87*Buffer!J14</f>
        <v>106.27500332199999</v>
      </c>
      <c r="K15" s="741">
        <f>Returns_Per_A!$C$87*Buffer!K14</f>
        <v>100.281908734</v>
      </c>
      <c r="L15" s="741">
        <f>Returns_Per_A!$C$87*Buffer!L14</f>
        <v>102.27249440499999</v>
      </c>
      <c r="M15" s="741">
        <f>Returns_Per_A!$C$87*Buffer!M14</f>
        <v>98.0874430617</v>
      </c>
      <c r="N15" s="741">
        <f>Returns_Per_A!$C$87*Buffer!N14</f>
        <v>94.451424741500006</v>
      </c>
      <c r="O15" s="741">
        <f>Returns_Per_A!$C$87*Buffer!O14</f>
        <v>80.774390739599994</v>
      </c>
      <c r="P15" s="741">
        <f>Returns_Per_A!$C$87*Buffer!P14</f>
        <v>114.855093102</v>
      </c>
      <c r="Q15" s="741">
        <f>Returns_Per_A!$C$87*Buffer!Q14</f>
        <v>66.354097756000002</v>
      </c>
      <c r="R15" s="741">
        <f>Returns_Per_A!$C$87*Buffer!R14</f>
        <v>94.836339016000011</v>
      </c>
      <c r="S15" s="741">
        <f>Returns_Per_A!$C$87*Buffer!S14</f>
        <v>93.542231641900003</v>
      </c>
      <c r="T15" s="741">
        <f>Returns_Per_A!$C$87*Buffer!T14</f>
        <v>116.104691329</v>
      </c>
      <c r="U15" s="741">
        <f>Returns_Per_A!$C$87*Buffer!U14</f>
        <v>71.783440860599995</v>
      </c>
      <c r="V15" s="741">
        <f>Returns_Per_A!$C$87*Buffer!V14</f>
        <v>57.345534134300003</v>
      </c>
      <c r="W15" s="741">
        <f>Returns_Per_A!$C$87*Buffer!W14</f>
        <v>76.768772418599994</v>
      </c>
      <c r="X15" s="741">
        <f>Returns_Per_A!$C$87*Buffer!X14</f>
        <v>64.4773497427</v>
      </c>
      <c r="Y15" s="741">
        <f>Returns_Per_A!$C$87*Buffer!Y14</f>
        <v>131.96364633299999</v>
      </c>
      <c r="Z15" s="741">
        <f>Returns_Per_A!$C$87*Buffer!Z14</f>
        <v>118.69142585200001</v>
      </c>
      <c r="AA15" s="741">
        <f>Returns_Per_A!$C$87*Buffer!AA14</f>
        <v>81.149725446700003</v>
      </c>
      <c r="AB15" s="741">
        <f>Returns_Per_A!$C$87*Buffer!AB14</f>
        <v>101.98642003800001</v>
      </c>
      <c r="AC15" s="741">
        <f>Returns_Per_A!$C$87*Buffer!AC14</f>
        <v>85.375627266700008</v>
      </c>
      <c r="AD15" s="741">
        <f>Returns_Per_A!$C$87*Buffer!AD14</f>
        <v>118.351244154</v>
      </c>
      <c r="AE15" s="741">
        <f>Returns_Per_A!$C$87*Buffer!AE14</f>
        <v>120.26413199199999</v>
      </c>
      <c r="AF15" s="741">
        <f>Returns_Per_A!$C$87*Buffer!AF14</f>
        <v>121.744496317</v>
      </c>
      <c r="AG15" s="741">
        <f>Returns_Per_A!$C$87*Buffer!AG14</f>
        <v>154.70290908300001</v>
      </c>
      <c r="AH15" s="741">
        <f>Returns_Per_A!$C$87*Buffer!AH14</f>
        <v>105.353884639</v>
      </c>
      <c r="AI15" s="741">
        <f>Returns_Per_A!$C$87*Buffer!AI14</f>
        <v>87.039241545099998</v>
      </c>
      <c r="AJ15" s="741">
        <f>Returns_Per_A!$C$87*Buffer!AJ14</f>
        <v>83.691150199099994</v>
      </c>
      <c r="AK15" s="741">
        <f>Returns_Per_A!$C$87*Buffer!AK14</f>
        <v>110.80007810000001</v>
      </c>
      <c r="AL15" s="741">
        <f>Returns_Per_A!$C$87*Buffer!AL14</f>
        <v>86.042957238999989</v>
      </c>
      <c r="AM15" s="741">
        <f>Returns_Per_A!$C$87*Buffer!AM14</f>
        <v>101.62180997800002</v>
      </c>
      <c r="AN15" s="741">
        <f>Returns_Per_A!$C$87*Buffer!AN14</f>
        <v>102.112732544</v>
      </c>
    </row>
    <row r="16" spans="1:42" s="168" customFormat="1" x14ac:dyDescent="0.25">
      <c r="A16" s="168" t="str">
        <f>"% Ag w/in filtered area, permanent"</f>
        <v>% Ag w/in filtered area, permanent</v>
      </c>
      <c r="B16" s="640">
        <f>B7*B15/Returns_Per_A!$C$85</f>
        <v>1.8890305622213447E-2</v>
      </c>
      <c r="C16" s="640">
        <f>C7*C15/Returns_Per_A!$C$85</f>
        <v>2.1119329228001766E-2</v>
      </c>
      <c r="D16" s="640">
        <f>D7*D15/Returns_Per_A!$C$85</f>
        <v>1.9819091903461327E-2</v>
      </c>
      <c r="E16" s="640">
        <f>E7*E15/Returns_Per_A!$C$85</f>
        <v>1.7577924470041494E-2</v>
      </c>
      <c r="F16" s="640">
        <f>F7*F15/Returns_Per_A!$C$85</f>
        <v>1.030089030565438E-2</v>
      </c>
      <c r="G16" s="640">
        <f>G7*G15/Returns_Per_A!$C$85</f>
        <v>0</v>
      </c>
      <c r="H16" s="640">
        <f>H7*H15/Returns_Per_A!$C$85</f>
        <v>2.0136309157831142E-2</v>
      </c>
      <c r="I16" s="640">
        <f>I7*I15/Returns_Per_A!$C$85</f>
        <v>2.0044174629708138E-2</v>
      </c>
      <c r="J16" s="640">
        <f>J7*J15/Returns_Per_A!$C$85</f>
        <v>1.0459135790257243E-2</v>
      </c>
      <c r="K16" s="640">
        <f>K7*K15/Returns_Per_A!$C$85</f>
        <v>1.4676945546843255E-2</v>
      </c>
      <c r="L16" s="640">
        <f>L7*L15/Returns_Per_A!$C$85</f>
        <v>5.1139092166920197E-2</v>
      </c>
      <c r="M16" s="640">
        <f>M7*M15/Returns_Per_A!$C$85</f>
        <v>7.6970737261148458E-3</v>
      </c>
      <c r="N16" s="640">
        <f>N7*N15/Returns_Per_A!$C$85</f>
        <v>1.0664528005374468E-2</v>
      </c>
      <c r="O16" s="640">
        <f>O7*O15/Returns_Per_A!$C$85</f>
        <v>2.0820806722961462E-2</v>
      </c>
      <c r="P16" s="640">
        <f>P7*P15/Returns_Per_A!$C$85</f>
        <v>2.4502959511371915E-2</v>
      </c>
      <c r="Q16" s="640">
        <f>Q7*Q15/Returns_Per_A!$C$85</f>
        <v>1.6467527774716686E-2</v>
      </c>
      <c r="R16" s="640">
        <f>R7*R15/Returns_Per_A!$C$85</f>
        <v>0</v>
      </c>
      <c r="S16" s="640">
        <f>S7*S15/Returns_Per_A!$C$85</f>
        <v>1.2164650932402344E-2</v>
      </c>
      <c r="T16" s="640">
        <f>T7*T15/Returns_Per_A!$C$85</f>
        <v>3.388079375927501E-2</v>
      </c>
      <c r="U16" s="640">
        <f>U7*U15/Returns_Per_A!$C$85</f>
        <v>4.1631194912481691E-2</v>
      </c>
      <c r="V16" s="640">
        <f>V7*V15/Returns_Per_A!$C$85</f>
        <v>1.1714288971073558E-2</v>
      </c>
      <c r="W16" s="640">
        <f>W7*W15/Returns_Per_A!$C$85</f>
        <v>2.2092965384236201E-2</v>
      </c>
      <c r="X16" s="640">
        <f>X7*X15/Returns_Per_A!$C$85</f>
        <v>3.6202065764531464E-2</v>
      </c>
      <c r="Y16" s="640">
        <f>Y7*Y15/Returns_Per_A!$C$85</f>
        <v>6.1047863879494443E-3</v>
      </c>
      <c r="Z16" s="640">
        <f>Z7*Z15/Returns_Per_A!$C$85</f>
        <v>2.5408481666076784E-2</v>
      </c>
      <c r="AA16" s="640">
        <f>AA7*AA15/Returns_Per_A!$C$85</f>
        <v>3.0210494033599131E-2</v>
      </c>
      <c r="AB16" s="640">
        <f>AB7*AB15/Returns_Per_A!$C$85</f>
        <v>9.7488513784912932E-3</v>
      </c>
      <c r="AC16" s="640">
        <f>AC7*AC15/Returns_Per_A!$C$85</f>
        <v>8.6427494424167646E-3</v>
      </c>
      <c r="AD16" s="640">
        <f>AD7*AD15/Returns_Per_A!$C$85</f>
        <v>6.0939055874690021E-2</v>
      </c>
      <c r="AE16" s="640">
        <f>AE7*AE15/Returns_Per_A!$C$85</f>
        <v>2.932294852276204E-2</v>
      </c>
      <c r="AF16" s="640">
        <f>AF7*AF15/Returns_Per_A!$C$85</f>
        <v>1.7095064752472085E-2</v>
      </c>
      <c r="AG16" s="640">
        <f>AG7*AG15/Returns_Per_A!$C$85</f>
        <v>0.12029127296344916</v>
      </c>
      <c r="AH16" s="640">
        <f>AH7*AH15/Returns_Per_A!$C$85</f>
        <v>3.0861941213506161E-2</v>
      </c>
      <c r="AI16" s="640">
        <f>AI7*AI15/Returns_Per_A!$C$85</f>
        <v>3.8112899193178819E-2</v>
      </c>
      <c r="AJ16" s="640">
        <f>AJ7*AJ15/Returns_Per_A!$C$85</f>
        <v>3.0771362876040587E-2</v>
      </c>
      <c r="AK16" s="640">
        <f>AK7*AK15/Returns_Per_A!$C$85</f>
        <v>1.7557697376701212E-2</v>
      </c>
      <c r="AL16" s="640">
        <f>AL7*AL15/Returns_Per_A!$C$85</f>
        <v>2.8903971933501794E-2</v>
      </c>
      <c r="AM16" s="640">
        <f>AM7*AM15/Returns_Per_A!$C$85</f>
        <v>2.1231888942124629E-2</v>
      </c>
      <c r="AN16" s="640">
        <f>AN7*AN15/Returns_Per_A!$C$85</f>
        <v>2.7923262775700911E-2</v>
      </c>
    </row>
    <row r="17" spans="1:42" s="168" customFormat="1" x14ac:dyDescent="0.25">
      <c r="A17" s="168" t="str">
        <f>"% existing buff w/in filtered area, perm"</f>
        <v>% existing buff w/in filtered area, perm</v>
      </c>
      <c r="B17" s="640">
        <f t="shared" ref="B17:AN17" si="3">B16*B30</f>
        <v>1.6124568237081156E-2</v>
      </c>
      <c r="C17" s="640">
        <f t="shared" si="3"/>
        <v>1.8214324701247217E-2</v>
      </c>
      <c r="D17" s="640">
        <f t="shared" si="3"/>
        <v>1.3076768687712759E-2</v>
      </c>
      <c r="E17" s="640">
        <f t="shared" si="3"/>
        <v>1.3898068786380885E-2</v>
      </c>
      <c r="F17" s="640">
        <f t="shared" si="3"/>
        <v>6.1938144201024621E-3</v>
      </c>
      <c r="G17" s="640">
        <f t="shared" si="3"/>
        <v>0</v>
      </c>
      <c r="H17" s="640">
        <f t="shared" si="3"/>
        <v>1.8547557773653273E-2</v>
      </c>
      <c r="I17" s="640">
        <f t="shared" si="3"/>
        <v>1.1739307164580952E-2</v>
      </c>
      <c r="J17" s="640">
        <f t="shared" si="3"/>
        <v>5.955348890472484E-3</v>
      </c>
      <c r="K17" s="640">
        <f t="shared" si="3"/>
        <v>7.5424498211371909E-3</v>
      </c>
      <c r="L17" s="640">
        <f t="shared" si="3"/>
        <v>5.1139092166920197E-2</v>
      </c>
      <c r="M17" s="640">
        <f t="shared" si="3"/>
        <v>6.9546483689935674E-3</v>
      </c>
      <c r="N17" s="640">
        <f t="shared" si="3"/>
        <v>6.7279421644609585E-3</v>
      </c>
      <c r="O17" s="640">
        <f t="shared" si="3"/>
        <v>1.1335540204376948E-2</v>
      </c>
      <c r="P17" s="640">
        <f t="shared" si="3"/>
        <v>1.3150031469450844E-2</v>
      </c>
      <c r="Q17" s="640">
        <f t="shared" si="3"/>
        <v>8.6991701594731699E-3</v>
      </c>
      <c r="R17" s="640">
        <f t="shared" si="3"/>
        <v>0</v>
      </c>
      <c r="S17" s="640">
        <f t="shared" si="3"/>
        <v>1.0492404810763118E-2</v>
      </c>
      <c r="T17" s="640">
        <f t="shared" si="3"/>
        <v>3.388079375927501E-2</v>
      </c>
      <c r="U17" s="640">
        <f t="shared" si="3"/>
        <v>3.0433814176251472E-2</v>
      </c>
      <c r="V17" s="640">
        <f t="shared" si="3"/>
        <v>7.2947279000674121E-3</v>
      </c>
      <c r="W17" s="640">
        <f t="shared" si="3"/>
        <v>8.1006444467571041E-3</v>
      </c>
      <c r="X17" s="640">
        <f t="shared" si="3"/>
        <v>2.3190249672933417E-2</v>
      </c>
      <c r="Y17" s="640">
        <f t="shared" si="3"/>
        <v>3.738675723090645E-3</v>
      </c>
      <c r="Z17" s="640">
        <f t="shared" si="3"/>
        <v>1.603866732722712E-2</v>
      </c>
      <c r="AA17" s="640">
        <f t="shared" si="3"/>
        <v>2.538598461634629E-2</v>
      </c>
      <c r="AB17" s="640">
        <f t="shared" si="3"/>
        <v>6.5087952994577021E-3</v>
      </c>
      <c r="AC17" s="640">
        <f t="shared" si="3"/>
        <v>7.9963077211981735E-3</v>
      </c>
      <c r="AD17" s="640">
        <f t="shared" si="3"/>
        <v>3.4823674437210017E-2</v>
      </c>
      <c r="AE17" s="640">
        <f t="shared" si="3"/>
        <v>1.5522899755439554E-2</v>
      </c>
      <c r="AF17" s="640">
        <f t="shared" si="3"/>
        <v>1.1366360915396258E-2</v>
      </c>
      <c r="AG17" s="640">
        <f t="shared" si="3"/>
        <v>7.8306720117353165E-2</v>
      </c>
      <c r="AH17" s="640">
        <f t="shared" si="3"/>
        <v>1.648242923985602E-2</v>
      </c>
      <c r="AI17" s="640">
        <f t="shared" si="3"/>
        <v>2.347416805059073E-2</v>
      </c>
      <c r="AJ17" s="640">
        <f t="shared" si="3"/>
        <v>1.3385589394851682E-2</v>
      </c>
      <c r="AK17" s="640">
        <f t="shared" si="3"/>
        <v>1.0062554288790621E-2</v>
      </c>
      <c r="AL17" s="640">
        <f t="shared" si="3"/>
        <v>1.626929558440663E-2</v>
      </c>
      <c r="AM17" s="640">
        <f t="shared" si="3"/>
        <v>1.1081042811943847E-2</v>
      </c>
      <c r="AN17" s="640">
        <f t="shared" si="3"/>
        <v>1.5560313120968953E-2</v>
      </c>
    </row>
    <row r="18" spans="1:42" s="742" customFormat="1" x14ac:dyDescent="0.25">
      <c r="A18" s="136" t="s">
        <v>1169</v>
      </c>
      <c r="B18" s="135">
        <v>860.3962397352575</v>
      </c>
      <c r="C18" s="135">
        <v>83.699393711874563</v>
      </c>
      <c r="D18" s="135">
        <v>333.22568537985723</v>
      </c>
      <c r="E18" s="135">
        <v>758.72703046616141</v>
      </c>
      <c r="F18" s="135">
        <v>2034.273449449453</v>
      </c>
      <c r="G18" s="135">
        <v>0</v>
      </c>
      <c r="H18" s="135">
        <v>243.79626829141802</v>
      </c>
      <c r="I18" s="135">
        <v>1929.5502533958459</v>
      </c>
      <c r="J18" s="135">
        <v>342.63467120304188</v>
      </c>
      <c r="K18" s="135">
        <v>1198.1211528965075</v>
      </c>
      <c r="L18" s="135">
        <v>0</v>
      </c>
      <c r="M18" s="135">
        <v>4.4041621226444629</v>
      </c>
      <c r="N18" s="135">
        <v>1918.3523454868478</v>
      </c>
      <c r="O18" s="135">
        <v>3561.6252502802663</v>
      </c>
      <c r="P18" s="135">
        <v>371.75714111645306</v>
      </c>
      <c r="Q18" s="135">
        <v>411.0605142096764</v>
      </c>
      <c r="R18" s="135">
        <v>0</v>
      </c>
      <c r="S18" s="135">
        <v>5.1243123604675889</v>
      </c>
      <c r="T18" s="135">
        <v>0</v>
      </c>
      <c r="U18" s="135">
        <v>13.975654217927911</v>
      </c>
      <c r="V18" s="135">
        <v>112.71850235879512</v>
      </c>
      <c r="W18" s="135">
        <v>1025.8120436174195</v>
      </c>
      <c r="X18" s="135">
        <v>49.22465942985518</v>
      </c>
      <c r="Y18" s="135">
        <v>1454.0703706369159</v>
      </c>
      <c r="Z18" s="135">
        <v>2330.7214569698726</v>
      </c>
      <c r="AA18" s="135">
        <v>185.43019614370584</v>
      </c>
      <c r="AB18" s="135">
        <v>1293.0751401560974</v>
      </c>
      <c r="AC18" s="135">
        <v>0</v>
      </c>
      <c r="AD18" s="135">
        <v>78.453147755377103</v>
      </c>
      <c r="AE18" s="135">
        <v>54.083285378875992</v>
      </c>
      <c r="AF18" s="135">
        <v>61.544489607562241</v>
      </c>
      <c r="AG18" s="135">
        <v>33.163737633049827</v>
      </c>
      <c r="AH18" s="135">
        <v>757.28084297470969</v>
      </c>
      <c r="AI18" s="135">
        <v>260.50824599382616</v>
      </c>
      <c r="AJ18" s="135">
        <v>436.5671976882544</v>
      </c>
      <c r="AK18" s="135">
        <v>1273.9853577312756</v>
      </c>
      <c r="AL18" s="135">
        <v>1629.247532842101</v>
      </c>
      <c r="AM18" s="135">
        <v>1282.6323672264734</v>
      </c>
      <c r="AN18" s="135">
        <v>662.34890177237867</v>
      </c>
      <c r="AO18" s="158">
        <f>SUM(B18:AN18)</f>
        <v>27051.591000240245</v>
      </c>
      <c r="AP18" s="137"/>
    </row>
    <row r="19" spans="1:42" s="753" customFormat="1" x14ac:dyDescent="0.25">
      <c r="A19" s="715"/>
      <c r="B19" s="640"/>
      <c r="C19" s="640"/>
      <c r="D19" s="640"/>
      <c r="E19" s="640"/>
      <c r="F19" s="640"/>
      <c r="G19" s="640"/>
      <c r="H19" s="640"/>
      <c r="I19" s="640"/>
      <c r="J19" s="640"/>
      <c r="K19" s="640"/>
      <c r="L19" s="640"/>
      <c r="M19" s="640"/>
      <c r="N19" s="640"/>
      <c r="O19" s="640"/>
      <c r="P19" s="640"/>
      <c r="Q19" s="640"/>
      <c r="R19" s="640"/>
      <c r="S19" s="640"/>
      <c r="T19" s="640"/>
      <c r="U19" s="640"/>
      <c r="V19" s="640"/>
      <c r="W19" s="640"/>
      <c r="X19" s="640"/>
      <c r="Y19" s="640"/>
      <c r="Z19" s="640"/>
      <c r="AA19" s="640"/>
      <c r="AB19" s="640"/>
      <c r="AC19" s="640"/>
      <c r="AD19" s="640"/>
      <c r="AE19" s="640"/>
      <c r="AF19" s="640"/>
      <c r="AG19" s="640"/>
      <c r="AH19" s="640"/>
      <c r="AI19" s="640"/>
      <c r="AJ19" s="640"/>
      <c r="AK19" s="640"/>
      <c r="AL19" s="640"/>
      <c r="AM19" s="640"/>
      <c r="AN19" s="640"/>
      <c r="AO19" s="158"/>
      <c r="AP19" s="137"/>
    </row>
    <row r="20" spans="1:42" s="749" customFormat="1" x14ac:dyDescent="0.25">
      <c r="A20" s="749" t="s">
        <v>1176</v>
      </c>
      <c r="B20" s="751">
        <v>206961.82027457075</v>
      </c>
      <c r="C20" s="751">
        <v>28889.809736214513</v>
      </c>
      <c r="D20" s="751">
        <v>61962.914650197694</v>
      </c>
      <c r="E20" s="751">
        <v>66391.954872716698</v>
      </c>
      <c r="F20" s="751">
        <v>46551.409748005892</v>
      </c>
      <c r="G20" s="751">
        <v>11913.917695207176</v>
      </c>
      <c r="H20" s="751">
        <v>87400.276331903093</v>
      </c>
      <c r="I20" s="751">
        <v>66108.601982264023</v>
      </c>
      <c r="J20" s="751">
        <v>14159.704531956169</v>
      </c>
      <c r="K20" s="751">
        <v>24973.5920128695</v>
      </c>
      <c r="L20" s="751">
        <v>1311949.1171938623</v>
      </c>
      <c r="M20" s="751">
        <v>82876.160324884971</v>
      </c>
      <c r="N20" s="751">
        <v>48353.554121158173</v>
      </c>
      <c r="O20" s="751">
        <v>40430.938790400862</v>
      </c>
      <c r="P20" s="751">
        <v>10109.483594002288</v>
      </c>
      <c r="Q20" s="751">
        <v>6350.2445920454047</v>
      </c>
      <c r="R20" s="751">
        <v>3389.9207494703232</v>
      </c>
      <c r="S20" s="751">
        <v>46130.513216872641</v>
      </c>
      <c r="T20" s="751">
        <v>3389.9207494703232</v>
      </c>
      <c r="U20" s="751">
        <v>7241.8566456692661</v>
      </c>
      <c r="V20" s="751">
        <v>2536.8194807126538</v>
      </c>
      <c r="W20" s="751">
        <v>10892.107631055154</v>
      </c>
      <c r="X20" s="751">
        <v>13757.465522743696</v>
      </c>
      <c r="Y20" s="751">
        <v>40540.502395563453</v>
      </c>
      <c r="Z20" s="751">
        <v>83382.355477173696</v>
      </c>
      <c r="AA20" s="751">
        <v>39556.132066037986</v>
      </c>
      <c r="AB20" s="751">
        <v>69108.668978412985</v>
      </c>
      <c r="AC20" s="751">
        <v>23271.935408083566</v>
      </c>
      <c r="AD20" s="751">
        <v>2651.4565137888767</v>
      </c>
      <c r="AE20" s="751">
        <v>5425.9748863191517</v>
      </c>
      <c r="AF20" s="751">
        <v>20554.356393477261</v>
      </c>
      <c r="AG20" s="751">
        <v>4240.713499180627</v>
      </c>
      <c r="AH20" s="751">
        <v>42658.24817912947</v>
      </c>
      <c r="AI20" s="751">
        <v>6633.0231381841386</v>
      </c>
      <c r="AJ20" s="751">
        <v>17573.168073910467</v>
      </c>
      <c r="AK20" s="751">
        <v>26816.362431408848</v>
      </c>
      <c r="AL20" s="751">
        <v>52458.975531708675</v>
      </c>
      <c r="AM20" s="751">
        <v>21677.652983061198</v>
      </c>
      <c r="AN20" s="751">
        <v>27527.236871763489</v>
      </c>
      <c r="AO20" s="158">
        <f t="shared" ref="AO20" si="4">SUM(B20:AN20)</f>
        <v>2686798.8672754569</v>
      </c>
    </row>
    <row r="21" spans="1:42" s="168" customFormat="1" x14ac:dyDescent="0.25">
      <c r="A21" s="168" t="s">
        <v>1176</v>
      </c>
      <c r="B21" s="754">
        <f t="shared" ref="B21:AN21" si="5">B20/B4</f>
        <v>0.1042776622352698</v>
      </c>
      <c r="C21" s="754">
        <f t="shared" si="5"/>
        <v>8.0250238673891333E-2</v>
      </c>
      <c r="D21" s="754">
        <f t="shared" si="5"/>
        <v>0.12828627269464332</v>
      </c>
      <c r="E21" s="754">
        <f t="shared" si="5"/>
        <v>9.0039700572321024E-2</v>
      </c>
      <c r="F21" s="754">
        <f t="shared" si="5"/>
        <v>7.9084503195645181E-2</v>
      </c>
      <c r="G21" s="754">
        <f t="shared" si="5"/>
        <v>1.1255355779418353E-2</v>
      </c>
      <c r="H21" s="754">
        <f t="shared" si="5"/>
        <v>9.3011626852477131E-2</v>
      </c>
      <c r="I21" s="754">
        <f t="shared" si="5"/>
        <v>7.6829857695283332E-2</v>
      </c>
      <c r="J21" s="754">
        <f t="shared" si="5"/>
        <v>5.9852161637159979E-2</v>
      </c>
      <c r="K21" s="754">
        <f t="shared" si="5"/>
        <v>5.7150553480803688E-2</v>
      </c>
      <c r="L21" s="754">
        <f t="shared" si="5"/>
        <v>1.4350990494537756</v>
      </c>
      <c r="M21" s="754">
        <f t="shared" si="5"/>
        <v>6.5186133765747806E-2</v>
      </c>
      <c r="N21" s="754">
        <f t="shared" si="5"/>
        <v>0.1225953465442372</v>
      </c>
      <c r="O21" s="754">
        <f t="shared" si="5"/>
        <v>6.0406314844400663E-2</v>
      </c>
      <c r="P21" s="754">
        <f t="shared" si="5"/>
        <v>8.7384752328591914E-2</v>
      </c>
      <c r="Q21" s="754">
        <f t="shared" si="5"/>
        <v>6.3611694627595763E-2</v>
      </c>
      <c r="R21" s="754">
        <f t="shared" si="5"/>
        <v>2.8301605960337602E-2</v>
      </c>
      <c r="S21" s="754">
        <f t="shared" si="5"/>
        <v>4.1301987593056207E-2</v>
      </c>
      <c r="T21" s="754">
        <f t="shared" si="5"/>
        <v>7.5689489868600041E-3</v>
      </c>
      <c r="U21" s="754">
        <f t="shared" si="5"/>
        <v>8.3593362593435087E-3</v>
      </c>
      <c r="V21" s="754">
        <f t="shared" si="5"/>
        <v>7.7949932714507952E-2</v>
      </c>
      <c r="W21" s="754">
        <f t="shared" si="5"/>
        <v>4.1030128486791835E-2</v>
      </c>
      <c r="X21" s="754">
        <f t="shared" si="5"/>
        <v>3.7029009832234117E-2</v>
      </c>
      <c r="Y21" s="754">
        <f t="shared" si="5"/>
        <v>0.11876441078306345</v>
      </c>
      <c r="Z21" s="754">
        <f t="shared" si="5"/>
        <v>7.2986647565481053E-2</v>
      </c>
      <c r="AA21" s="754">
        <f t="shared" si="5"/>
        <v>3.1950388207938149E-2</v>
      </c>
      <c r="AB21" s="754">
        <f t="shared" si="5"/>
        <v>6.6797707762216399E-2</v>
      </c>
      <c r="AC21" s="754">
        <f t="shared" si="5"/>
        <v>8.9424133923504789E-2</v>
      </c>
      <c r="AD21" s="754">
        <f t="shared" si="5"/>
        <v>5.8127121695975843E-2</v>
      </c>
      <c r="AE21" s="754">
        <f t="shared" si="5"/>
        <v>6.4330166243986228E-2</v>
      </c>
      <c r="AF21" s="754">
        <f t="shared" si="5"/>
        <v>7.5114799628745135E-2</v>
      </c>
      <c r="AG21" s="754">
        <f t="shared" si="5"/>
        <v>0.12464475187831373</v>
      </c>
      <c r="AH21" s="754">
        <f t="shared" si="5"/>
        <v>6.0643232367977098E-2</v>
      </c>
      <c r="AI21" s="754">
        <f t="shared" si="5"/>
        <v>8.3216403550943771E-2</v>
      </c>
      <c r="AJ21" s="754">
        <f t="shared" si="5"/>
        <v>4.9446721647212977E-2</v>
      </c>
      <c r="AK21" s="754">
        <f t="shared" si="5"/>
        <v>0.10520570557560542</v>
      </c>
      <c r="AL21" s="754">
        <f t="shared" si="5"/>
        <v>6.4840356971471044E-2</v>
      </c>
      <c r="AM21" s="754">
        <f t="shared" si="5"/>
        <v>5.7645613696536611E-2</v>
      </c>
      <c r="AN21" s="754">
        <f t="shared" si="5"/>
        <v>6.134259284618071E-2</v>
      </c>
      <c r="AO21" s="642"/>
    </row>
    <row r="22" spans="1:42" s="749" customFormat="1" ht="30" x14ac:dyDescent="0.25">
      <c r="A22" s="744" t="s">
        <v>1173</v>
      </c>
      <c r="B22" s="135">
        <v>35498.751669646314</v>
      </c>
      <c r="C22" s="135">
        <v>4607.6387369460954</v>
      </c>
      <c r="D22" s="135">
        <v>31947.800556725091</v>
      </c>
      <c r="E22" s="135">
        <v>17578.903676683069</v>
      </c>
      <c r="F22" s="135">
        <v>30867.920710371989</v>
      </c>
      <c r="G22" s="135">
        <v>0</v>
      </c>
      <c r="H22" s="135">
        <v>7486.5549251495322</v>
      </c>
      <c r="I22" s="135">
        <v>46767.936988992202</v>
      </c>
      <c r="J22" s="135">
        <v>10708.405661651759</v>
      </c>
      <c r="K22" s="135">
        <v>23622.826760083226</v>
      </c>
      <c r="L22" s="135">
        <v>0</v>
      </c>
      <c r="M22" s="135">
        <v>8847.2284523203234</v>
      </c>
      <c r="N22" s="135">
        <v>28292.145184700323</v>
      </c>
      <c r="O22" s="135">
        <v>33831.491319262459</v>
      </c>
      <c r="P22" s="135">
        <v>8727.9060928728377</v>
      </c>
      <c r="Q22" s="135">
        <v>5670.7674445883476</v>
      </c>
      <c r="R22" s="135">
        <v>0</v>
      </c>
      <c r="S22" s="135">
        <v>7352.1345399302863</v>
      </c>
      <c r="T22" s="135">
        <v>0</v>
      </c>
      <c r="U22" s="135">
        <v>2664.4647834524449</v>
      </c>
      <c r="V22" s="135">
        <v>1536.949530499151</v>
      </c>
      <c r="W22" s="135">
        <v>18814.042100107341</v>
      </c>
      <c r="X22" s="135">
        <v>7719.1756791378357</v>
      </c>
      <c r="Y22" s="135">
        <v>25657.029970382035</v>
      </c>
      <c r="Z22" s="135">
        <v>48712.101449401096</v>
      </c>
      <c r="AA22" s="135">
        <v>7517.4918186870018</v>
      </c>
      <c r="AB22" s="135">
        <v>34402.059480359327</v>
      </c>
      <c r="AC22" s="135">
        <v>1881.3620618185992</v>
      </c>
      <c r="AD22" s="135">
        <v>1988.4116004857492</v>
      </c>
      <c r="AE22" s="135">
        <v>4823.7583970245169</v>
      </c>
      <c r="AF22" s="135">
        <v>10359.500390352703</v>
      </c>
      <c r="AG22" s="135">
        <v>2273.6804675853891</v>
      </c>
      <c r="AH22" s="135">
        <v>37215.678680631769</v>
      </c>
      <c r="AI22" s="135">
        <v>4136.4210298392227</v>
      </c>
      <c r="AJ22" s="135">
        <v>22824.778981893563</v>
      </c>
      <c r="AK22" s="135">
        <v>19974.299541874643</v>
      </c>
      <c r="AL22" s="135">
        <v>40739.451441493671</v>
      </c>
      <c r="AM22" s="135">
        <v>19857.925253869485</v>
      </c>
      <c r="AN22" s="135">
        <v>21870.88659037869</v>
      </c>
      <c r="AO22" s="158">
        <f t="shared" ref="AO22" si="6">SUM(B22:AN22)</f>
        <v>636777.88196919824</v>
      </c>
      <c r="AP22" s="137"/>
    </row>
    <row r="23" spans="1:42" s="756" customFormat="1" ht="30" x14ac:dyDescent="0.25">
      <c r="A23" s="761" t="str">
        <f>"Ex &amp; new Buff_acres-w/intermittent, "&amp;Returns_Per_A!$C$86&amp;" ft, state"</f>
        <v>Ex &amp; new Buff_acres-w/intermittent, 100 ft, state</v>
      </c>
      <c r="B23" s="762">
        <f>(B20+B22)*Returns_Per_A!$C$87/100</f>
        <v>242460.57194421708</v>
      </c>
      <c r="C23" s="762">
        <f>(C20+C22)*Returns_Per_A!$C$87/100</f>
        <v>33497.448473160606</v>
      </c>
      <c r="D23" s="762">
        <f>(D20+D22)*Returns_Per_A!$C$87/100</f>
        <v>93910.715206922789</v>
      </c>
      <c r="E23" s="762">
        <f>(E20+E22)*Returns_Per_A!$C$87/100</f>
        <v>83970.858549399767</v>
      </c>
      <c r="F23" s="762">
        <f>(F20+F22)*Returns_Per_A!$C$87/100</f>
        <v>77419.330458377881</v>
      </c>
      <c r="G23" s="762">
        <f>(G20+G22)*Returns_Per_A!$C$87/100</f>
        <v>11913.917695207178</v>
      </c>
      <c r="H23" s="762">
        <f>(H20+H22)*Returns_Per_A!$C$87/100</f>
        <v>94886.831257052632</v>
      </c>
      <c r="I23" s="762">
        <f>(I20+I22)*Returns_Per_A!$C$87/100</f>
        <v>112876.53897125625</v>
      </c>
      <c r="J23" s="762">
        <f>(J20+J22)*Returns_Per_A!$C$87/100</f>
        <v>24868.110193607929</v>
      </c>
      <c r="K23" s="762">
        <f>(K20+K22)*Returns_Per_A!$C$87/100</f>
        <v>48596.418772952726</v>
      </c>
      <c r="L23" s="762">
        <f>(L20+L22)*Returns_Per_A!$C$87/100</f>
        <v>1311949.1171938623</v>
      </c>
      <c r="M23" s="762">
        <f>(M20+M22)*Returns_Per_A!$C$87/100</f>
        <v>91723.388777205299</v>
      </c>
      <c r="N23" s="762">
        <f>(N20+N22)*Returns_Per_A!$C$87/100</f>
        <v>76645.699305858492</v>
      </c>
      <c r="O23" s="762">
        <f>(O20+O22)*Returns_Per_A!$C$87/100</f>
        <v>74262.430109663313</v>
      </c>
      <c r="P23" s="762">
        <f>(P20+P22)*Returns_Per_A!$C$87/100</f>
        <v>18837.389686875125</v>
      </c>
      <c r="Q23" s="762">
        <f>(Q20+Q22)*Returns_Per_A!$C$87/100</f>
        <v>12021.012036633752</v>
      </c>
      <c r="R23" s="762">
        <f>(R20+R22)*Returns_Per_A!$C$87/100</f>
        <v>3389.9207494703232</v>
      </c>
      <c r="S23" s="762">
        <f>(S20+S22)*Returns_Per_A!$C$87/100</f>
        <v>53482.647756802937</v>
      </c>
      <c r="T23" s="762">
        <f>(T20+T22)*Returns_Per_A!$C$87/100</f>
        <v>3389.9207494703232</v>
      </c>
      <c r="U23" s="762">
        <f>(U20+U22)*Returns_Per_A!$C$87/100</f>
        <v>9906.3214291217118</v>
      </c>
      <c r="V23" s="762">
        <f>(V20+V22)*Returns_Per_A!$C$87/100</f>
        <v>4073.7690112118053</v>
      </c>
      <c r="W23" s="762">
        <f>(W20+W22)*Returns_Per_A!$C$87/100</f>
        <v>29706.149731162492</v>
      </c>
      <c r="X23" s="762">
        <f>(X20+X22)*Returns_Per_A!$C$87/100</f>
        <v>21476.641201881532</v>
      </c>
      <c r="Y23" s="762">
        <f>(Y20+Y22)*Returns_Per_A!$C$87/100</f>
        <v>66197.532365945488</v>
      </c>
      <c r="Z23" s="762">
        <f>(Z20+Z22)*Returns_Per_A!$C$87/100</f>
        <v>132094.45692657479</v>
      </c>
      <c r="AA23" s="762">
        <f>(AA20+AA22)*Returns_Per_A!$C$87/100</f>
        <v>47073.623884724992</v>
      </c>
      <c r="AB23" s="762">
        <f>(AB20+AB22)*Returns_Per_A!$C$87/100</f>
        <v>103510.72845877233</v>
      </c>
      <c r="AC23" s="762">
        <f>(AC20+AC22)*Returns_Per_A!$C$87/100</f>
        <v>25153.297469902165</v>
      </c>
      <c r="AD23" s="762">
        <f>(AD20+AD22)*Returns_Per_A!$C$87/100</f>
        <v>4639.8681142746264</v>
      </c>
      <c r="AE23" s="762">
        <f>(AE20+AE22)*Returns_Per_A!$C$87/100</f>
        <v>10249.733283343669</v>
      </c>
      <c r="AF23" s="762">
        <f>(AF20+AF22)*Returns_Per_A!$C$87/100</f>
        <v>30913.856783829964</v>
      </c>
      <c r="AG23" s="762">
        <f>(AG20+AG22)*Returns_Per_A!$C$87/100</f>
        <v>6514.3939667660161</v>
      </c>
      <c r="AH23" s="762">
        <f>(AH20+AH22)*Returns_Per_A!$C$87/100</f>
        <v>79873.926859761239</v>
      </c>
      <c r="AI23" s="762">
        <f>(AI20+AI22)*Returns_Per_A!$C$87/100</f>
        <v>10769.444168023363</v>
      </c>
      <c r="AJ23" s="762">
        <f>(AJ20+AJ22)*Returns_Per_A!$C$87/100</f>
        <v>40397.947055804034</v>
      </c>
      <c r="AK23" s="762">
        <f>(AK20+AK22)*Returns_Per_A!$C$87/100</f>
        <v>46790.661973283495</v>
      </c>
      <c r="AL23" s="762">
        <f>(AL20+AL22)*Returns_Per_A!$C$87/100</f>
        <v>93198.426973202353</v>
      </c>
      <c r="AM23" s="762">
        <f>(AM20+AM22)*Returns_Per_A!$C$87/100</f>
        <v>41535.578236930683</v>
      </c>
      <c r="AN23" s="762">
        <f>(AN20+AN22)*Returns_Per_A!$C$87/100</f>
        <v>49398.123462142168</v>
      </c>
      <c r="AO23" s="758">
        <f>SUM(B23:AN23)</f>
        <v>3323576.749244655</v>
      </c>
      <c r="AP23" s="763"/>
    </row>
    <row r="24" spans="1:42" s="168" customFormat="1" x14ac:dyDescent="0.25">
      <c r="A24" s="168" t="str">
        <f>"Existing buffers w/intermittent, state "&amp;Returns_Per_A!$C$85&amp;" ft"</f>
        <v>Existing buffers w/intermittent, state 50 ft</v>
      </c>
      <c r="B24" s="754">
        <f>B21*Returns_Per_A!$C$85/100</f>
        <v>5.2138831117634898E-2</v>
      </c>
      <c r="C24" s="754">
        <f>C21*Returns_Per_A!$C$85/100</f>
        <v>4.0125119336945667E-2</v>
      </c>
      <c r="D24" s="754">
        <f>D21*Returns_Per_A!$C$85/100</f>
        <v>6.4143136347321661E-2</v>
      </c>
      <c r="E24" s="754">
        <f>E21*Returns_Per_A!$C$85/100</f>
        <v>4.5019850286160512E-2</v>
      </c>
      <c r="F24" s="754">
        <f>F21*Returns_Per_A!$C$85/100</f>
        <v>3.9542251597822591E-2</v>
      </c>
      <c r="G24" s="754">
        <f>G21*Returns_Per_A!$C$85/100</f>
        <v>5.6276778897091763E-3</v>
      </c>
      <c r="H24" s="754">
        <f>H21*Returns_Per_A!$C$85/100</f>
        <v>4.6505813426238565E-2</v>
      </c>
      <c r="I24" s="754">
        <f>I21*Returns_Per_A!$C$85/100</f>
        <v>3.8414928847641666E-2</v>
      </c>
      <c r="J24" s="754">
        <f>J21*Returns_Per_A!$C$85/100</f>
        <v>2.9926080818579989E-2</v>
      </c>
      <c r="K24" s="754">
        <f>K21*Returns_Per_A!$C$85/100</f>
        <v>2.8575276740401844E-2</v>
      </c>
      <c r="L24" s="754">
        <f>L21*Returns_Per_A!$C$85/100</f>
        <v>0.71754952472688782</v>
      </c>
      <c r="M24" s="754">
        <f>M21*Returns_Per_A!$C$85/100</f>
        <v>3.2593066882873903E-2</v>
      </c>
      <c r="N24" s="754">
        <f>N21*Returns_Per_A!$C$85/100</f>
        <v>6.1297673272118602E-2</v>
      </c>
      <c r="O24" s="754">
        <f>O21*Returns_Per_A!$C$85/100</f>
        <v>3.0203157422200332E-2</v>
      </c>
      <c r="P24" s="754">
        <f>P21*Returns_Per_A!$C$85/100</f>
        <v>4.3692376164295957E-2</v>
      </c>
      <c r="Q24" s="754">
        <f>Q21*Returns_Per_A!$C$85/100</f>
        <v>3.1805847313797882E-2</v>
      </c>
      <c r="R24" s="754">
        <f>R21*Returns_Per_A!$C$85/100</f>
        <v>1.4150802980168803E-2</v>
      </c>
      <c r="S24" s="754">
        <f>S21*Returns_Per_A!$C$85/100</f>
        <v>2.0650993796528107E-2</v>
      </c>
      <c r="T24" s="754">
        <f>T21*Returns_Per_A!$C$85/100</f>
        <v>3.7844744934300025E-3</v>
      </c>
      <c r="U24" s="754">
        <f>U21*Returns_Per_A!$C$85/100</f>
        <v>4.1796681296717543E-3</v>
      </c>
      <c r="V24" s="754">
        <f>V21*Returns_Per_A!$C$85/100</f>
        <v>3.8974966357253976E-2</v>
      </c>
      <c r="W24" s="754">
        <f>W21*Returns_Per_A!$C$85/100</f>
        <v>2.0515064243395918E-2</v>
      </c>
      <c r="X24" s="754">
        <f>X21*Returns_Per_A!$C$85/100</f>
        <v>1.8514504916117058E-2</v>
      </c>
      <c r="Y24" s="754">
        <f>Y21*Returns_Per_A!$C$85/100</f>
        <v>5.9382205391531724E-2</v>
      </c>
      <c r="Z24" s="754">
        <f>Z21*Returns_Per_A!$C$85/100</f>
        <v>3.6493323782740526E-2</v>
      </c>
      <c r="AA24" s="754">
        <f>AA21*Returns_Per_A!$C$85/100</f>
        <v>1.5975194103969075E-2</v>
      </c>
      <c r="AB24" s="754">
        <f>AB21*Returns_Per_A!$C$85/100</f>
        <v>3.3398853881108199E-2</v>
      </c>
      <c r="AC24" s="754">
        <f>AC21*Returns_Per_A!$C$85/100</f>
        <v>4.4712066961752395E-2</v>
      </c>
      <c r="AD24" s="754">
        <f>AD21*Returns_Per_A!$C$85/100</f>
        <v>2.9063560847987922E-2</v>
      </c>
      <c r="AE24" s="754">
        <f>AE21*Returns_Per_A!$C$85/100</f>
        <v>3.2165083121993114E-2</v>
      </c>
      <c r="AF24" s="754">
        <f>AF21*Returns_Per_A!$C$85/100</f>
        <v>3.7557399814372568E-2</v>
      </c>
      <c r="AG24" s="754">
        <f>AG21*Returns_Per_A!$C$85/100</f>
        <v>6.2322375939156863E-2</v>
      </c>
      <c r="AH24" s="754">
        <f>AH21*Returns_Per_A!$C$85/100</f>
        <v>3.0321616183988553E-2</v>
      </c>
      <c r="AI24" s="754">
        <f>AI21*Returns_Per_A!$C$85/100</f>
        <v>4.1608201775471886E-2</v>
      </c>
      <c r="AJ24" s="754">
        <f>AJ21*Returns_Per_A!$C$85/100</f>
        <v>2.4723360823606488E-2</v>
      </c>
      <c r="AK24" s="754">
        <f>AK21*Returns_Per_A!$C$85/100</f>
        <v>5.2602852787802717E-2</v>
      </c>
      <c r="AL24" s="754">
        <f>AL21*Returns_Per_A!$C$85/100</f>
        <v>3.2420178485735522E-2</v>
      </c>
      <c r="AM24" s="754">
        <f>AM21*Returns_Per_A!$C$85/100</f>
        <v>2.8822806848268306E-2</v>
      </c>
      <c r="AN24" s="754">
        <f>AN21*Returns_Per_A!$C$85/100</f>
        <v>3.0671296423090359E-2</v>
      </c>
      <c r="AO24" s="642"/>
    </row>
    <row r="25" spans="1:42" s="756" customFormat="1" ht="30" x14ac:dyDescent="0.25">
      <c r="A25" s="761" t="str">
        <f>"Ex &amp; new Buff_acres-w/intermittent, state "&amp;Returns_Per_A!$C$85&amp;" ft"</f>
        <v>Ex &amp; new Buff_acres-w/intermittent, state 50 ft</v>
      </c>
      <c r="B25" s="764">
        <f>B3*B23*Returns_Per_A!$C$85/Returns_Per_A!$C$86</f>
        <v>121230.28597210854</v>
      </c>
      <c r="C25" s="764">
        <f>C3*C23*Returns_Per_A!$C$85/100</f>
        <v>16748.724236580303</v>
      </c>
      <c r="D25" s="764">
        <f>D3*D23*Returns_Per_A!$C$85/100</f>
        <v>46955.357603461394</v>
      </c>
      <c r="E25" s="764">
        <f>E3*E23*Returns_Per_A!$C$85/100</f>
        <v>41985.429274699884</v>
      </c>
      <c r="F25" s="764">
        <f>F3*F23*Returns_Per_A!$C$85/100</f>
        <v>38709.66522918894</v>
      </c>
      <c r="G25" s="764">
        <f>G3*G23*Returns_Per_A!$C$85/100</f>
        <v>5956.9588476035888</v>
      </c>
      <c r="H25" s="764">
        <f>H3*H23*Returns_Per_A!$C$85/100</f>
        <v>47443.415628526316</v>
      </c>
      <c r="I25" s="764">
        <f>I3*I23*Returns_Per_A!$C$85/100</f>
        <v>56438.269485628123</v>
      </c>
      <c r="J25" s="764">
        <f>J3*J23*Returns_Per_A!$C$85/100</f>
        <v>12434.055096803964</v>
      </c>
      <c r="K25" s="764">
        <f>K3*K23*Returns_Per_A!$C$85/100</f>
        <v>24298.209386476363</v>
      </c>
      <c r="L25" s="764">
        <f>L3*L23*Returns_Per_A!$C$85/100</f>
        <v>655974.55859693117</v>
      </c>
      <c r="M25" s="764">
        <f>M3*M23*Returns_Per_A!$C$85/100</f>
        <v>45861.694388602649</v>
      </c>
      <c r="N25" s="764">
        <f>N3*N23*Returns_Per_A!$C$85/100</f>
        <v>38322.849652929246</v>
      </c>
      <c r="O25" s="764">
        <f>O3*O23*Returns_Per_A!$C$85/100</f>
        <v>37131.215054831657</v>
      </c>
      <c r="P25" s="764">
        <f>P3*P23*Returns_Per_A!$C$85/100</f>
        <v>9418.6948434375627</v>
      </c>
      <c r="Q25" s="764">
        <f>Q3*Q23*Returns_Per_A!$C$85/100</f>
        <v>6010.5060183168762</v>
      </c>
      <c r="R25" s="764">
        <f>R3*R23*Returns_Per_A!$C$85/100</f>
        <v>1694.9603747351616</v>
      </c>
      <c r="S25" s="764">
        <f>S3*S23*Returns_Per_A!$C$85/100</f>
        <v>26741.323878401468</v>
      </c>
      <c r="T25" s="764">
        <f>T3*T23*Returns_Per_A!$C$85/100</f>
        <v>1694.9603747351616</v>
      </c>
      <c r="U25" s="764">
        <f>U3*U23*Returns_Per_A!$C$85/100</f>
        <v>4953.1607145608559</v>
      </c>
      <c r="V25" s="764">
        <f>V3*V23*Returns_Per_A!$C$85/100</f>
        <v>2036.8845056059026</v>
      </c>
      <c r="W25" s="764">
        <f>W3*W23*Returns_Per_A!$C$85/100</f>
        <v>14853.074865581246</v>
      </c>
      <c r="X25" s="764">
        <f>X3*X23*Returns_Per_A!$C$85/100</f>
        <v>10738.320600940766</v>
      </c>
      <c r="Y25" s="764">
        <f>Y3*Y23*Returns_Per_A!$C$85/100</f>
        <v>33098.766182972744</v>
      </c>
      <c r="Z25" s="764">
        <f>Z3*Z23*Returns_Per_A!$C$85/100</f>
        <v>66047.228463287393</v>
      </c>
      <c r="AA25" s="764">
        <f>AA3*AA23*Returns_Per_A!$C$85/100</f>
        <v>23536.811942362496</v>
      </c>
      <c r="AB25" s="764">
        <f>AB3*AB23*Returns_Per_A!$C$85/100</f>
        <v>51755.364229386163</v>
      </c>
      <c r="AC25" s="764">
        <f>AC3*AC23*Returns_Per_A!$C$85/100</f>
        <v>12576.648734951083</v>
      </c>
      <c r="AD25" s="764">
        <f>AD3*AD23*Returns_Per_A!$C$85/100</f>
        <v>2319.9340571373132</v>
      </c>
      <c r="AE25" s="764">
        <f>AE3*AE23*Returns_Per_A!$C$85/100</f>
        <v>5124.8666416718343</v>
      </c>
      <c r="AF25" s="764">
        <f>AF3*AF23*Returns_Per_A!$C$85/100</f>
        <v>15456.928391914982</v>
      </c>
      <c r="AG25" s="764">
        <f>AG3*AG23*Returns_Per_A!$C$85/100</f>
        <v>3257.196983383008</v>
      </c>
      <c r="AH25" s="764">
        <f>AH3*AH23*Returns_Per_A!$C$85/100</f>
        <v>39936.96342988062</v>
      </c>
      <c r="AI25" s="764">
        <f>AI3*AI23*Returns_Per_A!$C$85/100</f>
        <v>5384.7220840116815</v>
      </c>
      <c r="AJ25" s="764">
        <f>AJ3*AJ23*Returns_Per_A!$C$85/100</f>
        <v>20198.973527902017</v>
      </c>
      <c r="AK25" s="764">
        <f>AK3*AK23*Returns_Per_A!$C$85/100</f>
        <v>23395.330986641748</v>
      </c>
      <c r="AL25" s="764">
        <f>AL3*AL23*Returns_Per_A!$C$85/100</f>
        <v>46599.213486601177</v>
      </c>
      <c r="AM25" s="764">
        <f>AM3*AM23*Returns_Per_A!$C$85/100</f>
        <v>20767.789118465342</v>
      </c>
      <c r="AN25" s="764">
        <f>AN3*AN23*Returns_Per_A!$C$85/100</f>
        <v>24699.061731071084</v>
      </c>
      <c r="AO25" s="758"/>
      <c r="AP25" s="763"/>
    </row>
    <row r="26" spans="1:42" s="743" customFormat="1" x14ac:dyDescent="0.25">
      <c r="A26" s="743" t="str">
        <f>"Ex &amp; new % Ag w/intermittent "&amp;Returns_Per_A!$C$85&amp;" ft"</f>
        <v>Ex &amp; new % Ag w/intermittent 50 ft</v>
      </c>
      <c r="B26" s="494">
        <f>IF(B5&gt;0,B25/B5,0)</f>
        <v>0.10242402383042892</v>
      </c>
      <c r="C26" s="494">
        <f t="shared" ref="C26:AN26" si="7">IF(C5&gt;0,C25/C5,0)</f>
        <v>0.17491270896614902</v>
      </c>
      <c r="D26" s="494">
        <f t="shared" si="7"/>
        <v>0.12216399326979081</v>
      </c>
      <c r="E26" s="494">
        <f t="shared" si="7"/>
        <v>7.9744484529605031E-2</v>
      </c>
      <c r="F26" s="494">
        <f t="shared" si="7"/>
        <v>3.5586393920919883E-2</v>
      </c>
      <c r="G26" s="494">
        <f t="shared" si="7"/>
        <v>0.27358708348073724</v>
      </c>
      <c r="H26" s="494">
        <f t="shared" si="7"/>
        <v>9.9467229507140834E-2</v>
      </c>
      <c r="I26" s="494">
        <f t="shared" si="7"/>
        <v>3.1655639553181417E-2</v>
      </c>
      <c r="J26" s="494">
        <f t="shared" si="7"/>
        <v>2.7123152409252074E-2</v>
      </c>
      <c r="K26" s="494">
        <f t="shared" si="7"/>
        <v>2.9661761663861041E-2</v>
      </c>
      <c r="L26" s="494">
        <f t="shared" si="7"/>
        <v>13.16150712572122</v>
      </c>
      <c r="M26" s="494">
        <f t="shared" si="7"/>
        <v>0.17328592821763736</v>
      </c>
      <c r="N26" s="494">
        <f t="shared" si="7"/>
        <v>4.9787171444974333E-2</v>
      </c>
      <c r="O26" s="494">
        <f t="shared" si="7"/>
        <v>4.4808004141110018E-2</v>
      </c>
      <c r="P26" s="494">
        <f t="shared" si="7"/>
        <v>3.8948462131257383E-2</v>
      </c>
      <c r="Q26" s="494">
        <f t="shared" si="7"/>
        <v>2.4352344017473482E-2</v>
      </c>
      <c r="R26" s="494">
        <f t="shared" si="7"/>
        <v>0.39548753301180423</v>
      </c>
      <c r="S26" s="494">
        <f t="shared" si="7"/>
        <v>0.15002421229044677</v>
      </c>
      <c r="T26" s="494">
        <f t="shared" si="7"/>
        <v>0.26094389938764689</v>
      </c>
      <c r="U26" s="494">
        <f t="shared" si="7"/>
        <v>4.6569257014507308E-2</v>
      </c>
      <c r="V26" s="494">
        <f t="shared" si="7"/>
        <v>3.1705929293996828E-2</v>
      </c>
      <c r="W26" s="494">
        <f t="shared" si="7"/>
        <v>2.7769975975610626E-2</v>
      </c>
      <c r="X26" s="494">
        <f t="shared" si="7"/>
        <v>0.14772459373141714</v>
      </c>
      <c r="Y26" s="494">
        <f t="shared" si="7"/>
        <v>5.7221139323956109E-2</v>
      </c>
      <c r="Z26" s="494">
        <f t="shared" si="7"/>
        <v>3.7946792823429817E-2</v>
      </c>
      <c r="AA26" s="494">
        <f t="shared" si="7"/>
        <v>7.5802469163952169E-2</v>
      </c>
      <c r="AB26" s="494">
        <f t="shared" si="7"/>
        <v>4.6282182843114084E-2</v>
      </c>
      <c r="AC26" s="494">
        <f t="shared" si="7"/>
        <v>0.2698383011223654</v>
      </c>
      <c r="AD26" s="494">
        <f t="shared" si="7"/>
        <v>4.2613564296087175E-2</v>
      </c>
      <c r="AE26" s="494">
        <f t="shared" si="7"/>
        <v>7.8047821368758402E-2</v>
      </c>
      <c r="AF26" s="494">
        <f t="shared" si="7"/>
        <v>0.11803947395980034</v>
      </c>
      <c r="AG26" s="494">
        <f t="shared" si="7"/>
        <v>0.12641546279636445</v>
      </c>
      <c r="AH26" s="494">
        <f t="shared" si="7"/>
        <v>2.9789010258608317E-2</v>
      </c>
      <c r="AI26" s="494">
        <f t="shared" si="7"/>
        <v>4.1950776932645706E-2</v>
      </c>
      <c r="AJ26" s="494">
        <f t="shared" si="7"/>
        <v>3.516736847713206E-2</v>
      </c>
      <c r="AK26" s="494">
        <f t="shared" si="7"/>
        <v>4.4774972877471723E-2</v>
      </c>
      <c r="AL26" s="494">
        <f t="shared" si="7"/>
        <v>4.377450153534064E-2</v>
      </c>
      <c r="AM26" s="494">
        <f t="shared" si="7"/>
        <v>2.6288185436245063E-2</v>
      </c>
      <c r="AN26" s="494">
        <f t="shared" si="7"/>
        <v>2.6006278094864568E-2</v>
      </c>
      <c r="AO26" s="158"/>
    </row>
    <row r="27" spans="1:42" s="756" customFormat="1" x14ac:dyDescent="0.25">
      <c r="A27" s="767" t="s">
        <v>1209</v>
      </c>
      <c r="B27" s="766">
        <f>(B20*Returns_Per_A!$C$87/100)/B23</f>
        <v>0.85358959031980874</v>
      </c>
      <c r="C27" s="766">
        <f>(C20*Returns_Per_A!$C$87/100)/C23</f>
        <v>0.86244806852563993</v>
      </c>
      <c r="D27" s="766">
        <f>(D20*Returns_Per_A!$C$87/100)/D23</f>
        <v>0.65980665266651051</v>
      </c>
      <c r="E27" s="766">
        <f>(E20*Returns_Per_A!$C$87/100)/E23</f>
        <v>0.79065471068940585</v>
      </c>
      <c r="F27" s="766">
        <f>(F20*Returns_Per_A!$C$87/100)/F23</f>
        <v>0.60128923193197625</v>
      </c>
      <c r="G27" s="766">
        <f>(G20*Returns_Per_A!$C$87/100)/G23</f>
        <v>1</v>
      </c>
      <c r="H27" s="766">
        <f>(H20*Returns_Per_A!$C$87/100)/H23</f>
        <v>0.92110016926513094</v>
      </c>
      <c r="I27" s="766">
        <f>(I20*Returns_Per_A!$C$87/100)/I23</f>
        <v>0.5856717665581368</v>
      </c>
      <c r="J27" s="766">
        <f>(J20*Returns_Per_A!$C$87/100)/J23</f>
        <v>0.56939206162902412</v>
      </c>
      <c r="K27" s="766">
        <f>(K20*Returns_Per_A!$C$87/100)/K23</f>
        <v>0.51389778595720381</v>
      </c>
      <c r="L27" s="766">
        <f>(L20*Returns_Per_A!$C$87/100)/L23</f>
        <v>1</v>
      </c>
      <c r="M27" s="766">
        <f>(M20*Returns_Per_A!$C$87/100)/M23</f>
        <v>0.90354446591795567</v>
      </c>
      <c r="N27" s="766">
        <f>(N20*Returns_Per_A!$C$87/100)/N23</f>
        <v>0.63087106724932995</v>
      </c>
      <c r="O27" s="766">
        <f>(O20*Returns_Per_A!$C$87/100)/O23</f>
        <v>0.54443328518466882</v>
      </c>
      <c r="P27" s="766">
        <f>(P20*Returns_Per_A!$C$87/100)/P23</f>
        <v>0.53667115041135605</v>
      </c>
      <c r="Q27" s="766">
        <f>(Q20*Returns_Per_A!$C$87/100)/Q23</f>
        <v>0.52826206085587335</v>
      </c>
      <c r="R27" s="766">
        <f>(R20*Returns_Per_A!$C$87/100)/R23</f>
        <v>1</v>
      </c>
      <c r="S27" s="766">
        <f>(S20*Returns_Per_A!$C$87/100)/S23</f>
        <v>0.86253233808913077</v>
      </c>
      <c r="T27" s="766">
        <f>(T20*Returns_Per_A!$C$87/100)/T23</f>
        <v>1</v>
      </c>
      <c r="U27" s="766">
        <f>(U20*Returns_Per_A!$C$87/100)/U23</f>
        <v>0.73103388553295967</v>
      </c>
      <c r="V27" s="766">
        <f>(V20*Returns_Per_A!$C$87/100)/V23</f>
        <v>0.62272050126819478</v>
      </c>
      <c r="W27" s="766">
        <f>(W20*Returns_Per_A!$C$87/100)/W23</f>
        <v>0.36666170909483642</v>
      </c>
      <c r="X27" s="766">
        <f>(X20*Returns_Per_A!$C$87/100)/X23</f>
        <v>0.64057807705696679</v>
      </c>
      <c r="Y27" s="766">
        <f>(Y20*Returns_Per_A!$C$87/100)/Y23</f>
        <v>0.61241712412257565</v>
      </c>
      <c r="Z27" s="766">
        <f>(Z20*Returns_Per_A!$C$87/100)/Z23</f>
        <v>0.63123281186221236</v>
      </c>
      <c r="AA27" s="766">
        <f>(AA20*Returns_Per_A!$C$87/100)/AA23</f>
        <v>0.84030352460018765</v>
      </c>
      <c r="AB27" s="766">
        <f>(AB20*Returns_Per_A!$C$87/100)/AB23</f>
        <v>0.66764740242301102</v>
      </c>
      <c r="AC27" s="766">
        <f>(AC20*Returns_Per_A!$C$87/100)/AC23</f>
        <v>0.92520415806039757</v>
      </c>
      <c r="AD27" s="766">
        <f>(AD20*Returns_Per_A!$C$87/100)/AD23</f>
        <v>0.57145083620623383</v>
      </c>
      <c r="AE27" s="766">
        <f>(AE20*Returns_Per_A!$C$87/100)/AE23</f>
        <v>0.52937717853952682</v>
      </c>
      <c r="AF27" s="766">
        <f>(AF20*Returns_Per_A!$C$87/100)/AF23</f>
        <v>0.66489136367574098</v>
      </c>
      <c r="AG27" s="766">
        <f>(AG20*Returns_Per_A!$C$87/100)/AG23</f>
        <v>0.65097590363971691</v>
      </c>
      <c r="AH27" s="766">
        <f>(AH20*Returns_Per_A!$C$87/100)/AH23</f>
        <v>0.53406975037081561</v>
      </c>
      <c r="AI27" s="766">
        <f>(AI20*Returns_Per_A!$C$87/100)/AI23</f>
        <v>0.61591137246237027</v>
      </c>
      <c r="AJ27" s="766">
        <f>(AJ20*Returns_Per_A!$C$87/100)/AJ23</f>
        <v>0.43500151256784481</v>
      </c>
      <c r="AK27" s="766">
        <f>(AK20*Returns_Per_A!$C$87/100)/AK23</f>
        <v>0.57311355087731908</v>
      </c>
      <c r="AL27" s="766">
        <f>(AL20*Returns_Per_A!$C$87/100)/AL23</f>
        <v>0.56287404450283662</v>
      </c>
      <c r="AM27" s="766">
        <f>(AM20*Returns_Per_A!$C$87/100)/AM23</f>
        <v>0.52190565060646887</v>
      </c>
      <c r="AN27" s="766">
        <f>(AN20*Returns_Per_A!$C$87/100)/AN23</f>
        <v>0.55725268375548453</v>
      </c>
      <c r="AO27" s="758"/>
      <c r="AP27" s="763"/>
    </row>
    <row r="28" spans="1:42" s="753" customFormat="1" x14ac:dyDescent="0.25">
      <c r="A28" s="755" t="str">
        <f>"Existing acres, intermittent, region "&amp;Returns_Per_A!$C$85&amp;" ft"</f>
        <v>Existing acres, intermittent, region 50 ft</v>
      </c>
      <c r="B28" s="736">
        <f>B20*B3*Returns_Per_A!$C$85/100</f>
        <v>103480.91013728539</v>
      </c>
      <c r="C28" s="736">
        <f>C20*C3*Returns_Per_A!$C$85/100</f>
        <v>14444.904868107256</v>
      </c>
      <c r="D28" s="736">
        <f>D20*D3*Returns_Per_A!$C$85/100</f>
        <v>30981.457325098847</v>
      </c>
      <c r="E28" s="736">
        <f>E20*E3*Returns_Per_A!$C$85/100</f>
        <v>33195.977436358349</v>
      </c>
      <c r="F28" s="736">
        <f>F20*F3*Returns_Per_A!$C$85/100</f>
        <v>23275.704874002946</v>
      </c>
      <c r="G28" s="736">
        <f>G20*G3*Returns_Per_A!$C$85/100</f>
        <v>5956.9588476035888</v>
      </c>
      <c r="H28" s="736">
        <f>H20*H3*Returns_Per_A!$C$85/100</f>
        <v>43700.138165951546</v>
      </c>
      <c r="I28" s="736">
        <f>I20*I3*Returns_Per_A!$C$85/100</f>
        <v>33054.300991132011</v>
      </c>
      <c r="J28" s="736">
        <f>J20*J3*Returns_Per_A!$C$85/100</f>
        <v>7079.8522659780838</v>
      </c>
      <c r="K28" s="736">
        <f>K20*K3*Returns_Per_A!$C$85/100</f>
        <v>12486.79600643475</v>
      </c>
      <c r="L28" s="736">
        <f>L20*L3*Returns_Per_A!$C$85/100</f>
        <v>655974.55859693117</v>
      </c>
      <c r="M28" s="736">
        <f>M20*M3*Returns_Per_A!$C$85/100</f>
        <v>41438.080162442486</v>
      </c>
      <c r="N28" s="736">
        <f>N20*N3*Returns_Per_A!$C$85/100</f>
        <v>24176.777060579087</v>
      </c>
      <c r="O28" s="736">
        <f>O20*O3*Returns_Per_A!$C$85/100</f>
        <v>20215.469395200431</v>
      </c>
      <c r="P28" s="736">
        <f>P20*P3*Returns_Per_A!$C$85/100</f>
        <v>5054.7417970011438</v>
      </c>
      <c r="Q28" s="736">
        <f>Q20*Q3*Returns_Per_A!$C$85/100</f>
        <v>3175.1222960227024</v>
      </c>
      <c r="R28" s="736">
        <f>R20*R3*Returns_Per_A!$C$85/100</f>
        <v>1694.9603747351616</v>
      </c>
      <c r="S28" s="736">
        <f>S20*S3*Returns_Per_A!$C$85/100</f>
        <v>23065.256608436321</v>
      </c>
      <c r="T28" s="736">
        <f>T20*T3*Returns_Per_A!$C$85/100</f>
        <v>1694.9603747351616</v>
      </c>
      <c r="U28" s="736">
        <f>U20*U3*Returns_Per_A!$C$85/100</f>
        <v>3620.9283228346335</v>
      </c>
      <c r="V28" s="736">
        <f>V20*V3*Returns_Per_A!$C$85/100</f>
        <v>1268.4097403563269</v>
      </c>
      <c r="W28" s="736">
        <f>W20*W3*Returns_Per_A!$C$85/100</f>
        <v>5446.0538155275772</v>
      </c>
      <c r="X28" s="736">
        <f>X20*X3*Returns_Per_A!$C$85/100</f>
        <v>6878.732761371848</v>
      </c>
      <c r="Y28" s="736">
        <f>Y20*Y3*Returns_Per_A!$C$85/100</f>
        <v>20270.251197781727</v>
      </c>
      <c r="Z28" s="736">
        <f>Z20*Z3*Returns_Per_A!$C$85/100</f>
        <v>41691.177738586848</v>
      </c>
      <c r="AA28" s="736">
        <f>AA20*AA3*Returns_Per_A!$C$85/100</f>
        <v>19778.066033018993</v>
      </c>
      <c r="AB28" s="736">
        <f>AB20*AB3*Returns_Per_A!$C$85/100</f>
        <v>34554.334489206492</v>
      </c>
      <c r="AC28" s="736">
        <f>AC20*AC3*Returns_Per_A!$C$85/100</f>
        <v>11635.967704041781</v>
      </c>
      <c r="AD28" s="736">
        <f>AD20*AD3*Returns_Per_A!$C$85/100</f>
        <v>1325.7282568944383</v>
      </c>
      <c r="AE28" s="736">
        <f>AE20*AE3*Returns_Per_A!$C$85/100</f>
        <v>2712.9874431595758</v>
      </c>
      <c r="AF28" s="736">
        <f>AF20*AF3*Returns_Per_A!$C$85/100</f>
        <v>10277.178196738631</v>
      </c>
      <c r="AG28" s="736">
        <f>AG20*AG3*Returns_Per_A!$C$85/100</f>
        <v>2120.3567495903135</v>
      </c>
      <c r="AH28" s="736">
        <f>AH20*AH3*Returns_Per_A!$C$85/100</f>
        <v>21329.124089564735</v>
      </c>
      <c r="AI28" s="736">
        <f>AI20*AI3*Returns_Per_A!$C$85/100</f>
        <v>3316.5115690920693</v>
      </c>
      <c r="AJ28" s="736">
        <f>AJ20*AJ3*Returns_Per_A!$C$85/100</f>
        <v>8786.5840369552334</v>
      </c>
      <c r="AK28" s="736">
        <f>AK20*AK3*Returns_Per_A!$C$85/100</f>
        <v>13408.181215704424</v>
      </c>
      <c r="AL28" s="736">
        <f>AL20*AL3*Returns_Per_A!$C$85/100</f>
        <v>26229.487765854337</v>
      </c>
      <c r="AM28" s="736">
        <f>AM20*AM3*Returns_Per_A!$C$85/100</f>
        <v>10838.826491530599</v>
      </c>
      <c r="AN28" s="736">
        <f>AN20*AN3*Returns_Per_A!$C$85/100</f>
        <v>13763.618435881746</v>
      </c>
    </row>
    <row r="29" spans="1:42" s="168" customFormat="1" x14ac:dyDescent="0.25">
      <c r="A29" s="168" t="str">
        <f>"Ex &amp; new % Ag w/intermittent "&amp;Returns_Per_A!$C$85&amp;" ft, selected"</f>
        <v>Ex &amp; new % Ag w/intermittent 50 ft, selected</v>
      </c>
      <c r="B29" s="638">
        <f>IF(Main!$F$282=1,B26,B13)</f>
        <v>0.10242402383042892</v>
      </c>
      <c r="C29" s="638">
        <f>IF(Main!$F$282=1,C26,C13)</f>
        <v>0.17491270896614902</v>
      </c>
      <c r="D29" s="638">
        <f>IF(Main!$F$282=1,D26,D13)</f>
        <v>0.12216399326979081</v>
      </c>
      <c r="E29" s="638">
        <f>IF(Main!$F$282=1,E26,E13)</f>
        <v>7.9744484529605031E-2</v>
      </c>
      <c r="F29" s="638">
        <f>IF(Main!$F$282=1,F26,F13)</f>
        <v>3.5586393920919883E-2</v>
      </c>
      <c r="G29" s="638">
        <f>IF(Main!$F$282=1,G26,G13)</f>
        <v>0.27358708348073724</v>
      </c>
      <c r="H29" s="638">
        <f>IF(Main!$F$282=1,H26,H13)</f>
        <v>9.9467229507140834E-2</v>
      </c>
      <c r="I29" s="638">
        <f>IF(Main!$F$282=1,I26,I13)</f>
        <v>3.1655639553181417E-2</v>
      </c>
      <c r="J29" s="638">
        <f>IF(Main!$F$282=1,J26,J13)</f>
        <v>2.7123152409252074E-2</v>
      </c>
      <c r="K29" s="638">
        <f>IF(Main!$F$282=1,K26,K13)</f>
        <v>2.9661761663861041E-2</v>
      </c>
      <c r="L29" s="638">
        <f>IF(Main!$F$282=1,L26,L13)</f>
        <v>13.16150712572122</v>
      </c>
      <c r="M29" s="638">
        <f>IF(Main!$F$282=1,M26,M13)</f>
        <v>0.17328592821763736</v>
      </c>
      <c r="N29" s="638">
        <f>IF(Main!$F$282=1,N26,N13)</f>
        <v>4.9787171444974333E-2</v>
      </c>
      <c r="O29" s="638">
        <f>IF(Main!$F$282=1,O26,O13)</f>
        <v>4.4808004141110018E-2</v>
      </c>
      <c r="P29" s="638">
        <f>IF(Main!$F$282=1,P26,P13)</f>
        <v>3.8948462131257383E-2</v>
      </c>
      <c r="Q29" s="638">
        <f>IF(Main!$F$282=1,Q26,Q13)</f>
        <v>2.4352344017473482E-2</v>
      </c>
      <c r="R29" s="638">
        <f>IF(Main!$F$282=1,R26,R13)</f>
        <v>0.39548753301180423</v>
      </c>
      <c r="S29" s="638">
        <f>IF(Main!$F$282=1,S26,S13)</f>
        <v>0.15002421229044677</v>
      </c>
      <c r="T29" s="638">
        <f>IF(Main!$F$282=1,T26,T13)</f>
        <v>0.26094389938764689</v>
      </c>
      <c r="U29" s="638">
        <f>IF(Main!$F$282=1,U26,U13)</f>
        <v>4.6569257014507308E-2</v>
      </c>
      <c r="V29" s="638">
        <f>IF(Main!$F$282=1,V26,V13)</f>
        <v>3.1705929293996828E-2</v>
      </c>
      <c r="W29" s="638">
        <f>IF(Main!$F$282=1,W26,W13)</f>
        <v>2.7769975975610626E-2</v>
      </c>
      <c r="X29" s="638">
        <f>IF(Main!$F$282=1,X26,X13)</f>
        <v>0.14772459373141714</v>
      </c>
      <c r="Y29" s="638">
        <f>IF(Main!$F$282=1,Y26,Y13)</f>
        <v>5.7221139323956109E-2</v>
      </c>
      <c r="Z29" s="638">
        <f>IF(Main!$F$282=1,Z26,Z13)</f>
        <v>3.7946792823429817E-2</v>
      </c>
      <c r="AA29" s="638">
        <f>IF(Main!$F$282=1,AA26,AA13)</f>
        <v>7.5802469163952169E-2</v>
      </c>
      <c r="AB29" s="638">
        <f>IF(Main!$F$282=1,AB26,AB13)</f>
        <v>4.6282182843114084E-2</v>
      </c>
      <c r="AC29" s="638">
        <f>IF(Main!$F$282=1,AC26,AC13)</f>
        <v>0.2698383011223654</v>
      </c>
      <c r="AD29" s="638">
        <f>IF(Main!$F$282=1,AD26,AD13)</f>
        <v>4.2613564296087175E-2</v>
      </c>
      <c r="AE29" s="638">
        <f>IF(Main!$F$282=1,AE26,AE13)</f>
        <v>7.8047821368758402E-2</v>
      </c>
      <c r="AF29" s="638">
        <f>IF(Main!$F$282=1,AF26,AF13)</f>
        <v>0.11803947395980034</v>
      </c>
      <c r="AG29" s="638">
        <f>IF(Main!$F$282=1,AG26,AG13)</f>
        <v>0.12641546279636445</v>
      </c>
      <c r="AH29" s="638">
        <f>IF(Main!$F$282=1,AH26,AH13)</f>
        <v>2.9789010258608317E-2</v>
      </c>
      <c r="AI29" s="638">
        <f>IF(Main!$F$282=1,AI26,AI13)</f>
        <v>4.1950776932645706E-2</v>
      </c>
      <c r="AJ29" s="638">
        <f>IF(Main!$F$282=1,AJ26,AJ13)</f>
        <v>3.516736847713206E-2</v>
      </c>
      <c r="AK29" s="638">
        <f>IF(Main!$F$282=1,AK26,AK13)</f>
        <v>4.4774972877471723E-2</v>
      </c>
      <c r="AL29" s="638">
        <f>IF(Main!$F$282=1,AL26,AL13)</f>
        <v>4.377450153534064E-2</v>
      </c>
      <c r="AM29" s="638">
        <f>IF(Main!$F$282=1,AM26,AM13)</f>
        <v>2.6288185436245063E-2</v>
      </c>
      <c r="AN29" s="638">
        <f>IF(Main!$F$282=1,AN26,AN13)</f>
        <v>2.6006278094864568E-2</v>
      </c>
      <c r="AO29" s="642"/>
    </row>
    <row r="30" spans="1:42" s="756" customFormat="1" x14ac:dyDescent="0.25">
      <c r="A30" s="756" t="s">
        <v>1210</v>
      </c>
      <c r="B30" s="765">
        <f>IF(Main!$F$282=1,B27,B9)</f>
        <v>0.85358959031980874</v>
      </c>
      <c r="C30" s="765">
        <f>IF(Main!$F$282=1,C27,C9)</f>
        <v>0.86244806852563993</v>
      </c>
      <c r="D30" s="765">
        <f>IF(Main!$F$282=1,D27,D9)</f>
        <v>0.65980665266651051</v>
      </c>
      <c r="E30" s="765">
        <f>IF(Main!$F$282=1,E27,E9)</f>
        <v>0.79065471068940585</v>
      </c>
      <c r="F30" s="765">
        <f>IF(Main!$F$282=1,F27,F9)</f>
        <v>0.60128923193197625</v>
      </c>
      <c r="G30" s="765">
        <f>IF(Main!$F$282=1,G27,G9)</f>
        <v>1</v>
      </c>
      <c r="H30" s="765">
        <f>IF(Main!$F$282=1,H27,H9)</f>
        <v>0.92110016926513094</v>
      </c>
      <c r="I30" s="765">
        <f>IF(Main!$F$282=1,I27,I9)</f>
        <v>0.5856717665581368</v>
      </c>
      <c r="J30" s="765">
        <f>IF(Main!$F$282=1,J27,J9)</f>
        <v>0.56939206162902412</v>
      </c>
      <c r="K30" s="765">
        <f>IF(Main!$F$282=1,K27,K9)</f>
        <v>0.51389778595720381</v>
      </c>
      <c r="L30" s="765">
        <f>IF(Main!$F$282=1,L27,L9)</f>
        <v>1</v>
      </c>
      <c r="M30" s="765">
        <f>IF(Main!$F$282=1,M27,M9)</f>
        <v>0.90354446591795567</v>
      </c>
      <c r="N30" s="765">
        <f>IF(Main!$F$282=1,N27,N9)</f>
        <v>0.63087106724932995</v>
      </c>
      <c r="O30" s="765">
        <f>IF(Main!$F$282=1,O27,O9)</f>
        <v>0.54443328518466882</v>
      </c>
      <c r="P30" s="765">
        <f>IF(Main!$F$282=1,P27,P9)</f>
        <v>0.53667115041135605</v>
      </c>
      <c r="Q30" s="765">
        <f>IF(Main!$F$282=1,Q27,Q9)</f>
        <v>0.52826206085587335</v>
      </c>
      <c r="R30" s="765">
        <f>IF(Main!$F$282=1,R27,R9)</f>
        <v>1</v>
      </c>
      <c r="S30" s="765">
        <f>IF(Main!$F$282=1,S27,S9)</f>
        <v>0.86253233808913077</v>
      </c>
      <c r="T30" s="765">
        <f>IF(Main!$F$282=1,T27,T9)</f>
        <v>1</v>
      </c>
      <c r="U30" s="765">
        <f>IF(Main!$F$282=1,U27,U9)</f>
        <v>0.73103388553295967</v>
      </c>
      <c r="V30" s="765">
        <f>IF(Main!$F$282=1,V27,V9)</f>
        <v>0.62272050126819478</v>
      </c>
      <c r="W30" s="765">
        <f>IF(Main!$F$282=1,W27,W9)</f>
        <v>0.36666170909483642</v>
      </c>
      <c r="X30" s="765">
        <f>IF(Main!$F$282=1,X27,X9)</f>
        <v>0.64057807705696679</v>
      </c>
      <c r="Y30" s="765">
        <f>IF(Main!$F$282=1,Y27,Y9)</f>
        <v>0.61241712412257565</v>
      </c>
      <c r="Z30" s="765">
        <f>IF(Main!$F$282=1,Z27,Z9)</f>
        <v>0.63123281186221236</v>
      </c>
      <c r="AA30" s="765">
        <f>IF(Main!$F$282=1,AA27,AA9)</f>
        <v>0.84030352460018765</v>
      </c>
      <c r="AB30" s="765">
        <f>IF(Main!$F$282=1,AB27,AB9)</f>
        <v>0.66764740242301102</v>
      </c>
      <c r="AC30" s="765">
        <f>IF(Main!$F$282=1,AC27,AC9)</f>
        <v>0.92520415806039757</v>
      </c>
      <c r="AD30" s="765">
        <f>IF(Main!$F$282=1,AD27,AD9)</f>
        <v>0.57145083620623383</v>
      </c>
      <c r="AE30" s="765">
        <f>IF(Main!$F$282=1,AE27,AE9)</f>
        <v>0.52937717853952682</v>
      </c>
      <c r="AF30" s="765">
        <f>IF(Main!$F$282=1,AF27,AF9)</f>
        <v>0.66489136367574098</v>
      </c>
      <c r="AG30" s="765">
        <f>IF(Main!$F$282=1,AG27,AG9)</f>
        <v>0.65097590363971691</v>
      </c>
      <c r="AH30" s="765">
        <f>IF(Main!$F$282=1,AH27,AH9)</f>
        <v>0.53406975037081561</v>
      </c>
      <c r="AI30" s="765">
        <f>IF(Main!$F$282=1,AI27,AI9)</f>
        <v>0.61591137246237027</v>
      </c>
      <c r="AJ30" s="765">
        <f>IF(Main!$F$282=1,AJ27,AJ9)</f>
        <v>0.43500151256784481</v>
      </c>
      <c r="AK30" s="765">
        <f>IF(Main!$F$282=1,AK27,AK9)</f>
        <v>0.57311355087731908</v>
      </c>
      <c r="AL30" s="765">
        <f>IF(Main!$F$282=1,AL27,AL9)</f>
        <v>0.56287404450283662</v>
      </c>
      <c r="AM30" s="765">
        <f>IF(Main!$F$282=1,AM27,AM9)</f>
        <v>0.52190565060646887</v>
      </c>
      <c r="AN30" s="765">
        <f>IF(Main!$F$282=1,AN27,AN9)</f>
        <v>0.55725268375548453</v>
      </c>
    </row>
    <row r="31" spans="1:42" s="168" customFormat="1" ht="30" x14ac:dyDescent="0.25">
      <c r="A31" s="747" t="str">
        <f>"Pot_Buff_acres-w/ intermittent, "&amp;Returns_Per_A!$C$86&amp;" ft, region"</f>
        <v>Pot_Buff_acres-w/ intermittent, 100 ft, region</v>
      </c>
      <c r="B31" s="746">
        <f t="shared" ref="B31:AN31" si="8">B22*B3</f>
        <v>35498.751669646314</v>
      </c>
      <c r="C31" s="746">
        <f t="shared" si="8"/>
        <v>4607.6387369460954</v>
      </c>
      <c r="D31" s="746">
        <f t="shared" si="8"/>
        <v>31947.800556725091</v>
      </c>
      <c r="E31" s="746">
        <f t="shared" si="8"/>
        <v>17578.903676683069</v>
      </c>
      <c r="F31" s="746">
        <f t="shared" si="8"/>
        <v>30867.920710371989</v>
      </c>
      <c r="G31" s="746">
        <f t="shared" si="8"/>
        <v>0</v>
      </c>
      <c r="H31" s="746">
        <f t="shared" si="8"/>
        <v>7486.5549251495322</v>
      </c>
      <c r="I31" s="746">
        <f t="shared" si="8"/>
        <v>46767.936988992202</v>
      </c>
      <c r="J31" s="746">
        <f t="shared" si="8"/>
        <v>10708.405661651759</v>
      </c>
      <c r="K31" s="746">
        <f t="shared" si="8"/>
        <v>23622.826760083226</v>
      </c>
      <c r="L31" s="746">
        <f t="shared" si="8"/>
        <v>0</v>
      </c>
      <c r="M31" s="746">
        <f t="shared" si="8"/>
        <v>8847.2284523203234</v>
      </c>
      <c r="N31" s="746">
        <f t="shared" si="8"/>
        <v>28292.145184700323</v>
      </c>
      <c r="O31" s="746">
        <f t="shared" si="8"/>
        <v>33831.491319262459</v>
      </c>
      <c r="P31" s="746">
        <f t="shared" si="8"/>
        <v>8727.9060928728377</v>
      </c>
      <c r="Q31" s="746">
        <f t="shared" si="8"/>
        <v>5670.7674445883476</v>
      </c>
      <c r="R31" s="746">
        <f t="shared" si="8"/>
        <v>0</v>
      </c>
      <c r="S31" s="746">
        <f t="shared" si="8"/>
        <v>7352.1345399302863</v>
      </c>
      <c r="T31" s="746">
        <f t="shared" si="8"/>
        <v>0</v>
      </c>
      <c r="U31" s="746">
        <f t="shared" si="8"/>
        <v>2664.4647834524449</v>
      </c>
      <c r="V31" s="746">
        <f t="shared" si="8"/>
        <v>1536.949530499151</v>
      </c>
      <c r="W31" s="746">
        <f t="shared" si="8"/>
        <v>18814.042100107341</v>
      </c>
      <c r="X31" s="746">
        <f t="shared" si="8"/>
        <v>7719.1756791378357</v>
      </c>
      <c r="Y31" s="746">
        <f t="shared" si="8"/>
        <v>25657.029970382035</v>
      </c>
      <c r="Z31" s="746">
        <f t="shared" si="8"/>
        <v>48712.101449401096</v>
      </c>
      <c r="AA31" s="746">
        <f t="shared" si="8"/>
        <v>7517.4918186870018</v>
      </c>
      <c r="AB31" s="746">
        <f t="shared" si="8"/>
        <v>34402.059480359327</v>
      </c>
      <c r="AC31" s="746">
        <f t="shared" si="8"/>
        <v>1881.3620618185992</v>
      </c>
      <c r="AD31" s="746">
        <f t="shared" si="8"/>
        <v>1988.4116004857492</v>
      </c>
      <c r="AE31" s="746">
        <f t="shared" si="8"/>
        <v>4823.7583970245169</v>
      </c>
      <c r="AF31" s="746">
        <f t="shared" si="8"/>
        <v>10359.500390352703</v>
      </c>
      <c r="AG31" s="746">
        <f t="shared" si="8"/>
        <v>2273.6804675853891</v>
      </c>
      <c r="AH31" s="746">
        <f t="shared" si="8"/>
        <v>37215.678680631769</v>
      </c>
      <c r="AI31" s="746">
        <f t="shared" si="8"/>
        <v>4136.4210298392227</v>
      </c>
      <c r="AJ31" s="746">
        <f t="shared" si="8"/>
        <v>22824.778981893563</v>
      </c>
      <c r="AK31" s="746">
        <f t="shared" si="8"/>
        <v>19974.299541874643</v>
      </c>
      <c r="AL31" s="746">
        <f t="shared" si="8"/>
        <v>40739.451441493671</v>
      </c>
      <c r="AM31" s="746">
        <f t="shared" si="8"/>
        <v>19857.925253869485</v>
      </c>
      <c r="AN31" s="746">
        <f t="shared" si="8"/>
        <v>21870.88659037869</v>
      </c>
      <c r="AO31" s="642">
        <f t="shared" ref="AO31:AO36" si="9">SUM(B31:AN31)</f>
        <v>636777.88196919824</v>
      </c>
      <c r="AP31" s="175"/>
    </row>
    <row r="32" spans="1:42" s="168" customFormat="1" x14ac:dyDescent="0.25">
      <c r="A32" s="715" t="str">
        <f>"Pot Buff acres "&amp;Returns_Per_A!$C$85&amp;" feet of streams, intermittent"</f>
        <v>Pot Buff acres 50 feet of streams, intermittent</v>
      </c>
      <c r="B32" s="746">
        <f>B31*Returns_Per_A!$C$85/100</f>
        <v>17749.375834823157</v>
      </c>
      <c r="C32" s="746">
        <f>C31*Returns_Per_A!$C$85/100</f>
        <v>2303.8193684730477</v>
      </c>
      <c r="D32" s="746">
        <f>D31*Returns_Per_A!$C$85/100</f>
        <v>15973.900278362546</v>
      </c>
      <c r="E32" s="746">
        <f>E31*Returns_Per_A!$C$85/100</f>
        <v>8789.4518383415343</v>
      </c>
      <c r="F32" s="746">
        <f>F31*Returns_Per_A!$C$85/100</f>
        <v>15433.960355185995</v>
      </c>
      <c r="G32" s="746">
        <f>G31*Returns_Per_A!$C$85/100</f>
        <v>0</v>
      </c>
      <c r="H32" s="746">
        <f>H31*Returns_Per_A!$C$85/100</f>
        <v>3743.2774625747661</v>
      </c>
      <c r="I32" s="746">
        <f>I31*Returns_Per_A!$C$85/100</f>
        <v>23383.968494496097</v>
      </c>
      <c r="J32" s="746">
        <f>J31*Returns_Per_A!$C$85/100</f>
        <v>5354.2028308258796</v>
      </c>
      <c r="K32" s="746">
        <f>K31*Returns_Per_A!$C$85/100</f>
        <v>11811.413380041613</v>
      </c>
      <c r="L32" s="746">
        <f>L31*Returns_Per_A!$C$85/100</f>
        <v>0</v>
      </c>
      <c r="M32" s="746">
        <f>M31*Returns_Per_A!$C$85/100</f>
        <v>4423.6142261601617</v>
      </c>
      <c r="N32" s="746">
        <f>N31*Returns_Per_A!$C$85/100</f>
        <v>14146.072592350161</v>
      </c>
      <c r="O32" s="746">
        <f>O31*Returns_Per_A!$C$85/100</f>
        <v>16915.74565963123</v>
      </c>
      <c r="P32" s="746">
        <f>P31*Returns_Per_A!$C$85/100</f>
        <v>4363.9530464364188</v>
      </c>
      <c r="Q32" s="746">
        <f>Q31*Returns_Per_A!$C$85/100</f>
        <v>2835.3837222941738</v>
      </c>
      <c r="R32" s="746">
        <f>R31*Returns_Per_A!$C$85/100</f>
        <v>0</v>
      </c>
      <c r="S32" s="746">
        <f>S31*Returns_Per_A!$C$85/100</f>
        <v>3676.0672699651432</v>
      </c>
      <c r="T32" s="746">
        <f>T31*Returns_Per_A!$C$85/100</f>
        <v>0</v>
      </c>
      <c r="U32" s="746">
        <f>U31*Returns_Per_A!$C$85/100</f>
        <v>1332.2323917262224</v>
      </c>
      <c r="V32" s="746">
        <f>V31*Returns_Per_A!$C$85/100</f>
        <v>768.47476524957563</v>
      </c>
      <c r="W32" s="746">
        <f>W31*Returns_Per_A!$C$85/100</f>
        <v>9407.0210500536705</v>
      </c>
      <c r="X32" s="746">
        <f>X31*Returns_Per_A!$C$85/100</f>
        <v>3859.5878395689178</v>
      </c>
      <c r="Y32" s="746">
        <f>Y31*Returns_Per_A!$C$85/100</f>
        <v>12828.514985191017</v>
      </c>
      <c r="Z32" s="746">
        <f>Z31*Returns_Per_A!$C$85/100</f>
        <v>24356.050724700548</v>
      </c>
      <c r="AA32" s="746">
        <f>AA31*Returns_Per_A!$C$85/100</f>
        <v>3758.7459093435009</v>
      </c>
      <c r="AB32" s="746">
        <f>AB31*Returns_Per_A!$C$85/100</f>
        <v>17201.029740179663</v>
      </c>
      <c r="AC32" s="746">
        <f>AC31*Returns_Per_A!$C$85/100</f>
        <v>940.68103090929958</v>
      </c>
      <c r="AD32" s="746">
        <f>AD31*Returns_Per_A!$C$85/100</f>
        <v>994.20580024287449</v>
      </c>
      <c r="AE32" s="746">
        <f>AE31*Returns_Per_A!$C$85/100</f>
        <v>2411.8791985122584</v>
      </c>
      <c r="AF32" s="746">
        <f>AF31*Returns_Per_A!$C$85/100</f>
        <v>5179.7501951763516</v>
      </c>
      <c r="AG32" s="746">
        <f>AG31*Returns_Per_A!$C$85/100</f>
        <v>1136.8402337926946</v>
      </c>
      <c r="AH32" s="746">
        <f>AH31*Returns_Per_A!$C$85/100</f>
        <v>18607.839340315884</v>
      </c>
      <c r="AI32" s="746">
        <f>AI31*Returns_Per_A!$C$85/100</f>
        <v>2068.2105149196113</v>
      </c>
      <c r="AJ32" s="746">
        <f>AJ31*Returns_Per_A!$C$85/100</f>
        <v>11412.389490946784</v>
      </c>
      <c r="AK32" s="746">
        <f>AK31*Returns_Per_A!$C$85/100</f>
        <v>9987.1497709373216</v>
      </c>
      <c r="AL32" s="746">
        <f>AL31*Returns_Per_A!$C$85/100</f>
        <v>20369.725720746836</v>
      </c>
      <c r="AM32" s="746">
        <f>AM31*Returns_Per_A!$C$85/100</f>
        <v>9928.9626269347427</v>
      </c>
      <c r="AN32" s="746">
        <f>AN31*Returns_Per_A!$C$85/100</f>
        <v>10935.443295189345</v>
      </c>
      <c r="AO32" s="642">
        <f t="shared" si="9"/>
        <v>318388.94098459906</v>
      </c>
      <c r="AP32" s="175"/>
    </row>
    <row r="33" spans="1:43" s="753" customFormat="1" x14ac:dyDescent="0.25">
      <c r="A33" s="715" t="str">
        <f>"Pot buff % "&amp;Returns_Per_A!$C$85&amp;" feet of streams, intermittent"</f>
        <v>Pot buff % 50 feet of streams, intermittent</v>
      </c>
      <c r="B33" s="754">
        <f>IF(B5&gt;0,B31*Returns_Per_A!$C$85/(B5*100),0)</f>
        <v>1.4995943290106773E-2</v>
      </c>
      <c r="C33" s="754">
        <f>IF(C5&gt;0,C31*Returns_Per_A!$C$85/(C5*100),0)</f>
        <v>2.4059580957706422E-2</v>
      </c>
      <c r="D33" s="754">
        <f>IF(D5&gt;0,D31*Returns_Per_A!$C$85/(D5*100),0)</f>
        <v>4.1559377794076008E-2</v>
      </c>
      <c r="E33" s="754">
        <f>IF(E5&gt;0,E31*Returns_Per_A!$C$85/(E5*100),0)</f>
        <v>1.6694132184774363E-2</v>
      </c>
      <c r="F33" s="754">
        <f>IF(F5&gt;0,F31*Returns_Per_A!$C$85/(F5*100),0)</f>
        <v>1.4188678452981216E-2</v>
      </c>
      <c r="G33" s="754">
        <f>IF(G5&gt;0,G31*Returns_Per_A!$C$85/(G5*100),0)</f>
        <v>0</v>
      </c>
      <c r="H33" s="754">
        <f>IF(H5&gt;0,H31*Returns_Per_A!$C$85/(H5*100),0)</f>
        <v>7.8479475717797807E-3</v>
      </c>
      <c r="I33" s="754">
        <f>IF(I5&gt;0,I31*Returns_Per_A!$C$85/(I5*100),0)</f>
        <v>1.3115825214542021E-2</v>
      </c>
      <c r="J33" s="754">
        <f>IF(J5&gt;0,J31*Returns_Per_A!$C$85/(J5*100),0)</f>
        <v>1.1679444741069803E-2</v>
      </c>
      <c r="K33" s="754">
        <f>IF(K5&gt;0,K31*Returns_Per_A!$C$85/(K5*100),0)</f>
        <v>1.4418648017212586E-2</v>
      </c>
      <c r="L33" s="754">
        <f>IF(L5&gt;0,L31*Returns_Per_A!$C$85/(L5*100),0)</f>
        <v>0</v>
      </c>
      <c r="M33" s="754">
        <f>IF(M5&gt;0,M31*Returns_Per_A!$C$85/(M5*100),0)</f>
        <v>1.6714386755134997E-2</v>
      </c>
      <c r="N33" s="754">
        <f>IF(N5&gt;0,N31*Returns_Per_A!$C$85/(N5*100),0)</f>
        <v>1.8377885460158012E-2</v>
      </c>
      <c r="O33" s="754">
        <f>IF(O5&gt;0,O31*Returns_Per_A!$C$85/(O5*100),0)</f>
        <v>2.0413035243997252E-2</v>
      </c>
      <c r="P33" s="754">
        <f>IF(P5&gt;0,P31*Returns_Per_A!$C$85/(P5*100),0)</f>
        <v>1.8045946152522346E-2</v>
      </c>
      <c r="Q33" s="754">
        <f>IF(Q5&gt;0,Q31*Returns_Per_A!$C$85/(Q5*100),0)</f>
        <v>1.1487924580131743E-2</v>
      </c>
      <c r="R33" s="754">
        <f>IF(R5&gt;0,R31*Returns_Per_A!$C$85/(R5*100),0)</f>
        <v>0</v>
      </c>
      <c r="S33" s="754">
        <f>IF(S5&gt;0,S31*Returns_Per_A!$C$85/(S5*100),0)</f>
        <v>2.0623477693587588E-2</v>
      </c>
      <c r="T33" s="754">
        <f>IF(T5&gt;0,T31*Returns_Per_A!$C$85/(T5*100),0)</f>
        <v>0</v>
      </c>
      <c r="U33" s="754">
        <f>IF(U5&gt;0,U31*Returns_Per_A!$C$85/(U5*100),0)</f>
        <v>1.2525552112808994E-2</v>
      </c>
      <c r="V33" s="754">
        <f>IF(V5&gt;0,V31*Returns_Per_A!$C$85/(V5*100),0)</f>
        <v>1.1961997110865178E-2</v>
      </c>
      <c r="W33" s="754">
        <f>IF(W5&gt;0,W31*Returns_Per_A!$C$85/(W5*100),0)</f>
        <v>1.7587789122870689E-2</v>
      </c>
      <c r="X33" s="754">
        <f>IF(X5&gt;0,X31*Returns_Per_A!$C$85/(X5*100),0)</f>
        <v>5.3095457544924306E-2</v>
      </c>
      <c r="Y33" s="754">
        <f>IF(Y5&gt;0,Y31*Returns_Per_A!$C$85/(Y5*100),0)</f>
        <v>2.2177933740161689E-2</v>
      </c>
      <c r="Z33" s="754">
        <f>IF(Z5&gt;0,Z31*Returns_Per_A!$C$85/(Z5*100),0)</f>
        <v>1.3993532088343396E-2</v>
      </c>
      <c r="AA33" s="754">
        <f>IF(AA5&gt;0,AA31*Returns_Per_A!$C$85/(AA5*100),0)</f>
        <v>1.2105387152086118E-2</v>
      </c>
      <c r="AB33" s="754">
        <f>IF(AB5&gt;0,AB31*Returns_Per_A!$C$85/(AB5*100),0)</f>
        <v>1.5382003689442113E-2</v>
      </c>
      <c r="AC33" s="754">
        <f>IF(AC5&gt;0,AC31*Returns_Per_A!$C$85/(AC5*100),0)</f>
        <v>2.0182782919999233E-2</v>
      </c>
      <c r="AD33" s="754">
        <f>IF(AD5&gt;0,AD31*Returns_Per_A!$C$85/(AD5*100),0)</f>
        <v>1.8262007345360043E-2</v>
      </c>
      <c r="AE33" s="754">
        <f>IF(AE5&gt;0,AE31*Returns_Per_A!$C$85/(AE5*100),0)</f>
        <v>3.6731085901408084E-2</v>
      </c>
      <c r="AF33" s="754">
        <f>IF(AF5&gt;0,AF31*Returns_Per_A!$C$85/(AF5*100),0)</f>
        <v>3.9556047151101573E-2</v>
      </c>
      <c r="AG33" s="754">
        <f>IF(AG5&gt;0,AG31*Returns_Per_A!$C$85/(AG5*100),0)</f>
        <v>4.4122042668468101E-2</v>
      </c>
      <c r="AH33" s="754">
        <f>IF(AH5&gt;0,AH31*Returns_Per_A!$C$85/(AH5*100),0)</f>
        <v>1.3879600985999706E-2</v>
      </c>
      <c r="AI33" s="754">
        <f>IF(AI5&gt;0,AI31*Returns_Per_A!$C$85/(AI5*100),0)</f>
        <v>1.6112816336197142E-2</v>
      </c>
      <c r="AJ33" s="754">
        <f>IF(AJ5&gt;0,AJ31*Returns_Per_A!$C$85/(AJ5*100),0)</f>
        <v>1.9869509996548868E-2</v>
      </c>
      <c r="AK33" s="754">
        <f>IF(AK5&gt;0,AK31*Returns_Per_A!$C$85/(AK5*100),0)</f>
        <v>1.911382918122825E-2</v>
      </c>
      <c r="AL33" s="754">
        <f>IF(AL5&gt;0,AL31*Returns_Per_A!$C$85/(AL5*100),0)</f>
        <v>1.9134970810047818E-2</v>
      </c>
      <c r="AM33" s="754">
        <f>IF(AM5&gt;0,AM31*Returns_Per_A!$C$85/(AM5*100),0)</f>
        <v>1.2568232912878083E-2</v>
      </c>
      <c r="AN33" s="754">
        <f>IF(AN5&gt;0,AN31*Returns_Per_A!$C$85/(AN5*100),0)</f>
        <v>1.1514209832009825E-2</v>
      </c>
      <c r="AO33" s="158"/>
      <c r="AP33" s="137"/>
    </row>
    <row r="34" spans="1:43" s="743" customFormat="1" ht="26.25" x14ac:dyDescent="0.25">
      <c r="A34" s="136" t="s">
        <v>1211</v>
      </c>
      <c r="B34" s="750">
        <v>3561.1601722198884</v>
      </c>
      <c r="C34" s="750">
        <v>777.57468616677829</v>
      </c>
      <c r="D34" s="750">
        <v>1028.7982308912865</v>
      </c>
      <c r="E34" s="750">
        <v>2625.4723701953603</v>
      </c>
      <c r="F34" s="750">
        <v>2719.8245144751259</v>
      </c>
      <c r="G34" s="750">
        <v>0</v>
      </c>
      <c r="H34" s="750">
        <v>1186.8299881919415</v>
      </c>
      <c r="I34" s="750">
        <v>2300.8947974094399</v>
      </c>
      <c r="J34" s="750">
        <v>436.93300718709901</v>
      </c>
      <c r="K34" s="750">
        <v>1579.3042243626721</v>
      </c>
      <c r="L34" s="750">
        <v>0</v>
      </c>
      <c r="M34" s="750">
        <v>52.278343890472506</v>
      </c>
      <c r="N34" s="750">
        <v>2428.0265199283226</v>
      </c>
      <c r="O34" s="750">
        <v>7106.7162770913865</v>
      </c>
      <c r="P34" s="750">
        <v>439.47486208905622</v>
      </c>
      <c r="Q34" s="750">
        <v>410.83818483012936</v>
      </c>
      <c r="R34" s="750">
        <v>0</v>
      </c>
      <c r="S34" s="750">
        <v>79.343837115779863</v>
      </c>
      <c r="T34" s="750">
        <v>0</v>
      </c>
      <c r="U34" s="750">
        <v>281.2586051881197</v>
      </c>
      <c r="V34" s="750">
        <v>141.09932310669956</v>
      </c>
      <c r="W34" s="750">
        <v>1256.2362733822738</v>
      </c>
      <c r="X34" s="750">
        <v>621.69490927255822</v>
      </c>
      <c r="Y34" s="750">
        <v>2115.147517617404</v>
      </c>
      <c r="Z34" s="750">
        <v>3778.8669751245748</v>
      </c>
      <c r="AA34" s="750">
        <v>1826.0081975747082</v>
      </c>
      <c r="AB34" s="750">
        <v>2956.2081825293935</v>
      </c>
      <c r="AC34" s="750">
        <v>0</v>
      </c>
      <c r="AD34" s="750">
        <v>162.43144309005228</v>
      </c>
      <c r="AE34" s="750">
        <v>171.666758190894</v>
      </c>
      <c r="AF34" s="750">
        <v>317.77043375097242</v>
      </c>
      <c r="AG34" s="750">
        <v>108.20975152512045</v>
      </c>
      <c r="AH34" s="750">
        <v>981.53715915664691</v>
      </c>
      <c r="AI34" s="750">
        <v>399.74457477200269</v>
      </c>
      <c r="AJ34" s="750">
        <v>661.0627572421937</v>
      </c>
      <c r="AK34" s="750">
        <v>1535.7232748132967</v>
      </c>
      <c r="AL34" s="750">
        <v>3048.0508322718283</v>
      </c>
      <c r="AM34" s="750">
        <v>1508.6255367549211</v>
      </c>
      <c r="AN34" s="750">
        <v>773.31665881860874</v>
      </c>
      <c r="AO34" s="158"/>
      <c r="AP34" s="137"/>
    </row>
    <row r="35" spans="1:43" s="742" customFormat="1" ht="26.25" x14ac:dyDescent="0.25">
      <c r="A35" s="136" t="str">
        <f>"rip buffers on marginal land - including intermittent, region/in "&amp;Returns_Per_A!$C$85&amp;" feet"</f>
        <v>rip buffers on marginal land - including intermittent, region/in 50 feet</v>
      </c>
      <c r="B35" s="746">
        <f>MAX(B34*B3*Returns_Per_A!$C$85/100,B18*B3*Returns_Per_A!$C$85/100)</f>
        <v>1780.5800861099442</v>
      </c>
      <c r="C35" s="746">
        <f>MAX(C34*C3*Returns_Per_A!$C$85/100,C18*C3*Returns_Per_A!$C$85/100)</f>
        <v>388.78734308338915</v>
      </c>
      <c r="D35" s="746">
        <f>MAX(D34*D3*Returns_Per_A!$C$85/100,D18*D3*Returns_Per_A!$C$85/100)</f>
        <v>514.39911544564325</v>
      </c>
      <c r="E35" s="746">
        <f>MAX(E34*E3*Returns_Per_A!$C$85/100,E18*E3*Returns_Per_A!$C$85/100)</f>
        <v>1312.7361850976802</v>
      </c>
      <c r="F35" s="746">
        <f>MAX(F34*F3*Returns_Per_A!$C$85/100,F18*F3*Returns_Per_A!$C$85/100)</f>
        <v>1359.9122572375629</v>
      </c>
      <c r="G35" s="746">
        <f>MAX(G34*G3*Returns_Per_A!$C$85/100,G18*G3*Returns_Per_A!$C$85/100)</f>
        <v>0</v>
      </c>
      <c r="H35" s="746">
        <f>MAX(H34*H3*Returns_Per_A!$C$85/100,H18*H3*Returns_Per_A!$C$85/100)</f>
        <v>593.41499409597077</v>
      </c>
      <c r="I35" s="746">
        <f>MAX(I34*I3*Returns_Per_A!$C$85/100,I18*I3*Returns_Per_A!$C$85/100)</f>
        <v>1150.4473987047199</v>
      </c>
      <c r="J35" s="746">
        <f>MAX(J34*J3*Returns_Per_A!$C$85/100,J18*J3*Returns_Per_A!$C$85/100)</f>
        <v>218.4665035935495</v>
      </c>
      <c r="K35" s="746">
        <f>MAX(K34*K3*Returns_Per_A!$C$85/100,K18*K3*Returns_Per_A!$C$85/100)</f>
        <v>789.65211218133618</v>
      </c>
      <c r="L35" s="746">
        <f>MAX(L34*L3*Returns_Per_A!$C$85/100,L18*L3*Returns_Per_A!$C$85/100)</f>
        <v>0</v>
      </c>
      <c r="M35" s="746">
        <f>MAX(M34*M3*Returns_Per_A!$C$85/100,M18*M3*Returns_Per_A!$C$85/100)</f>
        <v>26.139171945236253</v>
      </c>
      <c r="N35" s="746">
        <f>MAX(N34*N3*Returns_Per_A!$C$85/100,N18*N3*Returns_Per_A!$C$85/100)</f>
        <v>1214.0132599641613</v>
      </c>
      <c r="O35" s="746">
        <f>MAX(O34*O3*Returns_Per_A!$C$85/100,O18*O3*Returns_Per_A!$C$85/100)</f>
        <v>3553.3581385456932</v>
      </c>
      <c r="P35" s="746">
        <f>MAX(P34*P3*Returns_Per_A!$C$85/100,P18*P3*Returns_Per_A!$C$85/100)</f>
        <v>219.73743104452808</v>
      </c>
      <c r="Q35" s="746">
        <f>MAX(Q34*Q3*Returns_Per_A!$C$85/100,Q18*Q3*Returns_Per_A!$C$85/100)</f>
        <v>205.5302571048382</v>
      </c>
      <c r="R35" s="746">
        <f>MAX(R34*R3*Returns_Per_A!$C$85/100,R18*R3*Returns_Per_A!$C$85/100)</f>
        <v>0</v>
      </c>
      <c r="S35" s="746">
        <f>MAX(S34*S3*Returns_Per_A!$C$85/100,S18*S3*Returns_Per_A!$C$85/100)</f>
        <v>39.671918557889931</v>
      </c>
      <c r="T35" s="746">
        <f>MAX(T34*T3*Returns_Per_A!$C$85/100,T18*T3*Returns_Per_A!$C$85/100)</f>
        <v>0</v>
      </c>
      <c r="U35" s="746">
        <f>MAX(U34*U3*Returns_Per_A!$C$85/100,U18*U3*Returns_Per_A!$C$85/100)</f>
        <v>140.62930259405985</v>
      </c>
      <c r="V35" s="746">
        <f>MAX(V34*V3*Returns_Per_A!$C$85/100,V18*V3*Returns_Per_A!$C$85/100)</f>
        <v>70.549661553349779</v>
      </c>
      <c r="W35" s="746">
        <f>MAX(W34*W3*Returns_Per_A!$C$85/100,W18*W3*Returns_Per_A!$C$85/100)</f>
        <v>628.1181366911369</v>
      </c>
      <c r="X35" s="746">
        <f>MAX(X34*X3*Returns_Per_A!$C$85/100,X18*X3*Returns_Per_A!$C$85/100)</f>
        <v>310.84745463627911</v>
      </c>
      <c r="Y35" s="746">
        <f>MAX(Y34*Y3*Returns_Per_A!$C$85/100,Y18*Y3*Returns_Per_A!$C$85/100)</f>
        <v>1057.573758808702</v>
      </c>
      <c r="Z35" s="746">
        <f>MAX(Z34*Z3*Returns_Per_A!$C$85/100,Z18*Z3*Returns_Per_A!$C$85/100)</f>
        <v>1889.4334875622874</v>
      </c>
      <c r="AA35" s="746">
        <f>MAX(AA34*AA3*Returns_Per_A!$C$85/100,AA18*AA3*Returns_Per_A!$C$85/100)</f>
        <v>913.00409878735411</v>
      </c>
      <c r="AB35" s="746">
        <f>MAX(AB34*AB3*Returns_Per_A!$C$85/100,AB18*AB3*Returns_Per_A!$C$85/100)</f>
        <v>1478.104091264697</v>
      </c>
      <c r="AC35" s="746">
        <f>MAX(AC34*AC3*Returns_Per_A!$C$85/100,AC18*AC3*Returns_Per_A!$C$85/100)</f>
        <v>0</v>
      </c>
      <c r="AD35" s="746">
        <f>MAX(AD34*AD3*Returns_Per_A!$C$85/100,AD18*AD3*Returns_Per_A!$C$85/100)</f>
        <v>81.215721545026142</v>
      </c>
      <c r="AE35" s="746">
        <f>MAX(AE34*AE3*Returns_Per_A!$C$85/100,AE18*AE3*Returns_Per_A!$C$85/100)</f>
        <v>85.833379095447</v>
      </c>
      <c r="AF35" s="746">
        <f>MAX(AF34*AF3*Returns_Per_A!$C$85/100,AF18*AF3*Returns_Per_A!$C$85/100)</f>
        <v>158.88521687548621</v>
      </c>
      <c r="AG35" s="746">
        <f>MAX(AG34*AG3*Returns_Per_A!$C$85/100,AG18*AG3*Returns_Per_A!$C$85/100)</f>
        <v>54.104875762560226</v>
      </c>
      <c r="AH35" s="746">
        <f>MAX(AH34*AH3*Returns_Per_A!$C$85/100,AH18*AH3*Returns_Per_A!$C$85/100)</f>
        <v>490.76857957832345</v>
      </c>
      <c r="AI35" s="746">
        <f>MAX(AI34*AI3*Returns_Per_A!$C$85/100,AI18*AI3*Returns_Per_A!$C$85/100)</f>
        <v>199.87228738600135</v>
      </c>
      <c r="AJ35" s="746">
        <f>MAX(AJ34*AJ3*Returns_Per_A!$C$85/100,AJ18*AJ3*Returns_Per_A!$C$85/100)</f>
        <v>330.53137862109691</v>
      </c>
      <c r="AK35" s="746">
        <f>MAX(AK34*AK3*Returns_Per_A!$C$85/100,AK18*AK3*Returns_Per_A!$C$85/100)</f>
        <v>767.86163740664836</v>
      </c>
      <c r="AL35" s="746">
        <f>MAX(AL34*AL3*Returns_Per_A!$C$85/100,AL18*AL3*Returns_Per_A!$C$85/100)</f>
        <v>1524.0254161359144</v>
      </c>
      <c r="AM35" s="746">
        <f>MAX(AM34*AM3*Returns_Per_A!$C$85/100,AM18*AM3*Returns_Per_A!$C$85/100)</f>
        <v>754.31276837746054</v>
      </c>
      <c r="AN35" s="746">
        <f>MAX(AN34*AN3*Returns_Per_A!$C$85/100,AN18*AN3*Returns_Per_A!$C$85/100)</f>
        <v>386.65832940930437</v>
      </c>
      <c r="AO35" s="158">
        <f>SUM(B35:AN35)</f>
        <v>24689.175754803277</v>
      </c>
      <c r="AP35" s="137"/>
    </row>
    <row r="36" spans="1:43" s="742" customFormat="1" x14ac:dyDescent="0.25">
      <c r="A36" s="136" t="s">
        <v>1171</v>
      </c>
      <c r="B36" s="135">
        <f>IF(Main!$F$282=1,Buffer!B35,IF(Main!$F$282=2,Buffer!B18,"error"))</f>
        <v>1780.5800861099442</v>
      </c>
      <c r="C36" s="135">
        <f>IF(Main!$F$282=1,Buffer!C35,IF(Main!$F$282=2,Buffer!C18,"error"))</f>
        <v>388.78734308338915</v>
      </c>
      <c r="D36" s="135">
        <f>IF(Main!$F$282=1,Buffer!D35,IF(Main!$F$282=2,Buffer!D18,"error"))</f>
        <v>514.39911544564325</v>
      </c>
      <c r="E36" s="135">
        <f>IF(Main!$F$282=1,Buffer!E35,IF(Main!$F$282=2,Buffer!E18,"error"))</f>
        <v>1312.7361850976802</v>
      </c>
      <c r="F36" s="135">
        <f>IF(Main!$F$282=1,Buffer!F35,IF(Main!$F$282=2,Buffer!F18,"error"))</f>
        <v>1359.9122572375629</v>
      </c>
      <c r="G36" s="135">
        <f>IF(Main!$F$282=1,Buffer!G35,IF(Main!$F$282=2,Buffer!G18,"error"))</f>
        <v>0</v>
      </c>
      <c r="H36" s="135">
        <f>IF(Main!$F$282=1,Buffer!H35,IF(Main!$F$282=2,Buffer!H18,"error"))</f>
        <v>593.41499409597077</v>
      </c>
      <c r="I36" s="135">
        <f>IF(Main!$F$282=1,Buffer!I35,IF(Main!$F$282=2,Buffer!I18,"error"))</f>
        <v>1150.4473987047199</v>
      </c>
      <c r="J36" s="135">
        <f>IF(Main!$F$282=1,Buffer!J35,IF(Main!$F$282=2,Buffer!J18,"error"))</f>
        <v>218.4665035935495</v>
      </c>
      <c r="K36" s="135">
        <f>IF(Main!$F$282=1,Buffer!K35,IF(Main!$F$282=2,Buffer!K18,"error"))</f>
        <v>789.65211218133618</v>
      </c>
      <c r="L36" s="135">
        <f>IF(Main!$F$282=1,Buffer!L35,IF(Main!$F$282=2,Buffer!L18,"error"))</f>
        <v>0</v>
      </c>
      <c r="M36" s="135">
        <f>IF(Main!$F$282=1,Buffer!M35,IF(Main!$F$282=2,Buffer!M18,"error"))</f>
        <v>26.139171945236253</v>
      </c>
      <c r="N36" s="135">
        <f>IF(Main!$F$282=1,Buffer!N35,IF(Main!$F$282=2,Buffer!N18,"error"))</f>
        <v>1214.0132599641613</v>
      </c>
      <c r="O36" s="135">
        <f>IF(Main!$F$282=1,Buffer!O35,IF(Main!$F$282=2,Buffer!O18,"error"))</f>
        <v>3553.3581385456932</v>
      </c>
      <c r="P36" s="135">
        <f>IF(Main!$F$282=1,Buffer!P35,IF(Main!$F$282=2,Buffer!P18,"error"))</f>
        <v>219.73743104452808</v>
      </c>
      <c r="Q36" s="135">
        <f>IF(Main!$F$282=1,Buffer!Q35,IF(Main!$F$282=2,Buffer!Q18,"error"))</f>
        <v>205.5302571048382</v>
      </c>
      <c r="R36" s="135">
        <f>IF(Main!$F$282=1,Buffer!R35,IF(Main!$F$282=2,Buffer!R18,"error"))</f>
        <v>0</v>
      </c>
      <c r="S36" s="135">
        <f>IF(Main!$F$282=1,Buffer!S35,IF(Main!$F$282=2,Buffer!S18,"error"))</f>
        <v>39.671918557889931</v>
      </c>
      <c r="T36" s="135">
        <f>IF(Main!$F$282=1,Buffer!T35,IF(Main!$F$282=2,Buffer!T18,"error"))</f>
        <v>0</v>
      </c>
      <c r="U36" s="135">
        <f>IF(Main!$F$282=1,Buffer!U35,IF(Main!$F$282=2,Buffer!U18,"error"))</f>
        <v>140.62930259405985</v>
      </c>
      <c r="V36" s="135">
        <f>IF(Main!$F$282=1,Buffer!V35,IF(Main!$F$282=2,Buffer!V18,"error"))</f>
        <v>70.549661553349779</v>
      </c>
      <c r="W36" s="135">
        <f>IF(Main!$F$282=1,Buffer!W35,IF(Main!$F$282=2,Buffer!W18,"error"))</f>
        <v>628.1181366911369</v>
      </c>
      <c r="X36" s="135">
        <f>IF(Main!$F$282=1,Buffer!X35,IF(Main!$F$282=2,Buffer!X18,"error"))</f>
        <v>310.84745463627911</v>
      </c>
      <c r="Y36" s="135">
        <f>IF(Main!$F$282=1,Buffer!Y35,IF(Main!$F$282=2,Buffer!Y18,"error"))</f>
        <v>1057.573758808702</v>
      </c>
      <c r="Z36" s="135">
        <f>IF(Main!$F$282=1,Buffer!Z35,IF(Main!$F$282=2,Buffer!Z18,"error"))</f>
        <v>1889.4334875622874</v>
      </c>
      <c r="AA36" s="135">
        <f>IF(Main!$F$282=1,Buffer!AA35,IF(Main!$F$282=2,Buffer!AA18,"error"))</f>
        <v>913.00409878735411</v>
      </c>
      <c r="AB36" s="135">
        <f>IF(Main!$F$282=1,Buffer!AB35,IF(Main!$F$282=2,Buffer!AB18,"error"))</f>
        <v>1478.104091264697</v>
      </c>
      <c r="AC36" s="135">
        <f>IF(Main!$F$282=1,Buffer!AC35,IF(Main!$F$282=2,Buffer!AC18,"error"))</f>
        <v>0</v>
      </c>
      <c r="AD36" s="135">
        <f>IF(Main!$F$282=1,Buffer!AD35,IF(Main!$F$282=2,Buffer!AD18,"error"))</f>
        <v>81.215721545026142</v>
      </c>
      <c r="AE36" s="135">
        <f>IF(Main!$F$282=1,Buffer!AE35,IF(Main!$F$282=2,Buffer!AE18,"error"))</f>
        <v>85.833379095447</v>
      </c>
      <c r="AF36" s="135">
        <f>IF(Main!$F$282=1,Buffer!AF35,IF(Main!$F$282=2,Buffer!AF18,"error"))</f>
        <v>158.88521687548621</v>
      </c>
      <c r="AG36" s="135">
        <f>IF(Main!$F$282=1,Buffer!AG35,IF(Main!$F$282=2,Buffer!AG18,"error"))</f>
        <v>54.104875762560226</v>
      </c>
      <c r="AH36" s="135">
        <f>IF(Main!$F$282=1,Buffer!AH35,IF(Main!$F$282=2,Buffer!AH18,"error"))</f>
        <v>490.76857957832345</v>
      </c>
      <c r="AI36" s="135">
        <f>IF(Main!$F$282=1,Buffer!AI35,IF(Main!$F$282=2,Buffer!AI18,"error"))</f>
        <v>199.87228738600135</v>
      </c>
      <c r="AJ36" s="135">
        <f>IF(Main!$F$282=1,Buffer!AJ35,IF(Main!$F$282=2,Buffer!AJ18,"error"))</f>
        <v>330.53137862109691</v>
      </c>
      <c r="AK36" s="135">
        <f>IF(Main!$F$282=1,Buffer!AK35,IF(Main!$F$282=2,Buffer!AK18,"error"))</f>
        <v>767.86163740664836</v>
      </c>
      <c r="AL36" s="135">
        <f>IF(Main!$F$282=1,Buffer!AL35,IF(Main!$F$282=2,Buffer!AL18,"error"))</f>
        <v>1524.0254161359144</v>
      </c>
      <c r="AM36" s="135">
        <f>IF(Main!$F$282=1,Buffer!AM35,IF(Main!$F$282=2,Buffer!AM18,"error"))</f>
        <v>754.31276837746054</v>
      </c>
      <c r="AN36" s="135">
        <f>IF(Main!$F$282=1,Buffer!AN35,IF(Main!$F$282=2,Buffer!AN18,"error"))</f>
        <v>386.65832940930437</v>
      </c>
      <c r="AO36" s="158">
        <f t="shared" si="9"/>
        <v>24689.175754803277</v>
      </c>
      <c r="AP36" s="99">
        <f>SUM(B36:AN36)</f>
        <v>24689.175754803277</v>
      </c>
    </row>
    <row r="37" spans="1:43" s="168" customFormat="1" x14ac:dyDescent="0.25">
      <c r="A37" s="715" t="str">
        <f>"% Ag w/in "&amp;Returns_Per_A!$C$85&amp;" feet of streams, selected"</f>
        <v>% Ag w/in 50 feet of streams, selected</v>
      </c>
      <c r="B37" s="638">
        <f>IF(Main!$F$282=1,B33,B13)</f>
        <v>1.4995943290106773E-2</v>
      </c>
      <c r="C37" s="638">
        <f>IF(Main!$F$282=1,C33,C13)</f>
        <v>2.4059580957706422E-2</v>
      </c>
      <c r="D37" s="638">
        <f>IF(Main!$F$282=1,D33,D13)</f>
        <v>4.1559377794076008E-2</v>
      </c>
      <c r="E37" s="638">
        <f>IF(Main!$F$282=1,E33,E13)</f>
        <v>1.6694132184774363E-2</v>
      </c>
      <c r="F37" s="638">
        <f>IF(Main!$F$282=1,F33,F13)</f>
        <v>1.4188678452981216E-2</v>
      </c>
      <c r="G37" s="638">
        <f>IF(Main!$F$282=1,G33,G13)</f>
        <v>0</v>
      </c>
      <c r="H37" s="638">
        <f>IF(Main!$F$282=1,H33,H13)</f>
        <v>7.8479475717797807E-3</v>
      </c>
      <c r="I37" s="638">
        <f>IF(Main!$F$282=1,I33,I13)</f>
        <v>1.3115825214542021E-2</v>
      </c>
      <c r="J37" s="638">
        <f>IF(Main!$F$282=1,J33,J13)</f>
        <v>1.1679444741069803E-2</v>
      </c>
      <c r="K37" s="638">
        <f>IF(Main!$F$282=1,K33,K13)</f>
        <v>1.4418648017212586E-2</v>
      </c>
      <c r="L37" s="638">
        <f>IF(Main!$F$282=1,L33,L13)</f>
        <v>0</v>
      </c>
      <c r="M37" s="638">
        <f>IF(Main!$F$282=1,M33,M13)</f>
        <v>1.6714386755134997E-2</v>
      </c>
      <c r="N37" s="638">
        <f>IF(Main!$F$282=1,N33,N13)</f>
        <v>1.8377885460158012E-2</v>
      </c>
      <c r="O37" s="638">
        <f>IF(Main!$F$282=1,O33,O13)</f>
        <v>2.0413035243997252E-2</v>
      </c>
      <c r="P37" s="638">
        <f>IF(Main!$F$282=1,P33,P13)</f>
        <v>1.8045946152522346E-2</v>
      </c>
      <c r="Q37" s="638">
        <f>IF(Main!$F$282=1,Q33,Q13)</f>
        <v>1.1487924580131743E-2</v>
      </c>
      <c r="R37" s="638">
        <f>IF(Main!$F$282=1,R33,R13)</f>
        <v>0</v>
      </c>
      <c r="S37" s="638">
        <f>IF(Main!$F$282=1,S33,S13)</f>
        <v>2.0623477693587588E-2</v>
      </c>
      <c r="T37" s="638">
        <f>IF(Main!$F$282=1,T33,T13)</f>
        <v>0</v>
      </c>
      <c r="U37" s="638">
        <f>IF(Main!$F$282=1,U33,U13)</f>
        <v>1.2525552112808994E-2</v>
      </c>
      <c r="V37" s="638">
        <f>IF(Main!$F$282=1,V33,V13)</f>
        <v>1.1961997110865178E-2</v>
      </c>
      <c r="W37" s="638">
        <f>IF(Main!$F$282=1,W33,W13)</f>
        <v>1.7587789122870689E-2</v>
      </c>
      <c r="X37" s="638">
        <f>IF(Main!$F$282=1,X33,X13)</f>
        <v>5.3095457544924306E-2</v>
      </c>
      <c r="Y37" s="638">
        <f>IF(Main!$F$282=1,Y33,Y13)</f>
        <v>2.2177933740161689E-2</v>
      </c>
      <c r="Z37" s="638">
        <f>IF(Main!$F$282=1,Z33,Z13)</f>
        <v>1.3993532088343396E-2</v>
      </c>
      <c r="AA37" s="638">
        <f>IF(Main!$F$282=1,AA33,AA13)</f>
        <v>1.2105387152086118E-2</v>
      </c>
      <c r="AB37" s="638">
        <f>IF(Main!$F$282=1,AB33,AB13)</f>
        <v>1.5382003689442113E-2</v>
      </c>
      <c r="AC37" s="638">
        <f>IF(Main!$F$282=1,AC33,AC13)</f>
        <v>2.0182782919999233E-2</v>
      </c>
      <c r="AD37" s="638">
        <f>IF(Main!$F$282=1,AD33,AD13)</f>
        <v>1.8262007345360043E-2</v>
      </c>
      <c r="AE37" s="638">
        <f>IF(Main!$F$282=1,AE33,AE13)</f>
        <v>3.6731085901408084E-2</v>
      </c>
      <c r="AF37" s="638">
        <f>IF(Main!$F$282=1,AF33,AF13)</f>
        <v>3.9556047151101573E-2</v>
      </c>
      <c r="AG37" s="638">
        <f>IF(Main!$F$282=1,AG33,AG13)</f>
        <v>4.4122042668468101E-2</v>
      </c>
      <c r="AH37" s="638">
        <f>IF(Main!$F$282=1,AH33,AH13)</f>
        <v>1.3879600985999706E-2</v>
      </c>
      <c r="AI37" s="638">
        <f>IF(Main!$F$282=1,AI33,AI13)</f>
        <v>1.6112816336197142E-2</v>
      </c>
      <c r="AJ37" s="638">
        <f>IF(Main!$F$282=1,AJ33,AJ13)</f>
        <v>1.9869509996548868E-2</v>
      </c>
      <c r="AK37" s="638">
        <f>IF(Main!$F$282=1,AK33,AK13)</f>
        <v>1.911382918122825E-2</v>
      </c>
      <c r="AL37" s="638">
        <f>IF(Main!$F$282=1,AL33,AL13)</f>
        <v>1.9134970810047818E-2</v>
      </c>
      <c r="AM37" s="638">
        <f>IF(Main!$F$282=1,AM33,AM13)</f>
        <v>1.2568232912878083E-2</v>
      </c>
      <c r="AN37" s="638">
        <f>IF(Main!$F$282=1,AN33,AN13)</f>
        <v>1.1514209832009825E-2</v>
      </c>
      <c r="AO37" s="642"/>
    </row>
    <row r="38" spans="1:43" s="168" customFormat="1" x14ac:dyDescent="0.25">
      <c r="A38" s="168" t="str">
        <f>"% Ag w/in filtered area, intermittent"</f>
        <v>% Ag w/in filtered area, intermittent</v>
      </c>
      <c r="B38" s="640">
        <f>B26*B15/Returns_Per_A!$C$85</f>
        <v>0.21040865690539268</v>
      </c>
      <c r="C38" s="640">
        <f>C26*C15/Returns_Per_A!$C$85</f>
        <v>0.33605226461056459</v>
      </c>
      <c r="D38" s="640">
        <f>D26*D15/Returns_Per_A!$C$85</f>
        <v>0.38288397823641979</v>
      </c>
      <c r="E38" s="640">
        <f>E26*E15/Returns_Per_A!$C$85</f>
        <v>0.14766313095817107</v>
      </c>
      <c r="F38" s="640">
        <f>F26*F15/Returns_Per_A!$C$85</f>
        <v>6.8723754949986116E-2</v>
      </c>
      <c r="G38" s="640">
        <f>G26*G15/Returns_Per_A!$C$85</f>
        <v>0.66613701217512056</v>
      </c>
      <c r="H38" s="640">
        <f>H26*H15/Returns_Per_A!$C$85</f>
        <v>0.18452755371691457</v>
      </c>
      <c r="I38" s="640">
        <f>I26*I15/Returns_Per_A!$C$85</f>
        <v>5.8062333336662483E-2</v>
      </c>
      <c r="J38" s="640">
        <f>J26*J15/Returns_Per_A!$C$85</f>
        <v>5.765026224792752E-2</v>
      </c>
      <c r="K38" s="640">
        <f>K26*K15/Returns_Per_A!$C$85</f>
        <v>5.9490761521299458E-2</v>
      </c>
      <c r="L38" s="640">
        <f>L26*L15/Returns_Per_A!$C$85</f>
        <v>26.92120327753382</v>
      </c>
      <c r="M38" s="640">
        <f>M26*M15/Returns_Per_A!$C$85</f>
        <v>0.33994347234882677</v>
      </c>
      <c r="N38" s="640">
        <f>N26*N15/Returns_Per_A!$C$85</f>
        <v>9.4049385536543018E-2</v>
      </c>
      <c r="O38" s="640">
        <f>O26*O15/Returns_Per_A!$C$85</f>
        <v>7.2386784695112699E-2</v>
      </c>
      <c r="P38" s="640">
        <f>P26*P15/Returns_Per_A!$C$85</f>
        <v>8.9468584885305763E-2</v>
      </c>
      <c r="Q38" s="640">
        <f>Q26*Q15/Returns_Per_A!$C$85</f>
        <v>3.2317556310463541E-2</v>
      </c>
      <c r="R38" s="640">
        <f>R26*R15/Returns_Per_A!$C$85</f>
        <v>0.75013179514617923</v>
      </c>
      <c r="S38" s="640">
        <f>S26*S15/Returns_Per_A!$C$85</f>
        <v>0.28067199235933105</v>
      </c>
      <c r="T38" s="640">
        <f>T26*T15/Returns_Per_A!$C$85</f>
        <v>0.60593621785176754</v>
      </c>
      <c r="U38" s="640">
        <f>U26*U15/Returns_Per_A!$C$85</f>
        <v>6.6858030136459343E-2</v>
      </c>
      <c r="V38" s="640">
        <f>V26*V15/Returns_Per_A!$C$85</f>
        <v>3.6363869011771952E-2</v>
      </c>
      <c r="W38" s="640">
        <f>W26*W15/Returns_Per_A!$C$85</f>
        <v>4.263733931483283E-2</v>
      </c>
      <c r="X38" s="640">
        <f>X26*X15/Returns_Per_A!$C$85</f>
        <v>0.19049780591237703</v>
      </c>
      <c r="Y38" s="640">
        <f>Y26*Y15/Returns_Per_A!$C$85</f>
        <v>0.15102220385035722</v>
      </c>
      <c r="Z38" s="640">
        <f>Z26*Z15/Returns_Per_A!$C$85</f>
        <v>9.0079178934466528E-2</v>
      </c>
      <c r="AA38" s="640">
        <f>AA26*AA15/Returns_Per_A!$C$85</f>
        <v>0.12302699121673323</v>
      </c>
      <c r="AB38" s="640">
        <f>AB26*AB15/Returns_Per_A!$C$85</f>
        <v>9.4403082794266999E-2</v>
      </c>
      <c r="AC38" s="640">
        <f>AC26*AC15/Returns_Per_A!$C$85</f>
        <v>0.46075228437805249</v>
      </c>
      <c r="AD38" s="640">
        <f>AD26*AD15/Returns_Per_A!$C$85</f>
        <v>0.10086736704556781</v>
      </c>
      <c r="AE38" s="640">
        <f>AE26*AE15/Returns_Per_A!$C$85</f>
        <v>0.18772706981560794</v>
      </c>
      <c r="AF38" s="640">
        <f>AF26*AF15/Returns_Per_A!$C$85</f>
        <v>0.28741312605519059</v>
      </c>
      <c r="AG38" s="640">
        <f>AG26*AG15/Returns_Per_A!$C$85</f>
        <v>0.39113679695342685</v>
      </c>
      <c r="AH38" s="640">
        <f>AH26*AH15/Returns_Per_A!$C$85</f>
        <v>6.2767759005908155E-2</v>
      </c>
      <c r="AI38" s="640">
        <f>AI26*AI15/Returns_Per_A!$C$85</f>
        <v>7.3027276128903168E-2</v>
      </c>
      <c r="AJ38" s="640">
        <f>AJ26*AJ15/Returns_Per_A!$C$85</f>
        <v>5.886395034653507E-2</v>
      </c>
      <c r="AK38" s="640">
        <f>AK26*AK15/Returns_Per_A!$C$85</f>
        <v>9.922140983498498E-2</v>
      </c>
      <c r="AL38" s="640">
        <f>AL26*AL15/Returns_Per_A!$C$85</f>
        <v>7.5329751275277079E-2</v>
      </c>
      <c r="AM38" s="640">
        <f>AM26*AM15/Returns_Per_A!$C$85</f>
        <v>5.3429059701370463E-2</v>
      </c>
      <c r="AN38" s="640">
        <f>AN26*AN15/Returns_Per_A!$C$85</f>
        <v>5.3111442391315829E-2</v>
      </c>
    </row>
    <row r="39" spans="1:43" s="168" customFormat="1" x14ac:dyDescent="0.25">
      <c r="A39" s="168" t="str">
        <f>"% Ag w/in filtered area"</f>
        <v>% Ag w/in filtered area</v>
      </c>
      <c r="B39" s="638">
        <f>IF(Main!$F$282=1,B38,B16)</f>
        <v>0.21040865690539268</v>
      </c>
      <c r="C39" s="638">
        <f>IF(Main!$F$282=1,C38,C16)</f>
        <v>0.33605226461056459</v>
      </c>
      <c r="D39" s="638">
        <f>IF(Main!$F$282=1,D38,D16)</f>
        <v>0.38288397823641979</v>
      </c>
      <c r="E39" s="638">
        <f>IF(Main!$F$282=1,E38,E16)</f>
        <v>0.14766313095817107</v>
      </c>
      <c r="F39" s="638">
        <f>IF(Main!$F$282=1,F38,F16)</f>
        <v>6.8723754949986116E-2</v>
      </c>
      <c r="G39" s="638">
        <f>IF(Main!$F$282=1,G38,G16)</f>
        <v>0.66613701217512056</v>
      </c>
      <c r="H39" s="638">
        <f>IF(Main!$F$282=1,H38,H16)</f>
        <v>0.18452755371691457</v>
      </c>
      <c r="I39" s="638">
        <f>IF(Main!$F$282=1,I38,I16)</f>
        <v>5.8062333336662483E-2</v>
      </c>
      <c r="J39" s="638">
        <f>IF(Main!$F$282=1,J38,J16)</f>
        <v>5.765026224792752E-2</v>
      </c>
      <c r="K39" s="638">
        <f>IF(Main!$F$282=1,K38,K16)</f>
        <v>5.9490761521299458E-2</v>
      </c>
      <c r="L39" s="638">
        <f>IF(Main!$F$282=1,L38,L16)</f>
        <v>26.92120327753382</v>
      </c>
      <c r="M39" s="638">
        <f>IF(Main!$F$282=1,M38,M16)</f>
        <v>0.33994347234882677</v>
      </c>
      <c r="N39" s="638">
        <f>IF(Main!$F$282=1,N38,N16)</f>
        <v>9.4049385536543018E-2</v>
      </c>
      <c r="O39" s="638">
        <f>IF(Main!$F$282=1,O38,O16)</f>
        <v>7.2386784695112699E-2</v>
      </c>
      <c r="P39" s="638">
        <f>IF(Main!$F$282=1,P38,P16)</f>
        <v>8.9468584885305763E-2</v>
      </c>
      <c r="Q39" s="638">
        <f>IF(Main!$F$282=1,Q38,Q16)</f>
        <v>3.2317556310463541E-2</v>
      </c>
      <c r="R39" s="638">
        <f>IF(Main!$F$282=1,R38,R16)</f>
        <v>0.75013179514617923</v>
      </c>
      <c r="S39" s="638">
        <f>IF(Main!$F$282=1,S38,S16)</f>
        <v>0.28067199235933105</v>
      </c>
      <c r="T39" s="638">
        <f>IF(Main!$F$282=1,T38,T16)</f>
        <v>0.60593621785176754</v>
      </c>
      <c r="U39" s="638">
        <f>IF(Main!$F$282=1,U38,U16)</f>
        <v>6.6858030136459343E-2</v>
      </c>
      <c r="V39" s="638">
        <f>IF(Main!$F$282=1,V38,V16)</f>
        <v>3.6363869011771952E-2</v>
      </c>
      <c r="W39" s="638">
        <f>IF(Main!$F$282=1,W38,W16)</f>
        <v>4.263733931483283E-2</v>
      </c>
      <c r="X39" s="638">
        <f>IF(Main!$F$282=1,X38,X16)</f>
        <v>0.19049780591237703</v>
      </c>
      <c r="Y39" s="638">
        <f>IF(Main!$F$282=1,Y38,Y16)</f>
        <v>0.15102220385035722</v>
      </c>
      <c r="Z39" s="638">
        <f>IF(Main!$F$282=1,Z38,Z16)</f>
        <v>9.0079178934466528E-2</v>
      </c>
      <c r="AA39" s="638">
        <f>IF(Main!$F$282=1,AA38,AA16)</f>
        <v>0.12302699121673323</v>
      </c>
      <c r="AB39" s="638">
        <f>IF(Main!$F$282=1,AB38,AB16)</f>
        <v>9.4403082794266999E-2</v>
      </c>
      <c r="AC39" s="638">
        <f>IF(Main!$F$282=1,AC38,AC16)</f>
        <v>0.46075228437805249</v>
      </c>
      <c r="AD39" s="638">
        <f>IF(Main!$F$282=1,AD38,AD16)</f>
        <v>0.10086736704556781</v>
      </c>
      <c r="AE39" s="638">
        <f>IF(Main!$F$282=1,AE38,AE16)</f>
        <v>0.18772706981560794</v>
      </c>
      <c r="AF39" s="638">
        <f>IF(Main!$F$282=1,AF38,AF16)</f>
        <v>0.28741312605519059</v>
      </c>
      <c r="AG39" s="638">
        <f>IF(Main!$F$282=1,AG38,AG16)</f>
        <v>0.39113679695342685</v>
      </c>
      <c r="AH39" s="638">
        <f>IF(Main!$F$282=1,AH38,AH16)</f>
        <v>6.2767759005908155E-2</v>
      </c>
      <c r="AI39" s="638">
        <f>IF(Main!$F$282=1,AI38,AI16)</f>
        <v>7.3027276128903168E-2</v>
      </c>
      <c r="AJ39" s="638">
        <f>IF(Main!$F$282=1,AJ38,AJ16)</f>
        <v>5.886395034653507E-2</v>
      </c>
      <c r="AK39" s="638">
        <f>IF(Main!$F$282=1,AK38,AK16)</f>
        <v>9.922140983498498E-2</v>
      </c>
      <c r="AL39" s="638">
        <f>IF(Main!$F$282=1,AL38,AL16)</f>
        <v>7.5329751275277079E-2</v>
      </c>
      <c r="AM39" s="638">
        <f>IF(Main!$F$282=1,AM38,AM16)</f>
        <v>5.3429059701370463E-2</v>
      </c>
      <c r="AN39" s="638">
        <f>IF(Main!$F$282=1,AN38,AN16)</f>
        <v>5.3111442391315829E-2</v>
      </c>
    </row>
    <row r="40" spans="1:43" s="168" customFormat="1" x14ac:dyDescent="0.25">
      <c r="A40" s="168" t="str">
        <f>"Current buffer acres filtered "&amp;Returns_Per_A!$C$86&amp;" ft wide"</f>
        <v>Current buffer acres filtered 100 ft wide</v>
      </c>
      <c r="B40" s="794">
        <f>IF(Main!$F$282=1,B28,B12)*Returns_Per_A!$C$87/Returns_Per_A!$C$85</f>
        <v>206961.82027457078</v>
      </c>
      <c r="C40" s="794">
        <f>IF(Main!$F$282=1,C28,C12)*Returns_Per_A!$C$87/Returns_Per_A!$C$85</f>
        <v>28889.809736214513</v>
      </c>
      <c r="D40" s="794">
        <f>IF(Main!$F$282=1,D28,D12)*Returns_Per_A!$C$87/Returns_Per_A!$C$85</f>
        <v>61962.914650197694</v>
      </c>
      <c r="E40" s="794">
        <f>IF(Main!$F$282=1,E28,E12)*Returns_Per_A!$C$87/Returns_Per_A!$C$85</f>
        <v>66391.954872716698</v>
      </c>
      <c r="F40" s="794">
        <f>IF(Main!$F$282=1,F28,F12)*Returns_Per_A!$C$87/Returns_Per_A!$C$85</f>
        <v>46551.409748005892</v>
      </c>
      <c r="G40" s="794">
        <f>IF(Main!$F$282=1,G28,G12)*Returns_Per_A!$C$87/Returns_Per_A!$C$85</f>
        <v>11913.917695207178</v>
      </c>
      <c r="H40" s="794">
        <f>IF(Main!$F$282=1,H28,H12)*Returns_Per_A!$C$87/Returns_Per_A!$C$85</f>
        <v>87400.276331903093</v>
      </c>
      <c r="I40" s="794">
        <f>IF(Main!$F$282=1,I28,I12)*Returns_Per_A!$C$87/Returns_Per_A!$C$85</f>
        <v>66108.601982264023</v>
      </c>
      <c r="J40" s="794">
        <f>IF(Main!$F$282=1,J28,J12)*Returns_Per_A!$C$87/Returns_Per_A!$C$85</f>
        <v>14159.704531956168</v>
      </c>
      <c r="K40" s="794">
        <f>IF(Main!$F$282=1,K28,K12)*Returns_Per_A!$C$87/Returns_Per_A!$C$85</f>
        <v>24973.5920128695</v>
      </c>
      <c r="L40" s="794">
        <f>IF(Main!$F$282=1,L28,L12)*Returns_Per_A!$C$87/Returns_Per_A!$C$85</f>
        <v>1311949.1171938623</v>
      </c>
      <c r="M40" s="794">
        <f>IF(Main!$F$282=1,M28,M12)*Returns_Per_A!$C$87/Returns_Per_A!$C$85</f>
        <v>82876.160324884971</v>
      </c>
      <c r="N40" s="794">
        <f>IF(Main!$F$282=1,N28,N12)*Returns_Per_A!$C$87/Returns_Per_A!$C$85</f>
        <v>48353.554121158173</v>
      </c>
      <c r="O40" s="794">
        <f>IF(Main!$F$282=1,O28,O12)*Returns_Per_A!$C$87/Returns_Per_A!$C$85</f>
        <v>40430.938790400862</v>
      </c>
      <c r="P40" s="794">
        <f>IF(Main!$F$282=1,P28,P12)*Returns_Per_A!$C$87/Returns_Per_A!$C$85</f>
        <v>10109.483594002288</v>
      </c>
      <c r="Q40" s="794">
        <f>IF(Main!$F$282=1,Q28,Q12)*Returns_Per_A!$C$87/Returns_Per_A!$C$85</f>
        <v>6350.2445920454047</v>
      </c>
      <c r="R40" s="794">
        <f>IF(Main!$F$282=1,R28,R12)*Returns_Per_A!$C$87/Returns_Per_A!$C$85</f>
        <v>3389.9207494703232</v>
      </c>
      <c r="S40" s="794">
        <f>IF(Main!$F$282=1,S28,S12)*Returns_Per_A!$C$87/Returns_Per_A!$C$85</f>
        <v>46130.513216872641</v>
      </c>
      <c r="T40" s="794">
        <f>IF(Main!$F$282=1,T28,T12)*Returns_Per_A!$C$87/Returns_Per_A!$C$85</f>
        <v>3389.9207494703232</v>
      </c>
      <c r="U40" s="794">
        <f>IF(Main!$F$282=1,U28,U12)*Returns_Per_A!$C$87/Returns_Per_A!$C$85</f>
        <v>7241.856645669267</v>
      </c>
      <c r="V40" s="794">
        <f>IF(Main!$F$282=1,V28,V12)*Returns_Per_A!$C$87/Returns_Per_A!$C$85</f>
        <v>2536.8194807126538</v>
      </c>
      <c r="W40" s="794">
        <f>IF(Main!$F$282=1,W28,W12)*Returns_Per_A!$C$87/Returns_Per_A!$C$85</f>
        <v>10892.107631055154</v>
      </c>
      <c r="X40" s="794">
        <f>IF(Main!$F$282=1,X28,X12)*Returns_Per_A!$C$87/Returns_Per_A!$C$85</f>
        <v>13757.465522743696</v>
      </c>
      <c r="Y40" s="794">
        <f>IF(Main!$F$282=1,Y28,Y12)*Returns_Per_A!$C$87/Returns_Per_A!$C$85</f>
        <v>40540.502395563453</v>
      </c>
      <c r="Z40" s="794">
        <f>IF(Main!$F$282=1,Z28,Z12)*Returns_Per_A!$C$87/Returns_Per_A!$C$85</f>
        <v>83382.355477173696</v>
      </c>
      <c r="AA40" s="794">
        <f>IF(Main!$F$282=1,AA28,AA12)*Returns_Per_A!$C$87/Returns_Per_A!$C$85</f>
        <v>39556.132066037986</v>
      </c>
      <c r="AB40" s="794">
        <f>IF(Main!$F$282=1,AB28,AB12)*Returns_Per_A!$C$87/Returns_Per_A!$C$85</f>
        <v>69108.668978412985</v>
      </c>
      <c r="AC40" s="794">
        <f>IF(Main!$F$282=1,AC28,AC12)*Returns_Per_A!$C$87/Returns_Per_A!$C$85</f>
        <v>23271.935408083562</v>
      </c>
      <c r="AD40" s="794">
        <f>IF(Main!$F$282=1,AD28,AD12)*Returns_Per_A!$C$87/Returns_Per_A!$C$85</f>
        <v>2651.4565137888767</v>
      </c>
      <c r="AE40" s="794">
        <f>IF(Main!$F$282=1,AE28,AE12)*Returns_Per_A!$C$87/Returns_Per_A!$C$85</f>
        <v>5425.9748863191517</v>
      </c>
      <c r="AF40" s="794">
        <f>IF(Main!$F$282=1,AF28,AF12)*Returns_Per_A!$C$87/Returns_Per_A!$C$85</f>
        <v>20554.356393477261</v>
      </c>
      <c r="AG40" s="794">
        <f>IF(Main!$F$282=1,AG28,AG12)*Returns_Per_A!$C$87/Returns_Per_A!$C$85</f>
        <v>4240.713499180627</v>
      </c>
      <c r="AH40" s="794">
        <f>IF(Main!$F$282=1,AH28,AH12)*Returns_Per_A!$C$87/Returns_Per_A!$C$85</f>
        <v>42658.24817912947</v>
      </c>
      <c r="AI40" s="794">
        <f>IF(Main!$F$282=1,AI28,AI12)*Returns_Per_A!$C$87/Returns_Per_A!$C$85</f>
        <v>6633.0231381841386</v>
      </c>
      <c r="AJ40" s="794">
        <f>IF(Main!$F$282=1,AJ28,AJ12)*Returns_Per_A!$C$87/Returns_Per_A!$C$85</f>
        <v>17573.168073910467</v>
      </c>
      <c r="AK40" s="794">
        <f>IF(Main!$F$282=1,AK28,AK12)*Returns_Per_A!$C$87/Returns_Per_A!$C$85</f>
        <v>26816.362431408848</v>
      </c>
      <c r="AL40" s="794">
        <f>IF(Main!$F$282=1,AL28,AL12)*Returns_Per_A!$C$87/Returns_Per_A!$C$85</f>
        <v>52458.975531708675</v>
      </c>
      <c r="AM40" s="794">
        <f>IF(Main!$F$282=1,AM28,AM12)*Returns_Per_A!$C$87/Returns_Per_A!$C$85</f>
        <v>21677.652983061198</v>
      </c>
      <c r="AN40" s="794">
        <f>IF(Main!$F$282=1,AN28,AN12)*Returns_Per_A!$C$87/Returns_Per_A!$C$85</f>
        <v>27527.236871763493</v>
      </c>
      <c r="AO40" s="642">
        <f>SUM(B40:AN40)</f>
        <v>2686798.8672754569</v>
      </c>
      <c r="AP40" s="168">
        <f>Returns_Per_A!$C$86*AO41/AO40</f>
        <v>101.91000465396152</v>
      </c>
      <c r="AQ40" s="376"/>
    </row>
    <row r="41" spans="1:43" s="168" customFormat="1" x14ac:dyDescent="0.25">
      <c r="A41" s="168" t="str">
        <f>"Current buffer acres filtered "&amp;Returns_Per_A!$C$86&amp;" ft adjusted"</f>
        <v>Current buffer acres filtered 100 ft adjusted</v>
      </c>
      <c r="B41" s="641">
        <f>IF(Main!$F$282=1,B28,B12)*B15/Returns_Per_A!$C$85</f>
        <v>212579.80796947834</v>
      </c>
      <c r="C41" s="641">
        <f>IF(Main!$F$282=1,C28,C12)*C15/Returns_Per_A!$C$85</f>
        <v>27752.374436960195</v>
      </c>
      <c r="D41" s="641">
        <f>IF(Main!$F$282=1,D28,D12)*D15/Returns_Per_A!$C$85</f>
        <v>97101.47249360643</v>
      </c>
      <c r="E41" s="641">
        <f>IF(Main!$F$282=1,E28,E12)*E15/Returns_Per_A!$C$85</f>
        <v>61469.103379177024</v>
      </c>
      <c r="F41" s="641">
        <f>IF(Main!$F$282=1,F28,F12)*F15/Returns_Per_A!$C$85</f>
        <v>44949.590610495536</v>
      </c>
      <c r="G41" s="641">
        <f>IF(Main!$F$282=1,G28,G12)*G15/Returns_Per_A!$C$85</f>
        <v>14504.159764809199</v>
      </c>
      <c r="H41" s="641">
        <f>IF(Main!$F$282=1,H28,H12)*H15/Returns_Per_A!$C$85</f>
        <v>81070.716785926968</v>
      </c>
      <c r="I41" s="641">
        <f>IF(Main!$F$282=1,I28,I12)*I15/Returns_Per_A!$C$85</f>
        <v>60627.738673016254</v>
      </c>
      <c r="J41" s="641">
        <f>IF(Main!$F$282=1,J28,J12)*J15/Returns_Per_A!$C$85</f>
        <v>15048.226461721801</v>
      </c>
      <c r="K41" s="641">
        <f>IF(Main!$F$282=1,K28,K12)*K15/Returns_Per_A!$C$85</f>
        <v>25043.994749947306</v>
      </c>
      <c r="L41" s="641">
        <f>IF(Main!$F$282=1,L28,L12)*L15/Returns_Per_A!$C$85</f>
        <v>1341763.0874785397</v>
      </c>
      <c r="M41" s="641">
        <f>IF(Main!$F$282=1,M28,M12)*M15/Returns_Per_A!$C$85</f>
        <v>81291.106570394753</v>
      </c>
      <c r="N41" s="641">
        <f>IF(Main!$F$282=1,N28,N12)*N15/Returns_Per_A!$C$85</f>
        <v>45670.620780586192</v>
      </c>
      <c r="O41" s="641">
        <f>IF(Main!$F$282=1,O28,O12)*O15/Returns_Per_A!$C$85</f>
        <v>32657.844478246894</v>
      </c>
      <c r="P41" s="641">
        <f>IF(Main!$F$282=1,P28,P12)*P15/Returns_Per_A!$C$85</f>
        <v>11611.256794022744</v>
      </c>
      <c r="Q41" s="641">
        <f>IF(Main!$F$282=1,Q28,Q12)*Q15/Returns_Per_A!$C$85</f>
        <v>4213.6475043509117</v>
      </c>
      <c r="R41" s="641">
        <f>IF(Main!$F$282=1,R28,R12)*R15/Returns_Per_A!$C$85</f>
        <v>3214.8767343414038</v>
      </c>
      <c r="S41" s="641">
        <f>IF(Main!$F$282=1,S28,S12)*S15/Returns_Per_A!$C$85</f>
        <v>43151.511530924297</v>
      </c>
      <c r="T41" s="641">
        <f>IF(Main!$F$282=1,T28,T12)*T15/Returns_Per_A!$C$85</f>
        <v>3935.8570224702421</v>
      </c>
      <c r="U41" s="641">
        <f>IF(Main!$F$282=1,U28,U12)*U15/Returns_Per_A!$C$85</f>
        <v>5198.4538824534284</v>
      </c>
      <c r="V41" s="641">
        <f>IF(Main!$F$282=1,V28,V12)*V15/Returns_Per_A!$C$85</f>
        <v>1454.7526812376468</v>
      </c>
      <c r="W41" s="641">
        <f>IF(Main!$F$282=1,W28,W12)*W15/Returns_Per_A!$C$85</f>
        <v>8361.7373188736947</v>
      </c>
      <c r="X41" s="641">
        <f>IF(Main!$F$282=1,X28,X12)*X15/Returns_Per_A!$C$85</f>
        <v>8870.4491608308235</v>
      </c>
      <c r="Y41" s="641">
        <f>IF(Main!$F$282=1,Y28,Y12)*Y15/Returns_Per_A!$C$85</f>
        <v>53498.725202902744</v>
      </c>
      <c r="Z41" s="641">
        <f>IF(Main!$F$282=1,Z28,Z12)*Z15/Returns_Per_A!$C$85</f>
        <v>98967.706624840677</v>
      </c>
      <c r="AA41" s="641">
        <f>IF(Main!$F$282=1,AA28,AA12)*AA15/Returns_Per_A!$C$85</f>
        <v>32099.692568923885</v>
      </c>
      <c r="AB41" s="641">
        <f>IF(Main!$F$282=1,AB28,AB12)*AB15/Returns_Per_A!$C$85</f>
        <v>70481.457426995272</v>
      </c>
      <c r="AC41" s="641">
        <f>IF(Main!$F$282=1,AC28,AC12)*AC15/Returns_Per_A!$C$85</f>
        <v>19868.560831752602</v>
      </c>
      <c r="AD41" s="641">
        <f>IF(Main!$F$282=1,AD28,AD12)*AD15/Returns_Per_A!$C$85</f>
        <v>3138.0317722714099</v>
      </c>
      <c r="AE41" s="641">
        <f>IF(Main!$F$282=1,AE28,AE12)*AE15/Returns_Per_A!$C$85</f>
        <v>6525.5015991356368</v>
      </c>
      <c r="AF41" s="641">
        <f>IF(Main!$F$282=1,AF28,AF12)*AF15/Returns_Per_A!$C$85</f>
        <v>25023.797662439978</v>
      </c>
      <c r="AG41" s="641">
        <f>IF(Main!$F$282=1,AG28,AG12)*AG15/Returns_Per_A!$C$85</f>
        <v>6560.5071491079134</v>
      </c>
      <c r="AH41" s="641">
        <f>IF(Main!$F$282=1,AH28,AH12)*AH15/Returns_Per_A!$C$85</f>
        <v>44942.121575658377</v>
      </c>
      <c r="AI41" s="641">
        <f>IF(Main!$F$282=1,AI28,AI12)*AI15/Returns_Per_A!$C$85</f>
        <v>5773.333030986465</v>
      </c>
      <c r="AJ41" s="641">
        <f>IF(Main!$F$282=1,AJ28,AJ12)*AJ15/Returns_Per_A!$C$85</f>
        <v>14707.186487476696</v>
      </c>
      <c r="AK41" s="641">
        <f>IF(Main!$F$282=1,AK28,AK12)*AK15/Returns_Per_A!$C$85</f>
        <v>29712.550517580068</v>
      </c>
      <c r="AL41" s="641">
        <f>IF(Main!$F$282=1,AL28,AL12)*AL15/Returns_Per_A!$C$85</f>
        <v>45137.25388476556</v>
      </c>
      <c r="AM41" s="641">
        <f>IF(Main!$F$282=1,AM28,AM12)*AM15/Returns_Per_A!$C$85</f>
        <v>22029.223322136706</v>
      </c>
      <c r="AN41" s="641">
        <f>IF(Main!$F$282=1,AN28,AN12)*AN15/Returns_Per_A!$C$85</f>
        <v>28108.813763617207</v>
      </c>
      <c r="AO41" s="642">
        <f>SUM(B41:AN41)</f>
        <v>2738116.8506830037</v>
      </c>
      <c r="AP41" s="643">
        <f>AO41/AO5</f>
        <v>0.13936375201661269</v>
      </c>
      <c r="AQ41" s="376" t="s">
        <v>1213</v>
      </c>
    </row>
    <row r="42" spans="1:43" s="168" customFormat="1" x14ac:dyDescent="0.25">
      <c r="A42" s="168" t="str">
        <f>"% existing buff w/in filtered area"</f>
        <v>% existing buff w/in filtered area</v>
      </c>
      <c r="B42" s="640">
        <f t="shared" ref="B42:AN42" si="10">IF(B5&gt;0,B41/B5,0)</f>
        <v>0.17960263924761535</v>
      </c>
      <c r="C42" s="640">
        <f t="shared" si="10"/>
        <v>0.28982762653704874</v>
      </c>
      <c r="D42" s="640">
        <f t="shared" si="10"/>
        <v>0.25262939603980916</v>
      </c>
      <c r="E42" s="640">
        <f t="shared" si="10"/>
        <v>0.1167505500872246</v>
      </c>
      <c r="F42" s="640">
        <f t="shared" si="10"/>
        <v>4.1322853829358498E-2</v>
      </c>
      <c r="G42" s="640">
        <f t="shared" si="10"/>
        <v>0.66613701217512067</v>
      </c>
      <c r="H42" s="640">
        <f t="shared" si="10"/>
        <v>0.16996836096273055</v>
      </c>
      <c r="I42" s="640">
        <f t="shared" si="10"/>
        <v>3.4005469335770519E-2</v>
      </c>
      <c r="J42" s="640">
        <f t="shared" si="10"/>
        <v>3.282560167480135E-2</v>
      </c>
      <c r="K42" s="640">
        <f t="shared" si="10"/>
        <v>3.0572170630703804E-2</v>
      </c>
      <c r="L42" s="640">
        <f t="shared" si="10"/>
        <v>26.921203277533824</v>
      </c>
      <c r="M42" s="640">
        <f t="shared" si="10"/>
        <v>0.30715404316571598</v>
      </c>
      <c r="N42" s="640">
        <f t="shared" si="10"/>
        <v>5.9333036227582604E-2</v>
      </c>
      <c r="O42" s="640">
        <f t="shared" si="10"/>
        <v>3.9409774995515512E-2</v>
      </c>
      <c r="P42" s="640">
        <f t="shared" si="10"/>
        <v>4.8015208376073107E-2</v>
      </c>
      <c r="Q42" s="640">
        <f t="shared" si="10"/>
        <v>1.7072138898391206E-2</v>
      </c>
      <c r="R42" s="640">
        <f t="shared" si="10"/>
        <v>0.75013179514617911</v>
      </c>
      <c r="S42" s="640">
        <f t="shared" si="10"/>
        <v>0.24208866980582844</v>
      </c>
      <c r="T42" s="640">
        <f t="shared" si="10"/>
        <v>0.60593621785176754</v>
      </c>
      <c r="U42" s="640">
        <f t="shared" si="10"/>
        <v>4.887548554973558E-2</v>
      </c>
      <c r="V42" s="640">
        <f t="shared" si="10"/>
        <v>2.2644526739061605E-2</v>
      </c>
      <c r="W42" s="640">
        <f t="shared" si="10"/>
        <v>1.5633479704433066E-2</v>
      </c>
      <c r="X42" s="640">
        <f t="shared" si="10"/>
        <v>0.12202871819492175</v>
      </c>
      <c r="Y42" s="640">
        <f t="shared" si="10"/>
        <v>9.248858376068915E-2</v>
      </c>
      <c r="Z42" s="640">
        <f t="shared" si="10"/>
        <v>5.686093340904267E-2</v>
      </c>
      <c r="AA42" s="640">
        <f t="shared" si="10"/>
        <v>0.10338001434037726</v>
      </c>
      <c r="AB42" s="640">
        <f t="shared" si="10"/>
        <v>6.3027973008316807E-2</v>
      </c>
      <c r="AC42" s="640">
        <f t="shared" si="10"/>
        <v>0.4262899293424009</v>
      </c>
      <c r="AD42" s="640">
        <f t="shared" si="10"/>
        <v>5.7640741244110831E-2</v>
      </c>
      <c r="AE42" s="640">
        <f t="shared" si="10"/>
        <v>9.9378426554479316E-2</v>
      </c>
      <c r="AF42" s="640">
        <f t="shared" si="10"/>
        <v>0.19109850532114331</v>
      </c>
      <c r="AG42" s="640">
        <f t="shared" si="10"/>
        <v>0.25462062984350148</v>
      </c>
      <c r="AH42" s="640">
        <f t="shared" si="10"/>
        <v>3.3522361383620886E-2</v>
      </c>
      <c r="AI42" s="640">
        <f t="shared" si="10"/>
        <v>4.4978329867741244E-2</v>
      </c>
      <c r="AJ42" s="640">
        <f t="shared" si="10"/>
        <v>2.5605907436461271E-2</v>
      </c>
      <c r="AK42" s="640">
        <f t="shared" si="10"/>
        <v>5.6865134513581994E-2</v>
      </c>
      <c r="AL42" s="640">
        <f t="shared" si="10"/>
        <v>4.2401161771707933E-2</v>
      </c>
      <c r="AM42" s="640">
        <f t="shared" si="10"/>
        <v>2.7884928164735624E-2</v>
      </c>
      <c r="AN42" s="640">
        <f t="shared" si="10"/>
        <v>2.9596493810685558E-2</v>
      </c>
    </row>
    <row r="43" spans="1:43" s="150" customFormat="1" x14ac:dyDescent="0.25">
      <c r="A43" s="639" t="str">
        <f>"Unbuffered % Ag w/in filtered area"</f>
        <v>Unbuffered % Ag w/in filtered area</v>
      </c>
      <c r="B43" s="161">
        <f>MAX(B39-B42,0)</f>
        <v>3.0806017657777324E-2</v>
      </c>
      <c r="C43" s="161">
        <f t="shared" ref="C43:AN43" si="11">MAX(C39-C42,0)</f>
        <v>4.6224638073515845E-2</v>
      </c>
      <c r="D43" s="161">
        <f t="shared" si="11"/>
        <v>0.13025458219661062</v>
      </c>
      <c r="E43" s="161">
        <f t="shared" si="11"/>
        <v>3.0912580870946477E-2</v>
      </c>
      <c r="F43" s="161">
        <f t="shared" si="11"/>
        <v>2.7400901120627617E-2</v>
      </c>
      <c r="G43" s="161">
        <f t="shared" si="11"/>
        <v>0</v>
      </c>
      <c r="H43" s="161">
        <f t="shared" si="11"/>
        <v>1.4559192754184019E-2</v>
      </c>
      <c r="I43" s="161">
        <f t="shared" si="11"/>
        <v>2.4056864000891964E-2</v>
      </c>
      <c r="J43" s="161">
        <f t="shared" si="11"/>
        <v>2.482466057312617E-2</v>
      </c>
      <c r="K43" s="161">
        <f t="shared" si="11"/>
        <v>2.8918590890595654E-2</v>
      </c>
      <c r="L43" s="161">
        <f t="shared" si="11"/>
        <v>0</v>
      </c>
      <c r="M43" s="161">
        <f t="shared" si="11"/>
        <v>3.2789429183110785E-2</v>
      </c>
      <c r="N43" s="161">
        <f t="shared" si="11"/>
        <v>3.4716349308960413E-2</v>
      </c>
      <c r="O43" s="161">
        <f t="shared" si="11"/>
        <v>3.2977009699597187E-2</v>
      </c>
      <c r="P43" s="161">
        <f t="shared" si="11"/>
        <v>4.1453376509232656E-2</v>
      </c>
      <c r="Q43" s="161">
        <f t="shared" si="11"/>
        <v>1.5245417412072335E-2</v>
      </c>
      <c r="R43" s="161">
        <f t="shared" si="11"/>
        <v>1.1102230246251565E-16</v>
      </c>
      <c r="S43" s="161">
        <f t="shared" si="11"/>
        <v>3.8583322553502608E-2</v>
      </c>
      <c r="T43" s="161">
        <f t="shared" si="11"/>
        <v>0</v>
      </c>
      <c r="U43" s="161">
        <f t="shared" si="11"/>
        <v>1.7982544586723763E-2</v>
      </c>
      <c r="V43" s="161">
        <f t="shared" si="11"/>
        <v>1.3719342272710346E-2</v>
      </c>
      <c r="W43" s="161">
        <f t="shared" si="11"/>
        <v>2.7003859610399764E-2</v>
      </c>
      <c r="X43" s="161">
        <f t="shared" si="11"/>
        <v>6.8469087717455274E-2</v>
      </c>
      <c r="Y43" s="161">
        <f t="shared" si="11"/>
        <v>5.8533620089668073E-2</v>
      </c>
      <c r="Z43" s="161">
        <f t="shared" si="11"/>
        <v>3.3218245525423858E-2</v>
      </c>
      <c r="AA43" s="161">
        <f t="shared" si="11"/>
        <v>1.964697687635597E-2</v>
      </c>
      <c r="AB43" s="161">
        <f t="shared" si="11"/>
        <v>3.1375109785950192E-2</v>
      </c>
      <c r="AC43" s="161">
        <f t="shared" si="11"/>
        <v>3.4462355035651593E-2</v>
      </c>
      <c r="AD43" s="161">
        <f t="shared" si="11"/>
        <v>4.3226625801456982E-2</v>
      </c>
      <c r="AE43" s="161">
        <f t="shared" si="11"/>
        <v>8.8348643261128623E-2</v>
      </c>
      <c r="AF43" s="161">
        <f t="shared" si="11"/>
        <v>9.6314620734047285E-2</v>
      </c>
      <c r="AG43" s="161">
        <f t="shared" si="11"/>
        <v>0.13651616710992537</v>
      </c>
      <c r="AH43" s="161">
        <f t="shared" si="11"/>
        <v>2.924539762228727E-2</v>
      </c>
      <c r="AI43" s="161">
        <f t="shared" si="11"/>
        <v>2.8048946261161924E-2</v>
      </c>
      <c r="AJ43" s="161">
        <f t="shared" si="11"/>
        <v>3.3258042910073796E-2</v>
      </c>
      <c r="AK43" s="161">
        <f t="shared" si="11"/>
        <v>4.2356275321402986E-2</v>
      </c>
      <c r="AL43" s="161">
        <f t="shared" si="11"/>
        <v>3.2928589503569146E-2</v>
      </c>
      <c r="AM43" s="161">
        <f t="shared" si="11"/>
        <v>2.5544131536634838E-2</v>
      </c>
      <c r="AN43" s="161">
        <f t="shared" si="11"/>
        <v>2.351494858063027E-2</v>
      </c>
      <c r="AO43" s="491"/>
    </row>
    <row r="44" spans="1:43" s="494" customFormat="1" ht="30" x14ac:dyDescent="0.25">
      <c r="A44" s="493" t="str">
        <f>"% Ag w/in filtered area unbuffered or buffered at only "&amp;Main!C42*100&amp;"% buffer efficiency"</f>
        <v>% Ag w/in filtered area unbuffered or buffered at only 50% buffer efficiency</v>
      </c>
      <c r="B44" s="494">
        <f>B42*(1-Main!$C$42)+B43</f>
        <v>0.120607337281585</v>
      </c>
      <c r="C44" s="494">
        <f>C42*(1-Main!$C$42)+C43</f>
        <v>0.19113845134204022</v>
      </c>
      <c r="D44" s="494">
        <f>D42*(1-Main!$C$42)+D43</f>
        <v>0.25656928021651521</v>
      </c>
      <c r="E44" s="494">
        <f>E42*(1-Main!$C$42)+E43</f>
        <v>8.9287855914558775E-2</v>
      </c>
      <c r="F44" s="494">
        <f>F42*(1-Main!$C$42)+F43</f>
        <v>4.806232803530687E-2</v>
      </c>
      <c r="G44" s="494">
        <f>G42*(1-Main!$C$42)+G43</f>
        <v>0.33306850608756033</v>
      </c>
      <c r="H44" s="494">
        <f>H42*(1-Main!$C$42)+H43</f>
        <v>9.9543373235549293E-2</v>
      </c>
      <c r="I44" s="494">
        <f>I42*(1-Main!$C$42)+I43</f>
        <v>4.1059598668777224E-2</v>
      </c>
      <c r="J44" s="494">
        <f>J42*(1-Main!$C$42)+J43</f>
        <v>4.1237461410526845E-2</v>
      </c>
      <c r="K44" s="494">
        <f>K42*(1-Main!$C$42)+K43</f>
        <v>4.4204676205947556E-2</v>
      </c>
      <c r="L44" s="494">
        <f>L42*(1-Main!$C$42)+L43</f>
        <v>13.460601638766912</v>
      </c>
      <c r="M44" s="494">
        <f>M42*(1-Main!$C$42)+M43</f>
        <v>0.18636645076596878</v>
      </c>
      <c r="N44" s="494">
        <f>N42*(1-Main!$C$42)+N43</f>
        <v>6.4382867422751719E-2</v>
      </c>
      <c r="O44" s="494">
        <f>O42*(1-Main!$C$42)+O43</f>
        <v>5.2681897197354943E-2</v>
      </c>
      <c r="P44" s="494">
        <f>P42*(1-Main!$C$42)+P43</f>
        <v>6.5460980697269217E-2</v>
      </c>
      <c r="Q44" s="494">
        <f>Q42*(1-Main!$C$42)+Q43</f>
        <v>2.3781486861267936E-2</v>
      </c>
      <c r="R44" s="494">
        <f>R42*(1-Main!$C$42)+R43</f>
        <v>0.37506589757308967</v>
      </c>
      <c r="S44" s="494">
        <f>S42*(1-Main!$C$42)+S43</f>
        <v>0.15962765745641683</v>
      </c>
      <c r="T44" s="494">
        <f>T42*(1-Main!$C$42)+T43</f>
        <v>0.30296810892588377</v>
      </c>
      <c r="U44" s="494">
        <f>U42*(1-Main!$C$42)+U43</f>
        <v>4.2420287361591549E-2</v>
      </c>
      <c r="V44" s="494">
        <f>V42*(1-Main!$C$42)+V43</f>
        <v>2.5041605642241151E-2</v>
      </c>
      <c r="W44" s="494">
        <f>W42*(1-Main!$C$42)+W43</f>
        <v>3.48205994626163E-2</v>
      </c>
      <c r="X44" s="494">
        <f>X42*(1-Main!$C$42)+X43</f>
        <v>0.12948344681491614</v>
      </c>
      <c r="Y44" s="494">
        <f>Y42*(1-Main!$C$42)+Y43</f>
        <v>0.10477791197001265</v>
      </c>
      <c r="Z44" s="494">
        <f>Z42*(1-Main!$C$42)+Z43</f>
        <v>6.1648712229945196E-2</v>
      </c>
      <c r="AA44" s="494">
        <f>AA42*(1-Main!$C$42)+AA43</f>
        <v>7.1336984046544594E-2</v>
      </c>
      <c r="AB44" s="494">
        <f>AB42*(1-Main!$C$42)+AB43</f>
        <v>6.2889096290108595E-2</v>
      </c>
      <c r="AC44" s="494">
        <f>AC42*(1-Main!$C$42)+AC43</f>
        <v>0.24760731970685204</v>
      </c>
      <c r="AD44" s="494">
        <f>AD42*(1-Main!$C$42)+AD43</f>
        <v>7.2046996423512394E-2</v>
      </c>
      <c r="AE44" s="494">
        <f>AE42*(1-Main!$C$42)+AE43</f>
        <v>0.13803785653836828</v>
      </c>
      <c r="AF44" s="494">
        <f>AF42*(1-Main!$C$42)+AF43</f>
        <v>0.19186387339461894</v>
      </c>
      <c r="AG44" s="494">
        <f>AG42*(1-Main!$C$42)+AG43</f>
        <v>0.26382648203167613</v>
      </c>
      <c r="AH44" s="494">
        <f>AH42*(1-Main!$C$42)+AH43</f>
        <v>4.6006578314097712E-2</v>
      </c>
      <c r="AI44" s="494">
        <f>AI42*(1-Main!$C$42)+AI43</f>
        <v>5.0538111195032542E-2</v>
      </c>
      <c r="AJ44" s="494">
        <f>AJ42*(1-Main!$C$42)+AJ43</f>
        <v>4.6060996628304429E-2</v>
      </c>
      <c r="AK44" s="494">
        <f>AK42*(1-Main!$C$42)+AK43</f>
        <v>7.0788842578193983E-2</v>
      </c>
      <c r="AL44" s="494">
        <f>AL42*(1-Main!$C$42)+AL43</f>
        <v>5.4129170389423109E-2</v>
      </c>
      <c r="AM44" s="494">
        <f>AM42*(1-Main!$C$42)+AM43</f>
        <v>3.9486595619002654E-2</v>
      </c>
      <c r="AN44" s="494">
        <f>AN42*(1-Main!$C$42)+AN43</f>
        <v>3.8313195485973048E-2</v>
      </c>
      <c r="AO44" s="495"/>
    </row>
    <row r="45" spans="1:43" x14ac:dyDescent="0.25">
      <c r="A45" s="54" t="s">
        <v>394</v>
      </c>
      <c r="B45" s="157">
        <f t="shared" ref="B45:AN45" si="12">B44*B14</f>
        <v>0.12388122874554966</v>
      </c>
      <c r="C45" s="157">
        <f t="shared" si="12"/>
        <v>0.18361304277804016</v>
      </c>
      <c r="D45" s="157">
        <f t="shared" si="12"/>
        <v>0.4020671888385558</v>
      </c>
      <c r="E45" s="157">
        <f t="shared" si="12"/>
        <v>8.2667311969337923E-2</v>
      </c>
      <c r="F45" s="157">
        <f t="shared" si="12"/>
        <v>4.6408518682228082E-2</v>
      </c>
      <c r="G45" s="157">
        <f t="shared" si="12"/>
        <v>0.40548197062530517</v>
      </c>
      <c r="H45" s="157">
        <f t="shared" si="12"/>
        <v>9.2334406230581742E-2</v>
      </c>
      <c r="I45" s="157">
        <f t="shared" si="12"/>
        <v>3.7655472109021579E-2</v>
      </c>
      <c r="J45" s="157">
        <f t="shared" si="12"/>
        <v>4.3825113483945868E-2</v>
      </c>
      <c r="K45" s="157">
        <f t="shared" si="12"/>
        <v>4.4329293049008546E-2</v>
      </c>
      <c r="L45" s="157">
        <f t="shared" si="12"/>
        <v>13.766493057887228</v>
      </c>
      <c r="M45" s="157">
        <f t="shared" si="12"/>
        <v>0.18280208628118078</v>
      </c>
      <c r="N45" s="157">
        <f t="shared" si="12"/>
        <v>6.0810535570220058E-2</v>
      </c>
      <c r="O45" s="157">
        <f t="shared" si="12"/>
        <v>4.2553481491225863E-2</v>
      </c>
      <c r="P45" s="157">
        <f t="shared" si="12"/>
        <v>7.5185270325330802E-2</v>
      </c>
      <c r="Q45" s="157">
        <f t="shared" si="12"/>
        <v>1.5779991039756022E-2</v>
      </c>
      <c r="R45" s="157">
        <f t="shared" si="12"/>
        <v>0.35569876615581864</v>
      </c>
      <c r="S45" s="157">
        <f t="shared" si="12"/>
        <v>0.14931927310242007</v>
      </c>
      <c r="T45" s="157">
        <f t="shared" si="12"/>
        <v>0.35176018769370587</v>
      </c>
      <c r="U45" s="157">
        <f t="shared" si="12"/>
        <v>3.0450741891104645E-2</v>
      </c>
      <c r="V45" s="157">
        <f t="shared" si="12"/>
        <v>1.4360242511348195E-2</v>
      </c>
      <c r="W45" s="157">
        <f t="shared" si="12"/>
        <v>2.6731346756248161E-2</v>
      </c>
      <c r="X45" s="157">
        <f t="shared" si="12"/>
        <v>8.3487494861756412E-2</v>
      </c>
      <c r="Y45" s="157">
        <f t="shared" si="12"/>
        <v>0.13826875318720958</v>
      </c>
      <c r="Z45" s="157">
        <f t="shared" si="12"/>
        <v>7.3171735565118259E-2</v>
      </c>
      <c r="AA45" s="157">
        <f t="shared" si="12"/>
        <v>5.7889766695727124E-2</v>
      </c>
      <c r="AB45" s="157">
        <f t="shared" si="12"/>
        <v>6.413833790053243E-2</v>
      </c>
      <c r="AC45" s="157">
        <f t="shared" si="12"/>
        <v>0.21139630235798823</v>
      </c>
      <c r="AD45" s="157">
        <f t="shared" si="12"/>
        <v>8.5268516642814804E-2</v>
      </c>
      <c r="AE45" s="157">
        <f t="shared" si="12"/>
        <v>0.16601002998623082</v>
      </c>
      <c r="AF45" s="157">
        <f t="shared" si="12"/>
        <v>0.2335837062785654</v>
      </c>
      <c r="AG45" s="157">
        <f t="shared" si="12"/>
        <v>0.40814724263434127</v>
      </c>
      <c r="AH45" s="157">
        <f t="shared" si="12"/>
        <v>4.8469717443385692E-2</v>
      </c>
      <c r="AI45" s="157">
        <f t="shared" si="12"/>
        <v>4.3987988675375601E-2</v>
      </c>
      <c r="AJ45" s="157">
        <f t="shared" si="12"/>
        <v>3.8548977871396647E-2</v>
      </c>
      <c r="AK45" s="157">
        <f t="shared" si="12"/>
        <v>7.8434092862724999E-2</v>
      </c>
      <c r="AL45" s="157">
        <f t="shared" si="12"/>
        <v>4.6574338931996771E-2</v>
      </c>
      <c r="AM45" s="157">
        <f t="shared" si="12"/>
        <v>4.0126993166724155E-2</v>
      </c>
      <c r="AN45" s="157">
        <f t="shared" si="12"/>
        <v>3.9122650835651536E-2</v>
      </c>
      <c r="AO45" s="152"/>
    </row>
    <row r="46" spans="1:43" x14ac:dyDescent="0.25">
      <c r="A46" s="146" t="s">
        <v>393</v>
      </c>
      <c r="B46" s="146">
        <f>VLOOKUP(B45, Parameters!$X$3:$Y$8, 2, TRUE)</f>
        <v>8</v>
      </c>
      <c r="C46" s="146">
        <f>VLOOKUP(C45, Parameters!$X$3:$Y$8, 2, TRUE)</f>
        <v>8</v>
      </c>
      <c r="D46" s="146">
        <f>VLOOKUP(D45, Parameters!$X$3:$Y$8, 2, TRUE)</f>
        <v>8</v>
      </c>
      <c r="E46" s="146">
        <f>VLOOKUP(E45, Parameters!$X$3:$Y$8, 2, TRUE)</f>
        <v>8</v>
      </c>
      <c r="F46" s="146">
        <f>VLOOKUP(F45, Parameters!$X$3:$Y$8, 2, TRUE)</f>
        <v>4</v>
      </c>
      <c r="G46" s="146">
        <f>VLOOKUP(G45, Parameters!$X$3:$Y$8, 2, TRUE)</f>
        <v>8</v>
      </c>
      <c r="H46" s="146">
        <f>VLOOKUP(H45, Parameters!$X$3:$Y$8, 2, TRUE)</f>
        <v>8</v>
      </c>
      <c r="I46" s="146">
        <f>VLOOKUP(I45, Parameters!$X$3:$Y$8, 2, TRUE)</f>
        <v>2</v>
      </c>
      <c r="J46" s="146">
        <f>VLOOKUP(J45, Parameters!$X$3:$Y$8, 2, TRUE)</f>
        <v>4</v>
      </c>
      <c r="K46" s="146">
        <f>VLOOKUP(K45, Parameters!$X$3:$Y$8, 2, TRUE)</f>
        <v>4</v>
      </c>
      <c r="L46" s="146">
        <f>VLOOKUP(L45, Parameters!$X$3:$Y$8, 2, TRUE)</f>
        <v>8</v>
      </c>
      <c r="M46" s="146">
        <f>VLOOKUP(M45, Parameters!$X$3:$Y$8, 2, TRUE)</f>
        <v>8</v>
      </c>
      <c r="N46" s="146">
        <f>VLOOKUP(N45, Parameters!$X$3:$Y$8, 2, TRUE)</f>
        <v>4</v>
      </c>
      <c r="O46" s="146">
        <f>VLOOKUP(O45, Parameters!$X$3:$Y$8, 2, TRUE)</f>
        <v>4</v>
      </c>
      <c r="P46" s="146">
        <f>VLOOKUP(P45, Parameters!$X$3:$Y$8, 2, TRUE)</f>
        <v>8</v>
      </c>
      <c r="Q46" s="146">
        <f>VLOOKUP(Q45, Parameters!$X$3:$Y$8, 2, TRUE)</f>
        <v>1</v>
      </c>
      <c r="R46" s="146">
        <f>VLOOKUP(R45, Parameters!$X$3:$Y$8, 2, TRUE)</f>
        <v>8</v>
      </c>
      <c r="S46" s="146">
        <f>VLOOKUP(S45, Parameters!$X$3:$Y$8, 2, TRUE)</f>
        <v>8</v>
      </c>
      <c r="T46" s="146">
        <f>VLOOKUP(T45, Parameters!$X$3:$Y$8, 2, TRUE)</f>
        <v>8</v>
      </c>
      <c r="U46" s="146">
        <f>VLOOKUP(U45, Parameters!$X$3:$Y$8, 2, TRUE)</f>
        <v>1</v>
      </c>
      <c r="V46" s="146">
        <f>VLOOKUP(V45, Parameters!$X$3:$Y$8, 2, TRUE)</f>
        <v>1</v>
      </c>
      <c r="W46" s="146">
        <f>VLOOKUP(W45, Parameters!$X$3:$Y$8, 2, TRUE)</f>
        <v>1</v>
      </c>
      <c r="X46" s="146">
        <f>VLOOKUP(X45, Parameters!$X$3:$Y$8, 2, TRUE)</f>
        <v>8</v>
      </c>
      <c r="Y46" s="146">
        <f>VLOOKUP(Y45, Parameters!$X$3:$Y$8, 2, TRUE)</f>
        <v>8</v>
      </c>
      <c r="Z46" s="146">
        <f>VLOOKUP(Z45, Parameters!$X$3:$Y$8, 2, TRUE)</f>
        <v>8</v>
      </c>
      <c r="AA46" s="146">
        <f>VLOOKUP(AA45, Parameters!$X$3:$Y$8, 2, TRUE)</f>
        <v>4</v>
      </c>
      <c r="AB46" s="146">
        <f>VLOOKUP(AB45, Parameters!$X$3:$Y$8, 2, TRUE)</f>
        <v>8</v>
      </c>
      <c r="AC46" s="146">
        <f>VLOOKUP(AC45, Parameters!$X$3:$Y$8, 2, TRUE)</f>
        <v>8</v>
      </c>
      <c r="AD46" s="146">
        <f>VLOOKUP(AD45, Parameters!$X$3:$Y$8, 2, TRUE)</f>
        <v>8</v>
      </c>
      <c r="AE46" s="146">
        <f>VLOOKUP(AE45, Parameters!$X$3:$Y$8, 2, TRUE)</f>
        <v>8</v>
      </c>
      <c r="AF46" s="146">
        <f>VLOOKUP(AF45, Parameters!$X$3:$Y$8, 2, TRUE)</f>
        <v>8</v>
      </c>
      <c r="AG46" s="146">
        <f>VLOOKUP(AG45, Parameters!$X$3:$Y$8, 2, TRUE)</f>
        <v>8</v>
      </c>
      <c r="AH46" s="146">
        <f>VLOOKUP(AH45, Parameters!$X$3:$Y$8, 2, TRUE)</f>
        <v>4</v>
      </c>
      <c r="AI46" s="146">
        <f>VLOOKUP(AI45, Parameters!$X$3:$Y$8, 2, TRUE)</f>
        <v>4</v>
      </c>
      <c r="AJ46" s="146">
        <f>VLOOKUP(AJ45, Parameters!$X$3:$Y$8, 2, TRUE)</f>
        <v>2</v>
      </c>
      <c r="AK46" s="146">
        <f>VLOOKUP(AK45, Parameters!$X$3:$Y$8, 2, TRUE)</f>
        <v>8</v>
      </c>
      <c r="AL46" s="146">
        <f>VLOOKUP(AL45, Parameters!$X$3:$Y$8, 2, TRUE)</f>
        <v>4</v>
      </c>
      <c r="AM46" s="146">
        <f>VLOOKUP(AM45, Parameters!$X$3:$Y$8, 2, TRUE)</f>
        <v>2</v>
      </c>
      <c r="AN46" s="146">
        <f>VLOOKUP(AN45, Parameters!$X$3:$Y$8, 2, TRUE)</f>
        <v>2</v>
      </c>
      <c r="AO46" s="152"/>
    </row>
    <row r="47" spans="1:43" x14ac:dyDescent="0.25">
      <c r="A47" s="146" t="s">
        <v>71</v>
      </c>
      <c r="B47" s="156">
        <f t="shared" ref="B47:AN47" si="13">B46*1.5</f>
        <v>12</v>
      </c>
      <c r="C47" s="156">
        <f t="shared" si="13"/>
        <v>12</v>
      </c>
      <c r="D47" s="156">
        <f t="shared" si="13"/>
        <v>12</v>
      </c>
      <c r="E47" s="156">
        <f t="shared" si="13"/>
        <v>12</v>
      </c>
      <c r="F47" s="156">
        <f t="shared" si="13"/>
        <v>6</v>
      </c>
      <c r="G47" s="156">
        <f t="shared" si="13"/>
        <v>12</v>
      </c>
      <c r="H47" s="156">
        <f t="shared" si="13"/>
        <v>12</v>
      </c>
      <c r="I47" s="156">
        <f t="shared" si="13"/>
        <v>3</v>
      </c>
      <c r="J47" s="156">
        <f t="shared" si="13"/>
        <v>6</v>
      </c>
      <c r="K47" s="156">
        <f t="shared" si="13"/>
        <v>6</v>
      </c>
      <c r="L47" s="156">
        <f t="shared" si="13"/>
        <v>12</v>
      </c>
      <c r="M47" s="156">
        <f t="shared" si="13"/>
        <v>12</v>
      </c>
      <c r="N47" s="156">
        <f t="shared" si="13"/>
        <v>6</v>
      </c>
      <c r="O47" s="156">
        <f t="shared" si="13"/>
        <v>6</v>
      </c>
      <c r="P47" s="156">
        <f t="shared" si="13"/>
        <v>12</v>
      </c>
      <c r="Q47" s="156">
        <f t="shared" si="13"/>
        <v>1.5</v>
      </c>
      <c r="R47" s="156">
        <f t="shared" si="13"/>
        <v>12</v>
      </c>
      <c r="S47" s="156">
        <f t="shared" si="13"/>
        <v>12</v>
      </c>
      <c r="T47" s="156">
        <f t="shared" si="13"/>
        <v>12</v>
      </c>
      <c r="U47" s="156">
        <f t="shared" si="13"/>
        <v>1.5</v>
      </c>
      <c r="V47" s="156">
        <f t="shared" si="13"/>
        <v>1.5</v>
      </c>
      <c r="W47" s="156">
        <f t="shared" si="13"/>
        <v>1.5</v>
      </c>
      <c r="X47" s="156">
        <f t="shared" si="13"/>
        <v>12</v>
      </c>
      <c r="Y47" s="156">
        <f t="shared" si="13"/>
        <v>12</v>
      </c>
      <c r="Z47" s="156">
        <f t="shared" si="13"/>
        <v>12</v>
      </c>
      <c r="AA47" s="156">
        <f t="shared" si="13"/>
        <v>6</v>
      </c>
      <c r="AB47" s="156">
        <f t="shared" si="13"/>
        <v>12</v>
      </c>
      <c r="AC47" s="156">
        <f t="shared" si="13"/>
        <v>12</v>
      </c>
      <c r="AD47" s="156">
        <f t="shared" si="13"/>
        <v>12</v>
      </c>
      <c r="AE47" s="156">
        <f t="shared" si="13"/>
        <v>12</v>
      </c>
      <c r="AF47" s="156">
        <f t="shared" si="13"/>
        <v>12</v>
      </c>
      <c r="AG47" s="156">
        <f t="shared" si="13"/>
        <v>12</v>
      </c>
      <c r="AH47" s="156">
        <f t="shared" si="13"/>
        <v>6</v>
      </c>
      <c r="AI47" s="156">
        <f t="shared" si="13"/>
        <v>6</v>
      </c>
      <c r="AJ47" s="156">
        <f t="shared" si="13"/>
        <v>3</v>
      </c>
      <c r="AK47" s="156">
        <f t="shared" si="13"/>
        <v>12</v>
      </c>
      <c r="AL47" s="156">
        <f t="shared" si="13"/>
        <v>6</v>
      </c>
      <c r="AM47" s="156">
        <f t="shared" si="13"/>
        <v>3</v>
      </c>
      <c r="AN47" s="156">
        <f t="shared" si="13"/>
        <v>3</v>
      </c>
      <c r="AO47" s="152"/>
    </row>
    <row r="48" spans="1:43" x14ac:dyDescent="0.25">
      <c r="A48" s="154" t="s">
        <v>388</v>
      </c>
      <c r="B48" s="154">
        <f t="shared" ref="B48:AN48" si="14">B45*100</f>
        <v>12.388122874554966</v>
      </c>
      <c r="C48" s="154">
        <f t="shared" si="14"/>
        <v>18.361304277804017</v>
      </c>
      <c r="D48" s="154">
        <f t="shared" si="14"/>
        <v>40.206718883855579</v>
      </c>
      <c r="E48" s="154">
        <f t="shared" si="14"/>
        <v>8.266731196933792</v>
      </c>
      <c r="F48" s="154">
        <f t="shared" si="14"/>
        <v>4.6408518682228079</v>
      </c>
      <c r="G48" s="154">
        <f t="shared" si="14"/>
        <v>40.548197062530519</v>
      </c>
      <c r="H48" s="154">
        <f t="shared" si="14"/>
        <v>9.2334406230581738</v>
      </c>
      <c r="I48" s="154">
        <f t="shared" si="14"/>
        <v>3.7655472109021577</v>
      </c>
      <c r="J48" s="154">
        <f t="shared" si="14"/>
        <v>4.382511348394587</v>
      </c>
      <c r="K48" s="154">
        <f t="shared" si="14"/>
        <v>4.4329293049008545</v>
      </c>
      <c r="L48" s="154">
        <f t="shared" si="14"/>
        <v>1376.6493057887228</v>
      </c>
      <c r="M48" s="154">
        <f t="shared" si="14"/>
        <v>18.280208628118078</v>
      </c>
      <c r="N48" s="154">
        <f t="shared" si="14"/>
        <v>6.0810535570220061</v>
      </c>
      <c r="O48" s="154">
        <f t="shared" si="14"/>
        <v>4.255348149122586</v>
      </c>
      <c r="P48" s="154">
        <f t="shared" si="14"/>
        <v>7.51852703253308</v>
      </c>
      <c r="Q48" s="154">
        <f t="shared" si="14"/>
        <v>1.5779991039756021</v>
      </c>
      <c r="R48" s="154">
        <f t="shared" si="14"/>
        <v>35.569876615581862</v>
      </c>
      <c r="S48" s="154">
        <f t="shared" si="14"/>
        <v>14.931927310242008</v>
      </c>
      <c r="T48" s="154">
        <f t="shared" si="14"/>
        <v>35.176018769370586</v>
      </c>
      <c r="U48" s="154">
        <f t="shared" si="14"/>
        <v>3.0450741891104647</v>
      </c>
      <c r="V48" s="154">
        <f t="shared" si="14"/>
        <v>1.4360242511348196</v>
      </c>
      <c r="W48" s="154">
        <f t="shared" si="14"/>
        <v>2.6731346756248162</v>
      </c>
      <c r="X48" s="154">
        <f t="shared" si="14"/>
        <v>8.3487494861756417</v>
      </c>
      <c r="Y48" s="154">
        <f t="shared" si="14"/>
        <v>13.826875318720958</v>
      </c>
      <c r="Z48" s="154">
        <f t="shared" si="14"/>
        <v>7.3171735565118263</v>
      </c>
      <c r="AA48" s="154">
        <f t="shared" si="14"/>
        <v>5.7889766695727127</v>
      </c>
      <c r="AB48" s="154">
        <f t="shared" si="14"/>
        <v>6.4138337900532427</v>
      </c>
      <c r="AC48" s="154">
        <f t="shared" si="14"/>
        <v>21.139630235798823</v>
      </c>
      <c r="AD48" s="154">
        <f t="shared" si="14"/>
        <v>8.5268516642814802</v>
      </c>
      <c r="AE48" s="154">
        <f t="shared" si="14"/>
        <v>16.60100299862308</v>
      </c>
      <c r="AF48" s="154">
        <f t="shared" si="14"/>
        <v>23.358370627856541</v>
      </c>
      <c r="AG48" s="154">
        <f t="shared" si="14"/>
        <v>40.81472426343413</v>
      </c>
      <c r="AH48" s="154">
        <f t="shared" si="14"/>
        <v>4.8469717443385694</v>
      </c>
      <c r="AI48" s="154">
        <f t="shared" si="14"/>
        <v>4.3987988675375602</v>
      </c>
      <c r="AJ48" s="154">
        <f t="shared" si="14"/>
        <v>3.8548977871396648</v>
      </c>
      <c r="AK48" s="154">
        <f t="shared" si="14"/>
        <v>7.8434092862725002</v>
      </c>
      <c r="AL48" s="154">
        <f t="shared" si="14"/>
        <v>4.657433893199677</v>
      </c>
      <c r="AM48" s="154">
        <f t="shared" si="14"/>
        <v>4.0126993166724159</v>
      </c>
      <c r="AN48" s="154">
        <f t="shared" si="14"/>
        <v>3.9122650835651536</v>
      </c>
      <c r="AO48" s="152"/>
    </row>
    <row r="49" spans="1:45" x14ac:dyDescent="0.25">
      <c r="A49" s="54" t="s">
        <v>85</v>
      </c>
      <c r="B49" s="154">
        <f>VLOOKUP(B48, Parameters!$AA$3:$AC$8, 1, TRUE)</f>
        <v>6.2</v>
      </c>
      <c r="C49" s="154">
        <f>VLOOKUP(C48, Parameters!$AA$3:$AC$8, 1, TRUE)</f>
        <v>6.2</v>
      </c>
      <c r="D49" s="154">
        <f>VLOOKUP(D48, Parameters!$AA$3:$AC$8, 1, TRUE)</f>
        <v>6.2</v>
      </c>
      <c r="E49" s="154">
        <f>VLOOKUP(E48, Parameters!$AA$3:$AC$8, 1, TRUE)</f>
        <v>6.2</v>
      </c>
      <c r="F49" s="154">
        <f>VLOOKUP(F48, Parameters!$AA$3:$AC$8, 1, TRUE)</f>
        <v>4.3</v>
      </c>
      <c r="G49" s="154">
        <f>VLOOKUP(G48, Parameters!$AA$3:$AC$8, 1, TRUE)</f>
        <v>6.2</v>
      </c>
      <c r="H49" s="154">
        <f>VLOOKUP(H48, Parameters!$AA$3:$AC$8, 1, TRUE)</f>
        <v>6.2</v>
      </c>
      <c r="I49" s="154">
        <f>VLOOKUP(I48, Parameters!$AA$3:$AC$8, 1, TRUE)</f>
        <v>3.1</v>
      </c>
      <c r="J49" s="154">
        <f>VLOOKUP(J48, Parameters!$AA$3:$AC$8, 1, TRUE)</f>
        <v>4.3</v>
      </c>
      <c r="K49" s="154">
        <f>VLOOKUP(K48, Parameters!$AA$3:$AC$8, 1, TRUE)</f>
        <v>4.3</v>
      </c>
      <c r="L49" s="154">
        <f>VLOOKUP(L48, Parameters!$AA$3:$AC$8, 1, TRUE)</f>
        <v>100</v>
      </c>
      <c r="M49" s="154">
        <f>VLOOKUP(M48, Parameters!$AA$3:$AC$8, 1, TRUE)</f>
        <v>6.2</v>
      </c>
      <c r="N49" s="154">
        <f>VLOOKUP(N48, Parameters!$AA$3:$AC$8, 1, TRUE)</f>
        <v>4.3</v>
      </c>
      <c r="O49" s="154">
        <f>VLOOKUP(O48, Parameters!$AA$3:$AC$8, 1, TRUE)</f>
        <v>3.1</v>
      </c>
      <c r="P49" s="154">
        <f>VLOOKUP(P48, Parameters!$AA$3:$AC$8, 1, TRUE)</f>
        <v>6.2</v>
      </c>
      <c r="Q49" s="154">
        <f>VLOOKUP(Q48, Parameters!$AA$3:$AC$8, 1, TRUE)</f>
        <v>1.3</v>
      </c>
      <c r="R49" s="154">
        <f>VLOOKUP(R48, Parameters!$AA$3:$AC$8, 1, TRUE)</f>
        <v>6.2</v>
      </c>
      <c r="S49" s="154">
        <f>VLOOKUP(S48, Parameters!$AA$3:$AC$8, 1, TRUE)</f>
        <v>6.2</v>
      </c>
      <c r="T49" s="154">
        <f>VLOOKUP(T48, Parameters!$AA$3:$AC$8, 1, TRUE)</f>
        <v>6.2</v>
      </c>
      <c r="U49" s="154">
        <f>VLOOKUP(U48, Parameters!$AA$3:$AC$8, 1, TRUE)</f>
        <v>1.3</v>
      </c>
      <c r="V49" s="154">
        <f>VLOOKUP(V48, Parameters!$AA$3:$AC$8, 1, TRUE)</f>
        <v>1.3</v>
      </c>
      <c r="W49" s="154">
        <f>VLOOKUP(W48, Parameters!$AA$3:$AC$8, 1, TRUE)</f>
        <v>1.3</v>
      </c>
      <c r="X49" s="154">
        <f>VLOOKUP(X48, Parameters!$AA$3:$AC$8, 1, TRUE)</f>
        <v>6.2</v>
      </c>
      <c r="Y49" s="154">
        <f>VLOOKUP(Y48, Parameters!$AA$3:$AC$8, 1, TRUE)</f>
        <v>6.2</v>
      </c>
      <c r="Z49" s="154">
        <f>VLOOKUP(Z48, Parameters!$AA$3:$AC$8, 1, TRUE)</f>
        <v>6.2</v>
      </c>
      <c r="AA49" s="154">
        <f>VLOOKUP(AA48, Parameters!$AA$3:$AC$8, 1, TRUE)</f>
        <v>4.3</v>
      </c>
      <c r="AB49" s="154">
        <f>VLOOKUP(AB48, Parameters!$AA$3:$AC$8, 1, TRUE)</f>
        <v>6.2</v>
      </c>
      <c r="AC49" s="154">
        <f>VLOOKUP(AC48, Parameters!$AA$3:$AC$8, 1, TRUE)</f>
        <v>6.2</v>
      </c>
      <c r="AD49" s="154">
        <f>VLOOKUP(AD48, Parameters!$AA$3:$AC$8, 1, TRUE)</f>
        <v>6.2</v>
      </c>
      <c r="AE49" s="154">
        <f>VLOOKUP(AE48, Parameters!$AA$3:$AC$8, 1, TRUE)</f>
        <v>6.2</v>
      </c>
      <c r="AF49" s="154">
        <f>VLOOKUP(AF48, Parameters!$AA$3:$AC$8, 1, TRUE)</f>
        <v>6.2</v>
      </c>
      <c r="AG49" s="154">
        <f>VLOOKUP(AG48, Parameters!$AA$3:$AC$8, 1, TRUE)</f>
        <v>6.2</v>
      </c>
      <c r="AH49" s="154">
        <f>VLOOKUP(AH48, Parameters!$AA$3:$AC$8, 1, TRUE)</f>
        <v>4.3</v>
      </c>
      <c r="AI49" s="154">
        <f>VLOOKUP(AI48, Parameters!$AA$3:$AC$8, 1, TRUE)</f>
        <v>4.3</v>
      </c>
      <c r="AJ49" s="154">
        <f>VLOOKUP(AJ48, Parameters!$AA$3:$AC$8, 1, TRUE)</f>
        <v>3.1</v>
      </c>
      <c r="AK49" s="154">
        <f>VLOOKUP(AK48, Parameters!$AA$3:$AC$8, 1, TRUE)</f>
        <v>6.2</v>
      </c>
      <c r="AL49" s="154">
        <f>VLOOKUP(AL48, Parameters!$AA$3:$AC$8, 1, TRUE)</f>
        <v>4.3</v>
      </c>
      <c r="AM49" s="154">
        <f>VLOOKUP(AM48, Parameters!$AA$3:$AC$8, 1, TRUE)</f>
        <v>3.1</v>
      </c>
      <c r="AN49" s="154">
        <f>VLOOKUP(AN48, Parameters!$AA$3:$AC$8, 1, TRUE)</f>
        <v>3.1</v>
      </c>
      <c r="AO49" s="152"/>
    </row>
    <row r="50" spans="1:45" x14ac:dyDescent="0.25">
      <c r="A50" s="54" t="s">
        <v>104</v>
      </c>
      <c r="B50" s="154">
        <f>VLOOKUP(B48, Parameters!$AA$3:$AC$8, 2, TRUE)</f>
        <v>8</v>
      </c>
      <c r="C50" s="154">
        <f>VLOOKUP(C48, Parameters!$AA$3:$AC$8, 2, TRUE)</f>
        <v>8</v>
      </c>
      <c r="D50" s="154">
        <f>VLOOKUP(D48, Parameters!$AA$3:$AC$8, 2, TRUE)</f>
        <v>8</v>
      </c>
      <c r="E50" s="154">
        <f>VLOOKUP(E48, Parameters!$AA$3:$AC$8, 2, TRUE)</f>
        <v>8</v>
      </c>
      <c r="F50" s="154">
        <f>VLOOKUP(F48, Parameters!$AA$3:$AC$8, 2, TRUE)</f>
        <v>4</v>
      </c>
      <c r="G50" s="154">
        <f>VLOOKUP(G48, Parameters!$AA$3:$AC$8, 2, TRUE)</f>
        <v>8</v>
      </c>
      <c r="H50" s="154">
        <f>VLOOKUP(H48, Parameters!$AA$3:$AC$8, 2, TRUE)</f>
        <v>8</v>
      </c>
      <c r="I50" s="154">
        <f>VLOOKUP(I48, Parameters!$AA$3:$AC$8, 2, TRUE)</f>
        <v>2</v>
      </c>
      <c r="J50" s="154">
        <f>VLOOKUP(J48, Parameters!$AA$3:$AC$8, 2, TRUE)</f>
        <v>4</v>
      </c>
      <c r="K50" s="154">
        <f>VLOOKUP(K48, Parameters!$AA$3:$AC$8, 2, TRUE)</f>
        <v>4</v>
      </c>
      <c r="L50" s="154">
        <f>VLOOKUP(L48, Parameters!$AA$3:$AC$8, 2, TRUE)</f>
        <v>8</v>
      </c>
      <c r="M50" s="154">
        <f>VLOOKUP(M48, Parameters!$AA$3:$AC$8, 2, TRUE)</f>
        <v>8</v>
      </c>
      <c r="N50" s="154">
        <f>VLOOKUP(N48, Parameters!$AA$3:$AC$8, 2, TRUE)</f>
        <v>4</v>
      </c>
      <c r="O50" s="154">
        <f>VLOOKUP(O48, Parameters!$AA$3:$AC$8, 2, TRUE)</f>
        <v>2</v>
      </c>
      <c r="P50" s="154">
        <f>VLOOKUP(P48, Parameters!$AA$3:$AC$8, 2, TRUE)</f>
        <v>8</v>
      </c>
      <c r="Q50" s="154">
        <f>VLOOKUP(Q48, Parameters!$AA$3:$AC$8, 2, TRUE)</f>
        <v>1</v>
      </c>
      <c r="R50" s="154">
        <f>VLOOKUP(R48, Parameters!$AA$3:$AC$8, 2, TRUE)</f>
        <v>8</v>
      </c>
      <c r="S50" s="154">
        <f>VLOOKUP(S48, Parameters!$AA$3:$AC$8, 2, TRUE)</f>
        <v>8</v>
      </c>
      <c r="T50" s="154">
        <f>VLOOKUP(T48, Parameters!$AA$3:$AC$8, 2, TRUE)</f>
        <v>8</v>
      </c>
      <c r="U50" s="154">
        <f>VLOOKUP(U48, Parameters!$AA$3:$AC$8, 2, TRUE)</f>
        <v>1</v>
      </c>
      <c r="V50" s="154">
        <f>VLOOKUP(V48, Parameters!$AA$3:$AC$8, 2, TRUE)</f>
        <v>1</v>
      </c>
      <c r="W50" s="154">
        <f>VLOOKUP(W48, Parameters!$AA$3:$AC$8, 2, TRUE)</f>
        <v>1</v>
      </c>
      <c r="X50" s="154">
        <f>VLOOKUP(X48, Parameters!$AA$3:$AC$8, 2, TRUE)</f>
        <v>8</v>
      </c>
      <c r="Y50" s="154">
        <f>VLOOKUP(Y48, Parameters!$AA$3:$AC$8, 2, TRUE)</f>
        <v>8</v>
      </c>
      <c r="Z50" s="154">
        <f>VLOOKUP(Z48, Parameters!$AA$3:$AC$8, 2, TRUE)</f>
        <v>8</v>
      </c>
      <c r="AA50" s="154">
        <f>VLOOKUP(AA48, Parameters!$AA$3:$AC$8, 2, TRUE)</f>
        <v>4</v>
      </c>
      <c r="AB50" s="154">
        <f>VLOOKUP(AB48, Parameters!$AA$3:$AC$8, 2, TRUE)</f>
        <v>8</v>
      </c>
      <c r="AC50" s="154">
        <f>VLOOKUP(AC48, Parameters!$AA$3:$AC$8, 2, TRUE)</f>
        <v>8</v>
      </c>
      <c r="AD50" s="154">
        <f>VLOOKUP(AD48, Parameters!$AA$3:$AC$8, 2, TRUE)</f>
        <v>8</v>
      </c>
      <c r="AE50" s="154">
        <f>VLOOKUP(AE48, Parameters!$AA$3:$AC$8, 2, TRUE)</f>
        <v>8</v>
      </c>
      <c r="AF50" s="154">
        <f>VLOOKUP(AF48, Parameters!$AA$3:$AC$8, 2, TRUE)</f>
        <v>8</v>
      </c>
      <c r="AG50" s="154">
        <f>VLOOKUP(AG48, Parameters!$AA$3:$AC$8, 2, TRUE)</f>
        <v>8</v>
      </c>
      <c r="AH50" s="154">
        <f>VLOOKUP(AH48, Parameters!$AA$3:$AC$8, 2, TRUE)</f>
        <v>4</v>
      </c>
      <c r="AI50" s="154">
        <f>VLOOKUP(AI48, Parameters!$AA$3:$AC$8, 2, TRUE)</f>
        <v>4</v>
      </c>
      <c r="AJ50" s="154">
        <f>VLOOKUP(AJ48, Parameters!$AA$3:$AC$8, 2, TRUE)</f>
        <v>2</v>
      </c>
      <c r="AK50" s="154">
        <f>VLOOKUP(AK48, Parameters!$AA$3:$AC$8, 2, TRUE)</f>
        <v>8</v>
      </c>
      <c r="AL50" s="154">
        <f>VLOOKUP(AL48, Parameters!$AA$3:$AC$8, 2, TRUE)</f>
        <v>4</v>
      </c>
      <c r="AM50" s="154">
        <f>VLOOKUP(AM48, Parameters!$AA$3:$AC$8, 2, TRUE)</f>
        <v>2</v>
      </c>
      <c r="AN50" s="154">
        <f>VLOOKUP(AN48, Parameters!$AA$3:$AC$8, 2, TRUE)</f>
        <v>2</v>
      </c>
      <c r="AO50" s="152"/>
    </row>
    <row r="51" spans="1:45" x14ac:dyDescent="0.25">
      <c r="A51" s="54" t="s">
        <v>83</v>
      </c>
      <c r="B51" s="154">
        <f>VLOOKUP(B48, Parameters!$AA$3:$AC$8, 3, TRUE)</f>
        <v>0</v>
      </c>
      <c r="C51" s="154">
        <f>VLOOKUP(C48, Parameters!$AA$3:$AC$8, 3, TRUE)</f>
        <v>0</v>
      </c>
      <c r="D51" s="154">
        <f>VLOOKUP(D48, Parameters!$AA$3:$AC$8, 3, TRUE)</f>
        <v>0</v>
      </c>
      <c r="E51" s="154">
        <f>VLOOKUP(E48, Parameters!$AA$3:$AC$8, 3, TRUE)</f>
        <v>0</v>
      </c>
      <c r="F51" s="154">
        <f>VLOOKUP(F48, Parameters!$AA$3:$AC$8, 3, TRUE)</f>
        <v>2.1052631578947363</v>
      </c>
      <c r="G51" s="154">
        <f>VLOOKUP(G48, Parameters!$AA$3:$AC$8, 3, TRUE)</f>
        <v>0</v>
      </c>
      <c r="H51" s="154">
        <f>VLOOKUP(H48, Parameters!$AA$3:$AC$8, 3, TRUE)</f>
        <v>0</v>
      </c>
      <c r="I51" s="154">
        <f>VLOOKUP(I48, Parameters!$AA$3:$AC$8, 3, TRUE)</f>
        <v>1.666666666666667</v>
      </c>
      <c r="J51" s="154">
        <f>VLOOKUP(J48, Parameters!$AA$3:$AC$8, 3, TRUE)</f>
        <v>2.1052631578947363</v>
      </c>
      <c r="K51" s="154">
        <f>VLOOKUP(K48, Parameters!$AA$3:$AC$8, 3, TRUE)</f>
        <v>2.1052631578947363</v>
      </c>
      <c r="L51" s="154">
        <f>VLOOKUP(L48, Parameters!$AA$3:$AC$8, 3, TRUE)</f>
        <v>0</v>
      </c>
      <c r="M51" s="154">
        <f>VLOOKUP(M48, Parameters!$AA$3:$AC$8, 3, TRUE)</f>
        <v>0</v>
      </c>
      <c r="N51" s="154">
        <f>VLOOKUP(N48, Parameters!$AA$3:$AC$8, 3, TRUE)</f>
        <v>2.1052631578947363</v>
      </c>
      <c r="O51" s="154">
        <f>VLOOKUP(O48, Parameters!$AA$3:$AC$8, 3, TRUE)</f>
        <v>1.666666666666667</v>
      </c>
      <c r="P51" s="154">
        <f>VLOOKUP(P48, Parameters!$AA$3:$AC$8, 3, TRUE)</f>
        <v>0</v>
      </c>
      <c r="Q51" s="154">
        <f>VLOOKUP(Q48, Parameters!$AA$3:$AC$8, 3, TRUE)</f>
        <v>0.55555555555555558</v>
      </c>
      <c r="R51" s="154">
        <f>VLOOKUP(R48, Parameters!$AA$3:$AC$8, 3, TRUE)</f>
        <v>0</v>
      </c>
      <c r="S51" s="154">
        <f>VLOOKUP(S48, Parameters!$AA$3:$AC$8, 3, TRUE)</f>
        <v>0</v>
      </c>
      <c r="T51" s="154">
        <f>VLOOKUP(T48, Parameters!$AA$3:$AC$8, 3, TRUE)</f>
        <v>0</v>
      </c>
      <c r="U51" s="154">
        <f>VLOOKUP(U48, Parameters!$AA$3:$AC$8, 3, TRUE)</f>
        <v>0.55555555555555558</v>
      </c>
      <c r="V51" s="154">
        <f>VLOOKUP(V48, Parameters!$AA$3:$AC$8, 3, TRUE)</f>
        <v>0.55555555555555558</v>
      </c>
      <c r="W51" s="154">
        <f>VLOOKUP(W48, Parameters!$AA$3:$AC$8, 3, TRUE)</f>
        <v>0.55555555555555558</v>
      </c>
      <c r="X51" s="154">
        <f>VLOOKUP(X48, Parameters!$AA$3:$AC$8, 3, TRUE)</f>
        <v>0</v>
      </c>
      <c r="Y51" s="154">
        <f>VLOOKUP(Y48, Parameters!$AA$3:$AC$8, 3, TRUE)</f>
        <v>0</v>
      </c>
      <c r="Z51" s="154">
        <f>VLOOKUP(Z48, Parameters!$AA$3:$AC$8, 3, TRUE)</f>
        <v>0</v>
      </c>
      <c r="AA51" s="154">
        <f>VLOOKUP(AA48, Parameters!$AA$3:$AC$8, 3, TRUE)</f>
        <v>2.1052631578947363</v>
      </c>
      <c r="AB51" s="154">
        <f>VLOOKUP(AB48, Parameters!$AA$3:$AC$8, 3, TRUE)</f>
        <v>0</v>
      </c>
      <c r="AC51" s="154">
        <f>VLOOKUP(AC48, Parameters!$AA$3:$AC$8, 3, TRUE)</f>
        <v>0</v>
      </c>
      <c r="AD51" s="154">
        <f>VLOOKUP(AD48, Parameters!$AA$3:$AC$8, 3, TRUE)</f>
        <v>0</v>
      </c>
      <c r="AE51" s="154">
        <f>VLOOKUP(AE48, Parameters!$AA$3:$AC$8, 3, TRUE)</f>
        <v>0</v>
      </c>
      <c r="AF51" s="154">
        <f>VLOOKUP(AF48, Parameters!$AA$3:$AC$8, 3, TRUE)</f>
        <v>0</v>
      </c>
      <c r="AG51" s="154">
        <f>VLOOKUP(AG48, Parameters!$AA$3:$AC$8, 3, TRUE)</f>
        <v>0</v>
      </c>
      <c r="AH51" s="154">
        <f>VLOOKUP(AH48, Parameters!$AA$3:$AC$8, 3, TRUE)</f>
        <v>2.1052631578947363</v>
      </c>
      <c r="AI51" s="154">
        <f>VLOOKUP(AI48, Parameters!$AA$3:$AC$8, 3, TRUE)</f>
        <v>2.1052631578947363</v>
      </c>
      <c r="AJ51" s="154">
        <f>VLOOKUP(AJ48, Parameters!$AA$3:$AC$8, 3, TRUE)</f>
        <v>1.666666666666667</v>
      </c>
      <c r="AK51" s="154">
        <f>VLOOKUP(AK48, Parameters!$AA$3:$AC$8, 3, TRUE)</f>
        <v>0</v>
      </c>
      <c r="AL51" s="154">
        <f>VLOOKUP(AL48, Parameters!$AA$3:$AC$8, 3, TRUE)</f>
        <v>2.1052631578947363</v>
      </c>
      <c r="AM51" s="154">
        <f>VLOOKUP(AM48, Parameters!$AA$3:$AC$8, 3, TRUE)</f>
        <v>1.666666666666667</v>
      </c>
      <c r="AN51" s="154">
        <f>VLOOKUP(AN48, Parameters!$AA$3:$AC$8, 3, TRUE)</f>
        <v>1.666666666666667</v>
      </c>
      <c r="AO51" s="152"/>
    </row>
    <row r="52" spans="1:45" x14ac:dyDescent="0.25">
      <c r="A52" s="56" t="s">
        <v>102</v>
      </c>
      <c r="B52" s="154">
        <f t="shared" ref="B52:AN52" si="15">B50+B51*(B48-B49)</f>
        <v>8</v>
      </c>
      <c r="C52" s="154">
        <f t="shared" si="15"/>
        <v>8</v>
      </c>
      <c r="D52" s="154">
        <f t="shared" si="15"/>
        <v>8</v>
      </c>
      <c r="E52" s="154">
        <f t="shared" si="15"/>
        <v>8</v>
      </c>
      <c r="F52" s="154">
        <f t="shared" si="15"/>
        <v>4.7175828804690694</v>
      </c>
      <c r="G52" s="154">
        <f t="shared" si="15"/>
        <v>8</v>
      </c>
      <c r="H52" s="154">
        <f t="shared" si="15"/>
        <v>8</v>
      </c>
      <c r="I52" s="154">
        <f t="shared" si="15"/>
        <v>3.1092453515035965</v>
      </c>
      <c r="J52" s="154">
        <f t="shared" si="15"/>
        <v>4.1737081018833413</v>
      </c>
      <c r="K52" s="154">
        <f t="shared" si="15"/>
        <v>4.2798511682123257</v>
      </c>
      <c r="L52" s="154">
        <f t="shared" si="15"/>
        <v>8</v>
      </c>
      <c r="M52" s="154">
        <f t="shared" si="15"/>
        <v>8</v>
      </c>
      <c r="N52" s="154">
        <f t="shared" si="15"/>
        <v>7.749586435835802</v>
      </c>
      <c r="O52" s="154">
        <f t="shared" si="15"/>
        <v>3.9255802485376434</v>
      </c>
      <c r="P52" s="154">
        <f t="shared" si="15"/>
        <v>8</v>
      </c>
      <c r="Q52" s="154">
        <f t="shared" si="15"/>
        <v>1.1544439466531122</v>
      </c>
      <c r="R52" s="154">
        <f t="shared" si="15"/>
        <v>8</v>
      </c>
      <c r="S52" s="154">
        <f t="shared" si="15"/>
        <v>8</v>
      </c>
      <c r="T52" s="154">
        <f t="shared" si="15"/>
        <v>8</v>
      </c>
      <c r="U52" s="154">
        <f t="shared" si="15"/>
        <v>1.9694856606169249</v>
      </c>
      <c r="V52" s="154">
        <f t="shared" si="15"/>
        <v>1.0755690284082331</v>
      </c>
      <c r="W52" s="154">
        <f t="shared" si="15"/>
        <v>1.7628525975693423</v>
      </c>
      <c r="X52" s="154">
        <f t="shared" si="15"/>
        <v>8</v>
      </c>
      <c r="Y52" s="154">
        <f t="shared" si="15"/>
        <v>8</v>
      </c>
      <c r="Z52" s="154">
        <f t="shared" si="15"/>
        <v>8</v>
      </c>
      <c r="AA52" s="154">
        <f t="shared" si="15"/>
        <v>7.1346877254162369</v>
      </c>
      <c r="AB52" s="154">
        <f t="shared" si="15"/>
        <v>8</v>
      </c>
      <c r="AC52" s="154">
        <f t="shared" si="15"/>
        <v>8</v>
      </c>
      <c r="AD52" s="154">
        <f t="shared" si="15"/>
        <v>8</v>
      </c>
      <c r="AE52" s="154">
        <f t="shared" si="15"/>
        <v>8</v>
      </c>
      <c r="AF52" s="154">
        <f t="shared" si="15"/>
        <v>8</v>
      </c>
      <c r="AG52" s="154">
        <f t="shared" si="15"/>
        <v>8</v>
      </c>
      <c r="AH52" s="154">
        <f t="shared" si="15"/>
        <v>5.1515194617654094</v>
      </c>
      <c r="AI52" s="154">
        <f t="shared" si="15"/>
        <v>4.2079976158685479</v>
      </c>
      <c r="AJ52" s="154">
        <f t="shared" si="15"/>
        <v>3.2581629785661081</v>
      </c>
      <c r="AK52" s="154">
        <f t="shared" si="15"/>
        <v>8</v>
      </c>
      <c r="AL52" s="154">
        <f t="shared" si="15"/>
        <v>4.7524924067361622</v>
      </c>
      <c r="AM52" s="154">
        <f t="shared" si="15"/>
        <v>3.5211655277873599</v>
      </c>
      <c r="AN52" s="154">
        <f t="shared" si="15"/>
        <v>3.3537751392752559</v>
      </c>
      <c r="AO52" s="152"/>
    </row>
    <row r="53" spans="1:45" x14ac:dyDescent="0.25">
      <c r="A53" s="56" t="s">
        <v>101</v>
      </c>
      <c r="B53" s="154">
        <f t="shared" ref="B53:AN53" si="16">B52*1.5</f>
        <v>12</v>
      </c>
      <c r="C53" s="154">
        <f t="shared" si="16"/>
        <v>12</v>
      </c>
      <c r="D53" s="154">
        <f t="shared" si="16"/>
        <v>12</v>
      </c>
      <c r="E53" s="154">
        <f t="shared" si="16"/>
        <v>12</v>
      </c>
      <c r="F53" s="154">
        <f t="shared" si="16"/>
        <v>7.0763743207036036</v>
      </c>
      <c r="G53" s="154">
        <f t="shared" si="16"/>
        <v>12</v>
      </c>
      <c r="H53" s="154">
        <f t="shared" si="16"/>
        <v>12</v>
      </c>
      <c r="I53" s="154">
        <f t="shared" si="16"/>
        <v>4.6638680272553952</v>
      </c>
      <c r="J53" s="154">
        <f t="shared" si="16"/>
        <v>6.2605621528250115</v>
      </c>
      <c r="K53" s="154">
        <f t="shared" si="16"/>
        <v>6.419776752318489</v>
      </c>
      <c r="L53" s="154">
        <f t="shared" si="16"/>
        <v>12</v>
      </c>
      <c r="M53" s="154">
        <f t="shared" si="16"/>
        <v>12</v>
      </c>
      <c r="N53" s="154">
        <f t="shared" si="16"/>
        <v>11.624379653753703</v>
      </c>
      <c r="O53" s="154">
        <f t="shared" si="16"/>
        <v>5.8883703728064649</v>
      </c>
      <c r="P53" s="154">
        <f t="shared" si="16"/>
        <v>12</v>
      </c>
      <c r="Q53" s="154">
        <f t="shared" si="16"/>
        <v>1.7316659199796685</v>
      </c>
      <c r="R53" s="154">
        <f t="shared" si="16"/>
        <v>12</v>
      </c>
      <c r="S53" s="154">
        <f t="shared" si="16"/>
        <v>12</v>
      </c>
      <c r="T53" s="154">
        <f t="shared" si="16"/>
        <v>12</v>
      </c>
      <c r="U53" s="154">
        <f t="shared" si="16"/>
        <v>2.9542284909253871</v>
      </c>
      <c r="V53" s="154">
        <f t="shared" si="16"/>
        <v>1.6133535426123498</v>
      </c>
      <c r="W53" s="154">
        <f t="shared" si="16"/>
        <v>2.6442788963540136</v>
      </c>
      <c r="X53" s="154">
        <f t="shared" si="16"/>
        <v>12</v>
      </c>
      <c r="Y53" s="154">
        <f t="shared" si="16"/>
        <v>12</v>
      </c>
      <c r="Z53" s="154">
        <f t="shared" si="16"/>
        <v>12</v>
      </c>
      <c r="AA53" s="154">
        <f t="shared" si="16"/>
        <v>10.702031588124356</v>
      </c>
      <c r="AB53" s="154">
        <f t="shared" si="16"/>
        <v>12</v>
      </c>
      <c r="AC53" s="154">
        <f t="shared" si="16"/>
        <v>12</v>
      </c>
      <c r="AD53" s="154">
        <f t="shared" si="16"/>
        <v>12</v>
      </c>
      <c r="AE53" s="154">
        <f t="shared" si="16"/>
        <v>12</v>
      </c>
      <c r="AF53" s="154">
        <f t="shared" si="16"/>
        <v>12</v>
      </c>
      <c r="AG53" s="154">
        <f t="shared" si="16"/>
        <v>12</v>
      </c>
      <c r="AH53" s="154">
        <f t="shared" si="16"/>
        <v>7.7272791926481137</v>
      </c>
      <c r="AI53" s="154">
        <f t="shared" si="16"/>
        <v>6.3119964238028219</v>
      </c>
      <c r="AJ53" s="154">
        <f t="shared" si="16"/>
        <v>4.887244467849162</v>
      </c>
      <c r="AK53" s="154">
        <f t="shared" si="16"/>
        <v>12</v>
      </c>
      <c r="AL53" s="154">
        <f t="shared" si="16"/>
        <v>7.1287386101042429</v>
      </c>
      <c r="AM53" s="154">
        <f t="shared" si="16"/>
        <v>5.2817482916810397</v>
      </c>
      <c r="AN53" s="154">
        <f t="shared" si="16"/>
        <v>5.0306627089128835</v>
      </c>
      <c r="AO53" s="152">
        <f>SUMPRODUCT(B53:AN53*B5:AN5)/AO5</f>
        <v>8.5278753384703414</v>
      </c>
    </row>
    <row r="54" spans="1:45" x14ac:dyDescent="0.25">
      <c r="AO54" s="152"/>
    </row>
    <row r="55" spans="1:45" customFormat="1" ht="21" x14ac:dyDescent="0.35">
      <c r="A55" s="19" t="s">
        <v>21</v>
      </c>
      <c r="B55" s="146"/>
      <c r="C55" s="146"/>
      <c r="D55" s="146"/>
      <c r="E55" s="146"/>
      <c r="F55" s="146"/>
      <c r="G55" s="146"/>
      <c r="H55" s="146"/>
      <c r="I55" s="146"/>
      <c r="J55" s="146"/>
      <c r="K55" s="146"/>
      <c r="L55" s="146"/>
      <c r="M55" s="146"/>
      <c r="N55" s="146"/>
      <c r="O55" s="146"/>
      <c r="P55" s="146"/>
      <c r="Q55" s="146"/>
      <c r="R55" s="146"/>
      <c r="S55" s="146"/>
      <c r="T55" s="146"/>
      <c r="U55" s="146"/>
      <c r="V55" s="146"/>
      <c r="W55" s="146"/>
      <c r="X55" s="146"/>
      <c r="Y55" s="146"/>
      <c r="Z55" s="146"/>
      <c r="AA55" s="146"/>
      <c r="AB55" s="146"/>
      <c r="AC55" s="146"/>
      <c r="AD55" s="146"/>
      <c r="AE55" s="146"/>
      <c r="AF55" s="146"/>
      <c r="AG55" s="146"/>
      <c r="AH55" s="146"/>
      <c r="AI55" s="146"/>
      <c r="AJ55" s="146"/>
      <c r="AK55" s="146"/>
      <c r="AL55" s="146"/>
      <c r="AM55" s="146"/>
      <c r="AN55" s="146"/>
      <c r="AO55" s="43"/>
    </row>
    <row r="56" spans="1:45" x14ac:dyDescent="0.25">
      <c r="A56" s="148" t="s">
        <v>1177</v>
      </c>
      <c r="B56" s="159">
        <f>IF(Main!$F$282=1,Buffer!B32,Buffer!B12)*Returns_Per_A!$C$86*Buffer!B14/Returns_Per_A!$C$85</f>
        <v>36462.366841759074</v>
      </c>
      <c r="C56" s="159">
        <f>IF(Main!$F$282=1,Buffer!C32,Buffer!C12)*Returns_Per_A!$C$86*Buffer!C14/Returns_Per_A!$C$85</f>
        <v>4426.229063657579</v>
      </c>
      <c r="D56" s="159">
        <f>IF(Main!$F$282=1,Buffer!D32,Buffer!D12)*Returns_Per_A!$C$86*Buffer!D14/Returns_Per_A!$C$85</f>
        <v>50065.083195374958</v>
      </c>
      <c r="E56" s="159">
        <f>IF(Main!$F$282=1,Buffer!E32,Buffer!E12)*Returns_Per_A!$C$86*Buffer!E14/Returns_Per_A!$C$85</f>
        <v>16275.457613293971</v>
      </c>
      <c r="F56" s="159">
        <f>IF(Main!$F$282=1,Buffer!F32,Buffer!F12)*Returns_Per_A!$C$86*Buffer!F14/Returns_Per_A!$C$85</f>
        <v>29805.765420195319</v>
      </c>
      <c r="G56" s="159">
        <f>IF(Main!$F$282=1,Buffer!G32,Buffer!G12)*Returns_Per_A!$C$86*Buffer!G14/Returns_Per_A!$C$85</f>
        <v>0</v>
      </c>
      <c r="H56" s="159">
        <f>IF(Main!$F$282=1,Buffer!H32,Buffer!H12)*Returns_Per_A!$C$86*Buffer!H14/Returns_Per_A!$C$85</f>
        <v>6944.3759163211853</v>
      </c>
      <c r="I56" s="159">
        <f>IF(Main!$F$282=1,Buffer!I32,Buffer!I12)*Returns_Per_A!$C$86*Buffer!I14/Returns_Per_A!$C$85</f>
        <v>42890.54944476689</v>
      </c>
      <c r="J56" s="159">
        <f>IF(Main!$F$282=1,Buffer!J32,Buffer!J12)*Returns_Per_A!$C$86*Buffer!J14/Returns_Per_A!$C$85</f>
        <v>11380.358472653643</v>
      </c>
      <c r="K56" s="159">
        <f>IF(Main!$F$282=1,Buffer!K32,Buffer!K12)*Returns_Per_A!$C$86*Buffer!K14/Returns_Per_A!$C$85</f>
        <v>23689.42157193759</v>
      </c>
      <c r="L56" s="159">
        <f>IF(Main!$F$282=1,Buffer!L32,Buffer!L12)*Returns_Per_A!$C$86*Buffer!L14/Returns_Per_A!$C$85</f>
        <v>0</v>
      </c>
      <c r="M56" s="159">
        <f>IF(Main!$F$282=1,Buffer!M32,Buffer!M12)*Returns_Per_A!$C$86*Buffer!M14/Returns_Per_A!$C$85</f>
        <v>8678.0201707082197</v>
      </c>
      <c r="N56" s="159">
        <f>IF(Main!$F$282=1,Buffer!N32,Buffer!N12)*Returns_Per_A!$C$86*Buffer!N14/Returns_Per_A!$C$85</f>
        <v>26722.33421688314</v>
      </c>
      <c r="O56" s="159">
        <f>IF(Main!$F$282=1,Buffer!O32,Buffer!O12)*Returns_Per_A!$C$86*Buffer!O14/Returns_Per_A!$C$85</f>
        <v>27327.180991254914</v>
      </c>
      <c r="P56" s="159">
        <f>IF(Main!$F$282=1,Buffer!P32,Buffer!P12)*Returns_Per_A!$C$86*Buffer!P14/Returns_Per_A!$C$85</f>
        <v>10024.444668824226</v>
      </c>
      <c r="Q56" s="159">
        <f>IF(Main!$F$282=1,Buffer!Q32,Buffer!Q12)*Returns_Per_A!$C$86*Buffer!Q14/Returns_Per_A!$C$85</f>
        <v>3762.7865736975755</v>
      </c>
      <c r="R56" s="159">
        <f>IF(Main!$F$282=1,Buffer!R32,Buffer!R12)*Returns_Per_A!$C$86*Buffer!R14/Returns_Per_A!$C$85</f>
        <v>0</v>
      </c>
      <c r="S56" s="159">
        <f>IF(Main!$F$282=1,Buffer!S32,Buffer!S12)*Returns_Per_A!$C$86*Buffer!S14/Returns_Per_A!$C$85</f>
        <v>6877.3507219657267</v>
      </c>
      <c r="T56" s="159">
        <f>IF(Main!$F$282=1,Buffer!T32,Buffer!T12)*Returns_Per_A!$C$86*Buffer!T14/Returns_Per_A!$C$85</f>
        <v>0</v>
      </c>
      <c r="U56" s="159">
        <f>IF(Main!$F$282=1,Buffer!U32,Buffer!U12)*Returns_Per_A!$C$86*Buffer!U14/Returns_Per_A!$C$85</f>
        <v>1912.6445020810995</v>
      </c>
      <c r="V56" s="159">
        <f>IF(Main!$F$282=1,Buffer!V32,Buffer!V12)*Returns_Per_A!$C$86*Buffer!V14/Returns_Per_A!$C$85</f>
        <v>881.37191763935436</v>
      </c>
      <c r="W56" s="159">
        <f>IF(Main!$F$282=1,Buffer!W32,Buffer!W12)*Returns_Per_A!$C$86*Buffer!W14/Returns_Per_A!$C$85</f>
        <v>14443.309162570997</v>
      </c>
      <c r="X56" s="159">
        <f>IF(Main!$F$282=1,Buffer!X32,Buffer!X12)*Returns_Per_A!$C$86*Buffer!X14/Returns_Per_A!$C$85</f>
        <v>4977.1198998911395</v>
      </c>
      <c r="Y56" s="159">
        <f>IF(Main!$F$282=1,Buffer!Y32,Buffer!Y12)*Returns_Per_A!$C$86*Buffer!Y14/Returns_Per_A!$C$85</f>
        <v>33857.952289666762</v>
      </c>
      <c r="Z56" s="159">
        <f>IF(Main!$F$282=1,Buffer!Z32,Buffer!Z12)*Returns_Per_A!$C$86*Buffer!Z14/Returns_Per_A!$C$85</f>
        <v>57817.087772766929</v>
      </c>
      <c r="AA56" s="159">
        <f>IF(Main!$F$282=1,Buffer!AA32,Buffer!AA12)*Returns_Per_A!$C$86*Buffer!AA14/Returns_Per_A!$C$85</f>
        <v>6100.4239713426368</v>
      </c>
      <c r="AB56" s="159">
        <f>IF(Main!$F$282=1,Buffer!AB32,Buffer!AB12)*Returns_Per_A!$C$86*Buffer!AB14/Returns_Per_A!$C$85</f>
        <v>35085.428883361863</v>
      </c>
      <c r="AC56" s="159">
        <f>IF(Main!$F$282=1,Buffer!AC32,Buffer!AC12)*Returns_Per_A!$C$86*Buffer!AC14/Returns_Per_A!$C$85</f>
        <v>1606.2246614353492</v>
      </c>
      <c r="AD56" s="159">
        <f>IF(Main!$F$282=1,Buffer!AD32,Buffer!AD12)*Returns_Per_A!$C$86*Buffer!AD14/Returns_Per_A!$C$85</f>
        <v>2353.3098680773478</v>
      </c>
      <c r="AE56" s="159">
        <f>IF(Main!$F$282=1,Buffer!AE32,Buffer!AE12)*Returns_Per_A!$C$86*Buffer!AE14/Returns_Per_A!$C$85</f>
        <v>5801.2511655727467</v>
      </c>
      <c r="AF56" s="159">
        <f>IF(Main!$F$282=1,Buffer!AF32,Buffer!AF12)*Returns_Per_A!$C$86*Buffer!AF14/Returns_Per_A!$C$85</f>
        <v>12612.121571192549</v>
      </c>
      <c r="AG56" s="159">
        <f>IF(Main!$F$282=1,Buffer!AG32,Buffer!AG12)*Returns_Per_A!$C$86*Buffer!AG14/Returns_Per_A!$C$85</f>
        <v>3517.4498266065539</v>
      </c>
      <c r="AH56" s="159">
        <f>IF(Main!$F$282=1,Buffer!AH32,Buffer!AH12)*Returns_Per_A!$C$86*Buffer!AH14/Returns_Per_A!$C$85</f>
        <v>39208.163184813711</v>
      </c>
      <c r="AI56" s="159">
        <f>IF(Main!$F$282=1,Buffer!AI32,Buffer!AI12)*Returns_Per_A!$C$86*Buffer!AI14/Returns_Per_A!$C$85</f>
        <v>3600.3094914840744</v>
      </c>
      <c r="AJ56" s="159">
        <f>IF(Main!$F$282=1,Buffer!AJ32,Buffer!AJ12)*Returns_Per_A!$C$86*Buffer!AJ14/Returns_Per_A!$C$85</f>
        <v>19102.32006034915</v>
      </c>
      <c r="AK56" s="159">
        <f>IF(Main!$F$282=1,Buffer!AK32,Buffer!AK12)*Returns_Per_A!$C$86*Buffer!AK14/Returns_Per_A!$C$85</f>
        <v>22131.539492325053</v>
      </c>
      <c r="AL56" s="159">
        <f>IF(Main!$F$282=1,Buffer!AL32,Buffer!AL12)*Returns_Per_A!$C$86*Buffer!AL14/Returns_Per_A!$C$85</f>
        <v>35053.428783207572</v>
      </c>
      <c r="AM56" s="159">
        <f>IF(Main!$F$282=1,Buffer!AM32,Buffer!AM12)*Returns_Per_A!$C$86*Buffer!AM14/Returns_Per_A!$C$85</f>
        <v>20179.983067060526</v>
      </c>
      <c r="AN56" s="159">
        <f>IF(Main!$F$282=1,Buffer!AN32,Buffer!AN12)*Returns_Per_A!$C$86*Buffer!AN14/Returns_Per_A!$C$85</f>
        <v>22332.959929034951</v>
      </c>
      <c r="AO56" s="158">
        <f>SUM(B56:AN56)</f>
        <v>647906.12438377424</v>
      </c>
      <c r="AP56" s="166">
        <f>AO56/AO5</f>
        <v>3.2976908354419417E-2</v>
      </c>
      <c r="AQ56"/>
      <c r="AR56"/>
      <c r="AS56"/>
    </row>
    <row r="57" spans="1:45" customFormat="1" x14ac:dyDescent="0.25">
      <c r="A57" s="148" t="str">
        <f>"Unbuffered % Ag w/in filtered area"</f>
        <v>Unbuffered % Ag w/in filtered area</v>
      </c>
      <c r="B57" s="161">
        <f t="shared" ref="B57:AN57" si="17">IF(B5&gt;0,B56/B5,0)</f>
        <v>3.0806017657777345E-2</v>
      </c>
      <c r="C57" s="161">
        <f t="shared" si="17"/>
        <v>4.62246380735159E-2</v>
      </c>
      <c r="D57" s="161">
        <f t="shared" si="17"/>
        <v>0.13025458219661054</v>
      </c>
      <c r="E57" s="161">
        <f t="shared" si="17"/>
        <v>3.091258087094647E-2</v>
      </c>
      <c r="F57" s="161">
        <f t="shared" si="17"/>
        <v>2.7400901120627607E-2</v>
      </c>
      <c r="G57" s="161">
        <f t="shared" si="17"/>
        <v>0</v>
      </c>
      <c r="H57" s="161">
        <f t="shared" si="17"/>
        <v>1.4559192754184011E-2</v>
      </c>
      <c r="I57" s="161">
        <f t="shared" si="17"/>
        <v>2.4056864000891954E-2</v>
      </c>
      <c r="J57" s="161">
        <f t="shared" si="17"/>
        <v>2.482466057312617E-2</v>
      </c>
      <c r="K57" s="161">
        <f t="shared" si="17"/>
        <v>2.8918590890595654E-2</v>
      </c>
      <c r="L57" s="161">
        <f t="shared" si="17"/>
        <v>0</v>
      </c>
      <c r="M57" s="161">
        <f t="shared" si="17"/>
        <v>3.2789429183110737E-2</v>
      </c>
      <c r="N57" s="161">
        <f t="shared" si="17"/>
        <v>3.4716349308960434E-2</v>
      </c>
      <c r="O57" s="161">
        <f t="shared" si="17"/>
        <v>3.2977009699597201E-2</v>
      </c>
      <c r="P57" s="161">
        <f t="shared" si="17"/>
        <v>4.1453376509232649E-2</v>
      </c>
      <c r="Q57" s="161">
        <f t="shared" si="17"/>
        <v>1.524541741207234E-2</v>
      </c>
      <c r="R57" s="161">
        <f t="shared" si="17"/>
        <v>0</v>
      </c>
      <c r="S57" s="161">
        <f t="shared" si="17"/>
        <v>3.8583322553502546E-2</v>
      </c>
      <c r="T57" s="161">
        <f t="shared" si="17"/>
        <v>0</v>
      </c>
      <c r="U57" s="161">
        <f t="shared" si="17"/>
        <v>1.7982544586723756E-2</v>
      </c>
      <c r="V57" s="161">
        <f t="shared" si="17"/>
        <v>1.3719342272710343E-2</v>
      </c>
      <c r="W57" s="161">
        <f t="shared" si="17"/>
        <v>2.7003859610399771E-2</v>
      </c>
      <c r="X57" s="161">
        <f t="shared" si="17"/>
        <v>6.846908771745526E-2</v>
      </c>
      <c r="Y57" s="161">
        <f t="shared" si="17"/>
        <v>5.8533620089668101E-2</v>
      </c>
      <c r="Z57" s="161">
        <f t="shared" si="17"/>
        <v>3.3218245525423865E-2</v>
      </c>
      <c r="AA57" s="161">
        <f t="shared" si="17"/>
        <v>1.9646976876355964E-2</v>
      </c>
      <c r="AB57" s="161">
        <f t="shared" si="17"/>
        <v>3.1375109785950178E-2</v>
      </c>
      <c r="AC57" s="161">
        <f t="shared" si="17"/>
        <v>3.4462355035651468E-2</v>
      </c>
      <c r="AD57" s="161">
        <f t="shared" si="17"/>
        <v>4.3226625801456947E-2</v>
      </c>
      <c r="AE57" s="161">
        <f t="shared" si="17"/>
        <v>8.8348643261128623E-2</v>
      </c>
      <c r="AF57" s="161">
        <f t="shared" si="17"/>
        <v>9.6314620734047285E-2</v>
      </c>
      <c r="AG57" s="161">
        <f t="shared" si="17"/>
        <v>0.13651616710992534</v>
      </c>
      <c r="AH57" s="161">
        <f t="shared" si="17"/>
        <v>2.9245397622287277E-2</v>
      </c>
      <c r="AI57" s="161">
        <f t="shared" si="17"/>
        <v>2.8048946261161924E-2</v>
      </c>
      <c r="AJ57" s="161">
        <f t="shared" si="17"/>
        <v>3.3258042910073803E-2</v>
      </c>
      <c r="AK57" s="161">
        <f t="shared" si="17"/>
        <v>4.2356275321402993E-2</v>
      </c>
      <c r="AL57" s="161">
        <f t="shared" si="17"/>
        <v>3.2928589503569153E-2</v>
      </c>
      <c r="AM57" s="161">
        <f t="shared" si="17"/>
        <v>2.5544131536634842E-2</v>
      </c>
      <c r="AN57" s="161">
        <f t="shared" si="17"/>
        <v>2.3514948580630288E-2</v>
      </c>
      <c r="AO57" s="43"/>
    </row>
    <row r="58" spans="1:45" customFormat="1" x14ac:dyDescent="0.25">
      <c r="A58" s="21" t="str">
        <f>"Filtered % Ag w/in filtered area"</f>
        <v>Filtered % Ag w/in filtered area</v>
      </c>
      <c r="B58" s="165">
        <f ca="1">B57*Main!$C$164</f>
        <v>7.7015044144443361E-3</v>
      </c>
      <c r="C58" s="165">
        <f ca="1">C57*Main!$C$164</f>
        <v>1.1556159518378975E-2</v>
      </c>
      <c r="D58" s="165">
        <f ca="1">D57*Main!$C$164</f>
        <v>3.2563645549152635E-2</v>
      </c>
      <c r="E58" s="165">
        <f ca="1">E57*Main!$C$164</f>
        <v>7.7281452177366174E-3</v>
      </c>
      <c r="F58" s="165">
        <f ca="1">F57*Main!$C$164</f>
        <v>6.8502252801569017E-3</v>
      </c>
      <c r="G58" s="165">
        <f ca="1">G57*Main!$C$164</f>
        <v>0</v>
      </c>
      <c r="H58" s="165">
        <f ca="1">H57*Main!$C$164</f>
        <v>3.6397981885460027E-3</v>
      </c>
      <c r="I58" s="165">
        <f ca="1">I57*Main!$C$164</f>
        <v>6.0142160002229885E-3</v>
      </c>
      <c r="J58" s="165">
        <f ca="1">J57*Main!$C$164</f>
        <v>6.2061651432815425E-3</v>
      </c>
      <c r="K58" s="165">
        <f ca="1">K57*Main!$C$164</f>
        <v>7.2296477226489134E-3</v>
      </c>
      <c r="L58" s="165">
        <f ca="1">L57*Main!$C$164</f>
        <v>0</v>
      </c>
      <c r="M58" s="165">
        <f ca="1">M57*Main!$C$164</f>
        <v>8.1973572957776842E-3</v>
      </c>
      <c r="N58" s="165">
        <f ca="1">N57*Main!$C$164</f>
        <v>8.6790873272401085E-3</v>
      </c>
      <c r="O58" s="165">
        <f ca="1">O57*Main!$C$164</f>
        <v>8.2442524248993003E-3</v>
      </c>
      <c r="P58" s="165">
        <f ca="1">P57*Main!$C$164</f>
        <v>1.0363344127308162E-2</v>
      </c>
      <c r="Q58" s="165">
        <f ca="1">Q57*Main!$C$164</f>
        <v>3.8113543530180851E-3</v>
      </c>
      <c r="R58" s="165">
        <f ca="1">R57*Main!$C$164</f>
        <v>0</v>
      </c>
      <c r="S58" s="165">
        <f ca="1">S57*Main!$C$164</f>
        <v>9.6458306383756364E-3</v>
      </c>
      <c r="T58" s="165">
        <f ca="1">T57*Main!$C$164</f>
        <v>0</v>
      </c>
      <c r="U58" s="165">
        <f ca="1">U57*Main!$C$164</f>
        <v>4.495636146680939E-3</v>
      </c>
      <c r="V58" s="165">
        <f ca="1">V57*Main!$C$164</f>
        <v>3.4298355681775857E-3</v>
      </c>
      <c r="W58" s="165">
        <f ca="1">W57*Main!$C$164</f>
        <v>6.7509649025999426E-3</v>
      </c>
      <c r="X58" s="165">
        <f ca="1">X57*Main!$C$164</f>
        <v>1.7117271929363815E-2</v>
      </c>
      <c r="Y58" s="165">
        <f ca="1">Y57*Main!$C$164</f>
        <v>1.4633405022417025E-2</v>
      </c>
      <c r="Z58" s="165">
        <f ca="1">Z57*Main!$C$164</f>
        <v>8.3045613813559661E-3</v>
      </c>
      <c r="AA58" s="165">
        <f ca="1">AA57*Main!$C$164</f>
        <v>4.9117442190889909E-3</v>
      </c>
      <c r="AB58" s="165">
        <f ca="1">AB57*Main!$C$164</f>
        <v>7.8437774464875445E-3</v>
      </c>
      <c r="AC58" s="165">
        <f ca="1">AC57*Main!$C$164</f>
        <v>8.615588758912867E-3</v>
      </c>
      <c r="AD58" s="165">
        <f ca="1">AD57*Main!$C$164</f>
        <v>1.0806656450364237E-2</v>
      </c>
      <c r="AE58" s="165">
        <f ca="1">AE57*Main!$C$164</f>
        <v>2.2087160815282156E-2</v>
      </c>
      <c r="AF58" s="165">
        <f ca="1">AF57*Main!$C$164</f>
        <v>2.4078655183511821E-2</v>
      </c>
      <c r="AG58" s="165">
        <f ca="1">AG57*Main!$C$164</f>
        <v>3.4129041777481335E-2</v>
      </c>
      <c r="AH58" s="165">
        <f ca="1">AH57*Main!$C$164</f>
        <v>7.3113494055718192E-3</v>
      </c>
      <c r="AI58" s="165">
        <f ca="1">AI57*Main!$C$164</f>
        <v>7.0122365652904809E-3</v>
      </c>
      <c r="AJ58" s="165">
        <f ca="1">AJ57*Main!$C$164</f>
        <v>8.3145107275184506E-3</v>
      </c>
      <c r="AK58" s="165">
        <f ca="1">AK57*Main!$C$164</f>
        <v>1.0589068830350748E-2</v>
      </c>
      <c r="AL58" s="165">
        <f ca="1">AL57*Main!$C$164</f>
        <v>8.2321473758922882E-3</v>
      </c>
      <c r="AM58" s="165">
        <f ca="1">AM57*Main!$C$164</f>
        <v>6.3860328841587105E-3</v>
      </c>
      <c r="AN58" s="165">
        <f ca="1">AN57*Main!$C$164</f>
        <v>5.8787371451575719E-3</v>
      </c>
      <c r="AO58" s="164">
        <f ca="1">AO62/AO5</f>
        <v>8.2442270886048542E-3</v>
      </c>
    </row>
    <row r="59" spans="1:45" customFormat="1" x14ac:dyDescent="0.25">
      <c r="A59" s="21" t="str">
        <f>"Filtered % x "&amp;Main!C42*100&amp;"% buffer efficiency"</f>
        <v>Filtered % x 50% buffer efficiency</v>
      </c>
      <c r="B59" s="165">
        <f ca="1">B58*Main!$C$42</f>
        <v>3.8507522072221681E-3</v>
      </c>
      <c r="C59" s="165">
        <f ca="1">C58*Main!$C$42</f>
        <v>5.7780797591894875E-3</v>
      </c>
      <c r="D59" s="165">
        <f ca="1">D58*Main!$C$42</f>
        <v>1.6281822774576318E-2</v>
      </c>
      <c r="E59" s="165">
        <f ca="1">E58*Main!$C$42</f>
        <v>3.8640726088683087E-3</v>
      </c>
      <c r="F59" s="165">
        <f ca="1">F58*Main!$C$42</f>
        <v>3.4251126400784509E-3</v>
      </c>
      <c r="G59" s="165">
        <f ca="1">G58*Main!$C$42</f>
        <v>0</v>
      </c>
      <c r="H59" s="165">
        <f ca="1">H58*Main!$C$42</f>
        <v>1.8198990942730013E-3</v>
      </c>
      <c r="I59" s="165">
        <f ca="1">I58*Main!$C$42</f>
        <v>3.0071080001114942E-3</v>
      </c>
      <c r="J59" s="165">
        <f ca="1">J58*Main!$C$42</f>
        <v>3.1030825716407712E-3</v>
      </c>
      <c r="K59" s="165">
        <f ca="1">K58*Main!$C$42</f>
        <v>3.6148238613244567E-3</v>
      </c>
      <c r="L59" s="165">
        <f ca="1">L58*Main!$C$42</f>
        <v>0</v>
      </c>
      <c r="M59" s="165">
        <f ca="1">M58*Main!$C$42</f>
        <v>4.0986786478888421E-3</v>
      </c>
      <c r="N59" s="165">
        <f ca="1">N58*Main!$C$42</f>
        <v>4.3395436636200543E-3</v>
      </c>
      <c r="O59" s="165">
        <f ca="1">O58*Main!$C$42</f>
        <v>4.1221262124496501E-3</v>
      </c>
      <c r="P59" s="165">
        <f ca="1">P58*Main!$C$42</f>
        <v>5.1816720636540812E-3</v>
      </c>
      <c r="Q59" s="165">
        <f ca="1">Q58*Main!$C$42</f>
        <v>1.9056771765090426E-3</v>
      </c>
      <c r="R59" s="165">
        <f ca="1">R58*Main!$C$42</f>
        <v>0</v>
      </c>
      <c r="S59" s="165">
        <f ca="1">S58*Main!$C$42</f>
        <v>4.8229153191878182E-3</v>
      </c>
      <c r="T59" s="165">
        <f ca="1">T58*Main!$C$42</f>
        <v>0</v>
      </c>
      <c r="U59" s="165">
        <f ca="1">U58*Main!$C$42</f>
        <v>2.2478180733404695E-3</v>
      </c>
      <c r="V59" s="165">
        <f ca="1">V58*Main!$C$42</f>
        <v>1.7149177840887929E-3</v>
      </c>
      <c r="W59" s="165">
        <f ca="1">W58*Main!$C$42</f>
        <v>3.3754824512999713E-3</v>
      </c>
      <c r="X59" s="165">
        <f ca="1">X58*Main!$C$42</f>
        <v>8.5586359646819075E-3</v>
      </c>
      <c r="Y59" s="165">
        <f ca="1">Y58*Main!$C$42</f>
        <v>7.3167025112085126E-3</v>
      </c>
      <c r="Z59" s="165">
        <f ca="1">Z58*Main!$C$42</f>
        <v>4.1522806906779831E-3</v>
      </c>
      <c r="AA59" s="165">
        <f ca="1">AA58*Main!$C$42</f>
        <v>2.4558721095444954E-3</v>
      </c>
      <c r="AB59" s="165">
        <f ca="1">AB58*Main!$C$42</f>
        <v>3.9218887232437723E-3</v>
      </c>
      <c r="AC59" s="165">
        <f ca="1">AC58*Main!$C$42</f>
        <v>4.3077943794564335E-3</v>
      </c>
      <c r="AD59" s="165">
        <f ca="1">AD58*Main!$C$42</f>
        <v>5.4033282251821184E-3</v>
      </c>
      <c r="AE59" s="165">
        <f ca="1">AE58*Main!$C$42</f>
        <v>1.1043580407641078E-2</v>
      </c>
      <c r="AF59" s="165">
        <f ca="1">AF58*Main!$C$42</f>
        <v>1.2039327591755911E-2</v>
      </c>
      <c r="AG59" s="165">
        <f ca="1">AG58*Main!$C$42</f>
        <v>1.7064520888740668E-2</v>
      </c>
      <c r="AH59" s="165">
        <f ca="1">AH58*Main!$C$42</f>
        <v>3.6556747027859096E-3</v>
      </c>
      <c r="AI59" s="165">
        <f ca="1">AI58*Main!$C$42</f>
        <v>3.5061182826452405E-3</v>
      </c>
      <c r="AJ59" s="165">
        <f ca="1">AJ58*Main!$C$42</f>
        <v>4.1572553637592253E-3</v>
      </c>
      <c r="AK59" s="165">
        <f ca="1">AK58*Main!$C$42</f>
        <v>5.2945344151753742E-3</v>
      </c>
      <c r="AL59" s="165">
        <f ca="1">AL58*Main!$C$42</f>
        <v>4.1160736879461441E-3</v>
      </c>
      <c r="AM59" s="165">
        <f ca="1">AM58*Main!$C$42</f>
        <v>3.1930164420793552E-3</v>
      </c>
      <c r="AN59" s="165">
        <f ca="1">AN58*Main!$C$42</f>
        <v>2.939368572578786E-3</v>
      </c>
      <c r="AO59" s="164"/>
    </row>
    <row r="60" spans="1:45" x14ac:dyDescent="0.25">
      <c r="A60" s="163" t="s">
        <v>392</v>
      </c>
      <c r="B60" s="162">
        <f t="shared" ref="B60:AN60" ca="1" si="18">B59+B42</f>
        <v>0.18345339145483752</v>
      </c>
      <c r="C60" s="162">
        <f t="shared" ca="1" si="18"/>
        <v>0.29560570629623822</v>
      </c>
      <c r="D60" s="162">
        <f t="shared" ca="1" si="18"/>
        <v>0.26891121881438546</v>
      </c>
      <c r="E60" s="162">
        <f t="shared" ca="1" si="18"/>
        <v>0.12061462269609291</v>
      </c>
      <c r="F60" s="162">
        <f t="shared" ca="1" si="18"/>
        <v>4.4747966469436948E-2</v>
      </c>
      <c r="G60" s="162">
        <f t="shared" ca="1" si="18"/>
        <v>0.66613701217512067</v>
      </c>
      <c r="H60" s="162">
        <f t="shared" ca="1" si="18"/>
        <v>0.17178826005700354</v>
      </c>
      <c r="I60" s="162">
        <f t="shared" ca="1" si="18"/>
        <v>3.7012577335882015E-2</v>
      </c>
      <c r="J60" s="162">
        <f t="shared" ca="1" si="18"/>
        <v>3.5928684246442119E-2</v>
      </c>
      <c r="K60" s="162">
        <f t="shared" ca="1" si="18"/>
        <v>3.4186994492028264E-2</v>
      </c>
      <c r="L60" s="162">
        <f t="shared" ca="1" si="18"/>
        <v>26.921203277533824</v>
      </c>
      <c r="M60" s="162">
        <f t="shared" ca="1" si="18"/>
        <v>0.3112527218136048</v>
      </c>
      <c r="N60" s="162">
        <f t="shared" ca="1" si="18"/>
        <v>6.367257989120266E-2</v>
      </c>
      <c r="O60" s="162">
        <f t="shared" ca="1" si="18"/>
        <v>4.3531901207965164E-2</v>
      </c>
      <c r="P60" s="162">
        <f t="shared" ca="1" si="18"/>
        <v>5.3196880439727187E-2</v>
      </c>
      <c r="Q60" s="162">
        <f t="shared" ca="1" si="18"/>
        <v>1.8977816074900247E-2</v>
      </c>
      <c r="R60" s="162">
        <f t="shared" ca="1" si="18"/>
        <v>0.75013179514617911</v>
      </c>
      <c r="S60" s="162">
        <f t="shared" ca="1" si="18"/>
        <v>0.24691158512501626</v>
      </c>
      <c r="T60" s="162">
        <f t="shared" ca="1" si="18"/>
        <v>0.60593621785176754</v>
      </c>
      <c r="U60" s="162">
        <f t="shared" ca="1" si="18"/>
        <v>5.1123303623076051E-2</v>
      </c>
      <c r="V60" s="162">
        <f t="shared" ca="1" si="18"/>
        <v>2.4359444523150399E-2</v>
      </c>
      <c r="W60" s="162">
        <f t="shared" ca="1" si="18"/>
        <v>1.9008962155733038E-2</v>
      </c>
      <c r="X60" s="162">
        <f t="shared" ca="1" si="18"/>
        <v>0.13058735415960365</v>
      </c>
      <c r="Y60" s="162">
        <f t="shared" ca="1" si="18"/>
        <v>9.9805286271897664E-2</v>
      </c>
      <c r="Z60" s="162">
        <f t="shared" ca="1" si="18"/>
        <v>6.1013214099720652E-2</v>
      </c>
      <c r="AA60" s="162">
        <f t="shared" ca="1" si="18"/>
        <v>0.10583588644992176</v>
      </c>
      <c r="AB60" s="162">
        <f t="shared" ca="1" si="18"/>
        <v>6.6949861731560575E-2</v>
      </c>
      <c r="AC60" s="162">
        <f t="shared" ca="1" si="18"/>
        <v>0.43059772372185734</v>
      </c>
      <c r="AD60" s="162">
        <f t="shared" ca="1" si="18"/>
        <v>6.3044069469292946E-2</v>
      </c>
      <c r="AE60" s="162">
        <f t="shared" ca="1" si="18"/>
        <v>0.1104220069621204</v>
      </c>
      <c r="AF60" s="162">
        <f t="shared" ca="1" si="18"/>
        <v>0.20313783291289922</v>
      </c>
      <c r="AG60" s="162">
        <f t="shared" ca="1" si="18"/>
        <v>0.27168515073224214</v>
      </c>
      <c r="AH60" s="162">
        <f t="shared" ca="1" si="18"/>
        <v>3.7178036086406796E-2</v>
      </c>
      <c r="AI60" s="162">
        <f t="shared" ca="1" si="18"/>
        <v>4.8484448150386487E-2</v>
      </c>
      <c r="AJ60" s="162">
        <f t="shared" ca="1" si="18"/>
        <v>2.9763162800220497E-2</v>
      </c>
      <c r="AK60" s="162">
        <f t="shared" ca="1" si="18"/>
        <v>6.2159668928757371E-2</v>
      </c>
      <c r="AL60" s="162">
        <f t="shared" ca="1" si="18"/>
        <v>4.6517235459654076E-2</v>
      </c>
      <c r="AM60" s="162">
        <f t="shared" ca="1" si="18"/>
        <v>3.107794460681498E-2</v>
      </c>
      <c r="AN60" s="162">
        <f t="shared" ca="1" si="18"/>
        <v>3.2535862383264343E-2</v>
      </c>
      <c r="AO60" s="152"/>
      <c r="AQ60"/>
      <c r="AR60"/>
      <c r="AS60"/>
    </row>
    <row r="61" spans="1:45" s="150" customFormat="1" ht="30" x14ac:dyDescent="0.25">
      <c r="A61" s="644" t="str">
        <f>A44</f>
        <v>% Ag w/in filtered area unbuffered or buffered at only 50% buffer efficiency</v>
      </c>
      <c r="B61" s="161">
        <f t="shared" ref="B61:AN61" ca="1" si="19">B44-B59</f>
        <v>0.11675658507436283</v>
      </c>
      <c r="C61" s="161">
        <f t="shared" ca="1" si="19"/>
        <v>0.18536037158285074</v>
      </c>
      <c r="D61" s="161">
        <f t="shared" ca="1" si="19"/>
        <v>0.24028745744193888</v>
      </c>
      <c r="E61" s="161">
        <f t="shared" ca="1" si="19"/>
        <v>8.5423783305690462E-2</v>
      </c>
      <c r="F61" s="161">
        <f t="shared" ca="1" si="19"/>
        <v>4.463721539522842E-2</v>
      </c>
      <c r="G61" s="161">
        <f t="shared" ca="1" si="19"/>
        <v>0.33306850608756033</v>
      </c>
      <c r="H61" s="161">
        <f t="shared" ca="1" si="19"/>
        <v>9.7723474141276287E-2</v>
      </c>
      <c r="I61" s="161">
        <f t="shared" ca="1" si="19"/>
        <v>3.8052490668665728E-2</v>
      </c>
      <c r="J61" s="161">
        <f t="shared" ca="1" si="19"/>
        <v>3.8134378838886075E-2</v>
      </c>
      <c r="K61" s="161">
        <f t="shared" ca="1" si="19"/>
        <v>4.0589852344623097E-2</v>
      </c>
      <c r="L61" s="161">
        <f t="shared" ca="1" si="19"/>
        <v>13.460601638766912</v>
      </c>
      <c r="M61" s="161">
        <f t="shared" ca="1" si="19"/>
        <v>0.18226777211807993</v>
      </c>
      <c r="N61" s="161">
        <f t="shared" ca="1" si="19"/>
        <v>6.0043323759131663E-2</v>
      </c>
      <c r="O61" s="161">
        <f t="shared" ca="1" si="19"/>
        <v>4.8559770984905291E-2</v>
      </c>
      <c r="P61" s="161">
        <f t="shared" ca="1" si="19"/>
        <v>6.0279308633615136E-2</v>
      </c>
      <c r="Q61" s="161">
        <f t="shared" ca="1" si="19"/>
        <v>2.1875809684758895E-2</v>
      </c>
      <c r="R61" s="161">
        <f t="shared" ca="1" si="19"/>
        <v>0.37506589757308967</v>
      </c>
      <c r="S61" s="161">
        <f t="shared" ca="1" si="19"/>
        <v>0.154804742137229</v>
      </c>
      <c r="T61" s="161">
        <f t="shared" ca="1" si="19"/>
        <v>0.30296810892588377</v>
      </c>
      <c r="U61" s="161">
        <f t="shared" ca="1" si="19"/>
        <v>4.0172469288251078E-2</v>
      </c>
      <c r="V61" s="161">
        <f t="shared" ca="1" si="19"/>
        <v>2.3326687858152357E-2</v>
      </c>
      <c r="W61" s="161">
        <f t="shared" ca="1" si="19"/>
        <v>3.1445117011316331E-2</v>
      </c>
      <c r="X61" s="161">
        <f t="shared" ca="1" si="19"/>
        <v>0.12092481085023422</v>
      </c>
      <c r="Y61" s="161">
        <f t="shared" ca="1" si="19"/>
        <v>9.7461209458804141E-2</v>
      </c>
      <c r="Z61" s="161">
        <f t="shared" ca="1" si="19"/>
        <v>5.7496431539267215E-2</v>
      </c>
      <c r="AA61" s="161">
        <f t="shared" ca="1" si="19"/>
        <v>6.8881111937000097E-2</v>
      </c>
      <c r="AB61" s="161">
        <f t="shared" ca="1" si="19"/>
        <v>5.8967207566864827E-2</v>
      </c>
      <c r="AC61" s="161">
        <f t="shared" ca="1" si="19"/>
        <v>0.2432995253273956</v>
      </c>
      <c r="AD61" s="161">
        <f t="shared" ca="1" si="19"/>
        <v>6.6643668198330272E-2</v>
      </c>
      <c r="AE61" s="161">
        <f t="shared" ca="1" si="19"/>
        <v>0.1269942761307272</v>
      </c>
      <c r="AF61" s="161">
        <f t="shared" ca="1" si="19"/>
        <v>0.17982454580286303</v>
      </c>
      <c r="AG61" s="161">
        <f t="shared" ca="1" si="19"/>
        <v>0.24676196114293547</v>
      </c>
      <c r="AH61" s="161">
        <f t="shared" ca="1" si="19"/>
        <v>4.2350903611311802E-2</v>
      </c>
      <c r="AI61" s="161">
        <f t="shared" ca="1" si="19"/>
        <v>4.7031992912387299E-2</v>
      </c>
      <c r="AJ61" s="161">
        <f t="shared" ca="1" si="19"/>
        <v>4.1903741264545206E-2</v>
      </c>
      <c r="AK61" s="161">
        <f t="shared" ca="1" si="19"/>
        <v>6.5494308163018614E-2</v>
      </c>
      <c r="AL61" s="161">
        <f t="shared" ca="1" si="19"/>
        <v>5.0013096701476967E-2</v>
      </c>
      <c r="AM61" s="161">
        <f t="shared" ca="1" si="19"/>
        <v>3.6293579176923302E-2</v>
      </c>
      <c r="AN61" s="161">
        <f t="shared" ca="1" si="19"/>
        <v>3.537382691339426E-2</v>
      </c>
      <c r="AO61" s="160"/>
    </row>
    <row r="62" spans="1:45" x14ac:dyDescent="0.25">
      <c r="A62" s="148" t="s">
        <v>1143</v>
      </c>
      <c r="B62" s="159">
        <f t="shared" ref="B62:AN62" ca="1" si="20">B58*B5</f>
        <v>9115.5917104397686</v>
      </c>
      <c r="C62" s="159">
        <f t="shared" ca="1" si="20"/>
        <v>1106.5572659143947</v>
      </c>
      <c r="D62" s="159">
        <f t="shared" ca="1" si="20"/>
        <v>12516.270798843741</v>
      </c>
      <c r="E62" s="159">
        <f t="shared" ca="1" si="20"/>
        <v>4068.8644033234928</v>
      </c>
      <c r="F62" s="159">
        <f t="shared" ca="1" si="20"/>
        <v>7451.4413550488298</v>
      </c>
      <c r="G62" s="159">
        <f t="shared" ca="1" si="20"/>
        <v>0</v>
      </c>
      <c r="H62" s="159">
        <f t="shared" ca="1" si="20"/>
        <v>1736.0939790802963</v>
      </c>
      <c r="I62" s="159">
        <f t="shared" ca="1" si="20"/>
        <v>10722.637361191722</v>
      </c>
      <c r="J62" s="159">
        <f t="shared" ca="1" si="20"/>
        <v>2845.0896181634107</v>
      </c>
      <c r="K62" s="159">
        <f t="shared" ca="1" si="20"/>
        <v>5922.3553929843974</v>
      </c>
      <c r="L62" s="159">
        <f t="shared" ca="1" si="20"/>
        <v>0</v>
      </c>
      <c r="M62" s="159">
        <f t="shared" ca="1" si="20"/>
        <v>2169.5050426770549</v>
      </c>
      <c r="N62" s="159">
        <f t="shared" ca="1" si="20"/>
        <v>6680.5835542207851</v>
      </c>
      <c r="O62" s="159">
        <f t="shared" ca="1" si="20"/>
        <v>6831.7952478137286</v>
      </c>
      <c r="P62" s="159">
        <f t="shared" ca="1" si="20"/>
        <v>2506.1111672060565</v>
      </c>
      <c r="Q62" s="159">
        <f t="shared" ca="1" si="20"/>
        <v>940.69664342439387</v>
      </c>
      <c r="R62" s="159">
        <f t="shared" ca="1" si="20"/>
        <v>0</v>
      </c>
      <c r="S62" s="159">
        <f t="shared" ca="1" si="20"/>
        <v>1719.3376804914315</v>
      </c>
      <c r="T62" s="159">
        <f t="shared" ca="1" si="20"/>
        <v>0</v>
      </c>
      <c r="U62" s="159">
        <f t="shared" ca="1" si="20"/>
        <v>478.16112552027488</v>
      </c>
      <c r="V62" s="159">
        <f t="shared" ca="1" si="20"/>
        <v>220.34297940983859</v>
      </c>
      <c r="W62" s="159">
        <f t="shared" ca="1" si="20"/>
        <v>3610.8272906427492</v>
      </c>
      <c r="X62" s="159">
        <f t="shared" ca="1" si="20"/>
        <v>1244.2799749727849</v>
      </c>
      <c r="Y62" s="159">
        <f t="shared" ca="1" si="20"/>
        <v>8464.4880724166906</v>
      </c>
      <c r="Z62" s="159">
        <f t="shared" ca="1" si="20"/>
        <v>14454.271943191732</v>
      </c>
      <c r="AA62" s="159">
        <f t="shared" ca="1" si="20"/>
        <v>1525.1059928356592</v>
      </c>
      <c r="AB62" s="159">
        <f t="shared" ca="1" si="20"/>
        <v>8771.3572208404657</v>
      </c>
      <c r="AC62" s="159">
        <f t="shared" ca="1" si="20"/>
        <v>401.55616535883729</v>
      </c>
      <c r="AD62" s="159">
        <f t="shared" ca="1" si="20"/>
        <v>588.32746701933695</v>
      </c>
      <c r="AE62" s="159">
        <f t="shared" ca="1" si="20"/>
        <v>1450.3127913931867</v>
      </c>
      <c r="AF62" s="159">
        <f t="shared" ca="1" si="20"/>
        <v>3153.0303927981372</v>
      </c>
      <c r="AG62" s="159">
        <f t="shared" ca="1" si="20"/>
        <v>879.36245665163858</v>
      </c>
      <c r="AH62" s="159">
        <f t="shared" ca="1" si="20"/>
        <v>9802.0407962034278</v>
      </c>
      <c r="AI62" s="159">
        <f t="shared" ca="1" si="20"/>
        <v>900.07737287101861</v>
      </c>
      <c r="AJ62" s="159">
        <f t="shared" ca="1" si="20"/>
        <v>4775.5800150872874</v>
      </c>
      <c r="AK62" s="159">
        <f t="shared" ca="1" si="20"/>
        <v>5532.8848730812633</v>
      </c>
      <c r="AL62" s="159">
        <f t="shared" ca="1" si="20"/>
        <v>8763.3571958018929</v>
      </c>
      <c r="AM62" s="159">
        <f t="shared" ca="1" si="20"/>
        <v>5044.9957667651315</v>
      </c>
      <c r="AN62" s="159">
        <f t="shared" ca="1" si="20"/>
        <v>5583.2399822587377</v>
      </c>
      <c r="AO62" s="158">
        <f ca="1">SUM(B62:AN62)</f>
        <v>161976.53109594356</v>
      </c>
    </row>
    <row r="63" spans="1:45" s="497" customFormat="1" x14ac:dyDescent="0.25">
      <c r="A63" s="349" t="s">
        <v>391</v>
      </c>
      <c r="B63" s="349">
        <f t="shared" ref="B63:AN63" ca="1" si="21">B61*B14</f>
        <v>0.11992594770065293</v>
      </c>
      <c r="C63" s="349">
        <f t="shared" ca="1" si="21"/>
        <v>0.17806245471713525</v>
      </c>
      <c r="D63" s="349">
        <f t="shared" ca="1" si="21"/>
        <v>0.37655210493366637</v>
      </c>
      <c r="E63" s="349">
        <f t="shared" ca="1" si="21"/>
        <v>7.9089753828226764E-2</v>
      </c>
      <c r="F63" s="349">
        <f t="shared" ca="1" si="21"/>
        <v>4.3101263073863721E-2</v>
      </c>
      <c r="G63" s="349">
        <f t="shared" ca="1" si="21"/>
        <v>0.40548197062530517</v>
      </c>
      <c r="H63" s="349">
        <f t="shared" ca="1" si="21"/>
        <v>9.064630488533558E-2</v>
      </c>
      <c r="I63" s="349">
        <f t="shared" ca="1" si="21"/>
        <v>3.4897674295641577E-2</v>
      </c>
      <c r="J63" s="349">
        <f t="shared" ca="1" si="21"/>
        <v>4.052731237785024E-2</v>
      </c>
      <c r="K63" s="349">
        <f t="shared" ca="1" si="21"/>
        <v>4.0704278683500295E-2</v>
      </c>
      <c r="L63" s="349">
        <f t="shared" ca="1" si="21"/>
        <v>13.766493057887228</v>
      </c>
      <c r="M63" s="349">
        <f t="shared" ca="1" si="21"/>
        <v>0.17878179719615075</v>
      </c>
      <c r="N63" s="349">
        <f t="shared" ca="1" si="21"/>
        <v>5.6711774752651434E-2</v>
      </c>
      <c r="O63" s="349">
        <f t="shared" ca="1" si="21"/>
        <v>3.9223859157602306E-2</v>
      </c>
      <c r="P63" s="349">
        <f t="shared" ca="1" si="21"/>
        <v>6.9233856052380582E-2</v>
      </c>
      <c r="Q63" s="349">
        <f t="shared" ca="1" si="21"/>
        <v>1.4515496143141432E-2</v>
      </c>
      <c r="R63" s="349">
        <f t="shared" ca="1" si="21"/>
        <v>0.35569876615581864</v>
      </c>
      <c r="S63" s="349">
        <f t="shared" ca="1" si="21"/>
        <v>0.14480781048265273</v>
      </c>
      <c r="T63" s="349">
        <f t="shared" ca="1" si="21"/>
        <v>0.35176018769370587</v>
      </c>
      <c r="U63" s="349">
        <f t="shared" ca="1" si="21"/>
        <v>2.883718073377441E-2</v>
      </c>
      <c r="V63" s="349">
        <f t="shared" ca="1" si="21"/>
        <v>1.3376813748098374E-2</v>
      </c>
      <c r="W63" s="349">
        <f t="shared" ca="1" si="21"/>
        <v>2.4140030315179906E-2</v>
      </c>
      <c r="X63" s="349">
        <f t="shared" ca="1" si="21"/>
        <v>7.7969113217603955E-2</v>
      </c>
      <c r="Y63" s="349">
        <f t="shared" ca="1" si="21"/>
        <v>0.12861336576208063</v>
      </c>
      <c r="Z63" s="349">
        <f t="shared" ca="1" si="21"/>
        <v>6.8243334407975295E-2</v>
      </c>
      <c r="AA63" s="349">
        <f t="shared" ca="1" si="21"/>
        <v>5.5896833221509686E-2</v>
      </c>
      <c r="AB63" s="349">
        <f t="shared" ca="1" si="21"/>
        <v>6.0138543993822083E-2</v>
      </c>
      <c r="AC63" s="349">
        <f t="shared" ca="1" si="21"/>
        <v>0.20771849588516764</v>
      </c>
      <c r="AD63" s="349">
        <f t="shared" ca="1" si="21"/>
        <v>7.8873610462587521E-2</v>
      </c>
      <c r="AE63" s="349">
        <f t="shared" ca="1" si="21"/>
        <v>0.15272856386814268</v>
      </c>
      <c r="AF63" s="349">
        <f t="shared" ca="1" si="21"/>
        <v>0.21892648754202854</v>
      </c>
      <c r="AG63" s="349">
        <f t="shared" ca="1" si="21"/>
        <v>0.38174793239838323</v>
      </c>
      <c r="AH63" s="349">
        <f t="shared" ca="1" si="21"/>
        <v>4.461832213423552E-2</v>
      </c>
      <c r="AI63" s="349">
        <f t="shared" ca="1" si="21"/>
        <v>4.0936289914487091E-2</v>
      </c>
      <c r="AJ63" s="349">
        <f t="shared" ca="1" si="21"/>
        <v>3.5069723040752773E-2</v>
      </c>
      <c r="AK63" s="349">
        <f t="shared" ca="1" si="21"/>
        <v>7.2567744595679301E-2</v>
      </c>
      <c r="AL63" s="349">
        <f t="shared" ca="1" si="21"/>
        <v>4.3032747408751543E-2</v>
      </c>
      <c r="AM63" s="349">
        <f t="shared" ca="1" si="21"/>
        <v>3.6882192065387981E-2</v>
      </c>
      <c r="AN63" s="349">
        <f t="shared" ca="1" si="21"/>
        <v>3.6121181266651772E-2</v>
      </c>
      <c r="AO63" s="496"/>
      <c r="AQ63" s="355"/>
      <c r="AR63" s="355"/>
      <c r="AS63" s="355"/>
    </row>
    <row r="64" spans="1:45" x14ac:dyDescent="0.25">
      <c r="A64" s="146" t="s">
        <v>390</v>
      </c>
      <c r="B64" s="146">
        <f ca="1">VLOOKUP(B63, Parameters!$X$3:$Y$8, 2, TRUE)</f>
        <v>8</v>
      </c>
      <c r="C64" s="146">
        <f ca="1">VLOOKUP(C63, Parameters!$X$3:$Y$8, 2, TRUE)</f>
        <v>8</v>
      </c>
      <c r="D64" s="146">
        <f ca="1">VLOOKUP(D63, Parameters!$X$3:$Y$8, 2, TRUE)</f>
        <v>8</v>
      </c>
      <c r="E64" s="146">
        <f ca="1">VLOOKUP(E63, Parameters!$X$3:$Y$8, 2, TRUE)</f>
        <v>8</v>
      </c>
      <c r="F64" s="146">
        <f ca="1">VLOOKUP(F63, Parameters!$X$3:$Y$8, 2, TRUE)</f>
        <v>4</v>
      </c>
      <c r="G64" s="146">
        <f ca="1">VLOOKUP(G63, Parameters!$X$3:$Y$8, 2, TRUE)</f>
        <v>8</v>
      </c>
      <c r="H64" s="146">
        <f ca="1">VLOOKUP(H63, Parameters!$X$3:$Y$8, 2, TRUE)</f>
        <v>8</v>
      </c>
      <c r="I64" s="146">
        <f ca="1">VLOOKUP(I63, Parameters!$X$3:$Y$8, 2, TRUE)</f>
        <v>2</v>
      </c>
      <c r="J64" s="146">
        <f ca="1">VLOOKUP(J63, Parameters!$X$3:$Y$8, 2, TRUE)</f>
        <v>2</v>
      </c>
      <c r="K64" s="146">
        <f ca="1">VLOOKUP(K63, Parameters!$X$3:$Y$8, 2, TRUE)</f>
        <v>2</v>
      </c>
      <c r="L64" s="146">
        <f ca="1">VLOOKUP(L63, Parameters!$X$3:$Y$8, 2, TRUE)</f>
        <v>8</v>
      </c>
      <c r="M64" s="146">
        <f ca="1">VLOOKUP(M63, Parameters!$X$3:$Y$8, 2, TRUE)</f>
        <v>8</v>
      </c>
      <c r="N64" s="146">
        <f ca="1">VLOOKUP(N63, Parameters!$X$3:$Y$8, 2, TRUE)</f>
        <v>4</v>
      </c>
      <c r="O64" s="146">
        <f ca="1">VLOOKUP(O63, Parameters!$X$3:$Y$8, 2, TRUE)</f>
        <v>2</v>
      </c>
      <c r="P64" s="146">
        <f ca="1">VLOOKUP(P63, Parameters!$X$3:$Y$8, 2, TRUE)</f>
        <v>8</v>
      </c>
      <c r="Q64" s="146">
        <f ca="1">VLOOKUP(Q63, Parameters!$X$3:$Y$8, 2, TRUE)</f>
        <v>1</v>
      </c>
      <c r="R64" s="146">
        <f ca="1">VLOOKUP(R63, Parameters!$X$3:$Y$8, 2, TRUE)</f>
        <v>8</v>
      </c>
      <c r="S64" s="146">
        <f ca="1">VLOOKUP(S63, Parameters!$X$3:$Y$8, 2, TRUE)</f>
        <v>8</v>
      </c>
      <c r="T64" s="146">
        <f ca="1">VLOOKUP(T63, Parameters!$X$3:$Y$8, 2, TRUE)</f>
        <v>8</v>
      </c>
      <c r="U64" s="146">
        <f ca="1">VLOOKUP(U63, Parameters!$X$3:$Y$8, 2, TRUE)</f>
        <v>1</v>
      </c>
      <c r="V64" s="146">
        <f ca="1">VLOOKUP(V63, Parameters!$X$3:$Y$8, 2, TRUE)</f>
        <v>1</v>
      </c>
      <c r="W64" s="146">
        <f ca="1">VLOOKUP(W63, Parameters!$X$3:$Y$8, 2, TRUE)</f>
        <v>1</v>
      </c>
      <c r="X64" s="146">
        <f ca="1">VLOOKUP(X63, Parameters!$X$3:$Y$8, 2, TRUE)</f>
        <v>8</v>
      </c>
      <c r="Y64" s="146">
        <f ca="1">VLOOKUP(Y63, Parameters!$X$3:$Y$8, 2, TRUE)</f>
        <v>8</v>
      </c>
      <c r="Z64" s="146">
        <f ca="1">VLOOKUP(Z63, Parameters!$X$3:$Y$8, 2, TRUE)</f>
        <v>8</v>
      </c>
      <c r="AA64" s="146">
        <f ca="1">VLOOKUP(AA63, Parameters!$X$3:$Y$8, 2, TRUE)</f>
        <v>4</v>
      </c>
      <c r="AB64" s="146">
        <f ca="1">VLOOKUP(AB63, Parameters!$X$3:$Y$8, 2, TRUE)</f>
        <v>4</v>
      </c>
      <c r="AC64" s="146">
        <f ca="1">VLOOKUP(AC63, Parameters!$X$3:$Y$8, 2, TRUE)</f>
        <v>8</v>
      </c>
      <c r="AD64" s="146">
        <f ca="1">VLOOKUP(AD63, Parameters!$X$3:$Y$8, 2, TRUE)</f>
        <v>8</v>
      </c>
      <c r="AE64" s="146">
        <f ca="1">VLOOKUP(AE63, Parameters!$X$3:$Y$8, 2, TRUE)</f>
        <v>8</v>
      </c>
      <c r="AF64" s="146">
        <f ca="1">VLOOKUP(AF63, Parameters!$X$3:$Y$8, 2, TRUE)</f>
        <v>8</v>
      </c>
      <c r="AG64" s="146">
        <f ca="1">VLOOKUP(AG63, Parameters!$X$3:$Y$8, 2, TRUE)</f>
        <v>8</v>
      </c>
      <c r="AH64" s="146">
        <f ca="1">VLOOKUP(AH63, Parameters!$X$3:$Y$8, 2, TRUE)</f>
        <v>4</v>
      </c>
      <c r="AI64" s="146">
        <f ca="1">VLOOKUP(AI63, Parameters!$X$3:$Y$8, 2, TRUE)</f>
        <v>2</v>
      </c>
      <c r="AJ64" s="146">
        <f ca="1">VLOOKUP(AJ63, Parameters!$X$3:$Y$8, 2, TRUE)</f>
        <v>2</v>
      </c>
      <c r="AK64" s="146">
        <f ca="1">VLOOKUP(AK63, Parameters!$X$3:$Y$8, 2, TRUE)</f>
        <v>8</v>
      </c>
      <c r="AL64" s="146">
        <f ca="1">VLOOKUP(AL63, Parameters!$X$3:$Y$8, 2, TRUE)</f>
        <v>4</v>
      </c>
      <c r="AM64" s="146">
        <f ca="1">VLOOKUP(AM63, Parameters!$X$3:$Y$8, 2, TRUE)</f>
        <v>2</v>
      </c>
      <c r="AN64" s="146">
        <f ca="1">VLOOKUP(AN63, Parameters!$X$3:$Y$8, 2, TRUE)</f>
        <v>2</v>
      </c>
      <c r="AO64" s="152"/>
    </row>
    <row r="65" spans="1:43" customFormat="1" x14ac:dyDescent="0.25">
      <c r="A65" s="146" t="s">
        <v>389</v>
      </c>
      <c r="B65" s="156">
        <f t="shared" ref="B65:AN65" ca="1" si="22">B64*1.5</f>
        <v>12</v>
      </c>
      <c r="C65" s="156">
        <f t="shared" ca="1" si="22"/>
        <v>12</v>
      </c>
      <c r="D65" s="156">
        <f t="shared" ca="1" si="22"/>
        <v>12</v>
      </c>
      <c r="E65" s="156">
        <f t="shared" ca="1" si="22"/>
        <v>12</v>
      </c>
      <c r="F65" s="156">
        <f t="shared" ca="1" si="22"/>
        <v>6</v>
      </c>
      <c r="G65" s="156">
        <f t="shared" ca="1" si="22"/>
        <v>12</v>
      </c>
      <c r="H65" s="156">
        <f t="shared" ca="1" si="22"/>
        <v>12</v>
      </c>
      <c r="I65" s="156">
        <f t="shared" ca="1" si="22"/>
        <v>3</v>
      </c>
      <c r="J65" s="156">
        <f t="shared" ca="1" si="22"/>
        <v>3</v>
      </c>
      <c r="K65" s="156">
        <f t="shared" ca="1" si="22"/>
        <v>3</v>
      </c>
      <c r="L65" s="156">
        <f t="shared" ca="1" si="22"/>
        <v>12</v>
      </c>
      <c r="M65" s="156">
        <f t="shared" ca="1" si="22"/>
        <v>12</v>
      </c>
      <c r="N65" s="156">
        <f t="shared" ca="1" si="22"/>
        <v>6</v>
      </c>
      <c r="O65" s="156">
        <f t="shared" ca="1" si="22"/>
        <v>3</v>
      </c>
      <c r="P65" s="156">
        <f t="shared" ca="1" si="22"/>
        <v>12</v>
      </c>
      <c r="Q65" s="156">
        <f t="shared" ca="1" si="22"/>
        <v>1.5</v>
      </c>
      <c r="R65" s="156">
        <f t="shared" ca="1" si="22"/>
        <v>12</v>
      </c>
      <c r="S65" s="156">
        <f t="shared" ca="1" si="22"/>
        <v>12</v>
      </c>
      <c r="T65" s="156">
        <f t="shared" ca="1" si="22"/>
        <v>12</v>
      </c>
      <c r="U65" s="156">
        <f t="shared" ca="1" si="22"/>
        <v>1.5</v>
      </c>
      <c r="V65" s="156">
        <f t="shared" ca="1" si="22"/>
        <v>1.5</v>
      </c>
      <c r="W65" s="156">
        <f t="shared" ca="1" si="22"/>
        <v>1.5</v>
      </c>
      <c r="X65" s="156">
        <f t="shared" ca="1" si="22"/>
        <v>12</v>
      </c>
      <c r="Y65" s="156">
        <f t="shared" ca="1" si="22"/>
        <v>12</v>
      </c>
      <c r="Z65" s="156">
        <f t="shared" ca="1" si="22"/>
        <v>12</v>
      </c>
      <c r="AA65" s="156">
        <f t="shared" ca="1" si="22"/>
        <v>6</v>
      </c>
      <c r="AB65" s="156">
        <f t="shared" ca="1" si="22"/>
        <v>6</v>
      </c>
      <c r="AC65" s="156">
        <f t="shared" ca="1" si="22"/>
        <v>12</v>
      </c>
      <c r="AD65" s="156">
        <f t="shared" ca="1" si="22"/>
        <v>12</v>
      </c>
      <c r="AE65" s="156">
        <f t="shared" ca="1" si="22"/>
        <v>12</v>
      </c>
      <c r="AF65" s="156">
        <f t="shared" ca="1" si="22"/>
        <v>12</v>
      </c>
      <c r="AG65" s="156">
        <f t="shared" ca="1" si="22"/>
        <v>12</v>
      </c>
      <c r="AH65" s="156">
        <f t="shared" ca="1" si="22"/>
        <v>6</v>
      </c>
      <c r="AI65" s="156">
        <f t="shared" ca="1" si="22"/>
        <v>3</v>
      </c>
      <c r="AJ65" s="156">
        <f t="shared" ca="1" si="22"/>
        <v>3</v>
      </c>
      <c r="AK65" s="156">
        <f t="shared" ca="1" si="22"/>
        <v>12</v>
      </c>
      <c r="AL65" s="156">
        <f t="shared" ca="1" si="22"/>
        <v>6</v>
      </c>
      <c r="AM65" s="156">
        <f t="shared" ca="1" si="22"/>
        <v>3</v>
      </c>
      <c r="AN65" s="156">
        <f t="shared" ca="1" si="22"/>
        <v>3</v>
      </c>
      <c r="AO65" s="43"/>
    </row>
    <row r="66" spans="1:43" customFormat="1" x14ac:dyDescent="0.25">
      <c r="A66" s="154" t="s">
        <v>388</v>
      </c>
      <c r="B66" s="154">
        <f t="shared" ref="B66:AN66" ca="1" si="23">B63*100</f>
        <v>11.992594770065294</v>
      </c>
      <c r="C66" s="154">
        <f t="shared" ca="1" si="23"/>
        <v>17.806245471713524</v>
      </c>
      <c r="D66" s="154">
        <f t="shared" ca="1" si="23"/>
        <v>37.655210493366639</v>
      </c>
      <c r="E66" s="154">
        <f t="shared" ca="1" si="23"/>
        <v>7.9089753828226765</v>
      </c>
      <c r="F66" s="154">
        <f t="shared" ca="1" si="23"/>
        <v>4.3101263073863718</v>
      </c>
      <c r="G66" s="154">
        <f t="shared" ca="1" si="23"/>
        <v>40.548197062530519</v>
      </c>
      <c r="H66" s="154">
        <f t="shared" ca="1" si="23"/>
        <v>9.0646304885335578</v>
      </c>
      <c r="I66" s="154">
        <f t="shared" ca="1" si="23"/>
        <v>3.4897674295641576</v>
      </c>
      <c r="J66" s="154">
        <f t="shared" ca="1" si="23"/>
        <v>4.0527312377850242</v>
      </c>
      <c r="K66" s="154">
        <f t="shared" ca="1" si="23"/>
        <v>4.0704278683500297</v>
      </c>
      <c r="L66" s="154">
        <f t="shared" ca="1" si="23"/>
        <v>1376.6493057887228</v>
      </c>
      <c r="M66" s="154">
        <f t="shared" ca="1" si="23"/>
        <v>17.878179719615076</v>
      </c>
      <c r="N66" s="154">
        <f t="shared" ca="1" si="23"/>
        <v>5.6711774752651429</v>
      </c>
      <c r="O66" s="154">
        <f t="shared" ca="1" si="23"/>
        <v>3.9223859157602305</v>
      </c>
      <c r="P66" s="154">
        <f t="shared" ca="1" si="23"/>
        <v>6.9233856052380585</v>
      </c>
      <c r="Q66" s="154">
        <f t="shared" ca="1" si="23"/>
        <v>1.4515496143141431</v>
      </c>
      <c r="R66" s="154">
        <f t="shared" ca="1" si="23"/>
        <v>35.569876615581862</v>
      </c>
      <c r="S66" s="154">
        <f t="shared" ca="1" si="23"/>
        <v>14.480781048265273</v>
      </c>
      <c r="T66" s="154">
        <f t="shared" ca="1" si="23"/>
        <v>35.176018769370586</v>
      </c>
      <c r="U66" s="154">
        <f t="shared" ca="1" si="23"/>
        <v>2.883718073377441</v>
      </c>
      <c r="V66" s="154">
        <f t="shared" ca="1" si="23"/>
        <v>1.3376813748098375</v>
      </c>
      <c r="W66" s="154">
        <f t="shared" ca="1" si="23"/>
        <v>2.4140030315179906</v>
      </c>
      <c r="X66" s="154">
        <f t="shared" ca="1" si="23"/>
        <v>7.7969113217603958</v>
      </c>
      <c r="Y66" s="154">
        <f t="shared" ca="1" si="23"/>
        <v>12.861336576208062</v>
      </c>
      <c r="Z66" s="154">
        <f t="shared" ca="1" si="23"/>
        <v>6.8243334407975293</v>
      </c>
      <c r="AA66" s="154">
        <f t="shared" ca="1" si="23"/>
        <v>5.589683322150969</v>
      </c>
      <c r="AB66" s="154">
        <f t="shared" ca="1" si="23"/>
        <v>6.0138543993822084</v>
      </c>
      <c r="AC66" s="154">
        <f t="shared" ca="1" si="23"/>
        <v>20.771849588516762</v>
      </c>
      <c r="AD66" s="154">
        <f t="shared" ca="1" si="23"/>
        <v>7.8873610462587518</v>
      </c>
      <c r="AE66" s="154">
        <f t="shared" ca="1" si="23"/>
        <v>15.272856386814269</v>
      </c>
      <c r="AF66" s="154">
        <f t="shared" ca="1" si="23"/>
        <v>21.892648754202853</v>
      </c>
      <c r="AG66" s="154">
        <f t="shared" ca="1" si="23"/>
        <v>38.174793239838323</v>
      </c>
      <c r="AH66" s="154">
        <f t="shared" ca="1" si="23"/>
        <v>4.461832213423552</v>
      </c>
      <c r="AI66" s="154">
        <f t="shared" ca="1" si="23"/>
        <v>4.0936289914487087</v>
      </c>
      <c r="AJ66" s="154">
        <f t="shared" ca="1" si="23"/>
        <v>3.5069723040752772</v>
      </c>
      <c r="AK66" s="154">
        <f t="shared" ca="1" si="23"/>
        <v>7.2567744595679304</v>
      </c>
      <c r="AL66" s="154">
        <f t="shared" ca="1" si="23"/>
        <v>4.3032747408751542</v>
      </c>
      <c r="AM66" s="154">
        <f t="shared" ca="1" si="23"/>
        <v>3.6882192065387982</v>
      </c>
      <c r="AN66" s="154">
        <f t="shared" ca="1" si="23"/>
        <v>3.6121181266651772</v>
      </c>
      <c r="AO66" s="43"/>
    </row>
    <row r="67" spans="1:43" customFormat="1" x14ac:dyDescent="0.25">
      <c r="A67" s="54" t="s">
        <v>85</v>
      </c>
      <c r="B67" s="154">
        <f ca="1">VLOOKUP(B66, Parameters!$AA$3:$AC$8, 1, TRUE)</f>
        <v>6.2</v>
      </c>
      <c r="C67" s="154">
        <f ca="1">VLOOKUP(C66, Parameters!$AA$3:$AC$8, 1, TRUE)</f>
        <v>6.2</v>
      </c>
      <c r="D67" s="154">
        <f ca="1">VLOOKUP(D66, Parameters!$AA$3:$AC$8, 1, TRUE)</f>
        <v>6.2</v>
      </c>
      <c r="E67" s="154">
        <f ca="1">VLOOKUP(E66, Parameters!$AA$3:$AC$8, 1, TRUE)</f>
        <v>6.2</v>
      </c>
      <c r="F67" s="154">
        <f ca="1">VLOOKUP(F66, Parameters!$AA$3:$AC$8, 1, TRUE)</f>
        <v>4.3</v>
      </c>
      <c r="G67" s="154">
        <f ca="1">VLOOKUP(G66, Parameters!$AA$3:$AC$8, 1, TRUE)</f>
        <v>6.2</v>
      </c>
      <c r="H67" s="154">
        <f ca="1">VLOOKUP(H66, Parameters!$AA$3:$AC$8, 1, TRUE)</f>
        <v>6.2</v>
      </c>
      <c r="I67" s="154">
        <f ca="1">VLOOKUP(I66, Parameters!$AA$3:$AC$8, 1, TRUE)</f>
        <v>3.1</v>
      </c>
      <c r="J67" s="154">
        <f ca="1">VLOOKUP(J66, Parameters!$AA$3:$AC$8, 1, TRUE)</f>
        <v>3.1</v>
      </c>
      <c r="K67" s="154">
        <f ca="1">VLOOKUP(K66, Parameters!$AA$3:$AC$8, 1, TRUE)</f>
        <v>3.1</v>
      </c>
      <c r="L67" s="154">
        <f ca="1">VLOOKUP(L66, Parameters!$AA$3:$AC$8, 1, TRUE)</f>
        <v>100</v>
      </c>
      <c r="M67" s="154">
        <f ca="1">VLOOKUP(M66, Parameters!$AA$3:$AC$8, 1, TRUE)</f>
        <v>6.2</v>
      </c>
      <c r="N67" s="154">
        <f ca="1">VLOOKUP(N66, Parameters!$AA$3:$AC$8, 1, TRUE)</f>
        <v>4.3</v>
      </c>
      <c r="O67" s="154">
        <f ca="1">VLOOKUP(O66, Parameters!$AA$3:$AC$8, 1, TRUE)</f>
        <v>3.1</v>
      </c>
      <c r="P67" s="154">
        <f ca="1">VLOOKUP(P66, Parameters!$AA$3:$AC$8, 1, TRUE)</f>
        <v>6.2</v>
      </c>
      <c r="Q67" s="154">
        <f ca="1">VLOOKUP(Q66, Parameters!$AA$3:$AC$8, 1, TRUE)</f>
        <v>1.3</v>
      </c>
      <c r="R67" s="154">
        <f ca="1">VLOOKUP(R66, Parameters!$AA$3:$AC$8, 1, TRUE)</f>
        <v>6.2</v>
      </c>
      <c r="S67" s="154">
        <f ca="1">VLOOKUP(S66, Parameters!$AA$3:$AC$8, 1, TRUE)</f>
        <v>6.2</v>
      </c>
      <c r="T67" s="154">
        <f ca="1">VLOOKUP(T66, Parameters!$AA$3:$AC$8, 1, TRUE)</f>
        <v>6.2</v>
      </c>
      <c r="U67" s="154">
        <f ca="1">VLOOKUP(U66, Parameters!$AA$3:$AC$8, 1, TRUE)</f>
        <v>1.3</v>
      </c>
      <c r="V67" s="154">
        <f ca="1">VLOOKUP(V66, Parameters!$AA$3:$AC$8, 1, TRUE)</f>
        <v>1.3</v>
      </c>
      <c r="W67" s="154">
        <f ca="1">VLOOKUP(W66, Parameters!$AA$3:$AC$8, 1, TRUE)</f>
        <v>1.3</v>
      </c>
      <c r="X67" s="154">
        <f ca="1">VLOOKUP(X66, Parameters!$AA$3:$AC$8, 1, TRUE)</f>
        <v>6.2</v>
      </c>
      <c r="Y67" s="154">
        <f ca="1">VLOOKUP(Y66, Parameters!$AA$3:$AC$8, 1, TRUE)</f>
        <v>6.2</v>
      </c>
      <c r="Z67" s="154">
        <f ca="1">VLOOKUP(Z66, Parameters!$AA$3:$AC$8, 1, TRUE)</f>
        <v>6.2</v>
      </c>
      <c r="AA67" s="154">
        <f ca="1">VLOOKUP(AA66, Parameters!$AA$3:$AC$8, 1, TRUE)</f>
        <v>4.3</v>
      </c>
      <c r="AB67" s="154">
        <f ca="1">VLOOKUP(AB66, Parameters!$AA$3:$AC$8, 1, TRUE)</f>
        <v>4.3</v>
      </c>
      <c r="AC67" s="154">
        <f ca="1">VLOOKUP(AC66, Parameters!$AA$3:$AC$8, 1, TRUE)</f>
        <v>6.2</v>
      </c>
      <c r="AD67" s="154">
        <f ca="1">VLOOKUP(AD66, Parameters!$AA$3:$AC$8, 1, TRUE)</f>
        <v>6.2</v>
      </c>
      <c r="AE67" s="154">
        <f ca="1">VLOOKUP(AE66, Parameters!$AA$3:$AC$8, 1, TRUE)</f>
        <v>6.2</v>
      </c>
      <c r="AF67" s="154">
        <f ca="1">VLOOKUP(AF66, Parameters!$AA$3:$AC$8, 1, TRUE)</f>
        <v>6.2</v>
      </c>
      <c r="AG67" s="154">
        <f ca="1">VLOOKUP(AG66, Parameters!$AA$3:$AC$8, 1, TRUE)</f>
        <v>6.2</v>
      </c>
      <c r="AH67" s="154">
        <f ca="1">VLOOKUP(AH66, Parameters!$AA$3:$AC$8, 1, TRUE)</f>
        <v>4.3</v>
      </c>
      <c r="AI67" s="154">
        <f ca="1">VLOOKUP(AI66, Parameters!$AA$3:$AC$8, 1, TRUE)</f>
        <v>3.1</v>
      </c>
      <c r="AJ67" s="154">
        <f ca="1">VLOOKUP(AJ66, Parameters!$AA$3:$AC$8, 1, TRUE)</f>
        <v>3.1</v>
      </c>
      <c r="AK67" s="154">
        <f ca="1">VLOOKUP(AK66, Parameters!$AA$3:$AC$8, 1, TRUE)</f>
        <v>6.2</v>
      </c>
      <c r="AL67" s="154">
        <f ca="1">VLOOKUP(AL66, Parameters!$AA$3:$AC$8, 1, TRUE)</f>
        <v>4.3</v>
      </c>
      <c r="AM67" s="154">
        <f ca="1">VLOOKUP(AM66, Parameters!$AA$3:$AC$8, 1, TRUE)</f>
        <v>3.1</v>
      </c>
      <c r="AN67" s="154">
        <f ca="1">VLOOKUP(AN66, Parameters!$AA$3:$AC$8, 1, TRUE)</f>
        <v>3.1</v>
      </c>
      <c r="AO67" s="43"/>
    </row>
    <row r="68" spans="1:43" x14ac:dyDescent="0.25">
      <c r="A68" s="54" t="s">
        <v>84</v>
      </c>
      <c r="B68" s="154">
        <f ca="1">VLOOKUP(B66, Parameters!$AA$3:$AC$8, 2, TRUE)</f>
        <v>8</v>
      </c>
      <c r="C68" s="154">
        <f ca="1">VLOOKUP(C66, Parameters!$AA$3:$AC$8, 2, TRUE)</f>
        <v>8</v>
      </c>
      <c r="D68" s="154">
        <f ca="1">VLOOKUP(D66, Parameters!$AA$3:$AC$8, 2, TRUE)</f>
        <v>8</v>
      </c>
      <c r="E68" s="154">
        <f ca="1">VLOOKUP(E66, Parameters!$AA$3:$AC$8, 2, TRUE)</f>
        <v>8</v>
      </c>
      <c r="F68" s="154">
        <f ca="1">VLOOKUP(F66, Parameters!$AA$3:$AC$8, 2, TRUE)</f>
        <v>4</v>
      </c>
      <c r="G68" s="154">
        <f ca="1">VLOOKUP(G66, Parameters!$AA$3:$AC$8, 2, TRUE)</f>
        <v>8</v>
      </c>
      <c r="H68" s="154">
        <f ca="1">VLOOKUP(H66, Parameters!$AA$3:$AC$8, 2, TRUE)</f>
        <v>8</v>
      </c>
      <c r="I68" s="154">
        <f ca="1">VLOOKUP(I66, Parameters!$AA$3:$AC$8, 2, TRUE)</f>
        <v>2</v>
      </c>
      <c r="J68" s="154">
        <f ca="1">VLOOKUP(J66, Parameters!$AA$3:$AC$8, 2, TRUE)</f>
        <v>2</v>
      </c>
      <c r="K68" s="154">
        <f ca="1">VLOOKUP(K66, Parameters!$AA$3:$AC$8, 2, TRUE)</f>
        <v>2</v>
      </c>
      <c r="L68" s="154">
        <f ca="1">VLOOKUP(L66, Parameters!$AA$3:$AC$8, 2, TRUE)</f>
        <v>8</v>
      </c>
      <c r="M68" s="154">
        <f ca="1">VLOOKUP(M66, Parameters!$AA$3:$AC$8, 2, TRUE)</f>
        <v>8</v>
      </c>
      <c r="N68" s="154">
        <f ca="1">VLOOKUP(N66, Parameters!$AA$3:$AC$8, 2, TRUE)</f>
        <v>4</v>
      </c>
      <c r="O68" s="154">
        <f ca="1">VLOOKUP(O66, Parameters!$AA$3:$AC$8, 2, TRUE)</f>
        <v>2</v>
      </c>
      <c r="P68" s="154">
        <f ca="1">VLOOKUP(P66, Parameters!$AA$3:$AC$8, 2, TRUE)</f>
        <v>8</v>
      </c>
      <c r="Q68" s="154">
        <f ca="1">VLOOKUP(Q66, Parameters!$AA$3:$AC$8, 2, TRUE)</f>
        <v>1</v>
      </c>
      <c r="R68" s="154">
        <f ca="1">VLOOKUP(R66, Parameters!$AA$3:$AC$8, 2, TRUE)</f>
        <v>8</v>
      </c>
      <c r="S68" s="154">
        <f ca="1">VLOOKUP(S66, Parameters!$AA$3:$AC$8, 2, TRUE)</f>
        <v>8</v>
      </c>
      <c r="T68" s="154">
        <f ca="1">VLOOKUP(T66, Parameters!$AA$3:$AC$8, 2, TRUE)</f>
        <v>8</v>
      </c>
      <c r="U68" s="154">
        <f ca="1">VLOOKUP(U66, Parameters!$AA$3:$AC$8, 2, TRUE)</f>
        <v>1</v>
      </c>
      <c r="V68" s="154">
        <f ca="1">VLOOKUP(V66, Parameters!$AA$3:$AC$8, 2, TRUE)</f>
        <v>1</v>
      </c>
      <c r="W68" s="154">
        <f ca="1">VLOOKUP(W66, Parameters!$AA$3:$AC$8, 2, TRUE)</f>
        <v>1</v>
      </c>
      <c r="X68" s="154">
        <f ca="1">VLOOKUP(X66, Parameters!$AA$3:$AC$8, 2, TRUE)</f>
        <v>8</v>
      </c>
      <c r="Y68" s="154">
        <f ca="1">VLOOKUP(Y66, Parameters!$AA$3:$AC$8, 2, TRUE)</f>
        <v>8</v>
      </c>
      <c r="Z68" s="154">
        <f ca="1">VLOOKUP(Z66, Parameters!$AA$3:$AC$8, 2, TRUE)</f>
        <v>8</v>
      </c>
      <c r="AA68" s="154">
        <f ca="1">VLOOKUP(AA66, Parameters!$AA$3:$AC$8, 2, TRUE)</f>
        <v>4</v>
      </c>
      <c r="AB68" s="154">
        <f ca="1">VLOOKUP(AB66, Parameters!$AA$3:$AC$8, 2, TRUE)</f>
        <v>4</v>
      </c>
      <c r="AC68" s="154">
        <f ca="1">VLOOKUP(AC66, Parameters!$AA$3:$AC$8, 2, TRUE)</f>
        <v>8</v>
      </c>
      <c r="AD68" s="154">
        <f ca="1">VLOOKUP(AD66, Parameters!$AA$3:$AC$8, 2, TRUE)</f>
        <v>8</v>
      </c>
      <c r="AE68" s="154">
        <f ca="1">VLOOKUP(AE66, Parameters!$AA$3:$AC$8, 2, TRUE)</f>
        <v>8</v>
      </c>
      <c r="AF68" s="154">
        <f ca="1">VLOOKUP(AF66, Parameters!$AA$3:$AC$8, 2, TRUE)</f>
        <v>8</v>
      </c>
      <c r="AG68" s="154">
        <f ca="1">VLOOKUP(AG66, Parameters!$AA$3:$AC$8, 2, TRUE)</f>
        <v>8</v>
      </c>
      <c r="AH68" s="154">
        <f ca="1">VLOOKUP(AH66, Parameters!$AA$3:$AC$8, 2, TRUE)</f>
        <v>4</v>
      </c>
      <c r="AI68" s="154">
        <f ca="1">VLOOKUP(AI66, Parameters!$AA$3:$AC$8, 2, TRUE)</f>
        <v>2</v>
      </c>
      <c r="AJ68" s="154">
        <f ca="1">VLOOKUP(AJ66, Parameters!$AA$3:$AC$8, 2, TRUE)</f>
        <v>2</v>
      </c>
      <c r="AK68" s="154">
        <f ca="1">VLOOKUP(AK66, Parameters!$AA$3:$AC$8, 2, TRUE)</f>
        <v>8</v>
      </c>
      <c r="AL68" s="154">
        <f ca="1">VLOOKUP(AL66, Parameters!$AA$3:$AC$8, 2, TRUE)</f>
        <v>4</v>
      </c>
      <c r="AM68" s="154">
        <f ca="1">VLOOKUP(AM66, Parameters!$AA$3:$AC$8, 2, TRUE)</f>
        <v>2</v>
      </c>
      <c r="AN68" s="154">
        <f ca="1">VLOOKUP(AN66, Parameters!$AA$3:$AC$8, 2, TRUE)</f>
        <v>2</v>
      </c>
      <c r="AO68" s="152"/>
    </row>
    <row r="69" spans="1:43" x14ac:dyDescent="0.25">
      <c r="A69" s="54" t="s">
        <v>83</v>
      </c>
      <c r="B69" s="154">
        <f ca="1">VLOOKUP(B66, Parameters!$AA$3:$AC$8, 3, TRUE)</f>
        <v>0</v>
      </c>
      <c r="C69" s="154">
        <f ca="1">VLOOKUP(C66, Parameters!$AA$3:$AC$8, 3, TRUE)</f>
        <v>0</v>
      </c>
      <c r="D69" s="154">
        <f ca="1">VLOOKUP(D66, Parameters!$AA$3:$AC$8, 3, TRUE)</f>
        <v>0</v>
      </c>
      <c r="E69" s="154">
        <f ca="1">VLOOKUP(E66, Parameters!$AA$3:$AC$8, 3, TRUE)</f>
        <v>0</v>
      </c>
      <c r="F69" s="154">
        <f ca="1">VLOOKUP(F66, Parameters!$AA$3:$AC$8, 3, TRUE)</f>
        <v>2.1052631578947363</v>
      </c>
      <c r="G69" s="154">
        <f ca="1">VLOOKUP(G66, Parameters!$AA$3:$AC$8, 3, TRUE)</f>
        <v>0</v>
      </c>
      <c r="H69" s="154">
        <f ca="1">VLOOKUP(H66, Parameters!$AA$3:$AC$8, 3, TRUE)</f>
        <v>0</v>
      </c>
      <c r="I69" s="154">
        <f ca="1">VLOOKUP(I66, Parameters!$AA$3:$AC$8, 3, TRUE)</f>
        <v>1.666666666666667</v>
      </c>
      <c r="J69" s="154">
        <f ca="1">VLOOKUP(J66, Parameters!$AA$3:$AC$8, 3, TRUE)</f>
        <v>1.666666666666667</v>
      </c>
      <c r="K69" s="154">
        <f ca="1">VLOOKUP(K66, Parameters!$AA$3:$AC$8, 3, TRUE)</f>
        <v>1.666666666666667</v>
      </c>
      <c r="L69" s="154">
        <f ca="1">VLOOKUP(L66, Parameters!$AA$3:$AC$8, 3, TRUE)</f>
        <v>0</v>
      </c>
      <c r="M69" s="154">
        <f ca="1">VLOOKUP(M66, Parameters!$AA$3:$AC$8, 3, TRUE)</f>
        <v>0</v>
      </c>
      <c r="N69" s="154">
        <f ca="1">VLOOKUP(N66, Parameters!$AA$3:$AC$8, 3, TRUE)</f>
        <v>2.1052631578947363</v>
      </c>
      <c r="O69" s="154">
        <f ca="1">VLOOKUP(O66, Parameters!$AA$3:$AC$8, 3, TRUE)</f>
        <v>1.666666666666667</v>
      </c>
      <c r="P69" s="154">
        <f ca="1">VLOOKUP(P66, Parameters!$AA$3:$AC$8, 3, TRUE)</f>
        <v>0</v>
      </c>
      <c r="Q69" s="154">
        <f ca="1">VLOOKUP(Q66, Parameters!$AA$3:$AC$8, 3, TRUE)</f>
        <v>0.55555555555555558</v>
      </c>
      <c r="R69" s="154">
        <f ca="1">VLOOKUP(R66, Parameters!$AA$3:$AC$8, 3, TRUE)</f>
        <v>0</v>
      </c>
      <c r="S69" s="154">
        <f ca="1">VLOOKUP(S66, Parameters!$AA$3:$AC$8, 3, TRUE)</f>
        <v>0</v>
      </c>
      <c r="T69" s="154">
        <f ca="1">VLOOKUP(T66, Parameters!$AA$3:$AC$8, 3, TRUE)</f>
        <v>0</v>
      </c>
      <c r="U69" s="154">
        <f ca="1">VLOOKUP(U66, Parameters!$AA$3:$AC$8, 3, TRUE)</f>
        <v>0.55555555555555558</v>
      </c>
      <c r="V69" s="154">
        <f ca="1">VLOOKUP(V66, Parameters!$AA$3:$AC$8, 3, TRUE)</f>
        <v>0.55555555555555558</v>
      </c>
      <c r="W69" s="154">
        <f ca="1">VLOOKUP(W66, Parameters!$AA$3:$AC$8, 3, TRUE)</f>
        <v>0.55555555555555558</v>
      </c>
      <c r="X69" s="154">
        <f ca="1">VLOOKUP(X66, Parameters!$AA$3:$AC$8, 3, TRUE)</f>
        <v>0</v>
      </c>
      <c r="Y69" s="154">
        <f ca="1">VLOOKUP(Y66, Parameters!$AA$3:$AC$8, 3, TRUE)</f>
        <v>0</v>
      </c>
      <c r="Z69" s="154">
        <f ca="1">VLOOKUP(Z66, Parameters!$AA$3:$AC$8, 3, TRUE)</f>
        <v>0</v>
      </c>
      <c r="AA69" s="154">
        <f ca="1">VLOOKUP(AA66, Parameters!$AA$3:$AC$8, 3, TRUE)</f>
        <v>2.1052631578947363</v>
      </c>
      <c r="AB69" s="154">
        <f ca="1">VLOOKUP(AB66, Parameters!$AA$3:$AC$8, 3, TRUE)</f>
        <v>2.1052631578947363</v>
      </c>
      <c r="AC69" s="154">
        <f ca="1">VLOOKUP(AC66, Parameters!$AA$3:$AC$8, 3, TRUE)</f>
        <v>0</v>
      </c>
      <c r="AD69" s="154">
        <f ca="1">VLOOKUP(AD66, Parameters!$AA$3:$AC$8, 3, TRUE)</f>
        <v>0</v>
      </c>
      <c r="AE69" s="154">
        <f ca="1">VLOOKUP(AE66, Parameters!$AA$3:$AC$8, 3, TRUE)</f>
        <v>0</v>
      </c>
      <c r="AF69" s="154">
        <f ca="1">VLOOKUP(AF66, Parameters!$AA$3:$AC$8, 3, TRUE)</f>
        <v>0</v>
      </c>
      <c r="AG69" s="154">
        <f ca="1">VLOOKUP(AG66, Parameters!$AA$3:$AC$8, 3, TRUE)</f>
        <v>0</v>
      </c>
      <c r="AH69" s="154">
        <f ca="1">VLOOKUP(AH66, Parameters!$AA$3:$AC$8, 3, TRUE)</f>
        <v>2.1052631578947363</v>
      </c>
      <c r="AI69" s="154">
        <f ca="1">VLOOKUP(AI66, Parameters!$AA$3:$AC$8, 3, TRUE)</f>
        <v>1.666666666666667</v>
      </c>
      <c r="AJ69" s="154">
        <f ca="1">VLOOKUP(AJ66, Parameters!$AA$3:$AC$8, 3, TRUE)</f>
        <v>1.666666666666667</v>
      </c>
      <c r="AK69" s="154">
        <f ca="1">VLOOKUP(AK66, Parameters!$AA$3:$AC$8, 3, TRUE)</f>
        <v>0</v>
      </c>
      <c r="AL69" s="154">
        <f ca="1">VLOOKUP(AL66, Parameters!$AA$3:$AC$8, 3, TRUE)</f>
        <v>2.1052631578947363</v>
      </c>
      <c r="AM69" s="154">
        <f ca="1">VLOOKUP(AM66, Parameters!$AA$3:$AC$8, 3, TRUE)</f>
        <v>1.666666666666667</v>
      </c>
      <c r="AN69" s="154">
        <f ca="1">VLOOKUP(AN66, Parameters!$AA$3:$AC$8, 3, TRUE)</f>
        <v>1.666666666666667</v>
      </c>
      <c r="AO69" s="152"/>
    </row>
    <row r="70" spans="1:43" x14ac:dyDescent="0.25">
      <c r="A70" s="155" t="s">
        <v>387</v>
      </c>
      <c r="B70" s="154">
        <f t="shared" ref="B70:AN70" ca="1" si="24">B68+B69*(B66-B67)</f>
        <v>8</v>
      </c>
      <c r="C70" s="154">
        <f t="shared" ca="1" si="24"/>
        <v>8</v>
      </c>
      <c r="D70" s="154">
        <f t="shared" ca="1" si="24"/>
        <v>8</v>
      </c>
      <c r="E70" s="154">
        <f t="shared" ca="1" si="24"/>
        <v>8</v>
      </c>
      <c r="F70" s="154">
        <f t="shared" ca="1" si="24"/>
        <v>4.0213185418660462</v>
      </c>
      <c r="G70" s="154">
        <f t="shared" ca="1" si="24"/>
        <v>8</v>
      </c>
      <c r="H70" s="154">
        <f t="shared" ca="1" si="24"/>
        <v>8</v>
      </c>
      <c r="I70" s="154">
        <f t="shared" ca="1" si="24"/>
        <v>2.6496123826069296</v>
      </c>
      <c r="J70" s="154">
        <f t="shared" ca="1" si="24"/>
        <v>3.5878853963083737</v>
      </c>
      <c r="K70" s="154">
        <f t="shared" ca="1" si="24"/>
        <v>3.6173797805833829</v>
      </c>
      <c r="L70" s="154">
        <f t="shared" ca="1" si="24"/>
        <v>8</v>
      </c>
      <c r="M70" s="154">
        <f t="shared" ca="1" si="24"/>
        <v>8</v>
      </c>
      <c r="N70" s="154">
        <f t="shared" ca="1" si="24"/>
        <v>6.8866894216108268</v>
      </c>
      <c r="O70" s="154">
        <f t="shared" ca="1" si="24"/>
        <v>3.3706431929337177</v>
      </c>
      <c r="P70" s="154">
        <f t="shared" ca="1" si="24"/>
        <v>8</v>
      </c>
      <c r="Q70" s="154">
        <f t="shared" ca="1" si="24"/>
        <v>1.084194230174524</v>
      </c>
      <c r="R70" s="154">
        <f t="shared" ca="1" si="24"/>
        <v>8</v>
      </c>
      <c r="S70" s="154">
        <f t="shared" ca="1" si="24"/>
        <v>8</v>
      </c>
      <c r="T70" s="154">
        <f t="shared" ca="1" si="24"/>
        <v>8</v>
      </c>
      <c r="U70" s="154">
        <f t="shared" ca="1" si="24"/>
        <v>1.8798433740985785</v>
      </c>
      <c r="V70" s="154">
        <f t="shared" ca="1" si="24"/>
        <v>1.0209340971165763</v>
      </c>
      <c r="W70" s="154">
        <f t="shared" ca="1" si="24"/>
        <v>1.6188905730655503</v>
      </c>
      <c r="X70" s="154">
        <f t="shared" ca="1" si="24"/>
        <v>8</v>
      </c>
      <c r="Y70" s="154">
        <f t="shared" ca="1" si="24"/>
        <v>8</v>
      </c>
      <c r="Z70" s="154">
        <f t="shared" ca="1" si="24"/>
        <v>8</v>
      </c>
      <c r="AA70" s="154">
        <f t="shared" ca="1" si="24"/>
        <v>6.7151227834757243</v>
      </c>
      <c r="AB70" s="154">
        <f t="shared" ca="1" si="24"/>
        <v>7.6081145250151749</v>
      </c>
      <c r="AC70" s="154">
        <f t="shared" ca="1" si="24"/>
        <v>8</v>
      </c>
      <c r="AD70" s="154">
        <f t="shared" ca="1" si="24"/>
        <v>8</v>
      </c>
      <c r="AE70" s="154">
        <f t="shared" ca="1" si="24"/>
        <v>8</v>
      </c>
      <c r="AF70" s="154">
        <f t="shared" ca="1" si="24"/>
        <v>8</v>
      </c>
      <c r="AG70" s="154">
        <f t="shared" ca="1" si="24"/>
        <v>8</v>
      </c>
      <c r="AH70" s="154">
        <f t="shared" ca="1" si="24"/>
        <v>4.3406993966811624</v>
      </c>
      <c r="AI70" s="154">
        <f t="shared" ca="1" si="24"/>
        <v>3.6560483190811812</v>
      </c>
      <c r="AJ70" s="154">
        <f t="shared" ca="1" si="24"/>
        <v>2.678287173458795</v>
      </c>
      <c r="AK70" s="154">
        <f t="shared" ca="1" si="24"/>
        <v>8</v>
      </c>
      <c r="AL70" s="154">
        <f t="shared" ca="1" si="24"/>
        <v>4.006894191316114</v>
      </c>
      <c r="AM70" s="154">
        <f t="shared" ca="1" si="24"/>
        <v>2.9803653442313305</v>
      </c>
      <c r="AN70" s="154">
        <f t="shared" ca="1" si="24"/>
        <v>2.8535302111086285</v>
      </c>
      <c r="AO70" s="152"/>
    </row>
    <row r="71" spans="1:43" x14ac:dyDescent="0.25">
      <c r="A71" s="155" t="s">
        <v>386</v>
      </c>
      <c r="B71" s="154">
        <f t="shared" ref="B71:AN71" ca="1" si="25">B70*1.5</f>
        <v>12</v>
      </c>
      <c r="C71" s="154">
        <f t="shared" ca="1" si="25"/>
        <v>12</v>
      </c>
      <c r="D71" s="154">
        <f t="shared" ca="1" si="25"/>
        <v>12</v>
      </c>
      <c r="E71" s="154">
        <f t="shared" ca="1" si="25"/>
        <v>12</v>
      </c>
      <c r="F71" s="154">
        <f t="shared" ca="1" si="25"/>
        <v>6.0319778127990693</v>
      </c>
      <c r="G71" s="154">
        <f t="shared" ca="1" si="25"/>
        <v>12</v>
      </c>
      <c r="H71" s="154">
        <f t="shared" ca="1" si="25"/>
        <v>12</v>
      </c>
      <c r="I71" s="154">
        <f t="shared" ca="1" si="25"/>
        <v>3.9744185739103943</v>
      </c>
      <c r="J71" s="154">
        <f t="shared" ca="1" si="25"/>
        <v>5.3818280944625609</v>
      </c>
      <c r="K71" s="154">
        <f t="shared" ca="1" si="25"/>
        <v>5.4260696708750746</v>
      </c>
      <c r="L71" s="154">
        <f t="shared" ca="1" si="25"/>
        <v>12</v>
      </c>
      <c r="M71" s="154">
        <f t="shared" ca="1" si="25"/>
        <v>12</v>
      </c>
      <c r="N71" s="154">
        <f t="shared" ca="1" si="25"/>
        <v>10.330034132416241</v>
      </c>
      <c r="O71" s="154">
        <f t="shared" ca="1" si="25"/>
        <v>5.0559647894005764</v>
      </c>
      <c r="P71" s="154">
        <f t="shared" ca="1" si="25"/>
        <v>12</v>
      </c>
      <c r="Q71" s="154">
        <f t="shared" ca="1" si="25"/>
        <v>1.626291345261786</v>
      </c>
      <c r="R71" s="154">
        <f t="shared" ca="1" si="25"/>
        <v>12</v>
      </c>
      <c r="S71" s="154">
        <f t="shared" ca="1" si="25"/>
        <v>12</v>
      </c>
      <c r="T71" s="154">
        <f t="shared" ca="1" si="25"/>
        <v>12</v>
      </c>
      <c r="U71" s="154">
        <f t="shared" ca="1" si="25"/>
        <v>2.8197650611478675</v>
      </c>
      <c r="V71" s="154">
        <f t="shared" ca="1" si="25"/>
        <v>1.5314011456748644</v>
      </c>
      <c r="W71" s="154">
        <f t="shared" ca="1" si="25"/>
        <v>2.4283358595983255</v>
      </c>
      <c r="X71" s="154">
        <f t="shared" ca="1" si="25"/>
        <v>12</v>
      </c>
      <c r="Y71" s="154">
        <f t="shared" ca="1" si="25"/>
        <v>12</v>
      </c>
      <c r="Z71" s="154">
        <f t="shared" ca="1" si="25"/>
        <v>12</v>
      </c>
      <c r="AA71" s="154">
        <f t="shared" ca="1" si="25"/>
        <v>10.072684175213586</v>
      </c>
      <c r="AB71" s="154">
        <f t="shared" ca="1" si="25"/>
        <v>11.412171787522762</v>
      </c>
      <c r="AC71" s="154">
        <f t="shared" ca="1" si="25"/>
        <v>12</v>
      </c>
      <c r="AD71" s="154">
        <f t="shared" ca="1" si="25"/>
        <v>12</v>
      </c>
      <c r="AE71" s="154">
        <f t="shared" ca="1" si="25"/>
        <v>12</v>
      </c>
      <c r="AF71" s="154">
        <f t="shared" ca="1" si="25"/>
        <v>12</v>
      </c>
      <c r="AG71" s="154">
        <f t="shared" ca="1" si="25"/>
        <v>12</v>
      </c>
      <c r="AH71" s="154">
        <f t="shared" ca="1" si="25"/>
        <v>6.5110490950217432</v>
      </c>
      <c r="AI71" s="154">
        <f t="shared" ca="1" si="25"/>
        <v>5.4840724786217718</v>
      </c>
      <c r="AJ71" s="154">
        <f t="shared" ca="1" si="25"/>
        <v>4.0174307601881925</v>
      </c>
      <c r="AK71" s="154">
        <f t="shared" ca="1" si="25"/>
        <v>12</v>
      </c>
      <c r="AL71" s="154">
        <f t="shared" ca="1" si="25"/>
        <v>6.010341286974171</v>
      </c>
      <c r="AM71" s="154">
        <f t="shared" ca="1" si="25"/>
        <v>4.4705480163469957</v>
      </c>
      <c r="AN71" s="154">
        <f t="shared" ca="1" si="25"/>
        <v>4.2802953166629427</v>
      </c>
      <c r="AO71" s="152">
        <f ca="1">SUMPRODUCT(B71:AN71*B5:AN5)/AO5</f>
        <v>7.964818300886594</v>
      </c>
      <c r="AP71" s="146">
        <f ca="1">AO71-AO53</f>
        <v>-0.56305703758374737</v>
      </c>
      <c r="AQ71" s="146" t="s">
        <v>385</v>
      </c>
    </row>
    <row r="72" spans="1:43" s="153" customFormat="1" x14ac:dyDescent="0.25">
      <c r="A72" s="148" t="s">
        <v>1158</v>
      </c>
      <c r="B72" s="716">
        <f ca="1">IF(Main!$F$282=1,Buffer!B32,Buffer!B12)*Main!$C$164</f>
        <v>4437.3439587057892</v>
      </c>
      <c r="C72" s="716">
        <f ca="1">IF(Main!$F$282=1,Buffer!C32,Buffer!C12)*Main!$C$164</f>
        <v>575.95484211826192</v>
      </c>
      <c r="D72" s="716">
        <f ca="1">IF(Main!$F$282=1,Buffer!D32,Buffer!D12)*Main!$C$164</f>
        <v>3993.4750695906364</v>
      </c>
      <c r="E72" s="716">
        <f ca="1">IF(Main!$F$282=1,Buffer!E32,Buffer!E12)*Main!$C$164</f>
        <v>2197.3629595853836</v>
      </c>
      <c r="F72" s="716">
        <f ca="1">IF(Main!$F$282=1,Buffer!F32,Buffer!F12)*Main!$C$164</f>
        <v>3858.4900887964986</v>
      </c>
      <c r="G72" s="716">
        <f ca="1">IF(Main!$F$282=1,Buffer!G32,Buffer!G12)*Main!$C$164</f>
        <v>0</v>
      </c>
      <c r="H72" s="716">
        <f ca="1">IF(Main!$F$282=1,Buffer!H32,Buffer!H12)*Main!$C$164</f>
        <v>935.81936564369153</v>
      </c>
      <c r="I72" s="716">
        <f ca="1">IF(Main!$F$282=1,Buffer!I32,Buffer!I12)*Main!$C$164</f>
        <v>5845.9921236240243</v>
      </c>
      <c r="J72" s="716">
        <f ca="1">IF(Main!$F$282=1,Buffer!J32,Buffer!J12)*Main!$C$164</f>
        <v>1338.5507077064699</v>
      </c>
      <c r="K72" s="716">
        <f ca="1">IF(Main!$F$282=1,Buffer!K32,Buffer!K12)*Main!$C$164</f>
        <v>2952.8533450104032</v>
      </c>
      <c r="L72" s="716">
        <f ca="1">IF(Main!$F$282=1,Buffer!L32,Buffer!L12)*Main!$C$164</f>
        <v>0</v>
      </c>
      <c r="M72" s="716">
        <f ca="1">IF(Main!$F$282=1,Buffer!M32,Buffer!M12)*Main!$C$164</f>
        <v>1105.9035565400404</v>
      </c>
      <c r="N72" s="716">
        <f ca="1">IF(Main!$F$282=1,Buffer!N32,Buffer!N12)*Main!$C$164</f>
        <v>3536.5181480875403</v>
      </c>
      <c r="O72" s="716">
        <f ca="1">IF(Main!$F$282=1,Buffer!O32,Buffer!O12)*Main!$C$164</f>
        <v>4228.9364149078074</v>
      </c>
      <c r="P72" s="716">
        <f ca="1">IF(Main!$F$282=1,Buffer!P32,Buffer!P12)*Main!$C$164</f>
        <v>1090.9882616091047</v>
      </c>
      <c r="Q72" s="716">
        <f ca="1">IF(Main!$F$282=1,Buffer!Q32,Buffer!Q12)*Main!$C$164</f>
        <v>708.84593057354346</v>
      </c>
      <c r="R72" s="716">
        <f ca="1">IF(Main!$F$282=1,Buffer!R32,Buffer!R12)*Main!$C$164</f>
        <v>0</v>
      </c>
      <c r="S72" s="716">
        <f ca="1">IF(Main!$F$282=1,Buffer!S32,Buffer!S12)*Main!$C$164</f>
        <v>919.01681749128579</v>
      </c>
      <c r="T72" s="716">
        <f ca="1">IF(Main!$F$282=1,Buffer!T32,Buffer!T12)*Main!$C$164</f>
        <v>0</v>
      </c>
      <c r="U72" s="716">
        <f ca="1">IF(Main!$F$282=1,Buffer!U32,Buffer!U12)*Main!$C$164</f>
        <v>333.05809793155561</v>
      </c>
      <c r="V72" s="716">
        <f ca="1">IF(Main!$F$282=1,Buffer!V32,Buffer!V12)*Main!$C$164</f>
        <v>192.11869131239391</v>
      </c>
      <c r="W72" s="716">
        <f ca="1">IF(Main!$F$282=1,Buffer!W32,Buffer!W12)*Main!$C$164</f>
        <v>2351.7552625134176</v>
      </c>
      <c r="X72" s="716">
        <f ca="1">IF(Main!$F$282=1,Buffer!X32,Buffer!X12)*Main!$C$164</f>
        <v>964.89695989222946</v>
      </c>
      <c r="Y72" s="716">
        <f ca="1">IF(Main!$F$282=1,Buffer!Y32,Buffer!Y12)*Main!$C$164</f>
        <v>3207.1287462977543</v>
      </c>
      <c r="Z72" s="716">
        <f ca="1">IF(Main!$F$282=1,Buffer!Z32,Buffer!Z12)*Main!$C$164</f>
        <v>6089.012681175137</v>
      </c>
      <c r="AA72" s="716">
        <f ca="1">IF(Main!$F$282=1,Buffer!AA32,Buffer!AA12)*Main!$C$164</f>
        <v>939.68647733587522</v>
      </c>
      <c r="AB72" s="716">
        <f ca="1">IF(Main!$F$282=1,Buffer!AB32,Buffer!AB12)*Main!$C$164</f>
        <v>4300.2574350449158</v>
      </c>
      <c r="AC72" s="716">
        <f ca="1">IF(Main!$F$282=1,Buffer!AC32,Buffer!AC12)*Main!$C$164</f>
        <v>235.17025772732489</v>
      </c>
      <c r="AD72" s="716">
        <f ca="1">IF(Main!$F$282=1,Buffer!AD32,Buffer!AD12)*Main!$C$164</f>
        <v>248.55145006071862</v>
      </c>
      <c r="AE72" s="716">
        <f ca="1">IF(Main!$F$282=1,Buffer!AE32,Buffer!AE12)*Main!$C$164</f>
        <v>602.96979962806461</v>
      </c>
      <c r="AF72" s="716">
        <f ca="1">IF(Main!$F$282=1,Buffer!AF32,Buffer!AF12)*Main!$C$164</f>
        <v>1294.9375487940879</v>
      </c>
      <c r="AG72" s="716">
        <f ca="1">IF(Main!$F$282=1,Buffer!AG32,Buffer!AG12)*Main!$C$164</f>
        <v>284.21005844817364</v>
      </c>
      <c r="AH72" s="716">
        <f ca="1">IF(Main!$F$282=1,Buffer!AH32,Buffer!AH12)*Main!$C$164</f>
        <v>4651.9598350789711</v>
      </c>
      <c r="AI72" s="716">
        <f ca="1">IF(Main!$F$282=1,Buffer!AI32,Buffer!AI12)*Main!$C$164</f>
        <v>517.05262872990284</v>
      </c>
      <c r="AJ72" s="716">
        <f ca="1">IF(Main!$F$282=1,Buffer!AJ32,Buffer!AJ12)*Main!$C$164</f>
        <v>2853.0973727366959</v>
      </c>
      <c r="AK72" s="716">
        <f ca="1">IF(Main!$F$282=1,Buffer!AK32,Buffer!AK12)*Main!$C$164</f>
        <v>2496.7874427343304</v>
      </c>
      <c r="AL72" s="716">
        <f ca="1">IF(Main!$F$282=1,Buffer!AL32,Buffer!AL12)*Main!$C$164</f>
        <v>5092.4314301867089</v>
      </c>
      <c r="AM72" s="716">
        <f ca="1">IF(Main!$F$282=1,Buffer!AM32,Buffer!AM12)*Main!$C$164</f>
        <v>2482.2406567336857</v>
      </c>
      <c r="AN72" s="716">
        <f ca="1">IF(Main!$F$282=1,Buffer!AN32,Buffer!AN12)*Main!$C$164</f>
        <v>2733.8608237973363</v>
      </c>
      <c r="AO72" s="159">
        <f ca="1">SUM(B72:AN72)</f>
        <v>79597.235246149765</v>
      </c>
    </row>
    <row r="73" spans="1:43" ht="26.25" x14ac:dyDescent="0.25">
      <c r="A73" s="136" t="s">
        <v>1155</v>
      </c>
      <c r="B73" s="716">
        <f>Buffer!B36</f>
        <v>1780.5800861099442</v>
      </c>
      <c r="C73" s="716">
        <f>Buffer!C36</f>
        <v>388.78734308338915</v>
      </c>
      <c r="D73" s="716">
        <f>Buffer!D36</f>
        <v>514.39911544564325</v>
      </c>
      <c r="E73" s="716">
        <f>Buffer!E36</f>
        <v>1312.7361850976802</v>
      </c>
      <c r="F73" s="716">
        <f>Buffer!F36</f>
        <v>1359.9122572375629</v>
      </c>
      <c r="G73" s="716">
        <f>Buffer!G36</f>
        <v>0</v>
      </c>
      <c r="H73" s="716">
        <f>Buffer!H36</f>
        <v>593.41499409597077</v>
      </c>
      <c r="I73" s="716">
        <f>Buffer!I36</f>
        <v>1150.4473987047199</v>
      </c>
      <c r="J73" s="716">
        <f>Buffer!J36</f>
        <v>218.4665035935495</v>
      </c>
      <c r="K73" s="716">
        <f>Buffer!K36</f>
        <v>789.65211218133618</v>
      </c>
      <c r="L73" s="716">
        <f>Buffer!L36</f>
        <v>0</v>
      </c>
      <c r="M73" s="716">
        <f>Buffer!M36</f>
        <v>26.139171945236253</v>
      </c>
      <c r="N73" s="716">
        <f>Buffer!N36</f>
        <v>1214.0132599641613</v>
      </c>
      <c r="O73" s="716">
        <f>Buffer!O36</f>
        <v>3553.3581385456932</v>
      </c>
      <c r="P73" s="716">
        <f>Buffer!P36</f>
        <v>219.73743104452808</v>
      </c>
      <c r="Q73" s="716">
        <f>Buffer!Q36</f>
        <v>205.5302571048382</v>
      </c>
      <c r="R73" s="716">
        <f>Buffer!R36</f>
        <v>0</v>
      </c>
      <c r="S73" s="716">
        <f>Buffer!S36</f>
        <v>39.671918557889931</v>
      </c>
      <c r="T73" s="716">
        <f>Buffer!T36</f>
        <v>0</v>
      </c>
      <c r="U73" s="716">
        <f>Buffer!U36</f>
        <v>140.62930259405985</v>
      </c>
      <c r="V73" s="716">
        <f>Buffer!V36</f>
        <v>70.549661553349779</v>
      </c>
      <c r="W73" s="716">
        <f>Buffer!W36</f>
        <v>628.1181366911369</v>
      </c>
      <c r="X73" s="716">
        <f>Buffer!X36</f>
        <v>310.84745463627911</v>
      </c>
      <c r="Y73" s="716">
        <f>Buffer!Y36</f>
        <v>1057.573758808702</v>
      </c>
      <c r="Z73" s="716">
        <f>Buffer!Z36</f>
        <v>1889.4334875622874</v>
      </c>
      <c r="AA73" s="716">
        <f>Buffer!AA36</f>
        <v>913.00409878735411</v>
      </c>
      <c r="AB73" s="716">
        <f>Buffer!AB36</f>
        <v>1478.104091264697</v>
      </c>
      <c r="AC73" s="716">
        <f>Buffer!AC36</f>
        <v>0</v>
      </c>
      <c r="AD73" s="716">
        <f>Buffer!AD36</f>
        <v>81.215721545026142</v>
      </c>
      <c r="AE73" s="716">
        <f>Buffer!AE36</f>
        <v>85.833379095447</v>
      </c>
      <c r="AF73" s="716">
        <f>Buffer!AF36</f>
        <v>158.88521687548621</v>
      </c>
      <c r="AG73" s="716">
        <f>Buffer!AG36</f>
        <v>54.104875762560226</v>
      </c>
      <c r="AH73" s="716">
        <f>Buffer!AH36</f>
        <v>490.76857957832345</v>
      </c>
      <c r="AI73" s="716">
        <f>Buffer!AI36</f>
        <v>199.87228738600135</v>
      </c>
      <c r="AJ73" s="716">
        <f>Buffer!AJ36</f>
        <v>330.53137862109691</v>
      </c>
      <c r="AK73" s="716">
        <f>Buffer!AK36</f>
        <v>767.86163740664836</v>
      </c>
      <c r="AL73" s="716">
        <f>Buffer!AL36</f>
        <v>1524.0254161359144</v>
      </c>
      <c r="AM73" s="716">
        <f>Buffer!AM36</f>
        <v>754.31276837746054</v>
      </c>
      <c r="AN73" s="716">
        <f>Buffer!AN36</f>
        <v>386.65832940930437</v>
      </c>
    </row>
    <row r="74" spans="1:43" x14ac:dyDescent="0.25">
      <c r="A74" s="148" t="s">
        <v>1156</v>
      </c>
      <c r="B74" s="736">
        <f ca="1">MIN(B72,B73)</f>
        <v>1780.5800861099442</v>
      </c>
      <c r="C74" s="736">
        <f t="shared" ref="C74:AN74" ca="1" si="26">MIN(C72,C73)</f>
        <v>388.78734308338915</v>
      </c>
      <c r="D74" s="736">
        <f t="shared" ca="1" si="26"/>
        <v>514.39911544564325</v>
      </c>
      <c r="E74" s="736">
        <f t="shared" ca="1" si="26"/>
        <v>1312.7361850976802</v>
      </c>
      <c r="F74" s="736">
        <f t="shared" ca="1" si="26"/>
        <v>1359.9122572375629</v>
      </c>
      <c r="G74" s="736">
        <f t="shared" ca="1" si="26"/>
        <v>0</v>
      </c>
      <c r="H74" s="736">
        <f t="shared" ca="1" si="26"/>
        <v>593.41499409597077</v>
      </c>
      <c r="I74" s="736">
        <f t="shared" ca="1" si="26"/>
        <v>1150.4473987047199</v>
      </c>
      <c r="J74" s="736">
        <f t="shared" ca="1" si="26"/>
        <v>218.4665035935495</v>
      </c>
      <c r="K74" s="736">
        <f t="shared" ca="1" si="26"/>
        <v>789.65211218133618</v>
      </c>
      <c r="L74" s="736">
        <f t="shared" ca="1" si="26"/>
        <v>0</v>
      </c>
      <c r="M74" s="736">
        <f t="shared" ca="1" si="26"/>
        <v>26.139171945236253</v>
      </c>
      <c r="N74" s="736">
        <f t="shared" ca="1" si="26"/>
        <v>1214.0132599641613</v>
      </c>
      <c r="O74" s="736">
        <f t="shared" ca="1" si="26"/>
        <v>3553.3581385456932</v>
      </c>
      <c r="P74" s="736">
        <f t="shared" ca="1" si="26"/>
        <v>219.73743104452808</v>
      </c>
      <c r="Q74" s="736">
        <f t="shared" ca="1" si="26"/>
        <v>205.5302571048382</v>
      </c>
      <c r="R74" s="736">
        <f t="shared" ca="1" si="26"/>
        <v>0</v>
      </c>
      <c r="S74" s="736">
        <f t="shared" ca="1" si="26"/>
        <v>39.671918557889931</v>
      </c>
      <c r="T74" s="736">
        <f t="shared" ca="1" si="26"/>
        <v>0</v>
      </c>
      <c r="U74" s="736">
        <f t="shared" ca="1" si="26"/>
        <v>140.62930259405985</v>
      </c>
      <c r="V74" s="736">
        <f t="shared" ca="1" si="26"/>
        <v>70.549661553349779</v>
      </c>
      <c r="W74" s="736">
        <f t="shared" ca="1" si="26"/>
        <v>628.1181366911369</v>
      </c>
      <c r="X74" s="736">
        <f t="shared" ca="1" si="26"/>
        <v>310.84745463627911</v>
      </c>
      <c r="Y74" s="736">
        <f t="shared" ca="1" si="26"/>
        <v>1057.573758808702</v>
      </c>
      <c r="Z74" s="736">
        <f t="shared" ca="1" si="26"/>
        <v>1889.4334875622874</v>
      </c>
      <c r="AA74" s="736">
        <f t="shared" ca="1" si="26"/>
        <v>913.00409878735411</v>
      </c>
      <c r="AB74" s="736">
        <f t="shared" ca="1" si="26"/>
        <v>1478.104091264697</v>
      </c>
      <c r="AC74" s="736">
        <f t="shared" ca="1" si="26"/>
        <v>0</v>
      </c>
      <c r="AD74" s="736">
        <f t="shared" ca="1" si="26"/>
        <v>81.215721545026142</v>
      </c>
      <c r="AE74" s="736">
        <f t="shared" ca="1" si="26"/>
        <v>85.833379095447</v>
      </c>
      <c r="AF74" s="736">
        <f t="shared" ca="1" si="26"/>
        <v>158.88521687548621</v>
      </c>
      <c r="AG74" s="736">
        <f t="shared" ca="1" si="26"/>
        <v>54.104875762560226</v>
      </c>
      <c r="AH74" s="736">
        <f t="shared" ca="1" si="26"/>
        <v>490.76857957832345</v>
      </c>
      <c r="AI74" s="736">
        <f t="shared" ca="1" si="26"/>
        <v>199.87228738600135</v>
      </c>
      <c r="AJ74" s="736">
        <f t="shared" ca="1" si="26"/>
        <v>330.53137862109691</v>
      </c>
      <c r="AK74" s="736">
        <f t="shared" ca="1" si="26"/>
        <v>767.86163740664836</v>
      </c>
      <c r="AL74" s="736">
        <f t="shared" ca="1" si="26"/>
        <v>1524.0254161359144</v>
      </c>
      <c r="AM74" s="736">
        <f t="shared" ca="1" si="26"/>
        <v>754.31276837746054</v>
      </c>
      <c r="AN74" s="736">
        <f t="shared" ca="1" si="26"/>
        <v>386.65832940930437</v>
      </c>
    </row>
    <row r="75" spans="1:43" x14ac:dyDescent="0.25">
      <c r="A75" s="737" t="s">
        <v>1157</v>
      </c>
      <c r="B75" s="736">
        <f ca="1">B72-B74</f>
        <v>2656.763872595845</v>
      </c>
      <c r="C75" s="736">
        <f t="shared" ref="C75:AN75" ca="1" si="27">C72-C74</f>
        <v>187.16749903487278</v>
      </c>
      <c r="D75" s="736">
        <f t="shared" ca="1" si="27"/>
        <v>3479.0759541449934</v>
      </c>
      <c r="E75" s="736">
        <f t="shared" ca="1" si="27"/>
        <v>884.62677448770341</v>
      </c>
      <c r="F75" s="736">
        <f t="shared" ca="1" si="27"/>
        <v>2498.5778315589359</v>
      </c>
      <c r="G75" s="736">
        <f t="shared" ca="1" si="27"/>
        <v>0</v>
      </c>
      <c r="H75" s="736">
        <f t="shared" ca="1" si="27"/>
        <v>342.40437154772076</v>
      </c>
      <c r="I75" s="736">
        <f t="shared" ca="1" si="27"/>
        <v>4695.5447249193039</v>
      </c>
      <c r="J75" s="736">
        <f t="shared" ca="1" si="27"/>
        <v>1120.0842041129204</v>
      </c>
      <c r="K75" s="736">
        <f t="shared" ca="1" si="27"/>
        <v>2163.2012328290671</v>
      </c>
      <c r="L75" s="736">
        <f t="shared" ca="1" si="27"/>
        <v>0</v>
      </c>
      <c r="M75" s="736">
        <f t="shared" ca="1" si="27"/>
        <v>1079.7643845948041</v>
      </c>
      <c r="N75" s="736">
        <f t="shared" ca="1" si="27"/>
        <v>2322.5048881233788</v>
      </c>
      <c r="O75" s="736">
        <f t="shared" ca="1" si="27"/>
        <v>675.57827636211414</v>
      </c>
      <c r="P75" s="736">
        <f t="shared" ca="1" si="27"/>
        <v>871.25083056457663</v>
      </c>
      <c r="Q75" s="736">
        <f t="shared" ca="1" si="27"/>
        <v>503.31567346870526</v>
      </c>
      <c r="R75" s="736">
        <f t="shared" ca="1" si="27"/>
        <v>0</v>
      </c>
      <c r="S75" s="736">
        <f t="shared" ca="1" si="27"/>
        <v>879.34489893339583</v>
      </c>
      <c r="T75" s="736">
        <f t="shared" ca="1" si="27"/>
        <v>0</v>
      </c>
      <c r="U75" s="736">
        <f t="shared" ca="1" si="27"/>
        <v>192.42879533749576</v>
      </c>
      <c r="V75" s="736">
        <f t="shared" ca="1" si="27"/>
        <v>121.56902975904413</v>
      </c>
      <c r="W75" s="736">
        <f t="shared" ca="1" si="27"/>
        <v>1723.6371258222807</v>
      </c>
      <c r="X75" s="736">
        <f t="shared" ca="1" si="27"/>
        <v>654.04950525595041</v>
      </c>
      <c r="Y75" s="736">
        <f t="shared" ca="1" si="27"/>
        <v>2149.5549874890521</v>
      </c>
      <c r="Z75" s="736">
        <f t="shared" ca="1" si="27"/>
        <v>4199.5791936128498</v>
      </c>
      <c r="AA75" s="736">
        <f t="shared" ca="1" si="27"/>
        <v>26.682378548521115</v>
      </c>
      <c r="AB75" s="736">
        <f t="shared" ca="1" si="27"/>
        <v>2822.1533437802191</v>
      </c>
      <c r="AC75" s="736">
        <f t="shared" ca="1" si="27"/>
        <v>235.17025772732489</v>
      </c>
      <c r="AD75" s="736">
        <f t="shared" ca="1" si="27"/>
        <v>167.33572851569249</v>
      </c>
      <c r="AE75" s="736">
        <f t="shared" ca="1" si="27"/>
        <v>517.13642053261765</v>
      </c>
      <c r="AF75" s="736">
        <f t="shared" ca="1" si="27"/>
        <v>1136.0523319186018</v>
      </c>
      <c r="AG75" s="736">
        <f t="shared" ca="1" si="27"/>
        <v>230.10518268561341</v>
      </c>
      <c r="AH75" s="736">
        <f t="shared" ca="1" si="27"/>
        <v>4161.1912555006475</v>
      </c>
      <c r="AI75" s="736">
        <f t="shared" ca="1" si="27"/>
        <v>317.18034134390149</v>
      </c>
      <c r="AJ75" s="736">
        <f t="shared" ca="1" si="27"/>
        <v>2522.5659941155991</v>
      </c>
      <c r="AK75" s="736">
        <f t="shared" ca="1" si="27"/>
        <v>1728.9258053276822</v>
      </c>
      <c r="AL75" s="736">
        <f t="shared" ca="1" si="27"/>
        <v>3568.4060140507945</v>
      </c>
      <c r="AM75" s="736">
        <f t="shared" ca="1" si="27"/>
        <v>1727.9278883562251</v>
      </c>
      <c r="AN75" s="736">
        <f t="shared" ca="1" si="27"/>
        <v>2347.2024943880319</v>
      </c>
    </row>
    <row r="76" spans="1:43" x14ac:dyDescent="0.25">
      <c r="A76" s="148" t="s">
        <v>1190</v>
      </c>
      <c r="B76" s="149">
        <f ca="1">IF(B72&gt;0,B74/B72,0)</f>
        <v>0.40127159460256812</v>
      </c>
      <c r="C76" s="149">
        <f t="shared" ref="C76:AN76" ca="1" si="28">IF(C72&gt;0,C74/C72,0)</f>
        <v>0.67503094800539709</v>
      </c>
      <c r="D76" s="149">
        <f t="shared" ca="1" si="28"/>
        <v>0.12880989776615115</v>
      </c>
      <c r="E76" s="149">
        <f t="shared" ca="1" si="28"/>
        <v>0.59741435950361976</v>
      </c>
      <c r="F76" s="149">
        <f t="shared" ca="1" si="28"/>
        <v>0.35244674106749696</v>
      </c>
      <c r="G76" s="149">
        <f t="shared" ca="1" si="28"/>
        <v>0</v>
      </c>
      <c r="H76" s="149">
        <f t="shared" ca="1" si="28"/>
        <v>0.63411275282575263</v>
      </c>
      <c r="I76" s="149">
        <f t="shared" ca="1" si="28"/>
        <v>0.19679249892515063</v>
      </c>
      <c r="J76" s="149">
        <f t="shared" ca="1" si="28"/>
        <v>0.16321122713974681</v>
      </c>
      <c r="K76" s="149">
        <f t="shared" ca="1" si="28"/>
        <v>0.26742002392894121</v>
      </c>
      <c r="L76" s="149">
        <f t="shared" ca="1" si="28"/>
        <v>0</v>
      </c>
      <c r="M76" s="149">
        <f t="shared" ca="1" si="28"/>
        <v>2.3636032084945968E-2</v>
      </c>
      <c r="N76" s="149">
        <f t="shared" ca="1" si="28"/>
        <v>0.34327923938992622</v>
      </c>
      <c r="O76" s="149">
        <f t="shared" ca="1" si="28"/>
        <v>0.84024865590776632</v>
      </c>
      <c r="P76" s="149">
        <f t="shared" ca="1" si="28"/>
        <v>0.20141136140221721</v>
      </c>
      <c r="Q76" s="149">
        <f t="shared" ca="1" si="28"/>
        <v>0.28995053542670263</v>
      </c>
      <c r="R76" s="149">
        <f t="shared" ca="1" si="28"/>
        <v>0</v>
      </c>
      <c r="S76" s="149">
        <f t="shared" ca="1" si="28"/>
        <v>4.3167783007698989E-2</v>
      </c>
      <c r="T76" s="149">
        <f t="shared" ca="1" si="28"/>
        <v>0</v>
      </c>
      <c r="U76" s="149">
        <f t="shared" ca="1" si="28"/>
        <v>0.42223655112255992</v>
      </c>
      <c r="V76" s="149">
        <f t="shared" ca="1" si="28"/>
        <v>0.36721914495364094</v>
      </c>
      <c r="W76" s="149">
        <f t="shared" ca="1" si="28"/>
        <v>0.26708482243166798</v>
      </c>
      <c r="X76" s="149">
        <f t="shared" ca="1" si="28"/>
        <v>0.32215611361341429</v>
      </c>
      <c r="Y76" s="149">
        <f t="shared" ca="1" si="28"/>
        <v>0.32975718858481878</v>
      </c>
      <c r="Z76" s="149">
        <f t="shared" ca="1" si="28"/>
        <v>0.31030211078450898</v>
      </c>
      <c r="AA76" s="149">
        <f t="shared" ca="1" si="28"/>
        <v>0.97160502019336403</v>
      </c>
      <c r="AB76" s="149">
        <f t="shared" ca="1" si="28"/>
        <v>0.34372455919008449</v>
      </c>
      <c r="AC76" s="149">
        <f t="shared" ca="1" si="28"/>
        <v>0</v>
      </c>
      <c r="AD76" s="149">
        <f t="shared" ca="1" si="28"/>
        <v>0.32675617674001078</v>
      </c>
      <c r="AE76" s="149">
        <f t="shared" ca="1" si="28"/>
        <v>0.14235104170788054</v>
      </c>
      <c r="AF76" s="149">
        <f t="shared" ca="1" si="28"/>
        <v>0.12269720421919053</v>
      </c>
      <c r="AG76" s="149">
        <f t="shared" ca="1" si="28"/>
        <v>0.19036932069885337</v>
      </c>
      <c r="AH76" s="149">
        <f t="shared" ca="1" si="28"/>
        <v>0.10549716613578462</v>
      </c>
      <c r="AI76" s="149">
        <f t="shared" ca="1" si="28"/>
        <v>0.38656081853209245</v>
      </c>
      <c r="AJ76" s="149">
        <f t="shared" ca="1" si="28"/>
        <v>0.11585001682015873</v>
      </c>
      <c r="AK76" s="149">
        <f t="shared" ca="1" si="28"/>
        <v>0.30753985071541884</v>
      </c>
      <c r="AL76" s="149">
        <f t="shared" ca="1" si="28"/>
        <v>0.29927264353563177</v>
      </c>
      <c r="AM76" s="149">
        <f t="shared" ca="1" si="28"/>
        <v>0.30388381816694621</v>
      </c>
      <c r="AN76" s="149">
        <f t="shared" ca="1" si="28"/>
        <v>0.14143307005374015</v>
      </c>
    </row>
    <row r="77" spans="1:43" s="781" customFormat="1" x14ac:dyDescent="0.25">
      <c r="A77" s="148" t="s">
        <v>1191</v>
      </c>
      <c r="B77" s="149">
        <f ca="1">B76</f>
        <v>0.40127159460256812</v>
      </c>
      <c r="C77" s="149">
        <f t="shared" ref="C77:AN77" ca="1" si="29">C76</f>
        <v>0.67503094800539709</v>
      </c>
      <c r="D77" s="149">
        <f t="shared" ca="1" si="29"/>
        <v>0.12880989776615115</v>
      </c>
      <c r="E77" s="149">
        <f t="shared" ca="1" si="29"/>
        <v>0.59741435950361976</v>
      </c>
      <c r="F77" s="149">
        <f t="shared" ca="1" si="29"/>
        <v>0.35244674106749696</v>
      </c>
      <c r="G77" s="149">
        <f t="shared" ca="1" si="29"/>
        <v>0</v>
      </c>
      <c r="H77" s="149">
        <f t="shared" ca="1" si="29"/>
        <v>0.63411275282575263</v>
      </c>
      <c r="I77" s="149">
        <f t="shared" ca="1" si="29"/>
        <v>0.19679249892515063</v>
      </c>
      <c r="J77" s="149">
        <f t="shared" ca="1" si="29"/>
        <v>0.16321122713974681</v>
      </c>
      <c r="K77" s="149">
        <f t="shared" ca="1" si="29"/>
        <v>0.26742002392894121</v>
      </c>
      <c r="L77" s="149">
        <f t="shared" ca="1" si="29"/>
        <v>0</v>
      </c>
      <c r="M77" s="149">
        <f t="shared" ca="1" si="29"/>
        <v>2.3636032084945968E-2</v>
      </c>
      <c r="N77" s="149">
        <f t="shared" ca="1" si="29"/>
        <v>0.34327923938992622</v>
      </c>
      <c r="O77" s="149">
        <f t="shared" ca="1" si="29"/>
        <v>0.84024865590776632</v>
      </c>
      <c r="P77" s="149">
        <f t="shared" ca="1" si="29"/>
        <v>0.20141136140221721</v>
      </c>
      <c r="Q77" s="149">
        <f t="shared" ca="1" si="29"/>
        <v>0.28995053542670263</v>
      </c>
      <c r="R77" s="149">
        <f t="shared" ca="1" si="29"/>
        <v>0</v>
      </c>
      <c r="S77" s="149">
        <f t="shared" ca="1" si="29"/>
        <v>4.3167783007698989E-2</v>
      </c>
      <c r="T77" s="149">
        <f t="shared" ca="1" si="29"/>
        <v>0</v>
      </c>
      <c r="U77" s="149">
        <f t="shared" ca="1" si="29"/>
        <v>0.42223655112255992</v>
      </c>
      <c r="V77" s="149">
        <f t="shared" ca="1" si="29"/>
        <v>0.36721914495364094</v>
      </c>
      <c r="W77" s="149">
        <f t="shared" ca="1" si="29"/>
        <v>0.26708482243166798</v>
      </c>
      <c r="X77" s="149">
        <f t="shared" ca="1" si="29"/>
        <v>0.32215611361341429</v>
      </c>
      <c r="Y77" s="149">
        <f t="shared" ca="1" si="29"/>
        <v>0.32975718858481878</v>
      </c>
      <c r="Z77" s="149">
        <f t="shared" ca="1" si="29"/>
        <v>0.31030211078450898</v>
      </c>
      <c r="AA77" s="149">
        <f t="shared" ca="1" si="29"/>
        <v>0.97160502019336403</v>
      </c>
      <c r="AB77" s="149">
        <f t="shared" ca="1" si="29"/>
        <v>0.34372455919008449</v>
      </c>
      <c r="AC77" s="149">
        <f t="shared" ca="1" si="29"/>
        <v>0</v>
      </c>
      <c r="AD77" s="149">
        <f t="shared" ca="1" si="29"/>
        <v>0.32675617674001078</v>
      </c>
      <c r="AE77" s="149">
        <f t="shared" ca="1" si="29"/>
        <v>0.14235104170788054</v>
      </c>
      <c r="AF77" s="149">
        <f t="shared" ca="1" si="29"/>
        <v>0.12269720421919053</v>
      </c>
      <c r="AG77" s="149">
        <f t="shared" ca="1" si="29"/>
        <v>0.19036932069885337</v>
      </c>
      <c r="AH77" s="149">
        <f t="shared" ca="1" si="29"/>
        <v>0.10549716613578462</v>
      </c>
      <c r="AI77" s="149">
        <f t="shared" ca="1" si="29"/>
        <v>0.38656081853209245</v>
      </c>
      <c r="AJ77" s="149">
        <f t="shared" ca="1" si="29"/>
        <v>0.11585001682015873</v>
      </c>
      <c r="AK77" s="149">
        <f t="shared" ca="1" si="29"/>
        <v>0.30753985071541884</v>
      </c>
      <c r="AL77" s="149">
        <f t="shared" ca="1" si="29"/>
        <v>0.29927264353563177</v>
      </c>
      <c r="AM77" s="149">
        <f t="shared" ca="1" si="29"/>
        <v>0.30388381816694621</v>
      </c>
      <c r="AN77" s="149">
        <f t="shared" ca="1" si="29"/>
        <v>0.14143307005374015</v>
      </c>
    </row>
    <row r="78" spans="1:43" x14ac:dyDescent="0.25">
      <c r="A78" s="148" t="s">
        <v>1959</v>
      </c>
      <c r="B78" s="149">
        <f ca="1">IF(Main!$F$282=1,Buffer!B77,Buffer!B76)</f>
        <v>0.40127159460256812</v>
      </c>
      <c r="C78" s="149">
        <f ca="1">IF(Main!$F$282=1,Buffer!C77,Buffer!C76)</f>
        <v>0.67503094800539709</v>
      </c>
      <c r="D78" s="149">
        <f ca="1">IF(Main!$F$282=1,Buffer!D77,Buffer!D76)</f>
        <v>0.12880989776615115</v>
      </c>
      <c r="E78" s="149">
        <f ca="1">IF(Main!$F$282=1,Buffer!E77,Buffer!E76)</f>
        <v>0.59741435950361976</v>
      </c>
      <c r="F78" s="149">
        <f ca="1">IF(Main!$F$282=1,Buffer!F77,Buffer!F76)</f>
        <v>0.35244674106749696</v>
      </c>
      <c r="G78" s="149">
        <f ca="1">IF(Main!$F$282=1,Buffer!G77,Buffer!G76)</f>
        <v>0</v>
      </c>
      <c r="H78" s="149">
        <f ca="1">IF(Main!$F$282=1,Buffer!H77,Buffer!H76)</f>
        <v>0.63411275282575263</v>
      </c>
      <c r="I78" s="149">
        <f ca="1">IF(Main!$F$282=1,Buffer!I77,Buffer!I76)</f>
        <v>0.19679249892515063</v>
      </c>
      <c r="J78" s="149">
        <f ca="1">IF(Main!$F$282=1,Buffer!J77,Buffer!J76)</f>
        <v>0.16321122713974681</v>
      </c>
      <c r="K78" s="149">
        <f ca="1">IF(Main!$F$282=1,Buffer!K77,Buffer!K76)</f>
        <v>0.26742002392894121</v>
      </c>
      <c r="L78" s="149">
        <f ca="1">IF(Main!$F$282=1,Buffer!L77,Buffer!L76)</f>
        <v>0</v>
      </c>
      <c r="M78" s="149">
        <f ca="1">IF(Main!$F$282=1,Buffer!M77,Buffer!M76)</f>
        <v>2.3636032084945968E-2</v>
      </c>
      <c r="N78" s="149">
        <f ca="1">IF(Main!$F$282=1,Buffer!N77,Buffer!N76)</f>
        <v>0.34327923938992622</v>
      </c>
      <c r="O78" s="149">
        <f ca="1">IF(Main!$F$282=1,Buffer!O77,Buffer!O76)</f>
        <v>0.84024865590776632</v>
      </c>
      <c r="P78" s="149">
        <f ca="1">IF(Main!$F$282=1,Buffer!P77,Buffer!P76)</f>
        <v>0.20141136140221721</v>
      </c>
      <c r="Q78" s="149">
        <f ca="1">IF(Main!$F$282=1,Buffer!Q77,Buffer!Q76)</f>
        <v>0.28995053542670263</v>
      </c>
      <c r="R78" s="149">
        <f ca="1">IF(Main!$F$282=1,Buffer!R77,Buffer!R76)</f>
        <v>0</v>
      </c>
      <c r="S78" s="149">
        <f ca="1">IF(Main!$F$282=1,Buffer!S77,Buffer!S76)</f>
        <v>4.3167783007698989E-2</v>
      </c>
      <c r="T78" s="149">
        <f ca="1">IF(Main!$F$282=1,Buffer!T77,Buffer!T76)</f>
        <v>0</v>
      </c>
      <c r="U78" s="149">
        <f ca="1">IF(Main!$F$282=1,Buffer!U77,Buffer!U76)</f>
        <v>0.42223655112255992</v>
      </c>
      <c r="V78" s="149">
        <f ca="1">IF(Main!$F$282=1,Buffer!V77,Buffer!V76)</f>
        <v>0.36721914495364094</v>
      </c>
      <c r="W78" s="149">
        <f ca="1">IF(Main!$F$282=1,Buffer!W77,Buffer!W76)</f>
        <v>0.26708482243166798</v>
      </c>
      <c r="X78" s="149">
        <f ca="1">IF(Main!$F$282=1,Buffer!X77,Buffer!X76)</f>
        <v>0.32215611361341429</v>
      </c>
      <c r="Y78" s="149">
        <f ca="1">IF(Main!$F$282=1,Buffer!Y77,Buffer!Y76)</f>
        <v>0.32975718858481878</v>
      </c>
      <c r="Z78" s="149">
        <f ca="1">IF(Main!$F$282=1,Buffer!Z77,Buffer!Z76)</f>
        <v>0.31030211078450898</v>
      </c>
      <c r="AA78" s="149">
        <f ca="1">IF(Main!$F$282=1,Buffer!AA77,Buffer!AA76)</f>
        <v>0.97160502019336403</v>
      </c>
      <c r="AB78" s="149">
        <f ca="1">IF(Main!$F$282=1,Buffer!AB77,Buffer!AB76)</f>
        <v>0.34372455919008449</v>
      </c>
      <c r="AC78" s="149">
        <f ca="1">IF(Main!$F$282=1,Buffer!AC77,Buffer!AC76)</f>
        <v>0</v>
      </c>
      <c r="AD78" s="149">
        <f ca="1">IF(Main!$F$282=1,Buffer!AD77,Buffer!AD76)</f>
        <v>0.32675617674001078</v>
      </c>
      <c r="AE78" s="149">
        <f ca="1">IF(Main!$F$282=1,Buffer!AE77,Buffer!AE76)</f>
        <v>0.14235104170788054</v>
      </c>
      <c r="AF78" s="149">
        <f ca="1">IF(Main!$F$282=1,Buffer!AF77,Buffer!AF76)</f>
        <v>0.12269720421919053</v>
      </c>
      <c r="AG78" s="149">
        <f ca="1">IF(Main!$F$282=1,Buffer!AG77,Buffer!AG76)</f>
        <v>0.19036932069885337</v>
      </c>
      <c r="AH78" s="149">
        <f ca="1">IF(Main!$F$282=1,Buffer!AH77,Buffer!AH76)</f>
        <v>0.10549716613578462</v>
      </c>
      <c r="AI78" s="149">
        <f ca="1">IF(Main!$F$282=1,Buffer!AI77,Buffer!AI76)</f>
        <v>0.38656081853209245</v>
      </c>
      <c r="AJ78" s="149">
        <f ca="1">IF(Main!$F$282=1,Buffer!AJ77,Buffer!AJ76)</f>
        <v>0.11585001682015873</v>
      </c>
      <c r="AK78" s="149">
        <f ca="1">IF(Main!$F$282=1,Buffer!AK77,Buffer!AK76)</f>
        <v>0.30753985071541884</v>
      </c>
      <c r="AL78" s="149">
        <f ca="1">IF(Main!$F$282=1,Buffer!AL77,Buffer!AL76)</f>
        <v>0.29927264353563177</v>
      </c>
      <c r="AM78" s="149">
        <f ca="1">IF(Main!$F$282=1,Buffer!AM77,Buffer!AM76)</f>
        <v>0.30388381816694621</v>
      </c>
      <c r="AN78" s="149">
        <f ca="1">IF(Main!$F$282=1,Buffer!AN77,Buffer!AN76)</f>
        <v>0.14143307005374015</v>
      </c>
    </row>
    <row r="79" spans="1:43" x14ac:dyDescent="0.25">
      <c r="A79" s="151" t="s">
        <v>1188</v>
      </c>
      <c r="B79" s="150"/>
      <c r="C79" s="150"/>
      <c r="D79" s="150"/>
      <c r="E79" s="150"/>
      <c r="F79" s="150"/>
      <c r="G79" s="150"/>
      <c r="H79" s="150"/>
      <c r="I79" s="150"/>
      <c r="J79" s="150"/>
      <c r="K79" s="150"/>
      <c r="L79" s="150"/>
      <c r="M79" s="150"/>
      <c r="N79" s="150"/>
      <c r="O79" s="150"/>
      <c r="P79" s="150"/>
      <c r="Q79" s="150"/>
      <c r="R79" s="150"/>
      <c r="S79" s="150"/>
      <c r="T79" s="150"/>
      <c r="U79" s="150"/>
      <c r="V79" s="150"/>
      <c r="W79" s="150"/>
      <c r="X79" s="150"/>
      <c r="Y79" s="150"/>
      <c r="Z79" s="150"/>
      <c r="AA79" s="150"/>
      <c r="AB79" s="150"/>
      <c r="AC79" s="150"/>
      <c r="AD79" s="410"/>
      <c r="AE79" s="150"/>
      <c r="AF79" s="150"/>
      <c r="AG79" s="150"/>
      <c r="AH79" s="150"/>
      <c r="AI79" s="150"/>
      <c r="AJ79" s="150"/>
      <c r="AK79" s="150"/>
      <c r="AL79" s="150"/>
      <c r="AM79" s="150"/>
      <c r="AN79" s="150"/>
    </row>
    <row r="80" spans="1:43" x14ac:dyDescent="0.25">
      <c r="A80" t="s">
        <v>382</v>
      </c>
      <c r="B80" s="716">
        <f ca="1">IFERROR((Watersheds!B13+Watersheds!B14)*(1-B$78)*B$3,0)</f>
        <v>303314.43736207258</v>
      </c>
      <c r="C80" s="716">
        <f ca="1">IFERROR((Watersheds!C13+Watersheds!C14)*(1-C$78)*C$3,0)</f>
        <v>10077.878256126121</v>
      </c>
      <c r="D80" s="716">
        <f ca="1">IFERROR((Watersheds!D13+Watersheds!D14)*(1-D$78)*D$3,0)</f>
        <v>175103.60016036453</v>
      </c>
      <c r="E80" s="716">
        <f ca="1">IFERROR((Watersheds!E13+Watersheds!E14)*(1-E$78)*E$3,0)</f>
        <v>86947.384830633193</v>
      </c>
      <c r="F80" s="716">
        <f ca="1">IFERROR((Watersheds!F13+Watersheds!F14)*(1-F$78)*F$3,0)</f>
        <v>356361.75821379217</v>
      </c>
      <c r="G80" s="716">
        <f ca="1">IFERROR((Watersheds!G13+Watersheds!G14)*(1-G$78)*G$3,0)</f>
        <v>0.77492249012000003</v>
      </c>
      <c r="H80" s="716">
        <f ca="1">IFERROR((Watersheds!H13+Watersheds!H14)*(1-H$78)*H$3,0)</f>
        <v>71852.911875607431</v>
      </c>
      <c r="I80" s="716">
        <f ca="1">IFERROR((Watersheds!I13+Watersheds!I14)*(1-I$78)*I$3,0)</f>
        <v>732940.56383576768</v>
      </c>
      <c r="J80" s="716">
        <f ca="1">IFERROR((Watersheds!J13+Watersheds!J14)*(1-J$78)*J$3,0)</f>
        <v>185752.33910840866</v>
      </c>
      <c r="K80" s="716">
        <f ca="1">IFERROR((Watersheds!K13+Watersheds!K14)*(1-K$78)*K$3,0)</f>
        <v>149974.64073196953</v>
      </c>
      <c r="L80" s="716">
        <f ca="1">IFERROR((Watersheds!L13+Watersheds!L14)*(1-L$78)*L$3,0)</f>
        <v>337.23005384470002</v>
      </c>
      <c r="M80" s="716">
        <f ca="1">IFERROR((Watersheds!M13+Watersheds!M14)*(1-M$78)*M$3,0)</f>
        <v>11665.465800751856</v>
      </c>
      <c r="N80" s="716">
        <f ca="1">IFERROR((Watersheds!N13+Watersheds!N14)*(1-N$78)*N$3,0)</f>
        <v>270604.18977949291</v>
      </c>
      <c r="O80" s="716">
        <f ca="1">IFERROR((Watersheds!O13+Watersheds!O14)*(1-O$78)*O$3,0)</f>
        <v>12979.273710383815</v>
      </c>
      <c r="P80" s="716">
        <f ca="1">IFERROR((Watersheds!P13+Watersheds!P14)*(1-P$78)*P$3,0)</f>
        <v>100408.27892106598</v>
      </c>
      <c r="Q80" s="716">
        <f ca="1">IFERROR((Watersheds!Q13+Watersheds!Q14)*(1-Q$78)*Q$3,0)</f>
        <v>21449.735920032712</v>
      </c>
      <c r="R80" s="716">
        <f ca="1">IFERROR((Watersheds!R13+Watersheds!R14)*(1-R$78)*R$3,0)</f>
        <v>12.3987598419</v>
      </c>
      <c r="S80" s="716">
        <f ca="1">IFERROR((Watersheds!S13+Watersheds!S14)*(1-S$78)*S$3,0)</f>
        <v>22965.228275324276</v>
      </c>
      <c r="T80" s="716">
        <f ca="1">IFERROR((Watersheds!T13+Watersheds!T14)*(1-T$78)*T$3,0)</f>
        <v>20.922906875599999</v>
      </c>
      <c r="U80" s="716">
        <f ca="1">IFERROR((Watersheds!U13+Watersheds!U14)*(1-U$78)*U$3,0)</f>
        <v>607.39933881642139</v>
      </c>
      <c r="V80" s="716">
        <f ca="1">IFERROR((Watersheds!V13+Watersheds!V14)*(1-V$78)*V$3,0)</f>
        <v>20913.795331947564</v>
      </c>
      <c r="W80" s="716">
        <f ca="1">IFERROR((Watersheds!W13+Watersheds!W14)*(1-W$78)*W$3,0)</f>
        <v>104688.315866786</v>
      </c>
      <c r="X80" s="716">
        <f ca="1">IFERROR((Watersheds!X13+Watersheds!X14)*(1-X$78)*X$3,0)</f>
        <v>1114.0809418239362</v>
      </c>
      <c r="Y80" s="716">
        <f ca="1">IFERROR((Watersheds!Y13+Watersheds!Y14)*(1-Y$78)*Y$3,0)</f>
        <v>235344.34609503151</v>
      </c>
      <c r="Z80" s="716">
        <f ca="1">IFERROR((Watersheds!Z13+Watersheds!Z14)*(1-Z$78)*Z$3,0)</f>
        <v>616495.58145011531</v>
      </c>
      <c r="AA80" s="716">
        <f ca="1">IFERROR((Watersheds!AA13+Watersheds!AA14)*(1-AA$78)*AA$3,0)</f>
        <v>251.35976293450565</v>
      </c>
      <c r="AB80" s="716">
        <f ca="1">IFERROR((Watersheds!AB13+Watersheds!AB14)*(1-AB$78)*AB$3,0)</f>
        <v>273428.52443209611</v>
      </c>
      <c r="AC80" s="716">
        <f ca="1">IFERROR((Watersheds!AC13+Watersheds!AC14)*(1-AC$78)*AC$3,0)</f>
        <v>3431.5561253799997</v>
      </c>
      <c r="AD80" s="716">
        <f ca="1">IFERROR((Watersheds!AD13+Watersheds!AD14)*(1-AD$78)*AD$3,0)</f>
        <v>18648.067360761506</v>
      </c>
      <c r="AE80" s="716">
        <f ca="1">IFERROR((Watersheds!AE13+Watersheds!AE14)*(1-AE$78)*AE$3,0)</f>
        <v>24947.415954376625</v>
      </c>
      <c r="AF80" s="716">
        <f ca="1">IFERROR((Watersheds!AF13+Watersheds!AF14)*(1-AF$78)*AF$3,0)</f>
        <v>53138.819932006867</v>
      </c>
      <c r="AG80" s="716">
        <f ca="1">IFERROR((Watersheds!AG13+Watersheds!AG14)*(1-AG$78)*AG$3,0)</f>
        <v>11131.206386737857</v>
      </c>
      <c r="AH80" s="716">
        <f ca="1">IFERROR((Watersheds!AH13+Watersheds!AH14)*(1-AH$78)*AH$3,0)</f>
        <v>592443.15077011008</v>
      </c>
      <c r="AI80" s="716">
        <f ca="1">IFERROR((Watersheds!AI13+Watersheds!AI14)*(1-AI$78)*AI$3,0)</f>
        <v>39251.771976522934</v>
      </c>
      <c r="AJ80" s="716">
        <f ca="1">IFERROR((Watersheds!AJ13+Watersheds!AJ14)*(1-AJ$78)*AJ$3,0)</f>
        <v>38868.102432369808</v>
      </c>
      <c r="AK80" s="716">
        <f ca="1">IFERROR((Watersheds!AK13+Watersheds!AK14)*(1-AK$78)*AK$3,0)</f>
        <v>188839.8955945796</v>
      </c>
      <c r="AL80" s="716">
        <f ca="1">IFERROR((Watersheds!AL13+Watersheds!AL14)*(1-AL$78)*AL$3,0)</f>
        <v>78262.373780197857</v>
      </c>
      <c r="AM80" s="716">
        <f ca="1">IFERROR((Watersheds!AM13+Watersheds!AM14)*(1-AM$78)*AM$3,0)</f>
        <v>292993.64495626593</v>
      </c>
      <c r="AN80" s="716">
        <f ca="1">IFERROR((Watersheds!AN13+Watersheds!AN14)*(1-AN$78)*AN$3,0)</f>
        <v>432056.41726061475</v>
      </c>
    </row>
    <row r="81" spans="1:40" x14ac:dyDescent="0.25">
      <c r="A81" t="s">
        <v>91</v>
      </c>
      <c r="B81" s="716">
        <f ca="1">IFERROR(Watersheds!B15*(1-B$78)*B$3,0)</f>
        <v>185234.6314823828</v>
      </c>
      <c r="C81" s="716">
        <f ca="1">IFERROR(Watersheds!C15*(1-C$78)*C$3,0)</f>
        <v>7901.2873749138998</v>
      </c>
      <c r="D81" s="716">
        <f ca="1">IFERROR(Watersheds!D15*(1-D$78)*D$3,0)</f>
        <v>63836.556833775379</v>
      </c>
      <c r="E81" s="716">
        <f ca="1">IFERROR(Watersheds!E15*(1-E$78)*E$3,0)</f>
        <v>47877.821251865898</v>
      </c>
      <c r="F81" s="716">
        <f ca="1">IFERROR(Watersheds!F15*(1-F$78)*F$3,0)</f>
        <v>308179.66167160327</v>
      </c>
      <c r="G81" s="716">
        <f ca="1">IFERROR(Watersheds!G15*(1-G$78)*G$3,0)</f>
        <v>0</v>
      </c>
      <c r="H81" s="716">
        <f ca="1">IFERROR(Watersheds!H15*(1-H$78)*H$3,0)</f>
        <v>18628.200169829448</v>
      </c>
      <c r="I81" s="716">
        <f ca="1">IFERROR(Watersheds!I15*(1-I$78)*I$3,0)</f>
        <v>631500.3617189778</v>
      </c>
      <c r="J81" s="716">
        <f ca="1">IFERROR(Watersheds!J15*(1-J$78)*J$3,0)</f>
        <v>149918.22668204553</v>
      </c>
      <c r="K81" s="716">
        <f ca="1">IFERROR(Watersheds!K15*(1-K$78)*K$3,0)</f>
        <v>251494.68289207021</v>
      </c>
      <c r="L81" s="716">
        <f ca="1">IFERROR(Watersheds!L15*(1-L$78)*L$3,0)</f>
        <v>13827.7167969</v>
      </c>
      <c r="M81" s="716">
        <f ca="1">IFERROR(Watersheds!M15*(1-M$78)*M$3,0)</f>
        <v>3273.835866249919</v>
      </c>
      <c r="N81" s="716">
        <f ca="1">IFERROR(Watersheds!N15*(1-N$78)*N$3,0)</f>
        <v>207891.33927601104</v>
      </c>
      <c r="O81" s="716">
        <f ca="1">IFERROR(Watersheds!O15*(1-O$78)*O$3,0)</f>
        <v>48702.773236940928</v>
      </c>
      <c r="P81" s="716">
        <f ca="1">IFERROR(Watersheds!P15*(1-P$78)*P$3,0)</f>
        <v>79666.304174296383</v>
      </c>
      <c r="Q81" s="716">
        <f ca="1">IFERROR(Watersheds!Q15*(1-Q$78)*Q$3,0)</f>
        <v>65680.801417808674</v>
      </c>
      <c r="R81" s="716">
        <f ca="1">IFERROR(Watersheds!R15*(1-R$78)*R$3,0)</f>
        <v>24.797519683800001</v>
      </c>
      <c r="S81" s="716">
        <f ca="1">IFERROR(Watersheds!S15*(1-S$78)*S$3,0)</f>
        <v>11093.144567686668</v>
      </c>
      <c r="T81" s="716">
        <f ca="1">IFERROR(Watersheds!T15*(1-T$78)*T$3,0)</f>
        <v>10.848915100099999</v>
      </c>
      <c r="U81" s="716">
        <f ca="1">IFERROR(Watersheds!U15*(1-U$78)*U$3,0)</f>
        <v>3828.0222284148781</v>
      </c>
      <c r="V81" s="716">
        <f ca="1">IFERROR(Watersheds!V15*(1-V$78)*V$3,0)</f>
        <v>19124.869475126776</v>
      </c>
      <c r="W81" s="716">
        <f ca="1">IFERROR(Watersheds!W15*(1-W$78)*W$3,0)</f>
        <v>171350.69004882535</v>
      </c>
      <c r="X81" s="716">
        <f ca="1">IFERROR(Watersheds!X15*(1-X$78)*X$3,0)</f>
        <v>11587.07398520302</v>
      </c>
      <c r="Y81" s="716">
        <f ca="1">IFERROR(Watersheds!Y15*(1-Y$78)*Y$3,0)</f>
        <v>100042.09669377064</v>
      </c>
      <c r="Z81" s="716">
        <f ca="1">IFERROR(Watersheds!Z15*(1-Z$78)*Z$3,0)</f>
        <v>467566.9331419759</v>
      </c>
      <c r="AA81" s="716">
        <f ca="1">IFERROR(Watersheds!AA15*(1-AA$78)*AA$3,0)</f>
        <v>3074.9362867449972</v>
      </c>
      <c r="AB81" s="716">
        <f ca="1">IFERROR(Watersheds!AB15*(1-AB$78)*AB$3,0)</f>
        <v>210439.64216150547</v>
      </c>
      <c r="AC81" s="716">
        <f ca="1">IFERROR(Watersheds!AC15*(1-AC$78)*AC$3,0)</f>
        <v>379.71200561500001</v>
      </c>
      <c r="AD81" s="716">
        <f ca="1">IFERROR(Watersheds!AD15*(1-AD$78)*AD$3,0)</f>
        <v>16541.915005627576</v>
      </c>
      <c r="AE81" s="716">
        <f ca="1">IFERROR(Watersheds!AE15*(1-AE$78)*AE$3,0)</f>
        <v>20420.18784714791</v>
      </c>
      <c r="AF81" s="716">
        <f ca="1">IFERROR(Watersheds!AF15*(1-AF$78)*AF$3,0)</f>
        <v>30650.66019175047</v>
      </c>
      <c r="AG81" s="716">
        <f ca="1">IFERROR(Watersheds!AG15*(1-AG$78)*AG$3,0)</f>
        <v>3670.2958330535466</v>
      </c>
      <c r="AH81" s="716">
        <f ca="1">IFERROR(Watersheds!AH15*(1-AH$78)*AH$3,0)</f>
        <v>439901.17533339118</v>
      </c>
      <c r="AI81" s="716">
        <f ca="1">IFERROR(Watersheds!AI15*(1-AI$78)*AI$3,0)</f>
        <v>32683.438130693332</v>
      </c>
      <c r="AJ81" s="716">
        <f ca="1">IFERROR(Watersheds!AJ15*(1-AJ$78)*AJ$3,0)</f>
        <v>266129.86330899358</v>
      </c>
      <c r="AK81" s="716">
        <f ca="1">IFERROR(Watersheds!AK15*(1-AK$78)*AK$3,0)</f>
        <v>146716.36823027939</v>
      </c>
      <c r="AL81" s="716">
        <f ca="1">IFERROR(Watersheds!AL15*(1-AL$78)*AL$3,0)</f>
        <v>344385.24760866922</v>
      </c>
      <c r="AM81" s="716">
        <f ca="1">IFERROR(Watersheds!AM15*(1-AM$78)*AM$3,0)</f>
        <v>231531.35284686126</v>
      </c>
      <c r="AN81" s="716">
        <f ca="1">IFERROR(Watersheds!AN15*(1-AN$78)*AN$3,0)</f>
        <v>338163.62254685053</v>
      </c>
    </row>
    <row r="82" spans="1:40" x14ac:dyDescent="0.25">
      <c r="A82" t="s">
        <v>381</v>
      </c>
      <c r="B82" s="716">
        <f ca="1">IFERROR((Watersheds!B13+Watersheds!B14)*B$78*B$3,0)</f>
        <v>203283.26975812743</v>
      </c>
      <c r="C82" s="716">
        <f ca="1">IFERROR((Watersheds!C13+Watersheds!C14)*C$78*C$3,0)</f>
        <v>20933.931004693877</v>
      </c>
      <c r="D82" s="716">
        <f ca="1">IFERROR((Watersheds!D13+Watersheds!D14)*D$78*D$3,0)</f>
        <v>25889.959926435466</v>
      </c>
      <c r="E82" s="716">
        <f ca="1">IFERROR((Watersheds!E13+Watersheds!E14)*E$78*E$3,0)</f>
        <v>129025.0098216668</v>
      </c>
      <c r="F82" s="716">
        <f ca="1">IFERROR((Watersheds!F13+Watersheds!F14)*F$78*F$3,0)</f>
        <v>193958.62593693778</v>
      </c>
      <c r="G82" s="716">
        <f ca="1">IFERROR((Watersheds!G13+Watersheds!G14)*G$78*G$3,0)</f>
        <v>0</v>
      </c>
      <c r="H82" s="716">
        <f ca="1">IFERROR((Watersheds!H13+Watersheds!H14)*H$78*H$3,0)</f>
        <v>124527.01781729258</v>
      </c>
      <c r="I82" s="716">
        <f ca="1">IFERROR((Watersheds!I13+Watersheds!I14)*I$78*I$3,0)</f>
        <v>179576.51656369233</v>
      </c>
      <c r="J82" s="716">
        <f ca="1">IFERROR((Watersheds!J13+Watersheds!J14)*J$78*J$3,0)</f>
        <v>36230.011913681337</v>
      </c>
      <c r="K82" s="716">
        <f ca="1">IFERROR((Watersheds!K13+Watersheds!K14)*K$78*K$3,0)</f>
        <v>54746.544163510458</v>
      </c>
      <c r="L82" s="716">
        <f ca="1">IFERROR((Watersheds!L13+Watersheds!L14)*L$78*L$3,0)</f>
        <v>0</v>
      </c>
      <c r="M82" s="716">
        <f ca="1">IFERROR((Watersheds!M13+Watersheds!M14)*M$78*M$3,0)</f>
        <v>282.40014278814471</v>
      </c>
      <c r="N82" s="716">
        <f ca="1">IFERROR((Watersheds!N13+Watersheds!N14)*N$78*N$3,0)</f>
        <v>141449.46530537112</v>
      </c>
      <c r="O82" s="716">
        <f ca="1">IFERROR((Watersheds!O13+Watersheds!O14)*O$78*O$3,0)</f>
        <v>68267.452469836178</v>
      </c>
      <c r="P82" s="716">
        <f ca="1">IFERROR((Watersheds!P13+Watersheds!P14)*P$78*P$3,0)</f>
        <v>25323.886637124015</v>
      </c>
      <c r="Q82" s="716">
        <f ca="1">IFERROR((Watersheds!Q13+Watersheds!Q14)*Q$78*Q$3,0)</f>
        <v>8759.055143450285</v>
      </c>
      <c r="R82" s="716">
        <f ca="1">IFERROR((Watersheds!R13+Watersheds!R14)*R$78*R$3,0)</f>
        <v>0</v>
      </c>
      <c r="S82" s="716">
        <f ca="1">IFERROR((Watersheds!S13+Watersheds!S14)*S$78*S$3,0)</f>
        <v>1036.0834149457244</v>
      </c>
      <c r="T82" s="716">
        <f ca="1">IFERROR((Watersheds!T13+Watersheds!T14)*T$78*T$3,0)</f>
        <v>0</v>
      </c>
      <c r="U82" s="716">
        <f ca="1">IFERROR((Watersheds!U13+Watersheds!U14)*U$78*U$3,0)</f>
        <v>443.89481971257874</v>
      </c>
      <c r="V82" s="716">
        <f ca="1">IFERROR((Watersheds!V13+Watersheds!V14)*V$78*V$3,0)</f>
        <v>12136.817949352435</v>
      </c>
      <c r="W82" s="716">
        <f ca="1">IFERROR((Watersheds!W13+Watersheds!W14)*W$78*W$3,0)</f>
        <v>38149.926635055999</v>
      </c>
      <c r="X82" s="716">
        <f ca="1">IFERROR((Watersheds!X13+Watersheds!X14)*X$78*X$3,0)</f>
        <v>529.48472897206364</v>
      </c>
      <c r="Y82" s="716">
        <f ca="1">IFERROR((Watersheds!Y13+Watersheds!Y14)*Y$78*Y$3,0)</f>
        <v>115788.6195806685</v>
      </c>
      <c r="Z82" s="716">
        <f ca="1">IFERROR((Watersheds!Z13+Watersheds!Z14)*Z$78*Z$3,0)</f>
        <v>277367.64633409469</v>
      </c>
      <c r="AA82" s="716">
        <f ca="1">IFERROR((Watersheds!AA13+Watersheds!AA14)*AA$78*AA$3,0)</f>
        <v>8600.9009058954944</v>
      </c>
      <c r="AB82" s="716">
        <f ca="1">IFERROR((Watersheds!AB13+Watersheds!AB14)*AB$78*AB$3,0)</f>
        <v>143208.3134399039</v>
      </c>
      <c r="AC82" s="716">
        <f ca="1">IFERROR((Watersheds!AC13+Watersheds!AC14)*AC$78*AC$3,0)</f>
        <v>0</v>
      </c>
      <c r="AD82" s="716">
        <f ca="1">IFERROR((Watersheds!AD13+Watersheds!AD14)*AD$78*AD$3,0)</f>
        <v>9050.7643499604928</v>
      </c>
      <c r="AE82" s="716">
        <f ca="1">IFERROR((Watersheds!AE13+Watersheds!AE14)*AE$78*AE$3,0)</f>
        <v>4140.7275257433757</v>
      </c>
      <c r="AF82" s="716">
        <f ca="1">IFERROR((Watersheds!AF13+Watersheds!AF14)*AF$78*AF$3,0)</f>
        <v>7431.8521182431405</v>
      </c>
      <c r="AG82" s="716">
        <f ca="1">IFERROR((Watersheds!AG13+Watersheds!AG14)*AG$78*AG$3,0)</f>
        <v>2617.2923687021439</v>
      </c>
      <c r="AH82" s="716">
        <f ca="1">IFERROR((Watersheds!AH13+Watersheds!AH14)*AH$78*AH$3,0)</f>
        <v>69872.415308959884</v>
      </c>
      <c r="AI82" s="716">
        <f ca="1">IFERROR((Watersheds!AI13+Watersheds!AI14)*AI$78*AI$3,0)</f>
        <v>24734.639655347069</v>
      </c>
      <c r="AJ82" s="716">
        <f ca="1">IFERROR((Watersheds!AJ13+Watersheds!AJ14)*AJ$78*AJ$3,0)</f>
        <v>5092.8806268401913</v>
      </c>
      <c r="AK82" s="716">
        <f ca="1">IFERROR((Watersheds!AK13+Watersheds!AK14)*AK$78*AK$3,0)</f>
        <v>83868.787771070434</v>
      </c>
      <c r="AL82" s="716">
        <f ca="1">IFERROR((Watersheds!AL13+Watersheds!AL14)*AL$78*AL$3,0)</f>
        <v>33424.965180112129</v>
      </c>
      <c r="AM82" s="716">
        <f ca="1">IFERROR((Watersheds!AM13+Watersheds!AM14)*AM$78*AM$3,0)</f>
        <v>127903.97616315405</v>
      </c>
      <c r="AN82" s="716">
        <f ca="1">IFERROR((Watersheds!AN13+Watersheds!AN14)*AN$78*AN$3,0)</f>
        <v>71173.327784024223</v>
      </c>
    </row>
    <row r="83" spans="1:40" x14ac:dyDescent="0.25">
      <c r="A83" t="s">
        <v>91</v>
      </c>
      <c r="B83" s="716">
        <f ca="1">IFERROR(Watersheds!B15*B$78*B$3,0)</f>
        <v>124145.43101761719</v>
      </c>
      <c r="C83" s="716">
        <f ca="1">IFERROR(Watersheds!C15*C$78*C$3,0)</f>
        <v>16412.6813750861</v>
      </c>
      <c r="D83" s="716">
        <f ca="1">IFERROR(Watersheds!D15*D$78*D$3,0)</f>
        <v>9438.5603537246207</v>
      </c>
      <c r="E83" s="716">
        <f ca="1">IFERROR(Watersheds!E15*E$78*E$3,0)</f>
        <v>71047.983436134105</v>
      </c>
      <c r="F83" s="716">
        <f ca="1">IFERROR(Watersheds!F15*F$78*F$3,0)</f>
        <v>167734.33832839676</v>
      </c>
      <c r="G83" s="716">
        <f ca="1">IFERROR(Watersheds!G15*G$78*G$3,0)</f>
        <v>0</v>
      </c>
      <c r="H83" s="716">
        <f ca="1">IFERROR(Watersheds!H15*H$78*H$3,0)</f>
        <v>32284.206080170552</v>
      </c>
      <c r="I83" s="716">
        <f ca="1">IFERROR(Watersheds!I15*I$78*I$3,0)</f>
        <v>154722.82578102226</v>
      </c>
      <c r="J83" s="716">
        <f ca="1">IFERROR(Watersheds!J15*J$78*J$3,0)</f>
        <v>29240.757692954474</v>
      </c>
      <c r="K83" s="716">
        <f ca="1">IFERROR(Watersheds!K15*K$78*K$3,0)</f>
        <v>91805.285857929775</v>
      </c>
      <c r="L83" s="716">
        <f ca="1">IFERROR(Watersheds!L15*L$78*L$3,0)</f>
        <v>0</v>
      </c>
      <c r="M83" s="716">
        <f ca="1">IFERROR(Watersheds!M15*M$78*M$3,0)</f>
        <v>79.253733360080588</v>
      </c>
      <c r="N83" s="716">
        <f ca="1">IFERROR(Watersheds!N15*N$78*N$3,0)</f>
        <v>108668.37947398897</v>
      </c>
      <c r="O83" s="716">
        <f ca="1">IFERROR(Watersheds!O15*O$78*O$3,0)</f>
        <v>256163.35176305906</v>
      </c>
      <c r="P83" s="716">
        <f ca="1">IFERROR(Watersheds!P15*P$78*P$3,0)</f>
        <v>20092.570825703613</v>
      </c>
      <c r="Q83" s="716">
        <f ca="1">IFERROR(Watersheds!Q15*Q$78*Q$3,0)</f>
        <v>26820.925144691315</v>
      </c>
      <c r="R83" s="716">
        <f ca="1">IFERROR(Watersheds!R15*R$78*R$3,0)</f>
        <v>0</v>
      </c>
      <c r="S83" s="716">
        <f ca="1">IFERROR(Watersheds!S15*S$78*S$3,0)</f>
        <v>500.47066671333243</v>
      </c>
      <c r="T83" s="716">
        <f ca="1">IFERROR(Watersheds!T15*T$78*T$3,0)</f>
        <v>0</v>
      </c>
      <c r="U83" s="716">
        <f ca="1">IFERROR(Watersheds!U15*U$78*U$3,0)</f>
        <v>2797.5651739251225</v>
      </c>
      <c r="V83" s="716">
        <f ca="1">IFERROR(Watersheds!V15*V$78*V$3,0)</f>
        <v>11098.657868673223</v>
      </c>
      <c r="W83" s="716">
        <f ca="1">IFERROR(Watersheds!W15*W$78*W$3,0)</f>
        <v>62442.653701174662</v>
      </c>
      <c r="X83" s="716">
        <f ca="1">IFERROR(Watersheds!X15*X$78*X$3,0)</f>
        <v>5506.941639796979</v>
      </c>
      <c r="Y83" s="716">
        <f ca="1">IFERROR(Watersheds!Y15*Y$78*Y$3,0)</f>
        <v>49220.372056229367</v>
      </c>
      <c r="Z83" s="716">
        <f ca="1">IFERROR(Watersheds!Z15*Z$78*Z$3,0)</f>
        <v>210363.1293580241</v>
      </c>
      <c r="AA83" s="716">
        <f ca="1">IFERROR(Watersheds!AA15*AA$78*AA$3,0)</f>
        <v>105216.610588255</v>
      </c>
      <c r="AB83" s="716">
        <f ca="1">IFERROR(Watersheds!AB15*AB$78*AB$3,0)</f>
        <v>110217.85783849451</v>
      </c>
      <c r="AC83" s="716">
        <f ca="1">IFERROR(Watersheds!AC15*AC$78*AC$3,0)</f>
        <v>0</v>
      </c>
      <c r="AD83" s="716">
        <f ca="1">IFERROR(Watersheds!AD15*AD$78*AD$3,0)</f>
        <v>8028.5517912724235</v>
      </c>
      <c r="AE83" s="716">
        <f ca="1">IFERROR(Watersheds!AE15*AE$78*AE$3,0)</f>
        <v>3389.3062934520881</v>
      </c>
      <c r="AF83" s="716">
        <f ca="1">IFERROR(Watersheds!AF15*AF$78*AF$3,0)</f>
        <v>4286.7187145495309</v>
      </c>
      <c r="AG83" s="716">
        <f ca="1">IFERROR(Watersheds!AG15*AG$78*AG$3,0)</f>
        <v>863.00055366645279</v>
      </c>
      <c r="AH83" s="716">
        <f ca="1">IFERROR(Watersheds!AH15*AH$78*AH$3,0)</f>
        <v>51881.699666608802</v>
      </c>
      <c r="AI83" s="716">
        <f ca="1">IFERROR(Watersheds!AI15*AI$78*AI$3,0)</f>
        <v>20595.581400606668</v>
      </c>
      <c r="AJ83" s="716">
        <f ca="1">IFERROR(Watersheds!AJ15*AJ$78*AJ$3,0)</f>
        <v>34870.949191006446</v>
      </c>
      <c r="AK83" s="716">
        <f ca="1">IFERROR(Watersheds!AK15*AK$78*AK$3,0)</f>
        <v>65160.616144720632</v>
      </c>
      <c r="AL83" s="716">
        <f ca="1">IFERROR(Watersheds!AL15*AL$78*AL$3,0)</f>
        <v>147083.00239133075</v>
      </c>
      <c r="AM83" s="716">
        <f ca="1">IFERROR(Watersheds!AM15*AM$78*AM$3,0)</f>
        <v>101073.11590313874</v>
      </c>
      <c r="AN83" s="716">
        <f ca="1">IFERROR(Watersheds!AN15*AN$78*AN$3,0)</f>
        <v>55706.221203149435</v>
      </c>
    </row>
    <row r="84" spans="1:40" x14ac:dyDescent="0.25">
      <c r="A84" t="s">
        <v>186</v>
      </c>
      <c r="B84" s="716">
        <f>IFERROR(Watersheds!B16*B$3,0)</f>
        <v>46418.758933199999</v>
      </c>
      <c r="C84" s="716">
        <f>IFERROR(Watersheds!C16*C$3,0)</f>
        <v>3842.5345758100002</v>
      </c>
      <c r="D84" s="716">
        <f>IFERROR(Watersheds!D16*D$3,0)</f>
        <v>955.69712999599994</v>
      </c>
      <c r="E84" s="716">
        <f>IFERROR(Watersheds!E16*E$3,0)</f>
        <v>15145.627656799999</v>
      </c>
      <c r="F84" s="716">
        <f>IFERROR(Watersheds!F16*F$3,0)</f>
        <v>18427.890144699999</v>
      </c>
      <c r="G84" s="716">
        <f>IFERROR(Watersheds!G16*G$3,0)</f>
        <v>504.17350773300001</v>
      </c>
      <c r="H84" s="716">
        <f>IFERROR(Watersheds!H16*H$3,0)</f>
        <v>15916.2242303</v>
      </c>
      <c r="I84" s="716">
        <f>IFERROR(Watersheds!I16*I$3,0)</f>
        <v>25668.0957342</v>
      </c>
      <c r="J84" s="716">
        <f>IFERROR(Watersheds!J16*J$3,0)</f>
        <v>22988.893876099999</v>
      </c>
      <c r="K84" s="716">
        <f>IFERROR(Watersheds!K16*K$3,0)</f>
        <v>164603.083748</v>
      </c>
      <c r="L84" s="716">
        <f>IFERROR(Watersheds!L16*L$3,0)</f>
        <v>3702.5742105300001</v>
      </c>
      <c r="M84" s="716">
        <f>IFERROR(Watersheds!M16*M$3,0)</f>
        <v>92621.547611300004</v>
      </c>
      <c r="N84" s="716">
        <f>IFERROR(Watersheds!N16*N$3,0)</f>
        <v>4876.2073744299996</v>
      </c>
      <c r="O84" s="716">
        <f>IFERROR(Watersheds!O16*O$3,0)</f>
        <v>292259.96355500002</v>
      </c>
      <c r="P84" s="716">
        <f>IFERROR(Watersheds!P16*P$3,0)</f>
        <v>306.11132484400002</v>
      </c>
      <c r="Q84" s="716">
        <f>IFERROR(Watersheds!Q16*Q$3,0)</f>
        <v>81406.907597500001</v>
      </c>
      <c r="R84" s="716">
        <f>IFERROR(Watersheds!R16*R$3,0)</f>
        <v>89.702253528200004</v>
      </c>
      <c r="S84" s="716">
        <f>IFERROR(Watersheds!S16*S$3,0)</f>
        <v>40616.6732233</v>
      </c>
      <c r="T84" s="716">
        <f>IFERROR(Watersheds!T16*T$3,0)</f>
        <v>105.42348853599999</v>
      </c>
      <c r="U84" s="716">
        <f>IFERROR(Watersheds!U16*U$3,0)</f>
        <v>44051.667663200002</v>
      </c>
      <c r="V84" s="716">
        <f>IFERROR(Watersheds!V16*V$3,0)</f>
        <v>172.65700304500001</v>
      </c>
      <c r="W84" s="716">
        <f>IFERROR(Watersheds!W16*W$3,0)</f>
        <v>108785.22915</v>
      </c>
      <c r="X84" s="716">
        <f>IFERROR(Watersheds!X16*X$3,0)</f>
        <v>16635.0670102</v>
      </c>
      <c r="Y84" s="716">
        <f>IFERROR(Watersheds!Y16*Y$3,0)</f>
        <v>827.08452865799995</v>
      </c>
      <c r="Z84" s="716">
        <f>IFERROR(Watersheds!Z16*Z$3,0)</f>
        <v>39135.316447099998</v>
      </c>
      <c r="AA84" s="716">
        <f>IFERROR(Watersheds!AA16*AA$3,0)</f>
        <v>89598.661550699995</v>
      </c>
      <c r="AB84" s="716">
        <f>IFERROR(Watersheds!AB16*AB$3,0)</f>
        <v>144474.97468399999</v>
      </c>
      <c r="AC84" s="716">
        <f>IFERROR(Watersheds!AC16*AC$3,0)</f>
        <v>670.11963214599996</v>
      </c>
      <c r="AD84" s="716">
        <f>IFERROR(Watersheds!AD16*AD$3,0)</f>
        <v>296.42752501199999</v>
      </c>
      <c r="AE84" s="716">
        <f>IFERROR(Watersheds!AE16*AE$3,0)</f>
        <v>1930.2977445700001</v>
      </c>
      <c r="AF84" s="716">
        <f>IFERROR(Watersheds!AF16*AF$3,0)</f>
        <v>2036.99808749</v>
      </c>
      <c r="AG84" s="716">
        <f>IFERROR(Watersheds!AG16*AG$3,0)</f>
        <v>96.628536245399999</v>
      </c>
      <c r="AH84" s="716">
        <f>IFERROR(Watersheds!AH16*AH$3,0)</f>
        <v>42454.277972000004</v>
      </c>
      <c r="AI84" s="716">
        <f>IFERROR(Watersheds!AI16*AI$3,0)</f>
        <v>5023.9110966899998</v>
      </c>
      <c r="AJ84" s="716">
        <f>IFERROR(Watersheds!AJ16*AJ$3,0)</f>
        <v>152455.18741300001</v>
      </c>
      <c r="AK84" s="716">
        <f>IFERROR(Watersheds!AK16*AK$3,0)</f>
        <v>922.04684490099999</v>
      </c>
      <c r="AL84" s="716">
        <f>IFERROR(Watersheds!AL16*AL$3,0)</f>
        <v>281541.37570700003</v>
      </c>
      <c r="AM84" s="716">
        <f>IFERROR(Watersheds!AM16*AM$3,0)</f>
        <v>4932.1650630000004</v>
      </c>
      <c r="AN84" s="716">
        <f>IFERROR(Watersheds!AN16*AN$3,0)</f>
        <v>5748.1894407299997</v>
      </c>
    </row>
    <row r="85" spans="1:40" x14ac:dyDescent="0.25">
      <c r="A85" t="s">
        <v>366</v>
      </c>
      <c r="B85" s="716">
        <f>IFERROR(Watersheds!B17*B$3,0)</f>
        <v>3630.8258148499999</v>
      </c>
      <c r="C85" s="716">
        <f>IFERROR(Watersheds!C17*C$3,0)</f>
        <v>85.648775409500004</v>
      </c>
      <c r="D85" s="716">
        <f>IFERROR(Watersheds!D17*D$3,0)</f>
        <v>1467.34334184</v>
      </c>
      <c r="E85" s="716">
        <f>IFERROR(Watersheds!E17*E$3,0)</f>
        <v>2507.2255798699998</v>
      </c>
      <c r="F85" s="716">
        <f>IFERROR(Watersheds!F17*F$3,0)</f>
        <v>294.03348526000002</v>
      </c>
      <c r="G85" s="716">
        <f>IFERROR(Watersheds!G17*G$3,0)</f>
        <v>46.995410724499997</v>
      </c>
      <c r="H85" s="716">
        <f>IFERROR(Watersheds!H17*H$3,0)</f>
        <v>2701.1593318499999</v>
      </c>
      <c r="I85" s="716">
        <f>IFERROR(Watersheds!I17*I$3,0)</f>
        <v>275.63956927700002</v>
      </c>
      <c r="J85" s="716">
        <f>IFERROR(Watersheds!J17*J$3,0)</f>
        <v>205.982567257</v>
      </c>
      <c r="K85" s="716">
        <f>IFERROR(Watersheds!K17*K$3,0)</f>
        <v>7707.9937414100004</v>
      </c>
      <c r="L85" s="716">
        <f>IFERROR(Watersheds!L17*L$3,0)</f>
        <v>251.65558087799999</v>
      </c>
      <c r="M85" s="716">
        <f>IFERROR(Watersheds!M17*M$3,0)</f>
        <v>8809.4784601499996</v>
      </c>
      <c r="N85" s="716">
        <f>IFERROR(Watersheds!N17*N$3,0)</f>
        <v>1136.3289244699999</v>
      </c>
      <c r="O85" s="716">
        <f>IFERROR(Watersheds!O17*O$3,0)</f>
        <v>10003.68627</v>
      </c>
      <c r="P85" s="716">
        <f>IFERROR(Watersheds!P17*P$3,0)</f>
        <v>119.642658141</v>
      </c>
      <c r="Q85" s="716">
        <f>IFERROR(Watersheds!Q17*Q$3,0)</f>
        <v>7912.5703665299998</v>
      </c>
      <c r="R85" s="716">
        <f>IFERROR(Watersheds!R17*R$3,0)</f>
        <v>9.86471303105</v>
      </c>
      <c r="S85" s="716">
        <f>IFERROR(Watersheds!S17*S$3,0)</f>
        <v>2808.6108023199999</v>
      </c>
      <c r="T85" s="716">
        <f>IFERROR(Watersheds!T17*T$3,0)</f>
        <v>21.004178426300001</v>
      </c>
      <c r="U85" s="716">
        <f>IFERROR(Watersheds!U17*U$3,0)</f>
        <v>4067.6106588500002</v>
      </c>
      <c r="V85" s="716">
        <f>IFERROR(Watersheds!V17*V$3,0)</f>
        <v>0</v>
      </c>
      <c r="W85" s="716">
        <f>IFERROR(Watersheds!W17*W$3,0)</f>
        <v>1172.05697829</v>
      </c>
      <c r="X85" s="716">
        <f>IFERROR(Watersheds!X17*X$3,0)</f>
        <v>1200.6852603699999</v>
      </c>
      <c r="Y85" s="716">
        <f>IFERROR(Watersheds!Y17*Y$3,0)</f>
        <v>1056.8350099500001</v>
      </c>
      <c r="Z85" s="716">
        <f>IFERROR(Watersheds!Z17*Z$3,0)</f>
        <v>1472.1178173000001</v>
      </c>
      <c r="AA85" s="716">
        <f>IFERROR(Watersheds!AA17*AA$3,0)</f>
        <v>8152.1544227499999</v>
      </c>
      <c r="AB85" s="716">
        <f>IFERROR(Watersheds!AB17*AB$3,0)</f>
        <v>9805.0041461000001</v>
      </c>
      <c r="AC85" s="716">
        <f>IFERROR(Watersheds!AC17*AC$3,0)</f>
        <v>213.90608115699999</v>
      </c>
      <c r="AD85" s="716">
        <f>IFERROR(Watersheds!AD17*AD$3,0)</f>
        <v>10.377813379399999</v>
      </c>
      <c r="AE85" s="716">
        <f>IFERROR(Watersheds!AE17*AE$3,0)</f>
        <v>33.785310057300002</v>
      </c>
      <c r="AF85" s="716">
        <f>IFERROR(Watersheds!AF17*AF$3,0)</f>
        <v>139.60955386200001</v>
      </c>
      <c r="AG85" s="716">
        <f>IFERROR(Watersheds!AG17*AG$3,0)</f>
        <v>109.424533768</v>
      </c>
      <c r="AH85" s="716">
        <f>IFERROR(Watersheds!AH17*AH$3,0)</f>
        <v>406.56457778800001</v>
      </c>
      <c r="AI85" s="716">
        <f>IFERROR(Watersheds!AI17*AI$3,0)</f>
        <v>66.183086219499998</v>
      </c>
      <c r="AJ85" s="716">
        <f>IFERROR(Watersheds!AJ17*AJ$3,0)</f>
        <v>4472.8675861000002</v>
      </c>
      <c r="AK85" s="716">
        <f>IFERROR(Watersheds!AK17*AK$3,0)</f>
        <v>465.374620585</v>
      </c>
      <c r="AL85" s="716">
        <f>IFERROR(Watersheds!AL17*AL$3,0)</f>
        <v>10852.6465651</v>
      </c>
      <c r="AM85" s="716">
        <f>IFERROR(Watersheds!AM17*AM$3,0)</f>
        <v>242.96297011199999</v>
      </c>
      <c r="AN85" s="716">
        <f>IFERROR(Watersheds!AN17*AN$3,0)</f>
        <v>379.65720110900003</v>
      </c>
    </row>
    <row r="86" spans="1:40" x14ac:dyDescent="0.25">
      <c r="A86" t="s">
        <v>365</v>
      </c>
      <c r="B86" s="716">
        <f>IFERROR(Watersheds!B18*B$3,0)</f>
        <v>23414.125152699999</v>
      </c>
      <c r="C86" s="716">
        <f>IFERROR(Watersheds!C18*C$3,0)</f>
        <v>1532.97252099</v>
      </c>
      <c r="D86" s="716">
        <f>IFERROR(Watersheds!D18*D$3,0)</f>
        <v>13556.171563899999</v>
      </c>
      <c r="E86" s="716">
        <f>IFERROR(Watersheds!E18*E$3,0)</f>
        <v>13136.170561299999</v>
      </c>
      <c r="F86" s="716">
        <f>IFERROR(Watersheds!F18*F$3,0)</f>
        <v>4775.1969563900002</v>
      </c>
      <c r="G86" s="716">
        <f>IFERROR(Watersheds!G18*G$3,0)</f>
        <v>454.23565619099998</v>
      </c>
      <c r="H86" s="716">
        <f>IFERROR(Watersheds!H18*H$3,0)</f>
        <v>15935.6158627</v>
      </c>
      <c r="I86" s="716">
        <f>IFERROR(Watersheds!I18*I$3,0)</f>
        <v>3773.0934215100001</v>
      </c>
      <c r="J86" s="716">
        <f>IFERROR(Watersheds!J18*J$3,0)</f>
        <v>687.042736547</v>
      </c>
      <c r="K86" s="716">
        <f>IFERROR(Watersheds!K18*K$3,0)</f>
        <v>3972.2231220600002</v>
      </c>
      <c r="L86" s="716">
        <f>IFERROR(Watersheds!L18*L$3,0)</f>
        <v>1084.20083408</v>
      </c>
      <c r="M86" s="716">
        <f>IFERROR(Watersheds!M18*M$3,0)</f>
        <v>8331.3289893100009</v>
      </c>
      <c r="N86" s="716">
        <f>IFERROR(Watersheds!N18*N$3,0)</f>
        <v>3460.64109177</v>
      </c>
      <c r="O86" s="716">
        <f>IFERROR(Watersheds!O18*O$3,0)</f>
        <v>5417.5717139199996</v>
      </c>
      <c r="P86" s="716">
        <f>IFERROR(Watersheds!P18*P$3,0)</f>
        <v>1024.55417579</v>
      </c>
      <c r="Q86" s="716">
        <f>IFERROR(Watersheds!Q18*Q$3,0)</f>
        <v>1362.8076365700001</v>
      </c>
      <c r="R86" s="716">
        <f>IFERROR(Watersheds!R18*R$3,0)</f>
        <v>94.321897591400003</v>
      </c>
      <c r="S86" s="716">
        <f>IFERROR(Watersheds!S18*S$3,0)</f>
        <v>5381.30181558</v>
      </c>
      <c r="T86" s="716">
        <f>IFERROR(Watersheds!T18*T$3,0)</f>
        <v>108.42766279600001</v>
      </c>
      <c r="U86" s="716">
        <f>IFERROR(Watersheds!U18*U$3,0)</f>
        <v>3479.74871115</v>
      </c>
      <c r="V86" s="716">
        <f>IFERROR(Watersheds!V18*V$3,0)</f>
        <v>97.118225455800001</v>
      </c>
      <c r="W86" s="716">
        <f>IFERROR(Watersheds!W18*W$3,0)</f>
        <v>478.69085833100002</v>
      </c>
      <c r="X86" s="716">
        <f>IFERROR(Watersheds!X18*X$3,0)</f>
        <v>2307.1157579000001</v>
      </c>
      <c r="Y86" s="716">
        <f>IFERROR(Watersheds!Y18*Y$3,0)</f>
        <v>9125.1701536599994</v>
      </c>
      <c r="Z86" s="716">
        <f>IFERROR(Watersheds!Z18*Z$3,0)</f>
        <v>9427.3008612499998</v>
      </c>
      <c r="AA86" s="716">
        <f>IFERROR(Watersheds!AA18*AA$3,0)</f>
        <v>4968.19197592</v>
      </c>
      <c r="AB86" s="716">
        <f>IFERROR(Watersheds!AB18*AB$3,0)</f>
        <v>24726.240023599999</v>
      </c>
      <c r="AC86" s="716">
        <f>IFERROR(Watersheds!AC18*AC$3,0)</f>
        <v>1411.73587638</v>
      </c>
      <c r="AD86" s="716">
        <f>IFERROR(Watersheds!AD18*AD$3,0)</f>
        <v>188.940773495</v>
      </c>
      <c r="AE86" s="716">
        <f>IFERROR(Watersheds!AE18*AE$3,0)</f>
        <v>460.77272659900001</v>
      </c>
      <c r="AF86" s="716">
        <f>IFERROR(Watersheds!AF18*AF$3,0)</f>
        <v>1872.29511899</v>
      </c>
      <c r="AG86" s="716">
        <f>IFERROR(Watersheds!AG18*AG$3,0)</f>
        <v>921.31301176199997</v>
      </c>
      <c r="AH86" s="716">
        <f>IFERROR(Watersheds!AH18*AH$3,0)</f>
        <v>3886.2520523600001</v>
      </c>
      <c r="AI86" s="716">
        <f>IFERROR(Watersheds!AI18*AI$3,0)</f>
        <v>310.565548186</v>
      </c>
      <c r="AJ86" s="716">
        <f>IFERROR(Watersheds!AJ18*AJ$3,0)</f>
        <v>1879.5478116100001</v>
      </c>
      <c r="AK86" s="716">
        <f>IFERROR(Watersheds!AK18*AK$3,0)</f>
        <v>3581.6614098300001</v>
      </c>
      <c r="AL86" s="716">
        <f>IFERROR(Watersheds!AL18*AL$3,0)</f>
        <v>6540.2865211999997</v>
      </c>
      <c r="AM86" s="716">
        <f>IFERROR(Watersheds!AM18*AM$3,0)</f>
        <v>2086.2455180000002</v>
      </c>
      <c r="AN86" s="716">
        <f>IFERROR(Watersheds!AN18*AN$3,0)</f>
        <v>2835.48443086</v>
      </c>
    </row>
    <row r="87" spans="1:40" x14ac:dyDescent="0.25">
      <c r="A87" t="s">
        <v>357</v>
      </c>
      <c r="B87" s="716">
        <f>IFERROR(Watersheds!B19*B$3,0)</f>
        <v>11145.8919326</v>
      </c>
      <c r="C87" s="716">
        <f>IFERROR(Watersheds!C19*C$3,0)</f>
        <v>1538.3370733100001</v>
      </c>
      <c r="D87" s="716">
        <f>IFERROR(Watersheds!D19*D$3,0)</f>
        <v>0</v>
      </c>
      <c r="E87" s="716">
        <f>IFERROR(Watersheds!E19*E$3,0)</f>
        <v>932.82267485800003</v>
      </c>
      <c r="F87" s="716">
        <f>IFERROR(Watersheds!F19*F$3,0)</f>
        <v>901.57243512599996</v>
      </c>
      <c r="G87" s="716">
        <f>IFERROR(Watersheds!G19*G$3,0)</f>
        <v>0</v>
      </c>
      <c r="H87" s="716">
        <f>IFERROR(Watersheds!H19*H$3,0)</f>
        <v>872.75056009800005</v>
      </c>
      <c r="I87" s="716">
        <f>IFERROR(Watersheds!I19*I$3,0)</f>
        <v>5963.7235966799999</v>
      </c>
      <c r="J87" s="716">
        <f>IFERROR(Watersheds!J19*J$3,0)</f>
        <v>20472.9245003</v>
      </c>
      <c r="K87" s="716">
        <f>IFERROR(Watersheds!K19*K$3,0)</f>
        <v>44635.894244399999</v>
      </c>
      <c r="L87" s="716">
        <f>IFERROR(Watersheds!L19*L$3,0)</f>
        <v>0</v>
      </c>
      <c r="M87" s="716">
        <f>IFERROR(Watersheds!M19*M$3,0)</f>
        <v>15862.8303593</v>
      </c>
      <c r="N87" s="716">
        <f>IFERROR(Watersheds!N19*N$3,0)</f>
        <v>0</v>
      </c>
      <c r="O87" s="716">
        <f>IFERROR(Watersheds!O19*O$3,0)</f>
        <v>71109.512684100002</v>
      </c>
      <c r="P87" s="716">
        <f>IFERROR(Watersheds!P19*P$3,0)</f>
        <v>0</v>
      </c>
      <c r="Q87" s="716">
        <f>IFERROR(Watersheds!Q19*Q$3,0)</f>
        <v>17434.602904300002</v>
      </c>
      <c r="R87" s="716">
        <f>IFERROR(Watersheds!R19*R$3,0)</f>
        <v>0</v>
      </c>
      <c r="S87" s="716">
        <f>IFERROR(Watersheds!S19*S$3,0)</f>
        <v>5858.2405364200004</v>
      </c>
      <c r="T87" s="716">
        <f>IFERROR(Watersheds!T19*T$3,0)</f>
        <v>0</v>
      </c>
      <c r="U87" s="716">
        <f>IFERROR(Watersheds!U19*U$3,0)</f>
        <v>1292.60313481</v>
      </c>
      <c r="V87" s="716">
        <f>IFERROR(Watersheds!V19*V$3,0)</f>
        <v>0</v>
      </c>
      <c r="W87" s="716">
        <f>IFERROR(Watersheds!W19*W$3,0)</f>
        <v>34817.722396199999</v>
      </c>
      <c r="X87" s="716">
        <f>IFERROR(Watersheds!X19*X$3,0)</f>
        <v>2284.51798775</v>
      </c>
      <c r="Y87" s="716">
        <f>IFERROR(Watersheds!Y19*Y$3,0)</f>
        <v>0</v>
      </c>
      <c r="Z87" s="716">
        <f>IFERROR(Watersheds!Z19*Z$3,0)</f>
        <v>8901.9525003500003</v>
      </c>
      <c r="AA87" s="716">
        <f>IFERROR(Watersheds!AA19*AA$3,0)</f>
        <v>3514.40444751</v>
      </c>
      <c r="AB87" s="716">
        <f>IFERROR(Watersheds!AB19*AB$3,0)</f>
        <v>33513.557089800001</v>
      </c>
      <c r="AC87" s="716">
        <f>IFERROR(Watersheds!AC19*AC$3,0)</f>
        <v>0</v>
      </c>
      <c r="AD87" s="716">
        <f>IFERROR(Watersheds!AD19*AD$3,0)</f>
        <v>53.575724756200003</v>
      </c>
      <c r="AE87" s="716">
        <f>IFERROR(Watersheds!AE19*AE$3,0)</f>
        <v>6057.8804662299999</v>
      </c>
      <c r="AF87" s="716">
        <f>IFERROR(Watersheds!AF19*AF$3,0)</f>
        <v>124.188003221</v>
      </c>
      <c r="AG87" s="716">
        <f>IFERROR(Watersheds!AG19*AG$3,0)</f>
        <v>0</v>
      </c>
      <c r="AH87" s="716">
        <f>IFERROR(Watersheds!AH19*AH$3,0)</f>
        <v>50482.4337027</v>
      </c>
      <c r="AI87" s="716">
        <f>IFERROR(Watersheds!AI19*AI$3,0)</f>
        <v>1221.82030753</v>
      </c>
      <c r="AJ87" s="716">
        <f>IFERROR(Watersheds!AJ19*AJ$3,0)</f>
        <v>44160.838244099999</v>
      </c>
      <c r="AK87" s="716">
        <f>IFERROR(Watersheds!AK19*AK$3,0)</f>
        <v>0</v>
      </c>
      <c r="AL87" s="716">
        <f>IFERROR(Watersheds!AL19*AL$3,0)</f>
        <v>64899.537034699999</v>
      </c>
      <c r="AM87" s="716">
        <f>IFERROR(Watersheds!AM19*AM$3,0)</f>
        <v>1613.17087842</v>
      </c>
      <c r="AN87" s="716">
        <f>IFERROR(Watersheds!AN19*AN$3,0)</f>
        <v>1673.23571393</v>
      </c>
    </row>
    <row r="88" spans="1:40" x14ac:dyDescent="0.25">
      <c r="A88" t="s">
        <v>364</v>
      </c>
      <c r="B88" s="716">
        <f>IFERROR(Watersheds!B20*B$3,0)</f>
        <v>2614.2240929</v>
      </c>
      <c r="C88" s="716">
        <f>IFERROR(Watersheds!C20*C$3,0)</f>
        <v>10.0579744273</v>
      </c>
      <c r="D88" s="716">
        <f>IFERROR(Watersheds!D20*D$3,0)</f>
        <v>9.5771909905800001</v>
      </c>
      <c r="E88" s="716">
        <f>IFERROR(Watersheds!E20*E$3,0)</f>
        <v>627.84652685900005</v>
      </c>
      <c r="F88" s="716">
        <f>IFERROR(Watersheds!F20*F$3,0)</f>
        <v>0</v>
      </c>
      <c r="G88" s="716">
        <f>IFERROR(Watersheds!G20*G$3,0)</f>
        <v>0.114750201816</v>
      </c>
      <c r="H88" s="716">
        <f>IFERROR(Watersheds!H20*H$3,0)</f>
        <v>1441.8799529200001</v>
      </c>
      <c r="I88" s="716">
        <f>IFERROR(Watersheds!I20*I$3,0)</f>
        <v>0.47777855867699998</v>
      </c>
      <c r="J88" s="716">
        <f>IFERROR(Watersheds!J20*J$3,0)</f>
        <v>9.8703540606099995</v>
      </c>
      <c r="K88" s="716">
        <f>IFERROR(Watersheds!K20*K$3,0)</f>
        <v>2478.3783536599999</v>
      </c>
      <c r="L88" s="716">
        <f>IFERROR(Watersheds!L20*L$3,0)</f>
        <v>1.68869071869</v>
      </c>
      <c r="M88" s="716">
        <f>IFERROR(Watersheds!M20*M$3,0)</f>
        <v>2098.9433069199999</v>
      </c>
      <c r="N88" s="716">
        <f>IFERROR(Watersheds!N20*N$3,0)</f>
        <v>0</v>
      </c>
      <c r="O88" s="716">
        <f>IFERROR(Watersheds!O20*O$3,0)</f>
        <v>1623.8970171799999</v>
      </c>
      <c r="P88" s="716">
        <f>IFERROR(Watersheds!P20*P$3,0)</f>
        <v>37.414582883400001</v>
      </c>
      <c r="Q88" s="716">
        <f>IFERROR(Watersheds!Q20*Q$3,0)</f>
        <v>612.45903160299997</v>
      </c>
      <c r="R88" s="716">
        <f>IFERROR(Watersheds!R20*R$3,0)</f>
        <v>0</v>
      </c>
      <c r="S88" s="716">
        <f>IFERROR(Watersheds!S20*S$3,0)</f>
        <v>1464.3128624399999</v>
      </c>
      <c r="T88" s="716">
        <f>IFERROR(Watersheds!T20*T$3,0)</f>
        <v>0</v>
      </c>
      <c r="U88" s="716">
        <f>IFERROR(Watersheds!U20*U$3,0)</f>
        <v>1.22791007492</v>
      </c>
      <c r="V88" s="716">
        <f>IFERROR(Watersheds!V20*V$3,0)</f>
        <v>0</v>
      </c>
      <c r="W88" s="716">
        <f>IFERROR(Watersheds!W20*W$3,0)</f>
        <v>258.29818375299999</v>
      </c>
      <c r="X88" s="716">
        <f>IFERROR(Watersheds!X20*X$3,0)</f>
        <v>118.224055533</v>
      </c>
      <c r="Y88" s="716">
        <f>IFERROR(Watersheds!Y20*Y$3,0)</f>
        <v>4.9215675378099997</v>
      </c>
      <c r="Z88" s="716">
        <f>IFERROR(Watersheds!Z20*Z$3,0)</f>
        <v>2495.8948654000001</v>
      </c>
      <c r="AA88" s="716">
        <f>IFERROR(Watersheds!AA20*AA$3,0)</f>
        <v>1.7765178660200001E-3</v>
      </c>
      <c r="AB88" s="716">
        <f>IFERROR(Watersheds!AB20*AB$3,0)</f>
        <v>5340.5323957700002</v>
      </c>
      <c r="AC88" s="716">
        <f>IFERROR(Watersheds!AC20*AC$3,0)</f>
        <v>0.64083862389900004</v>
      </c>
      <c r="AD88" s="716">
        <f>IFERROR(Watersheds!AD20*AD$3,0)</f>
        <v>5.05431347443E-2</v>
      </c>
      <c r="AE88" s="716">
        <f>IFERROR(Watersheds!AE20*AE$3,0)</f>
        <v>267.98400023699998</v>
      </c>
      <c r="AF88" s="716">
        <f>IFERROR(Watersheds!AF20*AF$3,0)</f>
        <v>3386.85966607</v>
      </c>
      <c r="AG88" s="716">
        <f>IFERROR(Watersheds!AG20*AG$3,0)</f>
        <v>0.65902234475499999</v>
      </c>
      <c r="AH88" s="716">
        <f>IFERROR(Watersheds!AH20*AH$3,0)</f>
        <v>7.5734407126700001</v>
      </c>
      <c r="AI88" s="716">
        <f>IFERROR(Watersheds!AI20*AI$3,0)</f>
        <v>0</v>
      </c>
      <c r="AJ88" s="716">
        <f>IFERROR(Watersheds!AJ20*AJ$3,0)</f>
        <v>996.49043699200001</v>
      </c>
      <c r="AK88" s="716">
        <f>IFERROR(Watersheds!AK20*AK$3,0)</f>
        <v>2.2168210511200002</v>
      </c>
      <c r="AL88" s="716">
        <f>IFERROR(Watersheds!AL20*AL$3,0)</f>
        <v>2119.38236087</v>
      </c>
      <c r="AM88" s="716">
        <f>IFERROR(Watersheds!AM20*AM$3,0)</f>
        <v>1.2989228131799999</v>
      </c>
      <c r="AN88" s="716">
        <f>IFERROR(Watersheds!AN20*AN$3,0)</f>
        <v>65.898867034600002</v>
      </c>
    </row>
    <row r="89" spans="1:40" x14ac:dyDescent="0.25">
      <c r="A89" t="s">
        <v>363</v>
      </c>
      <c r="B89" s="716">
        <f>IFERROR(Watersheds!B21*B$3,0)</f>
        <v>134713.92836399999</v>
      </c>
      <c r="C89" s="716">
        <f>IFERROR(Watersheds!C21*C$3,0)</f>
        <v>20549.513483499999</v>
      </c>
      <c r="D89" s="716">
        <f>IFERROR(Watersheds!D21*D$3,0)</f>
        <v>89763.496348700006</v>
      </c>
      <c r="E89" s="716">
        <f>IFERROR(Watersheds!E21*E$3,0)</f>
        <v>77183.199566399999</v>
      </c>
      <c r="F89" s="716">
        <f>IFERROR(Watersheds!F21*F$3,0)</f>
        <v>33149.160065399999</v>
      </c>
      <c r="G89" s="716">
        <f>IFERROR(Watersheds!G21*G$3,0)</f>
        <v>3365.3805395300001</v>
      </c>
      <c r="H89" s="716">
        <f>IFERROR(Watersheds!H21*H$3,0)</f>
        <v>87070.246056899996</v>
      </c>
      <c r="I89" s="716">
        <f>IFERROR(Watersheds!I21*I$3,0)</f>
        <v>31300.346677400001</v>
      </c>
      <c r="J89" s="716">
        <f>IFERROR(Watersheds!J21*J$3,0)</f>
        <v>5665.3829369200002</v>
      </c>
      <c r="K89" s="716">
        <f>IFERROR(Watersheds!K21*K$3,0)</f>
        <v>30980.9544914</v>
      </c>
      <c r="L89" s="716">
        <f>IFERROR(Watersheds!L21*L$3,0)</f>
        <v>9551.24074612</v>
      </c>
      <c r="M89" s="716">
        <f>IFERROR(Watersheds!M21*M$3,0)</f>
        <v>59145.008188100001</v>
      </c>
      <c r="N89" s="716">
        <f>IFERROR(Watersheds!N21*N$3,0)</f>
        <v>24941.196619599999</v>
      </c>
      <c r="O89" s="716">
        <f>IFERROR(Watersheds!O21*O$3,0)</f>
        <v>35663.069797900003</v>
      </c>
      <c r="P89" s="716">
        <f>IFERROR(Watersheds!P21*P$3,0)</f>
        <v>6887.41062616</v>
      </c>
      <c r="Q89" s="716">
        <f>IFERROR(Watersheds!Q21*Q$3,0)</f>
        <v>11905.5054129</v>
      </c>
      <c r="R89" s="716">
        <f>IFERROR(Watersheds!R21*R$3,0)</f>
        <v>686.33549333400003</v>
      </c>
      <c r="S89" s="716">
        <f>IFERROR(Watersheds!S21*S$3,0)</f>
        <v>39301.9981463</v>
      </c>
      <c r="T89" s="716">
        <f>IFERROR(Watersheds!T21*T$3,0)</f>
        <v>1088.7240326599999</v>
      </c>
      <c r="U89" s="716">
        <f>IFERROR(Watersheds!U21*U$3,0)</f>
        <v>26023.152167299999</v>
      </c>
      <c r="V89" s="716">
        <f>IFERROR(Watersheds!V21*V$3,0)</f>
        <v>645.84810804100005</v>
      </c>
      <c r="W89" s="716">
        <f>IFERROR(Watersheds!W21*W$3,0)</f>
        <v>7900.7339664600004</v>
      </c>
      <c r="X89" s="716">
        <f>IFERROR(Watersheds!X21*X$3,0)</f>
        <v>20485.4779232</v>
      </c>
      <c r="Y89" s="716">
        <f>IFERROR(Watersheds!Y21*Y$3,0)</f>
        <v>57140.237704899999</v>
      </c>
      <c r="Z89" s="716">
        <f>IFERROR(Watersheds!Z21*Z$3,0)</f>
        <v>71747.188682599997</v>
      </c>
      <c r="AA89" s="716">
        <f>IFERROR(Watersheds!AA21*AA$3,0)</f>
        <v>34092.905103199999</v>
      </c>
      <c r="AB89" s="716">
        <f>IFERROR(Watersheds!AB21*AB$3,0)</f>
        <v>122352.24123299999</v>
      </c>
      <c r="AC89" s="716">
        <f>IFERROR(Watersheds!AC21*AC$3,0)</f>
        <v>10406.957794399999</v>
      </c>
      <c r="AD89" s="716">
        <f>IFERROR(Watersheds!AD21*AD$3,0)</f>
        <v>997.32674605299997</v>
      </c>
      <c r="AE89" s="716">
        <f>IFERROR(Watersheds!AE21*AE$3,0)</f>
        <v>2865.8985328200001</v>
      </c>
      <c r="AF89" s="716">
        <f>IFERROR(Watersheds!AF21*AF$3,0)</f>
        <v>19545.125570799999</v>
      </c>
      <c r="AG89" s="716">
        <f>IFERROR(Watersheds!AG21*AG$3,0)</f>
        <v>6028.6865058100002</v>
      </c>
      <c r="AH89" s="716">
        <f>IFERROR(Watersheds!AH21*AH$3,0)</f>
        <v>23847.169271399998</v>
      </c>
      <c r="AI89" s="716">
        <f>IFERROR(Watersheds!AI21*AI$3,0)</f>
        <v>3344.2007634000001</v>
      </c>
      <c r="AJ89" s="716">
        <f>IFERROR(Watersheds!AJ21*AJ$3,0)</f>
        <v>14302.2005942</v>
      </c>
      <c r="AK89" s="716">
        <f>IFERROR(Watersheds!AK21*AK$3,0)</f>
        <v>23148.863766800001</v>
      </c>
      <c r="AL89" s="716">
        <f>IFERROR(Watersheds!AL21*AL$3,0)</f>
        <v>42210.685536700003</v>
      </c>
      <c r="AM89" s="716">
        <f>IFERROR(Watersheds!AM21*AM$3,0)</f>
        <v>13445.6977663</v>
      </c>
      <c r="AN89" s="716">
        <f>IFERROR(Watersheds!AN21*AN$3,0)</f>
        <v>14962.7593877</v>
      </c>
    </row>
    <row r="90" spans="1:40" x14ac:dyDescent="0.25">
      <c r="A90" t="s">
        <v>362</v>
      </c>
      <c r="B90" s="716">
        <f>IFERROR(Watersheds!B22*B$3,0)</f>
        <v>100192.825675</v>
      </c>
      <c r="C90" s="716">
        <f>IFERROR(Watersheds!C22*C$3,0)</f>
        <v>12531.4775586</v>
      </c>
      <c r="D90" s="716">
        <f>IFERROR(Watersheds!D22*D$3,0)</f>
        <v>1650.7848246799999</v>
      </c>
      <c r="E90" s="716">
        <f>IFERROR(Watersheds!E22*E$3,0)</f>
        <v>81305.588341499999</v>
      </c>
      <c r="F90" s="716">
        <f>IFERROR(Watersheds!F22*F$3,0)</f>
        <v>3651.9765475099998</v>
      </c>
      <c r="G90" s="716">
        <f>IFERROR(Watersheds!G22*G$3,0)</f>
        <v>17401.863538900001</v>
      </c>
      <c r="H90" s="716">
        <f>IFERROR(Watersheds!H22*H$3,0)</f>
        <v>104329.715811</v>
      </c>
      <c r="I90" s="716">
        <f>IFERROR(Watersheds!I22*I$3,0)</f>
        <v>2017.34451939</v>
      </c>
      <c r="J90" s="716">
        <f>IFERROR(Watersheds!J22*J$3,0)</f>
        <v>668.03785822400005</v>
      </c>
      <c r="K90" s="716">
        <f>IFERROR(Watersheds!K22*K$3,0)</f>
        <v>7593.9895688500001</v>
      </c>
      <c r="L90" s="716">
        <f>IFERROR(Watersheds!L22*L$3,0)</f>
        <v>21084.076283999999</v>
      </c>
      <c r="M90" s="716">
        <f>IFERROR(Watersheds!M22*M$3,0)</f>
        <v>62110.519874999998</v>
      </c>
      <c r="N90" s="716">
        <f>IFERROR(Watersheds!N22*N$3,0)</f>
        <v>6466.3136166599998</v>
      </c>
      <c r="O90" s="716">
        <f>IFERROR(Watersheds!O22*O$3,0)</f>
        <v>8608.4447462600001</v>
      </c>
      <c r="P90" s="716">
        <f>IFERROR(Watersheds!P22*P$3,0)</f>
        <v>12.7878169033</v>
      </c>
      <c r="Q90" s="716">
        <f>IFERROR(Watersheds!Q22*Q$3,0)</f>
        <v>1895.8907489200001</v>
      </c>
      <c r="R90" s="716">
        <f>IFERROR(Watersheds!R22*R$3,0)</f>
        <v>3368.32855419</v>
      </c>
      <c r="S90" s="716">
        <f>IFERROR(Watersheds!S22*S$3,0)</f>
        <v>46217.350759699999</v>
      </c>
      <c r="T90" s="716">
        <f>IFERROR(Watersheds!T22*T$3,0)</f>
        <v>5140.1460420699996</v>
      </c>
      <c r="U90" s="716">
        <f>IFERROR(Watersheds!U22*U$3,0)</f>
        <v>19759.233180300002</v>
      </c>
      <c r="V90" s="716">
        <f>IFERROR(Watersheds!V22*V$3,0)</f>
        <v>0</v>
      </c>
      <c r="W90" s="716">
        <f>IFERROR(Watersheds!W22*W$3,0)</f>
        <v>2510.9328610799998</v>
      </c>
      <c r="X90" s="716">
        <f>IFERROR(Watersheds!X22*X$3,0)</f>
        <v>10749.6429921</v>
      </c>
      <c r="Y90" s="716">
        <f>IFERROR(Watersheds!Y22*Y$3,0)</f>
        <v>1546.9980171300001</v>
      </c>
      <c r="Z90" s="716">
        <f>IFERROR(Watersheds!Z22*Z$3,0)</f>
        <v>10315.070849199999</v>
      </c>
      <c r="AA90" s="716">
        <f>IFERROR(Watersheds!AA22*AA$3,0)</f>
        <v>52905.653316000004</v>
      </c>
      <c r="AB90" s="716">
        <f>IFERROR(Watersheds!AB22*AB$3,0)</f>
        <v>32946.239919200001</v>
      </c>
      <c r="AC90" s="716">
        <f>IFERROR(Watersheds!AC22*AC$3,0)</f>
        <v>30089.778706199999</v>
      </c>
      <c r="AD90" s="716">
        <f>IFERROR(Watersheds!AD22*AD$3,0)</f>
        <v>0</v>
      </c>
      <c r="AE90" s="716">
        <f>IFERROR(Watersheds!AE22*AE$3,0)</f>
        <v>550.25564484799997</v>
      </c>
      <c r="AF90" s="716">
        <f>IFERROR(Watersheds!AF22*AF$3,0)</f>
        <v>8066.4845264899996</v>
      </c>
      <c r="AG90" s="716">
        <f>IFERROR(Watersheds!AG22*AG$3,0)</f>
        <v>209.10756582299999</v>
      </c>
      <c r="AH90" s="716">
        <f>IFERROR(Watersheds!AH22*AH$3,0)</f>
        <v>2467.1991354199999</v>
      </c>
      <c r="AI90" s="716">
        <f>IFERROR(Watersheds!AI22*AI$3,0)</f>
        <v>162.14603119700001</v>
      </c>
      <c r="AJ90" s="716">
        <f>IFERROR(Watersheds!AJ22*AJ$3,0)</f>
        <v>4099.1527151099999</v>
      </c>
      <c r="AK90" s="716">
        <f>IFERROR(Watersheds!AK22*AK$3,0)</f>
        <v>406.30387887900002</v>
      </c>
      <c r="AL90" s="716">
        <f>IFERROR(Watersheds!AL22*AL$3,0)</f>
        <v>8797.7576280699996</v>
      </c>
      <c r="AM90" s="716">
        <f>IFERROR(Watersheds!AM22*AM$3,0)</f>
        <v>127.227746643</v>
      </c>
      <c r="AN90" s="716">
        <f>IFERROR(Watersheds!AN22*AN$3,0)</f>
        <v>2676.6637153900001</v>
      </c>
    </row>
    <row r="91" spans="1:40" s="769" customFormat="1" x14ac:dyDescent="0.25">
      <c r="A91" t="s">
        <v>1185</v>
      </c>
      <c r="B91" s="716">
        <f>IFERROR(Watersheds!B23*B$3,0)</f>
        <v>45503.477389976004</v>
      </c>
      <c r="C91" s="716">
        <f>IFERROR(Watersheds!C23*C$3,0)</f>
        <v>338.43870405526957</v>
      </c>
      <c r="D91" s="716">
        <f>IFERROR(Watersheds!D23*D$3,0)</f>
        <v>2691.5687715751155</v>
      </c>
      <c r="E91" s="716">
        <f>IFERROR(Watersheds!E23*E$3,0)</f>
        <v>762.79520000877869</v>
      </c>
      <c r="F91" s="716">
        <f>IFERROR(Watersheds!F23*F$3,0)</f>
        <v>331.66986158342775</v>
      </c>
      <c r="G91" s="716">
        <f>IFERROR(Watersheds!G23*G$3,0)</f>
        <v>0</v>
      </c>
      <c r="H91" s="716">
        <f>IFERROR(Watersheds!H23*H$3,0)</f>
        <v>1415.4124071600618</v>
      </c>
      <c r="I91" s="716">
        <f>IFERROR(Watersheds!I23*I$3,0)</f>
        <v>15142.99588589612</v>
      </c>
      <c r="J91" s="716">
        <f>IFERROR(Watersheds!J23*J$3,0)</f>
        <v>6590.0998024829223</v>
      </c>
      <c r="K91" s="716">
        <f>IFERROR(Watersheds!K23*K$3,0)</f>
        <v>9182.5351993127661</v>
      </c>
      <c r="L91" s="716">
        <f>IFERROR(Watersheds!L23*L$3,0)</f>
        <v>20</v>
      </c>
      <c r="M91" s="716">
        <f>IFERROR(Watersheds!M23*M$3,0)</f>
        <v>378.46795286770816</v>
      </c>
      <c r="N91" s="716">
        <f>IFERROR(Watersheds!N23*N$3,0)</f>
        <v>239.35661929422611</v>
      </c>
      <c r="O91" s="716">
        <f>IFERROR(Watersheds!O23*O$3,0)</f>
        <v>17874.713605020424</v>
      </c>
      <c r="P91" s="716">
        <f>IFERROR(Watersheds!P23*P$3,0)</f>
        <v>7945.6014887841457</v>
      </c>
      <c r="Q91" s="716">
        <f>IFERROR(Watersheds!Q23*Q$3,0)</f>
        <v>1573.0089571983151</v>
      </c>
      <c r="R91" s="716">
        <f>IFERROR(Watersheds!R23*R$3,0)</f>
        <v>0</v>
      </c>
      <c r="S91" s="716">
        <f>IFERROR(Watersheds!S23*S$3,0)</f>
        <v>1003.3057094483933</v>
      </c>
      <c r="T91" s="716">
        <f>IFERROR(Watersheds!T23*T$3,0)</f>
        <v>0</v>
      </c>
      <c r="U91" s="716">
        <f>IFERROR(Watersheds!U23*U$3,0)</f>
        <v>9.0461400938981278</v>
      </c>
      <c r="V91" s="716">
        <f>IFERROR(Watersheds!V23*V$3,0)</f>
        <v>53.2514919870667</v>
      </c>
      <c r="W91" s="716">
        <f>IFERROR(Watersheds!W23*W$3,0)</f>
        <v>2305.6681616860365</v>
      </c>
      <c r="X91" s="716">
        <f>IFERROR(Watersheds!X23*X$3,0)</f>
        <v>173.17618023286465</v>
      </c>
      <c r="Y91" s="716">
        <f>IFERROR(Watersheds!Y23*Y$3,0)</f>
        <v>8339.3052578969018</v>
      </c>
      <c r="Z91" s="716">
        <f>IFERROR(Watersheds!Z23*Z$3,0)</f>
        <v>25233.886789478966</v>
      </c>
      <c r="AA91" s="716">
        <f>IFERROR(Watersheds!AA23*AA$3,0)</f>
        <v>126.13625174459438</v>
      </c>
      <c r="AB91" s="716">
        <f>IFERROR(Watersheds!AB23*AB$3,0)</f>
        <v>7803.6412255330806</v>
      </c>
      <c r="AC91" s="716">
        <f>IFERROR(Watersheds!AC23*AC$3,0)</f>
        <v>3.6863154261125395</v>
      </c>
      <c r="AD91" s="716">
        <f>IFERROR(Watersheds!AD23*AD$3,0)</f>
        <v>625.21364420491909</v>
      </c>
      <c r="AE91" s="716">
        <f>IFERROR(Watersheds!AE23*AE$3,0)</f>
        <v>598.64871606210738</v>
      </c>
      <c r="AF91" s="716">
        <f>IFERROR(Watersheds!AF23*AF$3,0)</f>
        <v>267.50199806463814</v>
      </c>
      <c r="AG91" s="716">
        <f>IFERROR(Watersheds!AG23*AG$3,0)</f>
        <v>118.19716853326923</v>
      </c>
      <c r="AH91" s="716">
        <f>IFERROR(Watersheds!AH23*AH$3,0)</f>
        <v>63011.060152779683</v>
      </c>
      <c r="AI91" s="716">
        <f>IFERROR(Watersheds!AI23*AI$3,0)</f>
        <v>963.84351522314569</v>
      </c>
      <c r="AJ91" s="716">
        <f>IFERROR(Watersheds!AJ23*AJ$3,0)</f>
        <v>7038.8513319540052</v>
      </c>
      <c r="AK91" s="716">
        <f>IFERROR(Watersheds!AK23*AK$3,0)</f>
        <v>9396.9695160690371</v>
      </c>
      <c r="AL91" s="716">
        <f>IFERROR(Watersheds!AL23*AL$3,0)</f>
        <v>44411.44594624707</v>
      </c>
      <c r="AM91" s="716">
        <f>IFERROR(Watersheds!AM23*AM$3,0)</f>
        <v>14053.805863844696</v>
      </c>
      <c r="AN91" s="716">
        <f>IFERROR(Watersheds!AN23*AN$3,0)</f>
        <v>24293.107342874893</v>
      </c>
    </row>
    <row r="92" spans="1:40" x14ac:dyDescent="0.25">
      <c r="A92" s="148" t="s">
        <v>380</v>
      </c>
      <c r="B92" s="716">
        <f ca="1">SUM(B80:B91)</f>
        <v>1183611.8269754259</v>
      </c>
      <c r="C92" s="716">
        <f t="shared" ref="C92:AN92" ca="1" si="30">SUM(C80:C91)</f>
        <v>95754.758676922065</v>
      </c>
      <c r="D92" s="716">
        <f t="shared" ca="1" si="30"/>
        <v>384363.31644598179</v>
      </c>
      <c r="E92" s="716">
        <f t="shared" ca="1" si="30"/>
        <v>526499.4754478957</v>
      </c>
      <c r="F92" s="716">
        <f t="shared" ca="1" si="30"/>
        <v>1087765.8836466991</v>
      </c>
      <c r="G92" s="716">
        <f t="shared" ca="1" si="30"/>
        <v>21773.538325770438</v>
      </c>
      <c r="H92" s="716">
        <f t="shared" ca="1" si="30"/>
        <v>476975.34015582805</v>
      </c>
      <c r="I92" s="716">
        <f t="shared" ca="1" si="30"/>
        <v>1782881.9850823714</v>
      </c>
      <c r="J92" s="716">
        <f t="shared" ca="1" si="30"/>
        <v>458429.57002898154</v>
      </c>
      <c r="K92" s="716">
        <f t="shared" ca="1" si="30"/>
        <v>819176.20611457259</v>
      </c>
      <c r="L92" s="716">
        <f t="shared" ca="1" si="30"/>
        <v>49860.38319707138</v>
      </c>
      <c r="M92" s="716">
        <f t="shared" ca="1" si="30"/>
        <v>264659.08028609771</v>
      </c>
      <c r="N92" s="716">
        <f t="shared" ca="1" si="30"/>
        <v>769733.41808108846</v>
      </c>
      <c r="O92" s="716">
        <f t="shared" ca="1" si="30"/>
        <v>828673.71056960034</v>
      </c>
      <c r="P92" s="716">
        <f t="shared" ca="1" si="30"/>
        <v>241824.56323169582</v>
      </c>
      <c r="Q92" s="716">
        <f t="shared" ca="1" si="30"/>
        <v>246814.27028150434</v>
      </c>
      <c r="R92" s="716">
        <f t="shared" ca="1" si="30"/>
        <v>4285.7491912003497</v>
      </c>
      <c r="S92" s="716">
        <f t="shared" ca="1" si="30"/>
        <v>178246.72078017838</v>
      </c>
      <c r="T92" s="716">
        <f t="shared" ca="1" si="30"/>
        <v>6495.4972264640001</v>
      </c>
      <c r="U92" s="716">
        <f t="shared" ca="1" si="30"/>
        <v>106361.17112664781</v>
      </c>
      <c r="V92" s="716">
        <f t="shared" ca="1" si="30"/>
        <v>64243.015453628868</v>
      </c>
      <c r="W92" s="716">
        <f t="shared" ca="1" si="30"/>
        <v>534860.91880764207</v>
      </c>
      <c r="X92" s="716">
        <f t="shared" ca="1" si="30"/>
        <v>72691.488463081871</v>
      </c>
      <c r="Y92" s="716">
        <f t="shared" ca="1" si="30"/>
        <v>578435.98666543269</v>
      </c>
      <c r="Z92" s="716">
        <f t="shared" ca="1" si="30"/>
        <v>1740522.0190968886</v>
      </c>
      <c r="AA92" s="716">
        <f t="shared" ca="1" si="30"/>
        <v>310501.91638817242</v>
      </c>
      <c r="AB92" s="716">
        <f t="shared" ca="1" si="30"/>
        <v>1118256.7685890032</v>
      </c>
      <c r="AC92" s="716">
        <f t="shared" ca="1" si="30"/>
        <v>46608.093375328011</v>
      </c>
      <c r="AD92" s="716">
        <f t="shared" ca="1" si="30"/>
        <v>54441.211277657247</v>
      </c>
      <c r="AE92" s="716">
        <f t="shared" ca="1" si="30"/>
        <v>65663.160762143409</v>
      </c>
      <c r="AF92" s="716">
        <f t="shared" ca="1" si="30"/>
        <v>130947.11348153764</v>
      </c>
      <c r="AG92" s="716">
        <f t="shared" ca="1" si="30"/>
        <v>25765.811486446426</v>
      </c>
      <c r="AH92" s="716">
        <f t="shared" ca="1" si="30"/>
        <v>1340660.9713842301</v>
      </c>
      <c r="AI92" s="716">
        <f t="shared" ca="1" si="30"/>
        <v>128358.10151161565</v>
      </c>
      <c r="AJ92" s="716">
        <f t="shared" ca="1" si="30"/>
        <v>574366.93169227603</v>
      </c>
      <c r="AK92" s="716">
        <f t="shared" ca="1" si="30"/>
        <v>522509.1045987652</v>
      </c>
      <c r="AL92" s="716">
        <f t="shared" ca="1" si="30"/>
        <v>1064528.7062601969</v>
      </c>
      <c r="AM92" s="716">
        <f t="shared" ca="1" si="30"/>
        <v>790004.66459855286</v>
      </c>
      <c r="AN92" s="716">
        <f t="shared" ca="1" si="30"/>
        <v>949734.58489426738</v>
      </c>
    </row>
    <row r="93" spans="1:40" s="780" customFormat="1" x14ac:dyDescent="0.25">
      <c r="A93" s="151" t="s">
        <v>1195</v>
      </c>
      <c r="B93" s="149"/>
      <c r="C93" s="149"/>
      <c r="D93" s="149"/>
      <c r="E93" s="149"/>
      <c r="F93" s="149"/>
      <c r="G93" s="149"/>
      <c r="H93" s="149"/>
      <c r="I93" s="149"/>
      <c r="J93" s="149"/>
      <c r="K93" s="149"/>
      <c r="L93" s="149"/>
      <c r="M93" s="149"/>
      <c r="N93" s="149"/>
      <c r="O93" s="149"/>
      <c r="P93" s="149"/>
      <c r="Q93" s="149"/>
      <c r="R93" s="149"/>
      <c r="S93" s="149"/>
      <c r="T93" s="149"/>
      <c r="U93" s="149"/>
      <c r="V93" s="149"/>
      <c r="W93" s="149"/>
      <c r="X93" s="149"/>
      <c r="Y93" s="149"/>
      <c r="Z93" s="149"/>
      <c r="AA93" s="149"/>
      <c r="AB93" s="149"/>
      <c r="AC93" s="149"/>
      <c r="AD93" s="149"/>
      <c r="AE93" s="149"/>
      <c r="AF93" s="149"/>
      <c r="AG93" s="149"/>
      <c r="AH93" s="149"/>
      <c r="AI93" s="149"/>
      <c r="AJ93" s="149"/>
      <c r="AK93" s="149"/>
      <c r="AL93" s="149"/>
      <c r="AM93" s="149"/>
      <c r="AN93" s="149"/>
    </row>
    <row r="94" spans="1:40" s="780" customFormat="1" x14ac:dyDescent="0.25">
      <c r="A94" t="s">
        <v>382</v>
      </c>
      <c r="B94" s="716">
        <f ca="1">IFERROR((B80/(B80+B81))*(B72-B74),0)</f>
        <v>1649.4450416747229</v>
      </c>
      <c r="C94" s="716">
        <f t="shared" ref="C94:AN94" ca="1" si="31">IFERROR((C80/(C80+C81))*(C72-C74),0)</f>
        <v>104.91317047107815</v>
      </c>
      <c r="D94" s="716">
        <f t="shared" ca="1" si="31"/>
        <v>2549.5870282578094</v>
      </c>
      <c r="E94" s="716">
        <f t="shared" ca="1" si="31"/>
        <v>570.48668292633261</v>
      </c>
      <c r="F94" s="716">
        <f t="shared" ca="1" si="31"/>
        <v>1339.8677079329407</v>
      </c>
      <c r="G94" s="716">
        <f t="shared" ca="1" si="31"/>
        <v>0</v>
      </c>
      <c r="H94" s="716">
        <f t="shared" ca="1" si="31"/>
        <v>271.9103532048365</v>
      </c>
      <c r="I94" s="716">
        <f t="shared" ca="1" si="31"/>
        <v>2522.318946713779</v>
      </c>
      <c r="J94" s="716">
        <f t="shared" ca="1" si="31"/>
        <v>619.82873125145488</v>
      </c>
      <c r="K94" s="716">
        <f t="shared" ca="1" si="31"/>
        <v>808.09493685825032</v>
      </c>
      <c r="L94" s="716">
        <f t="shared" ca="1" si="31"/>
        <v>0</v>
      </c>
      <c r="M94" s="716">
        <f t="shared" ca="1" si="31"/>
        <v>843.14212150777803</v>
      </c>
      <c r="N94" s="716">
        <f t="shared" ca="1" si="31"/>
        <v>1313.4491658680413</v>
      </c>
      <c r="O94" s="716">
        <f t="shared" ca="1" si="31"/>
        <v>142.15668570761505</v>
      </c>
      <c r="P94" s="716">
        <f t="shared" ca="1" si="31"/>
        <v>485.80313169022349</v>
      </c>
      <c r="Q94" s="716">
        <f t="shared" ca="1" si="31"/>
        <v>123.90590727630429</v>
      </c>
      <c r="R94" s="716">
        <f t="shared" ca="1" si="31"/>
        <v>0</v>
      </c>
      <c r="S94" s="716">
        <f t="shared" ca="1" si="31"/>
        <v>592.93367976889226</v>
      </c>
      <c r="T94" s="716">
        <f t="shared" ca="1" si="31"/>
        <v>0</v>
      </c>
      <c r="U94" s="716">
        <f t="shared" ca="1" si="31"/>
        <v>26.351750625182511</v>
      </c>
      <c r="V94" s="716">
        <f t="shared" ca="1" si="31"/>
        <v>63.500364443593242</v>
      </c>
      <c r="W94" s="716">
        <f t="shared" ca="1" si="31"/>
        <v>653.69264488282624</v>
      </c>
      <c r="X94" s="716">
        <f t="shared" ca="1" si="31"/>
        <v>57.369907933686783</v>
      </c>
      <c r="Y94" s="716">
        <f t="shared" ca="1" si="31"/>
        <v>1508.3663153447392</v>
      </c>
      <c r="Z94" s="716">
        <f t="shared" ca="1" si="31"/>
        <v>2388.258962894176</v>
      </c>
      <c r="AA94" s="716">
        <f t="shared" ca="1" si="31"/>
        <v>2.0163197281045475</v>
      </c>
      <c r="AB94" s="716">
        <f t="shared" ca="1" si="31"/>
        <v>1594.7674961619089</v>
      </c>
      <c r="AC94" s="716">
        <f t="shared" ca="1" si="31"/>
        <v>211.7405311498546</v>
      </c>
      <c r="AD94" s="716">
        <f t="shared" ca="1" si="31"/>
        <v>88.675461804243383</v>
      </c>
      <c r="AE94" s="716">
        <f t="shared" ca="1" si="31"/>
        <v>284.3707030379046</v>
      </c>
      <c r="AF94" s="716">
        <f t="shared" ca="1" si="31"/>
        <v>720.47803865108881</v>
      </c>
      <c r="AG94" s="716">
        <f t="shared" ca="1" si="31"/>
        <v>173.04650846227946</v>
      </c>
      <c r="AH94" s="716">
        <f t="shared" ca="1" si="31"/>
        <v>2388.0300361322174</v>
      </c>
      <c r="AI94" s="716">
        <f t="shared" ca="1" si="31"/>
        <v>173.07088441544158</v>
      </c>
      <c r="AJ94" s="716">
        <f t="shared" ca="1" si="31"/>
        <v>321.46887672962879</v>
      </c>
      <c r="AK94" s="716">
        <f t="shared" ca="1" si="31"/>
        <v>972.98189235788789</v>
      </c>
      <c r="AL94" s="716">
        <f t="shared" ca="1" si="31"/>
        <v>660.76776761083056</v>
      </c>
      <c r="AM94" s="716">
        <f t="shared" ca="1" si="31"/>
        <v>965.20069081835436</v>
      </c>
      <c r="AN94" s="716">
        <f t="shared" ca="1" si="31"/>
        <v>1316.6677675174169</v>
      </c>
    </row>
    <row r="95" spans="1:40" s="780" customFormat="1" x14ac:dyDescent="0.25">
      <c r="A95" t="s">
        <v>91</v>
      </c>
      <c r="B95" s="716">
        <f ca="1">IFERROR((B81/(B80+B81))*(B72-B74),0)</f>
        <v>1007.3188309211221</v>
      </c>
      <c r="C95" s="716">
        <f t="shared" ref="C95:AN95" ca="1" si="32">IFERROR((C81/(C80+C81))*(C72-C74),0)</f>
        <v>82.25432856379463</v>
      </c>
      <c r="D95" s="716">
        <f t="shared" ca="1" si="32"/>
        <v>929.48892588718388</v>
      </c>
      <c r="E95" s="716">
        <f t="shared" ca="1" si="32"/>
        <v>314.14009156137075</v>
      </c>
      <c r="F95" s="716">
        <f t="shared" ca="1" si="32"/>
        <v>1158.7101236259953</v>
      </c>
      <c r="G95" s="716">
        <f t="shared" ca="1" si="32"/>
        <v>0</v>
      </c>
      <c r="H95" s="716">
        <f t="shared" ca="1" si="32"/>
        <v>70.494018342884303</v>
      </c>
      <c r="I95" s="716">
        <f t="shared" ca="1" si="32"/>
        <v>2173.2257782055253</v>
      </c>
      <c r="J95" s="716">
        <f t="shared" ca="1" si="32"/>
        <v>500.25547286146565</v>
      </c>
      <c r="K95" s="716">
        <f t="shared" ca="1" si="32"/>
        <v>1355.1062959708165</v>
      </c>
      <c r="L95" s="716">
        <f t="shared" ca="1" si="32"/>
        <v>0</v>
      </c>
      <c r="M95" s="716">
        <f t="shared" ca="1" si="32"/>
        <v>236.62226308702608</v>
      </c>
      <c r="N95" s="716">
        <f t="shared" ca="1" si="32"/>
        <v>1009.0557222553375</v>
      </c>
      <c r="O95" s="716">
        <f t="shared" ca="1" si="32"/>
        <v>533.42159065449903</v>
      </c>
      <c r="P95" s="716">
        <f t="shared" ca="1" si="32"/>
        <v>385.44769887435319</v>
      </c>
      <c r="Q95" s="716">
        <f t="shared" ca="1" si="32"/>
        <v>379.40976619240098</v>
      </c>
      <c r="R95" s="716">
        <f t="shared" ca="1" si="32"/>
        <v>0</v>
      </c>
      <c r="S95" s="716">
        <f t="shared" ca="1" si="32"/>
        <v>286.41121916450351</v>
      </c>
      <c r="T95" s="716">
        <f t="shared" ca="1" si="32"/>
        <v>0</v>
      </c>
      <c r="U95" s="716">
        <f t="shared" ca="1" si="32"/>
        <v>166.07704471231324</v>
      </c>
      <c r="V95" s="716">
        <f t="shared" ca="1" si="32"/>
        <v>58.068665315450879</v>
      </c>
      <c r="W95" s="716">
        <f t="shared" ca="1" si="32"/>
        <v>1069.9444809394547</v>
      </c>
      <c r="X95" s="716">
        <f t="shared" ca="1" si="32"/>
        <v>596.67959732226359</v>
      </c>
      <c r="Y95" s="716">
        <f t="shared" ca="1" si="32"/>
        <v>641.18867214431316</v>
      </c>
      <c r="Z95" s="716">
        <f t="shared" ca="1" si="32"/>
        <v>1811.3202307186741</v>
      </c>
      <c r="AA95" s="716">
        <f t="shared" ca="1" si="32"/>
        <v>24.666058820416566</v>
      </c>
      <c r="AB95" s="716">
        <f t="shared" ca="1" si="32"/>
        <v>1227.3858476183104</v>
      </c>
      <c r="AC95" s="716">
        <f t="shared" ca="1" si="32"/>
        <v>23.429726577470269</v>
      </c>
      <c r="AD95" s="716">
        <f t="shared" ca="1" si="32"/>
        <v>78.660266711449083</v>
      </c>
      <c r="AE95" s="716">
        <f t="shared" ca="1" si="32"/>
        <v>232.76571749471304</v>
      </c>
      <c r="AF95" s="716">
        <f t="shared" ca="1" si="32"/>
        <v>415.57429326751299</v>
      </c>
      <c r="AG95" s="716">
        <f t="shared" ca="1" si="32"/>
        <v>57.058674223333952</v>
      </c>
      <c r="AH95" s="716">
        <f t="shared" ca="1" si="32"/>
        <v>1773.16121936843</v>
      </c>
      <c r="AI95" s="716">
        <f t="shared" ca="1" si="32"/>
        <v>144.10945692845993</v>
      </c>
      <c r="AJ95" s="716">
        <f t="shared" ca="1" si="32"/>
        <v>2201.0971173859707</v>
      </c>
      <c r="AK95" s="716">
        <f t="shared" ca="1" si="32"/>
        <v>755.94391296979438</v>
      </c>
      <c r="AL95" s="716">
        <f t="shared" ca="1" si="32"/>
        <v>2907.6382464399635</v>
      </c>
      <c r="AM95" s="716">
        <f t="shared" ca="1" si="32"/>
        <v>762.72719753787089</v>
      </c>
      <c r="AN95" s="716">
        <f t="shared" ca="1" si="32"/>
        <v>1030.534726870615</v>
      </c>
    </row>
    <row r="96" spans="1:40" s="780" customFormat="1" x14ac:dyDescent="0.25">
      <c r="A96" t="s">
        <v>381</v>
      </c>
      <c r="B96" s="716">
        <f ca="1">IFERROR((B82/(B82+B83))*B74,0)</f>
        <v>1105.4685832765308</v>
      </c>
      <c r="C96" s="716">
        <f t="shared" ref="C96:AN96" ca="1" si="33">IFERROR((C82/(C82+C83))*C74,0)</f>
        <v>217.9273271921287</v>
      </c>
      <c r="D96" s="716">
        <f t="shared" ca="1" si="33"/>
        <v>376.96943940673896</v>
      </c>
      <c r="E96" s="716">
        <f t="shared" ca="1" si="33"/>
        <v>846.57002635652611</v>
      </c>
      <c r="F96" s="716">
        <f t="shared" ca="1" si="33"/>
        <v>729.25585750432344</v>
      </c>
      <c r="G96" s="716">
        <f t="shared" ca="1" si="33"/>
        <v>0</v>
      </c>
      <c r="H96" s="716">
        <f t="shared" ca="1" si="33"/>
        <v>471.24305075992083</v>
      </c>
      <c r="I96" s="716">
        <f t="shared" ca="1" si="33"/>
        <v>617.98906004465027</v>
      </c>
      <c r="J96" s="716">
        <f t="shared" ca="1" si="33"/>
        <v>120.89431780762776</v>
      </c>
      <c r="K96" s="716">
        <f t="shared" ca="1" si="33"/>
        <v>294.98590517102565</v>
      </c>
      <c r="L96" s="716">
        <f t="shared" ca="1" si="33"/>
        <v>0</v>
      </c>
      <c r="M96" s="716">
        <f t="shared" ca="1" si="33"/>
        <v>20.410968543506392</v>
      </c>
      <c r="N96" s="716">
        <f t="shared" ca="1" si="33"/>
        <v>686.56247476882027</v>
      </c>
      <c r="O96" s="716">
        <f t="shared" ca="1" si="33"/>
        <v>747.70553432816632</v>
      </c>
      <c r="P96" s="716">
        <f t="shared" ca="1" si="33"/>
        <v>122.5239947052011</v>
      </c>
      <c r="Q96" s="716">
        <f t="shared" ca="1" si="33"/>
        <v>50.597297723315371</v>
      </c>
      <c r="R96" s="716">
        <f t="shared" ca="1" si="33"/>
        <v>0</v>
      </c>
      <c r="S96" s="716">
        <f t="shared" ca="1" si="33"/>
        <v>26.75038734238813</v>
      </c>
      <c r="T96" s="716">
        <f t="shared" ca="1" si="33"/>
        <v>0</v>
      </c>
      <c r="U96" s="716">
        <f t="shared" ca="1" si="33"/>
        <v>19.258179660962089</v>
      </c>
      <c r="V96" s="716">
        <f t="shared" ca="1" si="33"/>
        <v>36.850908729709467</v>
      </c>
      <c r="W96" s="716">
        <f t="shared" ca="1" si="33"/>
        <v>238.21499312195556</v>
      </c>
      <c r="X96" s="716">
        <f t="shared" ca="1" si="33"/>
        <v>27.265963372184611</v>
      </c>
      <c r="Y96" s="716">
        <f t="shared" ca="1" si="33"/>
        <v>742.11110814288577</v>
      </c>
      <c r="Z96" s="716">
        <f t="shared" ca="1" si="33"/>
        <v>1074.5020520927526</v>
      </c>
      <c r="AA96" s="716">
        <f t="shared" ca="1" si="33"/>
        <v>68.993405999304684</v>
      </c>
      <c r="AB96" s="716">
        <f t="shared" ca="1" si="33"/>
        <v>835.26019799314213</v>
      </c>
      <c r="AC96" s="716">
        <f t="shared" ca="1" si="33"/>
        <v>0</v>
      </c>
      <c r="AD96" s="716">
        <f t="shared" ca="1" si="33"/>
        <v>43.038278063220993</v>
      </c>
      <c r="AE96" s="716">
        <f t="shared" ca="1" si="33"/>
        <v>47.199341195795192</v>
      </c>
      <c r="AF96" s="716">
        <f t="shared" ca="1" si="33"/>
        <v>100.76411641334951</v>
      </c>
      <c r="AG96" s="716">
        <f t="shared" ca="1" si="33"/>
        <v>40.68860914918379</v>
      </c>
      <c r="AH96" s="716">
        <f t="shared" ca="1" si="33"/>
        <v>281.64293272359498</v>
      </c>
      <c r="AI96" s="716">
        <f t="shared" ca="1" si="33"/>
        <v>109.06121546330719</v>
      </c>
      <c r="AJ96" s="716">
        <f t="shared" ca="1" si="33"/>
        <v>42.122010388264357</v>
      </c>
      <c r="AK96" s="716">
        <f t="shared" ca="1" si="33"/>
        <v>432.12696966562231</v>
      </c>
      <c r="AL96" s="716">
        <f t="shared" ca="1" si="33"/>
        <v>282.2063599369219</v>
      </c>
      <c r="AM96" s="716">
        <f t="shared" ca="1" si="33"/>
        <v>421.35045683164225</v>
      </c>
      <c r="AN96" s="716">
        <f t="shared" ca="1" si="33"/>
        <v>216.89673583450102</v>
      </c>
    </row>
    <row r="97" spans="1:41" s="780" customFormat="1" x14ac:dyDescent="0.25">
      <c r="A97" t="s">
        <v>91</v>
      </c>
      <c r="B97" s="716">
        <f ca="1">IFERROR((B83/(B82+B83))*B74,0)</f>
        <v>675.11150283341328</v>
      </c>
      <c r="C97" s="716">
        <f t="shared" ref="C97:AN97" ca="1" si="34">IFERROR((C83/(C82+C83))*C74,0)</f>
        <v>170.86001589126042</v>
      </c>
      <c r="D97" s="716">
        <f t="shared" ca="1" si="34"/>
        <v>137.42967603890435</v>
      </c>
      <c r="E97" s="716">
        <f t="shared" ca="1" si="34"/>
        <v>466.16615874115399</v>
      </c>
      <c r="F97" s="716">
        <f t="shared" ca="1" si="34"/>
        <v>630.65639973323948</v>
      </c>
      <c r="G97" s="716">
        <f t="shared" ca="1" si="34"/>
        <v>0</v>
      </c>
      <c r="H97" s="716">
        <f t="shared" ca="1" si="34"/>
        <v>122.17194333604998</v>
      </c>
      <c r="I97" s="716">
        <f t="shared" ca="1" si="34"/>
        <v>532.45833866006978</v>
      </c>
      <c r="J97" s="716">
        <f t="shared" ca="1" si="34"/>
        <v>97.572185785921761</v>
      </c>
      <c r="K97" s="716">
        <f t="shared" ca="1" si="34"/>
        <v>494.66620701031059</v>
      </c>
      <c r="L97" s="716">
        <f t="shared" ca="1" si="34"/>
        <v>0</v>
      </c>
      <c r="M97" s="716">
        <f t="shared" ca="1" si="34"/>
        <v>5.728203401729858</v>
      </c>
      <c r="N97" s="716">
        <f t="shared" ca="1" si="34"/>
        <v>527.45078519534093</v>
      </c>
      <c r="O97" s="716">
        <f t="shared" ca="1" si="34"/>
        <v>2805.6526042175269</v>
      </c>
      <c r="P97" s="716">
        <f t="shared" ca="1" si="34"/>
        <v>97.213436339326947</v>
      </c>
      <c r="Q97" s="716">
        <f t="shared" ca="1" si="34"/>
        <v>154.93295938152283</v>
      </c>
      <c r="R97" s="716">
        <f t="shared" ca="1" si="34"/>
        <v>0</v>
      </c>
      <c r="S97" s="716">
        <f t="shared" ca="1" si="34"/>
        <v>12.921531215501796</v>
      </c>
      <c r="T97" s="716">
        <f t="shared" ca="1" si="34"/>
        <v>0</v>
      </c>
      <c r="U97" s="716">
        <f t="shared" ca="1" si="34"/>
        <v>121.37112293309777</v>
      </c>
      <c r="V97" s="716">
        <f t="shared" ca="1" si="34"/>
        <v>33.698752823640312</v>
      </c>
      <c r="W97" s="716">
        <f t="shared" ca="1" si="34"/>
        <v>389.90314356918134</v>
      </c>
      <c r="X97" s="716">
        <f t="shared" ca="1" si="34"/>
        <v>283.5814912640945</v>
      </c>
      <c r="Y97" s="716">
        <f t="shared" ca="1" si="34"/>
        <v>315.46265066581611</v>
      </c>
      <c r="Z97" s="716">
        <f t="shared" ca="1" si="34"/>
        <v>814.9314354695349</v>
      </c>
      <c r="AA97" s="716">
        <f t="shared" ca="1" si="34"/>
        <v>844.01069278804937</v>
      </c>
      <c r="AB97" s="716">
        <f t="shared" ca="1" si="34"/>
        <v>642.84389327155463</v>
      </c>
      <c r="AC97" s="716">
        <f t="shared" ca="1" si="34"/>
        <v>0</v>
      </c>
      <c r="AD97" s="716">
        <f t="shared" ca="1" si="34"/>
        <v>38.177443481805142</v>
      </c>
      <c r="AE97" s="716">
        <f t="shared" ca="1" si="34"/>
        <v>38.634037899651808</v>
      </c>
      <c r="AF97" s="716">
        <f t="shared" ca="1" si="34"/>
        <v>58.121100462136688</v>
      </c>
      <c r="AG97" s="716">
        <f t="shared" ca="1" si="34"/>
        <v>13.416266613376436</v>
      </c>
      <c r="AH97" s="716">
        <f t="shared" ca="1" si="34"/>
        <v>209.12564685472842</v>
      </c>
      <c r="AI97" s="716">
        <f t="shared" ca="1" si="34"/>
        <v>90.811071922694168</v>
      </c>
      <c r="AJ97" s="716">
        <f t="shared" ca="1" si="34"/>
        <v>288.40936823283255</v>
      </c>
      <c r="AK97" s="716">
        <f t="shared" ca="1" si="34"/>
        <v>335.73466774102599</v>
      </c>
      <c r="AL97" s="716">
        <f t="shared" ca="1" si="34"/>
        <v>1241.8190561989925</v>
      </c>
      <c r="AM97" s="716">
        <f t="shared" ca="1" si="34"/>
        <v>332.96231154581841</v>
      </c>
      <c r="AN97" s="716">
        <f t="shared" ca="1" si="34"/>
        <v>169.76159357480338</v>
      </c>
    </row>
    <row r="98" spans="1:41" s="786" customFormat="1" x14ac:dyDescent="0.25">
      <c r="A98" t="s">
        <v>1196</v>
      </c>
      <c r="B98" s="716">
        <f ca="1">SUM(B94:B97)</f>
        <v>4437.3439587057892</v>
      </c>
      <c r="C98" s="716">
        <f t="shared" ref="C98:AN98" ca="1" si="35">SUM(C94:C97)</f>
        <v>575.95484211826192</v>
      </c>
      <c r="D98" s="716">
        <f t="shared" ca="1" si="35"/>
        <v>3993.4750695906368</v>
      </c>
      <c r="E98" s="716">
        <f t="shared" ca="1" si="35"/>
        <v>2197.3629595853836</v>
      </c>
      <c r="F98" s="716">
        <f t="shared" ca="1" si="35"/>
        <v>3858.4900887964991</v>
      </c>
      <c r="G98" s="716">
        <f t="shared" ca="1" si="35"/>
        <v>0</v>
      </c>
      <c r="H98" s="716">
        <f t="shared" ca="1" si="35"/>
        <v>935.81936564369153</v>
      </c>
      <c r="I98" s="716">
        <f t="shared" ca="1" si="35"/>
        <v>5845.9921236240243</v>
      </c>
      <c r="J98" s="716">
        <f t="shared" ca="1" si="35"/>
        <v>1338.5507077064699</v>
      </c>
      <c r="K98" s="716">
        <f t="shared" ca="1" si="35"/>
        <v>2952.8533450104028</v>
      </c>
      <c r="L98" s="716">
        <f t="shared" ca="1" si="35"/>
        <v>0</v>
      </c>
      <c r="M98" s="716">
        <f t="shared" ca="1" si="35"/>
        <v>1105.9035565400404</v>
      </c>
      <c r="N98" s="716">
        <f t="shared" ca="1" si="35"/>
        <v>3536.5181480875399</v>
      </c>
      <c r="O98" s="716">
        <f t="shared" ca="1" si="35"/>
        <v>4228.9364149078074</v>
      </c>
      <c r="P98" s="716">
        <f t="shared" ca="1" si="35"/>
        <v>1090.9882616091047</v>
      </c>
      <c r="Q98" s="716">
        <f t="shared" ca="1" si="35"/>
        <v>708.84593057354346</v>
      </c>
      <c r="R98" s="716">
        <f t="shared" ca="1" si="35"/>
        <v>0</v>
      </c>
      <c r="S98" s="716">
        <f t="shared" ca="1" si="35"/>
        <v>919.01681749128568</v>
      </c>
      <c r="T98" s="716">
        <f t="shared" ca="1" si="35"/>
        <v>0</v>
      </c>
      <c r="U98" s="716">
        <f t="shared" ca="1" si="35"/>
        <v>333.05809793155561</v>
      </c>
      <c r="V98" s="716">
        <f t="shared" ca="1" si="35"/>
        <v>192.11869131239391</v>
      </c>
      <c r="W98" s="716">
        <f t="shared" ca="1" si="35"/>
        <v>2351.7552625134176</v>
      </c>
      <c r="X98" s="716">
        <f t="shared" ca="1" si="35"/>
        <v>964.89695989222946</v>
      </c>
      <c r="Y98" s="716">
        <f t="shared" ca="1" si="35"/>
        <v>3207.1287462977539</v>
      </c>
      <c r="Z98" s="716">
        <f t="shared" ca="1" si="35"/>
        <v>6089.0126811751379</v>
      </c>
      <c r="AA98" s="716">
        <f t="shared" ca="1" si="35"/>
        <v>939.68647733587522</v>
      </c>
      <c r="AB98" s="716">
        <f t="shared" ca="1" si="35"/>
        <v>4300.2574350449158</v>
      </c>
      <c r="AC98" s="716">
        <f t="shared" ca="1" si="35"/>
        <v>235.17025772732487</v>
      </c>
      <c r="AD98" s="716">
        <f t="shared" ca="1" si="35"/>
        <v>248.55145006071859</v>
      </c>
      <c r="AE98" s="716">
        <f t="shared" ca="1" si="35"/>
        <v>602.96979962806472</v>
      </c>
      <c r="AF98" s="716">
        <f t="shared" ca="1" si="35"/>
        <v>1294.9375487940879</v>
      </c>
      <c r="AG98" s="716">
        <f t="shared" ca="1" si="35"/>
        <v>284.21005844817364</v>
      </c>
      <c r="AH98" s="716">
        <f t="shared" ca="1" si="35"/>
        <v>4651.9598350789702</v>
      </c>
      <c r="AI98" s="716">
        <f t="shared" ca="1" si="35"/>
        <v>517.05262872990284</v>
      </c>
      <c r="AJ98" s="716">
        <f t="shared" ca="1" si="35"/>
        <v>2853.0973727366963</v>
      </c>
      <c r="AK98" s="716">
        <f t="shared" ca="1" si="35"/>
        <v>2496.7874427343304</v>
      </c>
      <c r="AL98" s="716">
        <f t="shared" ca="1" si="35"/>
        <v>5092.431430186708</v>
      </c>
      <c r="AM98" s="716">
        <f t="shared" ca="1" si="35"/>
        <v>2482.2406567336857</v>
      </c>
      <c r="AN98" s="716">
        <f t="shared" ca="1" si="35"/>
        <v>2733.8608237973367</v>
      </c>
      <c r="AO98" s="736">
        <f ca="1">SUM(B98:AN98)</f>
        <v>79597.235246149765</v>
      </c>
    </row>
    <row r="99" spans="1:41" s="780" customFormat="1" x14ac:dyDescent="0.25">
      <c r="A99" s="151" t="s">
        <v>1189</v>
      </c>
      <c r="B99" s="716"/>
      <c r="C99" s="716"/>
      <c r="D99" s="716"/>
      <c r="E99" s="716"/>
      <c r="F99" s="716"/>
      <c r="G99" s="716"/>
      <c r="H99" s="716"/>
      <c r="I99" s="716"/>
      <c r="J99" s="716"/>
      <c r="K99" s="716"/>
      <c r="L99" s="716"/>
      <c r="M99" s="716"/>
      <c r="N99" s="716"/>
      <c r="O99" s="716"/>
      <c r="P99" s="716"/>
      <c r="Q99" s="716"/>
      <c r="R99" s="716"/>
      <c r="S99" s="716"/>
      <c r="T99" s="716"/>
      <c r="U99" s="716"/>
      <c r="V99" s="716"/>
      <c r="W99" s="716"/>
      <c r="X99" s="716"/>
      <c r="Y99" s="716"/>
      <c r="Z99" s="716"/>
      <c r="AA99" s="716"/>
      <c r="AB99" s="716"/>
      <c r="AC99" s="716"/>
      <c r="AD99" s="716"/>
      <c r="AE99" s="716"/>
      <c r="AF99" s="716"/>
      <c r="AG99" s="716"/>
      <c r="AH99" s="716"/>
      <c r="AI99" s="716"/>
      <c r="AJ99" s="716"/>
      <c r="AK99" s="716"/>
      <c r="AL99" s="716"/>
      <c r="AM99" s="716"/>
      <c r="AN99" s="716"/>
    </row>
    <row r="100" spans="1:41" s="780" customFormat="1" x14ac:dyDescent="0.25">
      <c r="A100" t="s">
        <v>382</v>
      </c>
      <c r="B100" s="716">
        <f t="shared" ref="B100:AN100" ca="1" si="36">B80-B94</f>
        <v>301664.99232039787</v>
      </c>
      <c r="C100" s="716">
        <f t="shared" ca="1" si="36"/>
        <v>9972.9650856550434</v>
      </c>
      <c r="D100" s="716">
        <f t="shared" ca="1" si="36"/>
        <v>172554.01313210672</v>
      </c>
      <c r="E100" s="716">
        <f t="shared" ca="1" si="36"/>
        <v>86376.898147706859</v>
      </c>
      <c r="F100" s="716">
        <f t="shared" ca="1" si="36"/>
        <v>355021.89050585922</v>
      </c>
      <c r="G100" s="716">
        <f t="shared" ca="1" si="36"/>
        <v>0.77492249012000003</v>
      </c>
      <c r="H100" s="716">
        <f t="shared" ca="1" si="36"/>
        <v>71581.001522402599</v>
      </c>
      <c r="I100" s="716">
        <f t="shared" ca="1" si="36"/>
        <v>730418.24488905387</v>
      </c>
      <c r="J100" s="716">
        <f t="shared" ca="1" si="36"/>
        <v>185132.51037715722</v>
      </c>
      <c r="K100" s="716">
        <f t="shared" ca="1" si="36"/>
        <v>149166.54579511128</v>
      </c>
      <c r="L100" s="716">
        <f t="shared" ca="1" si="36"/>
        <v>337.23005384470002</v>
      </c>
      <c r="M100" s="716">
        <f t="shared" ca="1" si="36"/>
        <v>10822.323679244077</v>
      </c>
      <c r="N100" s="716">
        <f t="shared" ca="1" si="36"/>
        <v>269290.74061362486</v>
      </c>
      <c r="O100" s="716">
        <f t="shared" ca="1" si="36"/>
        <v>12837.117024676199</v>
      </c>
      <c r="P100" s="716">
        <f t="shared" ca="1" si="36"/>
        <v>99922.475789375763</v>
      </c>
      <c r="Q100" s="716">
        <f t="shared" ca="1" si="36"/>
        <v>21325.830012756407</v>
      </c>
      <c r="R100" s="716">
        <f t="shared" ca="1" si="36"/>
        <v>12.3987598419</v>
      </c>
      <c r="S100" s="716">
        <f t="shared" ca="1" si="36"/>
        <v>22372.294595555384</v>
      </c>
      <c r="T100" s="716">
        <f t="shared" ca="1" si="36"/>
        <v>20.922906875599999</v>
      </c>
      <c r="U100" s="716">
        <f t="shared" ca="1" si="36"/>
        <v>581.0475881912389</v>
      </c>
      <c r="V100" s="716">
        <f t="shared" ca="1" si="36"/>
        <v>20850.294967503971</v>
      </c>
      <c r="W100" s="716">
        <f t="shared" ca="1" si="36"/>
        <v>104034.62322190317</v>
      </c>
      <c r="X100" s="716">
        <f t="shared" ca="1" si="36"/>
        <v>1056.7110338902494</v>
      </c>
      <c r="Y100" s="716">
        <f t="shared" ca="1" si="36"/>
        <v>233835.97977968678</v>
      </c>
      <c r="Z100" s="716">
        <f t="shared" ca="1" si="36"/>
        <v>614107.3224872211</v>
      </c>
      <c r="AA100" s="716">
        <f t="shared" ca="1" si="36"/>
        <v>249.3434432064011</v>
      </c>
      <c r="AB100" s="716">
        <f t="shared" ca="1" si="36"/>
        <v>271833.75693593419</v>
      </c>
      <c r="AC100" s="716">
        <f t="shared" ca="1" si="36"/>
        <v>3219.8155942301451</v>
      </c>
      <c r="AD100" s="716">
        <f t="shared" ca="1" si="36"/>
        <v>18559.391898957263</v>
      </c>
      <c r="AE100" s="716">
        <f t="shared" ca="1" si="36"/>
        <v>24663.045251338721</v>
      </c>
      <c r="AF100" s="716">
        <f t="shared" ca="1" si="36"/>
        <v>52418.341893355777</v>
      </c>
      <c r="AG100" s="716">
        <f t="shared" ca="1" si="36"/>
        <v>10958.159878275577</v>
      </c>
      <c r="AH100" s="716">
        <f t="shared" ca="1" si="36"/>
        <v>590055.12073397788</v>
      </c>
      <c r="AI100" s="716">
        <f t="shared" ca="1" si="36"/>
        <v>39078.701092107491</v>
      </c>
      <c r="AJ100" s="716">
        <f t="shared" ca="1" si="36"/>
        <v>38546.633555640175</v>
      </c>
      <c r="AK100" s="716">
        <f t="shared" ca="1" si="36"/>
        <v>187866.9137022217</v>
      </c>
      <c r="AL100" s="716">
        <f t="shared" ca="1" si="36"/>
        <v>77601.606012587028</v>
      </c>
      <c r="AM100" s="716">
        <f t="shared" ca="1" si="36"/>
        <v>292028.44426544756</v>
      </c>
      <c r="AN100" s="716">
        <f t="shared" ca="1" si="36"/>
        <v>430739.7494930973</v>
      </c>
    </row>
    <row r="101" spans="1:41" s="780" customFormat="1" x14ac:dyDescent="0.25">
      <c r="A101" t="s">
        <v>91</v>
      </c>
      <c r="B101" s="716">
        <f t="shared" ref="B101:AN101" ca="1" si="37">B81-B95</f>
        <v>184227.31265146169</v>
      </c>
      <c r="C101" s="716">
        <f t="shared" ca="1" si="37"/>
        <v>7819.033046350105</v>
      </c>
      <c r="D101" s="716">
        <f t="shared" ca="1" si="37"/>
        <v>62907.067907888195</v>
      </c>
      <c r="E101" s="716">
        <f t="shared" ca="1" si="37"/>
        <v>47563.681160304528</v>
      </c>
      <c r="F101" s="716">
        <f t="shared" ca="1" si="37"/>
        <v>307020.95154797728</v>
      </c>
      <c r="G101" s="716">
        <f t="shared" ca="1" si="37"/>
        <v>0</v>
      </c>
      <c r="H101" s="716">
        <f t="shared" ca="1" si="37"/>
        <v>18557.706151486564</v>
      </c>
      <c r="I101" s="716">
        <f t="shared" ca="1" si="37"/>
        <v>629327.13594077225</v>
      </c>
      <c r="J101" s="716">
        <f t="shared" ca="1" si="37"/>
        <v>149417.97120918406</v>
      </c>
      <c r="K101" s="716">
        <f t="shared" ca="1" si="37"/>
        <v>250139.57659609939</v>
      </c>
      <c r="L101" s="716">
        <f t="shared" ca="1" si="37"/>
        <v>13827.7167969</v>
      </c>
      <c r="M101" s="716">
        <f t="shared" ca="1" si="37"/>
        <v>3037.2136031628929</v>
      </c>
      <c r="N101" s="716">
        <f t="shared" ca="1" si="37"/>
        <v>206882.2835537557</v>
      </c>
      <c r="O101" s="716">
        <f t="shared" ca="1" si="37"/>
        <v>48169.351646286428</v>
      </c>
      <c r="P101" s="716">
        <f t="shared" ca="1" si="37"/>
        <v>79280.856475422028</v>
      </c>
      <c r="Q101" s="716">
        <f t="shared" ca="1" si="37"/>
        <v>65301.391651616272</v>
      </c>
      <c r="R101" s="716">
        <f t="shared" ca="1" si="37"/>
        <v>24.797519683800001</v>
      </c>
      <c r="S101" s="716">
        <f t="shared" ca="1" si="37"/>
        <v>10806.733348522164</v>
      </c>
      <c r="T101" s="716">
        <f t="shared" ca="1" si="37"/>
        <v>10.848915100099999</v>
      </c>
      <c r="U101" s="716">
        <f t="shared" ca="1" si="37"/>
        <v>3661.9451837025649</v>
      </c>
      <c r="V101" s="716">
        <f t="shared" ca="1" si="37"/>
        <v>19066.800809811324</v>
      </c>
      <c r="W101" s="716">
        <f t="shared" ca="1" si="37"/>
        <v>170280.7455678859</v>
      </c>
      <c r="X101" s="716">
        <f t="shared" ca="1" si="37"/>
        <v>10990.394387880757</v>
      </c>
      <c r="Y101" s="716">
        <f t="shared" ca="1" si="37"/>
        <v>99400.908021626325</v>
      </c>
      <c r="Z101" s="716">
        <f t="shared" ca="1" si="37"/>
        <v>465755.61291125719</v>
      </c>
      <c r="AA101" s="716">
        <f t="shared" ca="1" si="37"/>
        <v>3050.2702279245805</v>
      </c>
      <c r="AB101" s="716">
        <f t="shared" ca="1" si="37"/>
        <v>209212.25631388716</v>
      </c>
      <c r="AC101" s="716">
        <f t="shared" ca="1" si="37"/>
        <v>356.28227903752975</v>
      </c>
      <c r="AD101" s="716">
        <f t="shared" ca="1" si="37"/>
        <v>16463.254738916126</v>
      </c>
      <c r="AE101" s="716">
        <f t="shared" ca="1" si="37"/>
        <v>20187.422129653198</v>
      </c>
      <c r="AF101" s="716">
        <f t="shared" ca="1" si="37"/>
        <v>30235.085898482957</v>
      </c>
      <c r="AG101" s="716">
        <f t="shared" ca="1" si="37"/>
        <v>3613.2371588302126</v>
      </c>
      <c r="AH101" s="716">
        <f t="shared" ca="1" si="37"/>
        <v>438128.01411402272</v>
      </c>
      <c r="AI101" s="716">
        <f t="shared" ca="1" si="37"/>
        <v>32539.32867376487</v>
      </c>
      <c r="AJ101" s="716">
        <f t="shared" ca="1" si="37"/>
        <v>263928.76619160763</v>
      </c>
      <c r="AK101" s="716">
        <f t="shared" ca="1" si="37"/>
        <v>145960.4243173096</v>
      </c>
      <c r="AL101" s="716">
        <f t="shared" ca="1" si="37"/>
        <v>341477.60936222924</v>
      </c>
      <c r="AM101" s="716">
        <f t="shared" ca="1" si="37"/>
        <v>230768.6256493234</v>
      </c>
      <c r="AN101" s="716">
        <f t="shared" ca="1" si="37"/>
        <v>337133.08781997993</v>
      </c>
    </row>
    <row r="102" spans="1:41" s="780" customFormat="1" x14ac:dyDescent="0.25">
      <c r="A102" t="s">
        <v>381</v>
      </c>
      <c r="B102" s="716">
        <f t="shared" ref="B102:AN102" ca="1" si="38">B82-B96</f>
        <v>202177.8011748509</v>
      </c>
      <c r="C102" s="716">
        <f t="shared" ca="1" si="38"/>
        <v>20716.003677501747</v>
      </c>
      <c r="D102" s="716">
        <f t="shared" ca="1" si="38"/>
        <v>25512.990487028728</v>
      </c>
      <c r="E102" s="716">
        <f t="shared" ca="1" si="38"/>
        <v>128178.43979531027</v>
      </c>
      <c r="F102" s="716">
        <f t="shared" ca="1" si="38"/>
        <v>193229.37007943346</v>
      </c>
      <c r="G102" s="716">
        <f t="shared" ca="1" si="38"/>
        <v>0</v>
      </c>
      <c r="H102" s="716">
        <f t="shared" ca="1" si="38"/>
        <v>124055.77476653266</v>
      </c>
      <c r="I102" s="716">
        <f t="shared" ca="1" si="38"/>
        <v>178958.5275036477</v>
      </c>
      <c r="J102" s="716">
        <f t="shared" ca="1" si="38"/>
        <v>36109.117595873708</v>
      </c>
      <c r="K102" s="716">
        <f t="shared" ca="1" si="38"/>
        <v>54451.558258339435</v>
      </c>
      <c r="L102" s="716">
        <f t="shared" ca="1" si="38"/>
        <v>0</v>
      </c>
      <c r="M102" s="716">
        <f t="shared" ca="1" si="38"/>
        <v>261.98917424463832</v>
      </c>
      <c r="N102" s="716">
        <f t="shared" ca="1" si="38"/>
        <v>140762.90283060231</v>
      </c>
      <c r="O102" s="716">
        <f t="shared" ca="1" si="38"/>
        <v>67519.74693550801</v>
      </c>
      <c r="P102" s="716">
        <f t="shared" ca="1" si="38"/>
        <v>25201.362642418815</v>
      </c>
      <c r="Q102" s="716">
        <f t="shared" ca="1" si="38"/>
        <v>8708.457845726969</v>
      </c>
      <c r="R102" s="716">
        <f t="shared" ca="1" si="38"/>
        <v>0</v>
      </c>
      <c r="S102" s="716">
        <f t="shared" ca="1" si="38"/>
        <v>1009.3330276033363</v>
      </c>
      <c r="T102" s="716">
        <f t="shared" ca="1" si="38"/>
        <v>0</v>
      </c>
      <c r="U102" s="716">
        <f t="shared" ca="1" si="38"/>
        <v>424.63664005161667</v>
      </c>
      <c r="V102" s="716">
        <f t="shared" ca="1" si="38"/>
        <v>12099.967040622725</v>
      </c>
      <c r="W102" s="716">
        <f t="shared" ca="1" si="38"/>
        <v>37911.711641934045</v>
      </c>
      <c r="X102" s="716">
        <f t="shared" ca="1" si="38"/>
        <v>502.21876559987902</v>
      </c>
      <c r="Y102" s="716">
        <f t="shared" ca="1" si="38"/>
        <v>115046.50847252562</v>
      </c>
      <c r="Z102" s="716">
        <f t="shared" ca="1" si="38"/>
        <v>276293.14428200194</v>
      </c>
      <c r="AA102" s="716">
        <f t="shared" ca="1" si="38"/>
        <v>8531.9074998961896</v>
      </c>
      <c r="AB102" s="716">
        <f t="shared" ca="1" si="38"/>
        <v>142373.05324191076</v>
      </c>
      <c r="AC102" s="716">
        <f t="shared" ca="1" si="38"/>
        <v>0</v>
      </c>
      <c r="AD102" s="716">
        <f t="shared" ca="1" si="38"/>
        <v>9007.726071897272</v>
      </c>
      <c r="AE102" s="716">
        <f t="shared" ca="1" si="38"/>
        <v>4093.5281845475806</v>
      </c>
      <c r="AF102" s="716">
        <f t="shared" ca="1" si="38"/>
        <v>7331.0880018297912</v>
      </c>
      <c r="AG102" s="716">
        <f t="shared" ca="1" si="38"/>
        <v>2576.6037595529601</v>
      </c>
      <c r="AH102" s="716">
        <f t="shared" ca="1" si="38"/>
        <v>69590.772376236288</v>
      </c>
      <c r="AI102" s="716">
        <f t="shared" ca="1" si="38"/>
        <v>24625.578439883764</v>
      </c>
      <c r="AJ102" s="716">
        <f t="shared" ca="1" si="38"/>
        <v>5050.7586164519271</v>
      </c>
      <c r="AK102" s="716">
        <f t="shared" ca="1" si="38"/>
        <v>83436.660801404811</v>
      </c>
      <c r="AL102" s="716">
        <f t="shared" ca="1" si="38"/>
        <v>33142.758820175208</v>
      </c>
      <c r="AM102" s="716">
        <f t="shared" ca="1" si="38"/>
        <v>127482.6257063224</v>
      </c>
      <c r="AN102" s="716">
        <f t="shared" ca="1" si="38"/>
        <v>70956.431048189726</v>
      </c>
    </row>
    <row r="103" spans="1:41" s="780" customFormat="1" x14ac:dyDescent="0.25">
      <c r="A103" t="s">
        <v>91</v>
      </c>
      <c r="B103" s="716">
        <f t="shared" ref="B103:AN103" ca="1" si="39">B83-B97</f>
        <v>123470.31951478377</v>
      </c>
      <c r="C103" s="716">
        <f t="shared" ca="1" si="39"/>
        <v>16241.821359194841</v>
      </c>
      <c r="D103" s="716">
        <f t="shared" ca="1" si="39"/>
        <v>9301.1306776857164</v>
      </c>
      <c r="E103" s="716">
        <f t="shared" ca="1" si="39"/>
        <v>70581.817277392955</v>
      </c>
      <c r="F103" s="716">
        <f t="shared" ca="1" si="39"/>
        <v>167103.68192866351</v>
      </c>
      <c r="G103" s="716">
        <f t="shared" ca="1" si="39"/>
        <v>0</v>
      </c>
      <c r="H103" s="716">
        <f t="shared" ca="1" si="39"/>
        <v>32162.034136834503</v>
      </c>
      <c r="I103" s="716">
        <f t="shared" ca="1" si="39"/>
        <v>154190.36744236219</v>
      </c>
      <c r="J103" s="716">
        <f t="shared" ca="1" si="39"/>
        <v>29143.185507168553</v>
      </c>
      <c r="K103" s="716">
        <f t="shared" ca="1" si="39"/>
        <v>91310.619650919471</v>
      </c>
      <c r="L103" s="716">
        <f t="shared" ca="1" si="39"/>
        <v>0</v>
      </c>
      <c r="M103" s="716">
        <f t="shared" ca="1" si="39"/>
        <v>73.525529958350731</v>
      </c>
      <c r="N103" s="716">
        <f t="shared" ca="1" si="39"/>
        <v>108140.92868879363</v>
      </c>
      <c r="O103" s="716">
        <f t="shared" ca="1" si="39"/>
        <v>253357.69915884154</v>
      </c>
      <c r="P103" s="716">
        <f t="shared" ca="1" si="39"/>
        <v>19995.357389364286</v>
      </c>
      <c r="Q103" s="716">
        <f t="shared" ca="1" si="39"/>
        <v>26665.992185309791</v>
      </c>
      <c r="R103" s="716">
        <f t="shared" ca="1" si="39"/>
        <v>0</v>
      </c>
      <c r="S103" s="716">
        <f t="shared" ca="1" si="39"/>
        <v>487.54913549783066</v>
      </c>
      <c r="T103" s="716">
        <f t="shared" ca="1" si="39"/>
        <v>0</v>
      </c>
      <c r="U103" s="716">
        <f t="shared" ca="1" si="39"/>
        <v>2676.1940509920246</v>
      </c>
      <c r="V103" s="716">
        <f t="shared" ca="1" si="39"/>
        <v>11064.959115849582</v>
      </c>
      <c r="W103" s="716">
        <f t="shared" ca="1" si="39"/>
        <v>62052.750557605483</v>
      </c>
      <c r="X103" s="716">
        <f t="shared" ca="1" si="39"/>
        <v>5223.3601485328845</v>
      </c>
      <c r="Y103" s="716">
        <f t="shared" ca="1" si="39"/>
        <v>48904.909405563551</v>
      </c>
      <c r="Z103" s="716">
        <f t="shared" ca="1" si="39"/>
        <v>209548.19792255457</v>
      </c>
      <c r="AA103" s="716">
        <f t="shared" ca="1" si="39"/>
        <v>104372.59989546695</v>
      </c>
      <c r="AB103" s="716">
        <f t="shared" ca="1" si="39"/>
        <v>109575.01394522296</v>
      </c>
      <c r="AC103" s="716">
        <f t="shared" ca="1" si="39"/>
        <v>0</v>
      </c>
      <c r="AD103" s="716">
        <f t="shared" ca="1" si="39"/>
        <v>7990.3743477906182</v>
      </c>
      <c r="AE103" s="716">
        <f t="shared" ca="1" si="39"/>
        <v>3350.6722555524361</v>
      </c>
      <c r="AF103" s="716">
        <f t="shared" ca="1" si="39"/>
        <v>4228.5976140873945</v>
      </c>
      <c r="AG103" s="716">
        <f t="shared" ca="1" si="39"/>
        <v>849.58428705307631</v>
      </c>
      <c r="AH103" s="716">
        <f t="shared" ca="1" si="39"/>
        <v>51672.574019754073</v>
      </c>
      <c r="AI103" s="716">
        <f t="shared" ca="1" si="39"/>
        <v>20504.770328683975</v>
      </c>
      <c r="AJ103" s="716">
        <f t="shared" ca="1" si="39"/>
        <v>34582.539822773615</v>
      </c>
      <c r="AK103" s="716">
        <f t="shared" ca="1" si="39"/>
        <v>64824.881476979608</v>
      </c>
      <c r="AL103" s="716">
        <f t="shared" ca="1" si="39"/>
        <v>145841.18333513176</v>
      </c>
      <c r="AM103" s="716">
        <f t="shared" ca="1" si="39"/>
        <v>100740.15359159291</v>
      </c>
      <c r="AN103" s="716">
        <f t="shared" ca="1" si="39"/>
        <v>55536.459609574631</v>
      </c>
    </row>
    <row r="104" spans="1:41" s="780" customFormat="1" x14ac:dyDescent="0.25">
      <c r="A104" t="s">
        <v>186</v>
      </c>
      <c r="B104" s="716">
        <f t="shared" ref="B104:AN104" si="40">B84</f>
        <v>46418.758933199999</v>
      </c>
      <c r="C104" s="716">
        <f t="shared" si="40"/>
        <v>3842.5345758100002</v>
      </c>
      <c r="D104" s="716">
        <f t="shared" si="40"/>
        <v>955.69712999599994</v>
      </c>
      <c r="E104" s="716">
        <f t="shared" si="40"/>
        <v>15145.627656799999</v>
      </c>
      <c r="F104" s="716">
        <f t="shared" si="40"/>
        <v>18427.890144699999</v>
      </c>
      <c r="G104" s="716">
        <f t="shared" si="40"/>
        <v>504.17350773300001</v>
      </c>
      <c r="H104" s="716">
        <f t="shared" si="40"/>
        <v>15916.2242303</v>
      </c>
      <c r="I104" s="716">
        <f t="shared" si="40"/>
        <v>25668.0957342</v>
      </c>
      <c r="J104" s="716">
        <f t="shared" si="40"/>
        <v>22988.893876099999</v>
      </c>
      <c r="K104" s="716">
        <f t="shared" si="40"/>
        <v>164603.083748</v>
      </c>
      <c r="L104" s="716">
        <f t="shared" si="40"/>
        <v>3702.5742105300001</v>
      </c>
      <c r="M104" s="716">
        <f t="shared" si="40"/>
        <v>92621.547611300004</v>
      </c>
      <c r="N104" s="716">
        <f t="shared" si="40"/>
        <v>4876.2073744299996</v>
      </c>
      <c r="O104" s="716">
        <f t="shared" si="40"/>
        <v>292259.96355500002</v>
      </c>
      <c r="P104" s="716">
        <f t="shared" si="40"/>
        <v>306.11132484400002</v>
      </c>
      <c r="Q104" s="716">
        <f t="shared" si="40"/>
        <v>81406.907597500001</v>
      </c>
      <c r="R104" s="716">
        <f t="shared" si="40"/>
        <v>89.702253528200004</v>
      </c>
      <c r="S104" s="716">
        <f t="shared" si="40"/>
        <v>40616.6732233</v>
      </c>
      <c r="T104" s="716">
        <f t="shared" si="40"/>
        <v>105.42348853599999</v>
      </c>
      <c r="U104" s="716">
        <f t="shared" si="40"/>
        <v>44051.667663200002</v>
      </c>
      <c r="V104" s="716">
        <f t="shared" si="40"/>
        <v>172.65700304500001</v>
      </c>
      <c r="W104" s="716">
        <f t="shared" si="40"/>
        <v>108785.22915</v>
      </c>
      <c r="X104" s="716">
        <f t="shared" si="40"/>
        <v>16635.0670102</v>
      </c>
      <c r="Y104" s="716">
        <f t="shared" si="40"/>
        <v>827.08452865799995</v>
      </c>
      <c r="Z104" s="716">
        <f t="shared" si="40"/>
        <v>39135.316447099998</v>
      </c>
      <c r="AA104" s="716">
        <f t="shared" si="40"/>
        <v>89598.661550699995</v>
      </c>
      <c r="AB104" s="716">
        <f t="shared" si="40"/>
        <v>144474.97468399999</v>
      </c>
      <c r="AC104" s="716">
        <f t="shared" si="40"/>
        <v>670.11963214599996</v>
      </c>
      <c r="AD104" s="716">
        <f t="shared" si="40"/>
        <v>296.42752501199999</v>
      </c>
      <c r="AE104" s="716">
        <f t="shared" si="40"/>
        <v>1930.2977445700001</v>
      </c>
      <c r="AF104" s="716">
        <f t="shared" si="40"/>
        <v>2036.99808749</v>
      </c>
      <c r="AG104" s="716">
        <f t="shared" si="40"/>
        <v>96.628536245399999</v>
      </c>
      <c r="AH104" s="716">
        <f t="shared" si="40"/>
        <v>42454.277972000004</v>
      </c>
      <c r="AI104" s="716">
        <f t="shared" si="40"/>
        <v>5023.9110966899998</v>
      </c>
      <c r="AJ104" s="716">
        <f t="shared" si="40"/>
        <v>152455.18741300001</v>
      </c>
      <c r="AK104" s="716">
        <f t="shared" si="40"/>
        <v>922.04684490099999</v>
      </c>
      <c r="AL104" s="716">
        <f t="shared" si="40"/>
        <v>281541.37570700003</v>
      </c>
      <c r="AM104" s="716">
        <f t="shared" si="40"/>
        <v>4932.1650630000004</v>
      </c>
      <c r="AN104" s="716">
        <f t="shared" si="40"/>
        <v>5748.1894407299997</v>
      </c>
    </row>
    <row r="105" spans="1:41" s="780" customFormat="1" x14ac:dyDescent="0.25">
      <c r="A105" t="s">
        <v>366</v>
      </c>
      <c r="B105" s="716">
        <f t="shared" ref="B105:AN105" si="41">B85</f>
        <v>3630.8258148499999</v>
      </c>
      <c r="C105" s="716">
        <f t="shared" si="41"/>
        <v>85.648775409500004</v>
      </c>
      <c r="D105" s="716">
        <f t="shared" si="41"/>
        <v>1467.34334184</v>
      </c>
      <c r="E105" s="716">
        <f t="shared" si="41"/>
        <v>2507.2255798699998</v>
      </c>
      <c r="F105" s="716">
        <f t="shared" si="41"/>
        <v>294.03348526000002</v>
      </c>
      <c r="G105" s="716">
        <f t="shared" si="41"/>
        <v>46.995410724499997</v>
      </c>
      <c r="H105" s="716">
        <f t="shared" si="41"/>
        <v>2701.1593318499999</v>
      </c>
      <c r="I105" s="716">
        <f t="shared" si="41"/>
        <v>275.63956927700002</v>
      </c>
      <c r="J105" s="716">
        <f t="shared" si="41"/>
        <v>205.982567257</v>
      </c>
      <c r="K105" s="716">
        <f t="shared" si="41"/>
        <v>7707.9937414100004</v>
      </c>
      <c r="L105" s="716">
        <f t="shared" si="41"/>
        <v>251.65558087799999</v>
      </c>
      <c r="M105" s="716">
        <f t="shared" si="41"/>
        <v>8809.4784601499996</v>
      </c>
      <c r="N105" s="716">
        <f t="shared" si="41"/>
        <v>1136.3289244699999</v>
      </c>
      <c r="O105" s="716">
        <f t="shared" si="41"/>
        <v>10003.68627</v>
      </c>
      <c r="P105" s="716">
        <f t="shared" si="41"/>
        <v>119.642658141</v>
      </c>
      <c r="Q105" s="716">
        <f t="shared" si="41"/>
        <v>7912.5703665299998</v>
      </c>
      <c r="R105" s="716">
        <f t="shared" si="41"/>
        <v>9.86471303105</v>
      </c>
      <c r="S105" s="716">
        <f t="shared" si="41"/>
        <v>2808.6108023199999</v>
      </c>
      <c r="T105" s="716">
        <f t="shared" si="41"/>
        <v>21.004178426300001</v>
      </c>
      <c r="U105" s="716">
        <f t="shared" si="41"/>
        <v>4067.6106588500002</v>
      </c>
      <c r="V105" s="716">
        <f t="shared" si="41"/>
        <v>0</v>
      </c>
      <c r="W105" s="716">
        <f t="shared" si="41"/>
        <v>1172.05697829</v>
      </c>
      <c r="X105" s="716">
        <f t="shared" si="41"/>
        <v>1200.6852603699999</v>
      </c>
      <c r="Y105" s="716">
        <f t="shared" si="41"/>
        <v>1056.8350099500001</v>
      </c>
      <c r="Z105" s="716">
        <f t="shared" si="41"/>
        <v>1472.1178173000001</v>
      </c>
      <c r="AA105" s="716">
        <f t="shared" si="41"/>
        <v>8152.1544227499999</v>
      </c>
      <c r="AB105" s="716">
        <f t="shared" si="41"/>
        <v>9805.0041461000001</v>
      </c>
      <c r="AC105" s="716">
        <f t="shared" si="41"/>
        <v>213.90608115699999</v>
      </c>
      <c r="AD105" s="716">
        <f t="shared" si="41"/>
        <v>10.377813379399999</v>
      </c>
      <c r="AE105" s="716">
        <f t="shared" si="41"/>
        <v>33.785310057300002</v>
      </c>
      <c r="AF105" s="716">
        <f t="shared" si="41"/>
        <v>139.60955386200001</v>
      </c>
      <c r="AG105" s="716">
        <f t="shared" si="41"/>
        <v>109.424533768</v>
      </c>
      <c r="AH105" s="716">
        <f t="shared" si="41"/>
        <v>406.56457778800001</v>
      </c>
      <c r="AI105" s="716">
        <f t="shared" si="41"/>
        <v>66.183086219499998</v>
      </c>
      <c r="AJ105" s="716">
        <f t="shared" si="41"/>
        <v>4472.8675861000002</v>
      </c>
      <c r="AK105" s="716">
        <f t="shared" si="41"/>
        <v>465.374620585</v>
      </c>
      <c r="AL105" s="716">
        <f t="shared" si="41"/>
        <v>10852.6465651</v>
      </c>
      <c r="AM105" s="716">
        <f t="shared" si="41"/>
        <v>242.96297011199999</v>
      </c>
      <c r="AN105" s="716">
        <f t="shared" si="41"/>
        <v>379.65720110900003</v>
      </c>
    </row>
    <row r="106" spans="1:41" s="780" customFormat="1" x14ac:dyDescent="0.25">
      <c r="A106" t="s">
        <v>365</v>
      </c>
      <c r="B106" s="716">
        <f t="shared" ref="B106:AN106" si="42">B86</f>
        <v>23414.125152699999</v>
      </c>
      <c r="C106" s="716">
        <f t="shared" si="42"/>
        <v>1532.97252099</v>
      </c>
      <c r="D106" s="716">
        <f t="shared" si="42"/>
        <v>13556.171563899999</v>
      </c>
      <c r="E106" s="716">
        <f t="shared" si="42"/>
        <v>13136.170561299999</v>
      </c>
      <c r="F106" s="716">
        <f t="shared" si="42"/>
        <v>4775.1969563900002</v>
      </c>
      <c r="G106" s="716">
        <f t="shared" si="42"/>
        <v>454.23565619099998</v>
      </c>
      <c r="H106" s="716">
        <f t="shared" si="42"/>
        <v>15935.6158627</v>
      </c>
      <c r="I106" s="716">
        <f t="shared" si="42"/>
        <v>3773.0934215100001</v>
      </c>
      <c r="J106" s="716">
        <f t="shared" si="42"/>
        <v>687.042736547</v>
      </c>
      <c r="K106" s="716">
        <f t="shared" si="42"/>
        <v>3972.2231220600002</v>
      </c>
      <c r="L106" s="716">
        <f t="shared" si="42"/>
        <v>1084.20083408</v>
      </c>
      <c r="M106" s="716">
        <f t="shared" si="42"/>
        <v>8331.3289893100009</v>
      </c>
      <c r="N106" s="716">
        <f t="shared" si="42"/>
        <v>3460.64109177</v>
      </c>
      <c r="O106" s="716">
        <f t="shared" si="42"/>
        <v>5417.5717139199996</v>
      </c>
      <c r="P106" s="716">
        <f t="shared" si="42"/>
        <v>1024.55417579</v>
      </c>
      <c r="Q106" s="716">
        <f t="shared" si="42"/>
        <v>1362.8076365700001</v>
      </c>
      <c r="R106" s="716">
        <f t="shared" si="42"/>
        <v>94.321897591400003</v>
      </c>
      <c r="S106" s="716">
        <f t="shared" si="42"/>
        <v>5381.30181558</v>
      </c>
      <c r="T106" s="716">
        <f t="shared" si="42"/>
        <v>108.42766279600001</v>
      </c>
      <c r="U106" s="716">
        <f t="shared" si="42"/>
        <v>3479.74871115</v>
      </c>
      <c r="V106" s="716">
        <f t="shared" si="42"/>
        <v>97.118225455800001</v>
      </c>
      <c r="W106" s="716">
        <f t="shared" si="42"/>
        <v>478.69085833100002</v>
      </c>
      <c r="X106" s="716">
        <f t="shared" si="42"/>
        <v>2307.1157579000001</v>
      </c>
      <c r="Y106" s="716">
        <f t="shared" si="42"/>
        <v>9125.1701536599994</v>
      </c>
      <c r="Z106" s="716">
        <f t="shared" si="42"/>
        <v>9427.3008612499998</v>
      </c>
      <c r="AA106" s="716">
        <f t="shared" si="42"/>
        <v>4968.19197592</v>
      </c>
      <c r="AB106" s="716">
        <f t="shared" si="42"/>
        <v>24726.240023599999</v>
      </c>
      <c r="AC106" s="716">
        <f t="shared" si="42"/>
        <v>1411.73587638</v>
      </c>
      <c r="AD106" s="716">
        <f t="shared" si="42"/>
        <v>188.940773495</v>
      </c>
      <c r="AE106" s="716">
        <f t="shared" si="42"/>
        <v>460.77272659900001</v>
      </c>
      <c r="AF106" s="716">
        <f t="shared" si="42"/>
        <v>1872.29511899</v>
      </c>
      <c r="AG106" s="716">
        <f t="shared" si="42"/>
        <v>921.31301176199997</v>
      </c>
      <c r="AH106" s="716">
        <f t="shared" si="42"/>
        <v>3886.2520523600001</v>
      </c>
      <c r="AI106" s="716">
        <f t="shared" si="42"/>
        <v>310.565548186</v>
      </c>
      <c r="AJ106" s="716">
        <f t="shared" si="42"/>
        <v>1879.5478116100001</v>
      </c>
      <c r="AK106" s="716">
        <f t="shared" si="42"/>
        <v>3581.6614098300001</v>
      </c>
      <c r="AL106" s="716">
        <f t="shared" si="42"/>
        <v>6540.2865211999997</v>
      </c>
      <c r="AM106" s="716">
        <f t="shared" si="42"/>
        <v>2086.2455180000002</v>
      </c>
      <c r="AN106" s="716">
        <f t="shared" si="42"/>
        <v>2835.48443086</v>
      </c>
    </row>
    <row r="107" spans="1:41" s="780" customFormat="1" x14ac:dyDescent="0.25">
      <c r="A107" t="s">
        <v>357</v>
      </c>
      <c r="B107" s="716">
        <f t="shared" ref="B107:AN107" si="43">B87</f>
        <v>11145.8919326</v>
      </c>
      <c r="C107" s="716">
        <f t="shared" si="43"/>
        <v>1538.3370733100001</v>
      </c>
      <c r="D107" s="716">
        <f t="shared" si="43"/>
        <v>0</v>
      </c>
      <c r="E107" s="716">
        <f t="shared" si="43"/>
        <v>932.82267485800003</v>
      </c>
      <c r="F107" s="716">
        <f t="shared" si="43"/>
        <v>901.57243512599996</v>
      </c>
      <c r="G107" s="716">
        <f t="shared" si="43"/>
        <v>0</v>
      </c>
      <c r="H107" s="716">
        <f t="shared" si="43"/>
        <v>872.75056009800005</v>
      </c>
      <c r="I107" s="716">
        <f t="shared" si="43"/>
        <v>5963.7235966799999</v>
      </c>
      <c r="J107" s="716">
        <f t="shared" si="43"/>
        <v>20472.9245003</v>
      </c>
      <c r="K107" s="716">
        <f t="shared" si="43"/>
        <v>44635.894244399999</v>
      </c>
      <c r="L107" s="716">
        <f t="shared" si="43"/>
        <v>0</v>
      </c>
      <c r="M107" s="716">
        <f t="shared" si="43"/>
        <v>15862.8303593</v>
      </c>
      <c r="N107" s="716">
        <f t="shared" si="43"/>
        <v>0</v>
      </c>
      <c r="O107" s="716">
        <f t="shared" si="43"/>
        <v>71109.512684100002</v>
      </c>
      <c r="P107" s="716">
        <f t="shared" si="43"/>
        <v>0</v>
      </c>
      <c r="Q107" s="716">
        <f t="shared" si="43"/>
        <v>17434.602904300002</v>
      </c>
      <c r="R107" s="716">
        <f t="shared" si="43"/>
        <v>0</v>
      </c>
      <c r="S107" s="716">
        <f t="shared" si="43"/>
        <v>5858.2405364200004</v>
      </c>
      <c r="T107" s="716">
        <f t="shared" si="43"/>
        <v>0</v>
      </c>
      <c r="U107" s="716">
        <f t="shared" si="43"/>
        <v>1292.60313481</v>
      </c>
      <c r="V107" s="716">
        <f t="shared" si="43"/>
        <v>0</v>
      </c>
      <c r="W107" s="716">
        <f t="shared" si="43"/>
        <v>34817.722396199999</v>
      </c>
      <c r="X107" s="716">
        <f t="shared" si="43"/>
        <v>2284.51798775</v>
      </c>
      <c r="Y107" s="716">
        <f t="shared" si="43"/>
        <v>0</v>
      </c>
      <c r="Z107" s="716">
        <f t="shared" si="43"/>
        <v>8901.9525003500003</v>
      </c>
      <c r="AA107" s="716">
        <f t="shared" si="43"/>
        <v>3514.40444751</v>
      </c>
      <c r="AB107" s="716">
        <f t="shared" si="43"/>
        <v>33513.557089800001</v>
      </c>
      <c r="AC107" s="716">
        <f t="shared" si="43"/>
        <v>0</v>
      </c>
      <c r="AD107" s="716">
        <f t="shared" si="43"/>
        <v>53.575724756200003</v>
      </c>
      <c r="AE107" s="716">
        <f t="shared" si="43"/>
        <v>6057.8804662299999</v>
      </c>
      <c r="AF107" s="716">
        <f t="shared" si="43"/>
        <v>124.188003221</v>
      </c>
      <c r="AG107" s="716">
        <f t="shared" si="43"/>
        <v>0</v>
      </c>
      <c r="AH107" s="716">
        <f t="shared" si="43"/>
        <v>50482.4337027</v>
      </c>
      <c r="AI107" s="716">
        <f t="shared" si="43"/>
        <v>1221.82030753</v>
      </c>
      <c r="AJ107" s="716">
        <f t="shared" si="43"/>
        <v>44160.838244099999</v>
      </c>
      <c r="AK107" s="716">
        <f t="shared" si="43"/>
        <v>0</v>
      </c>
      <c r="AL107" s="716">
        <f t="shared" si="43"/>
        <v>64899.537034699999</v>
      </c>
      <c r="AM107" s="716">
        <f t="shared" si="43"/>
        <v>1613.17087842</v>
      </c>
      <c r="AN107" s="716">
        <f t="shared" si="43"/>
        <v>1673.23571393</v>
      </c>
    </row>
    <row r="108" spans="1:41" s="780" customFormat="1" x14ac:dyDescent="0.25">
      <c r="A108" t="s">
        <v>364</v>
      </c>
      <c r="B108" s="716">
        <f t="shared" ref="B108:AN108" si="44">B88</f>
        <v>2614.2240929</v>
      </c>
      <c r="C108" s="716">
        <f t="shared" si="44"/>
        <v>10.0579744273</v>
      </c>
      <c r="D108" s="716">
        <f t="shared" si="44"/>
        <v>9.5771909905800001</v>
      </c>
      <c r="E108" s="716">
        <f t="shared" si="44"/>
        <v>627.84652685900005</v>
      </c>
      <c r="F108" s="716">
        <f t="shared" si="44"/>
        <v>0</v>
      </c>
      <c r="G108" s="716">
        <f t="shared" si="44"/>
        <v>0.114750201816</v>
      </c>
      <c r="H108" s="716">
        <f t="shared" si="44"/>
        <v>1441.8799529200001</v>
      </c>
      <c r="I108" s="716">
        <f t="shared" si="44"/>
        <v>0.47777855867699998</v>
      </c>
      <c r="J108" s="716">
        <f t="shared" si="44"/>
        <v>9.8703540606099995</v>
      </c>
      <c r="K108" s="716">
        <f t="shared" si="44"/>
        <v>2478.3783536599999</v>
      </c>
      <c r="L108" s="716">
        <f t="shared" si="44"/>
        <v>1.68869071869</v>
      </c>
      <c r="M108" s="716">
        <f t="shared" si="44"/>
        <v>2098.9433069199999</v>
      </c>
      <c r="N108" s="716">
        <f t="shared" si="44"/>
        <v>0</v>
      </c>
      <c r="O108" s="716">
        <f t="shared" si="44"/>
        <v>1623.8970171799999</v>
      </c>
      <c r="P108" s="716">
        <f t="shared" si="44"/>
        <v>37.414582883400001</v>
      </c>
      <c r="Q108" s="716">
        <f t="shared" si="44"/>
        <v>612.45903160299997</v>
      </c>
      <c r="R108" s="716">
        <f t="shared" si="44"/>
        <v>0</v>
      </c>
      <c r="S108" s="716">
        <f t="shared" si="44"/>
        <v>1464.3128624399999</v>
      </c>
      <c r="T108" s="716">
        <f t="shared" si="44"/>
        <v>0</v>
      </c>
      <c r="U108" s="716">
        <f t="shared" si="44"/>
        <v>1.22791007492</v>
      </c>
      <c r="V108" s="716">
        <f t="shared" si="44"/>
        <v>0</v>
      </c>
      <c r="W108" s="716">
        <f t="shared" si="44"/>
        <v>258.29818375299999</v>
      </c>
      <c r="X108" s="716">
        <f t="shared" si="44"/>
        <v>118.224055533</v>
      </c>
      <c r="Y108" s="716">
        <f t="shared" si="44"/>
        <v>4.9215675378099997</v>
      </c>
      <c r="Z108" s="716">
        <f t="shared" si="44"/>
        <v>2495.8948654000001</v>
      </c>
      <c r="AA108" s="716">
        <f t="shared" si="44"/>
        <v>1.7765178660200001E-3</v>
      </c>
      <c r="AB108" s="716">
        <f t="shared" si="44"/>
        <v>5340.5323957700002</v>
      </c>
      <c r="AC108" s="716">
        <f t="shared" si="44"/>
        <v>0.64083862389900004</v>
      </c>
      <c r="AD108" s="716">
        <f t="shared" si="44"/>
        <v>5.05431347443E-2</v>
      </c>
      <c r="AE108" s="716">
        <f t="shared" si="44"/>
        <v>267.98400023699998</v>
      </c>
      <c r="AF108" s="716">
        <f t="shared" si="44"/>
        <v>3386.85966607</v>
      </c>
      <c r="AG108" s="716">
        <f t="shared" si="44"/>
        <v>0.65902234475499999</v>
      </c>
      <c r="AH108" s="716">
        <f t="shared" si="44"/>
        <v>7.5734407126700001</v>
      </c>
      <c r="AI108" s="716">
        <f t="shared" si="44"/>
        <v>0</v>
      </c>
      <c r="AJ108" s="716">
        <f t="shared" si="44"/>
        <v>996.49043699200001</v>
      </c>
      <c r="AK108" s="716">
        <f t="shared" si="44"/>
        <v>2.2168210511200002</v>
      </c>
      <c r="AL108" s="716">
        <f t="shared" si="44"/>
        <v>2119.38236087</v>
      </c>
      <c r="AM108" s="716">
        <f t="shared" si="44"/>
        <v>1.2989228131799999</v>
      </c>
      <c r="AN108" s="716">
        <f t="shared" si="44"/>
        <v>65.898867034600002</v>
      </c>
    </row>
    <row r="109" spans="1:41" s="780" customFormat="1" x14ac:dyDescent="0.25">
      <c r="A109" t="s">
        <v>363</v>
      </c>
      <c r="B109" s="716">
        <f t="shared" ref="B109:AN109" si="45">B89</f>
        <v>134713.92836399999</v>
      </c>
      <c r="C109" s="716">
        <f t="shared" si="45"/>
        <v>20549.513483499999</v>
      </c>
      <c r="D109" s="716">
        <f t="shared" si="45"/>
        <v>89763.496348700006</v>
      </c>
      <c r="E109" s="716">
        <f t="shared" si="45"/>
        <v>77183.199566399999</v>
      </c>
      <c r="F109" s="716">
        <f t="shared" si="45"/>
        <v>33149.160065399999</v>
      </c>
      <c r="G109" s="716">
        <f t="shared" si="45"/>
        <v>3365.3805395300001</v>
      </c>
      <c r="H109" s="716">
        <f t="shared" si="45"/>
        <v>87070.246056899996</v>
      </c>
      <c r="I109" s="716">
        <f t="shared" si="45"/>
        <v>31300.346677400001</v>
      </c>
      <c r="J109" s="716">
        <f t="shared" si="45"/>
        <v>5665.3829369200002</v>
      </c>
      <c r="K109" s="716">
        <f t="shared" si="45"/>
        <v>30980.9544914</v>
      </c>
      <c r="L109" s="716">
        <f t="shared" si="45"/>
        <v>9551.24074612</v>
      </c>
      <c r="M109" s="716">
        <f t="shared" si="45"/>
        <v>59145.008188100001</v>
      </c>
      <c r="N109" s="716">
        <f t="shared" si="45"/>
        <v>24941.196619599999</v>
      </c>
      <c r="O109" s="716">
        <f t="shared" si="45"/>
        <v>35663.069797900003</v>
      </c>
      <c r="P109" s="716">
        <f t="shared" si="45"/>
        <v>6887.41062616</v>
      </c>
      <c r="Q109" s="716">
        <f t="shared" si="45"/>
        <v>11905.5054129</v>
      </c>
      <c r="R109" s="716">
        <f t="shared" si="45"/>
        <v>686.33549333400003</v>
      </c>
      <c r="S109" s="716">
        <f t="shared" si="45"/>
        <v>39301.9981463</v>
      </c>
      <c r="T109" s="716">
        <f t="shared" si="45"/>
        <v>1088.7240326599999</v>
      </c>
      <c r="U109" s="716">
        <f t="shared" si="45"/>
        <v>26023.152167299999</v>
      </c>
      <c r="V109" s="716">
        <f t="shared" si="45"/>
        <v>645.84810804100005</v>
      </c>
      <c r="W109" s="716">
        <f t="shared" si="45"/>
        <v>7900.7339664600004</v>
      </c>
      <c r="X109" s="716">
        <f t="shared" si="45"/>
        <v>20485.4779232</v>
      </c>
      <c r="Y109" s="716">
        <f t="shared" si="45"/>
        <v>57140.237704899999</v>
      </c>
      <c r="Z109" s="716">
        <f t="shared" si="45"/>
        <v>71747.188682599997</v>
      </c>
      <c r="AA109" s="716">
        <f t="shared" si="45"/>
        <v>34092.905103199999</v>
      </c>
      <c r="AB109" s="716">
        <f t="shared" si="45"/>
        <v>122352.24123299999</v>
      </c>
      <c r="AC109" s="716">
        <f t="shared" si="45"/>
        <v>10406.957794399999</v>
      </c>
      <c r="AD109" s="716">
        <f t="shared" si="45"/>
        <v>997.32674605299997</v>
      </c>
      <c r="AE109" s="716">
        <f t="shared" si="45"/>
        <v>2865.8985328200001</v>
      </c>
      <c r="AF109" s="716">
        <f t="shared" si="45"/>
        <v>19545.125570799999</v>
      </c>
      <c r="AG109" s="716">
        <f t="shared" si="45"/>
        <v>6028.6865058100002</v>
      </c>
      <c r="AH109" s="716">
        <f t="shared" si="45"/>
        <v>23847.169271399998</v>
      </c>
      <c r="AI109" s="716">
        <f t="shared" si="45"/>
        <v>3344.2007634000001</v>
      </c>
      <c r="AJ109" s="716">
        <f t="shared" si="45"/>
        <v>14302.2005942</v>
      </c>
      <c r="AK109" s="716">
        <f t="shared" si="45"/>
        <v>23148.863766800001</v>
      </c>
      <c r="AL109" s="716">
        <f t="shared" si="45"/>
        <v>42210.685536700003</v>
      </c>
      <c r="AM109" s="716">
        <f t="shared" si="45"/>
        <v>13445.6977663</v>
      </c>
      <c r="AN109" s="716">
        <f t="shared" si="45"/>
        <v>14962.7593877</v>
      </c>
    </row>
    <row r="110" spans="1:41" s="780" customFormat="1" x14ac:dyDescent="0.25">
      <c r="A110" t="s">
        <v>362</v>
      </c>
      <c r="B110" s="716">
        <f t="shared" ref="B110:AN110" si="46">B90</f>
        <v>100192.825675</v>
      </c>
      <c r="C110" s="716">
        <f t="shared" si="46"/>
        <v>12531.4775586</v>
      </c>
      <c r="D110" s="716">
        <f t="shared" si="46"/>
        <v>1650.7848246799999</v>
      </c>
      <c r="E110" s="716">
        <f t="shared" si="46"/>
        <v>81305.588341499999</v>
      </c>
      <c r="F110" s="716">
        <f t="shared" si="46"/>
        <v>3651.9765475099998</v>
      </c>
      <c r="G110" s="716">
        <f t="shared" si="46"/>
        <v>17401.863538900001</v>
      </c>
      <c r="H110" s="716">
        <f t="shared" si="46"/>
        <v>104329.715811</v>
      </c>
      <c r="I110" s="716">
        <f t="shared" si="46"/>
        <v>2017.34451939</v>
      </c>
      <c r="J110" s="716">
        <f t="shared" si="46"/>
        <v>668.03785822400005</v>
      </c>
      <c r="K110" s="716">
        <f t="shared" si="46"/>
        <v>7593.9895688500001</v>
      </c>
      <c r="L110" s="716">
        <f t="shared" si="46"/>
        <v>21084.076283999999</v>
      </c>
      <c r="M110" s="716">
        <f t="shared" si="46"/>
        <v>62110.519874999998</v>
      </c>
      <c r="N110" s="716">
        <f t="shared" si="46"/>
        <v>6466.3136166599998</v>
      </c>
      <c r="O110" s="716">
        <f t="shared" si="46"/>
        <v>8608.4447462600001</v>
      </c>
      <c r="P110" s="716">
        <f t="shared" si="46"/>
        <v>12.7878169033</v>
      </c>
      <c r="Q110" s="716">
        <f t="shared" si="46"/>
        <v>1895.8907489200001</v>
      </c>
      <c r="R110" s="716">
        <f t="shared" si="46"/>
        <v>3368.32855419</v>
      </c>
      <c r="S110" s="716">
        <f t="shared" si="46"/>
        <v>46217.350759699999</v>
      </c>
      <c r="T110" s="716">
        <f t="shared" si="46"/>
        <v>5140.1460420699996</v>
      </c>
      <c r="U110" s="716">
        <f t="shared" si="46"/>
        <v>19759.233180300002</v>
      </c>
      <c r="V110" s="716">
        <f t="shared" si="46"/>
        <v>0</v>
      </c>
      <c r="W110" s="716">
        <f t="shared" si="46"/>
        <v>2510.9328610799998</v>
      </c>
      <c r="X110" s="716">
        <f t="shared" si="46"/>
        <v>10749.6429921</v>
      </c>
      <c r="Y110" s="716">
        <f t="shared" si="46"/>
        <v>1546.9980171300001</v>
      </c>
      <c r="Z110" s="716">
        <f t="shared" si="46"/>
        <v>10315.070849199999</v>
      </c>
      <c r="AA110" s="716">
        <f t="shared" si="46"/>
        <v>52905.653316000004</v>
      </c>
      <c r="AB110" s="716">
        <f t="shared" si="46"/>
        <v>32946.239919200001</v>
      </c>
      <c r="AC110" s="716">
        <f t="shared" si="46"/>
        <v>30089.778706199999</v>
      </c>
      <c r="AD110" s="716">
        <f t="shared" si="46"/>
        <v>0</v>
      </c>
      <c r="AE110" s="716">
        <f t="shared" si="46"/>
        <v>550.25564484799997</v>
      </c>
      <c r="AF110" s="716">
        <f t="shared" si="46"/>
        <v>8066.4845264899996</v>
      </c>
      <c r="AG110" s="716">
        <f t="shared" si="46"/>
        <v>209.10756582299999</v>
      </c>
      <c r="AH110" s="716">
        <f t="shared" si="46"/>
        <v>2467.1991354199999</v>
      </c>
      <c r="AI110" s="716">
        <f t="shared" si="46"/>
        <v>162.14603119700001</v>
      </c>
      <c r="AJ110" s="716">
        <f t="shared" si="46"/>
        <v>4099.1527151099999</v>
      </c>
      <c r="AK110" s="716">
        <f t="shared" si="46"/>
        <v>406.30387887900002</v>
      </c>
      <c r="AL110" s="716">
        <f t="shared" si="46"/>
        <v>8797.7576280699996</v>
      </c>
      <c r="AM110" s="716">
        <f t="shared" si="46"/>
        <v>127.227746643</v>
      </c>
      <c r="AN110" s="716">
        <f t="shared" si="46"/>
        <v>2676.6637153900001</v>
      </c>
    </row>
    <row r="111" spans="1:41" s="780" customFormat="1" x14ac:dyDescent="0.25">
      <c r="A111" t="s">
        <v>1185</v>
      </c>
      <c r="B111" s="716">
        <f>B91</f>
        <v>45503.477389976004</v>
      </c>
      <c r="C111" s="716">
        <f>C91</f>
        <v>338.43870405526957</v>
      </c>
      <c r="D111" s="716">
        <f>D91</f>
        <v>2691.5687715751155</v>
      </c>
      <c r="E111" s="716">
        <f>E91</f>
        <v>762.79520000877869</v>
      </c>
      <c r="F111" s="716">
        <f>F91</f>
        <v>331.66986158342775</v>
      </c>
      <c r="G111" s="716">
        <f t="shared" ref="G111:AN111" si="47">G91</f>
        <v>0</v>
      </c>
      <c r="H111" s="716">
        <f t="shared" si="47"/>
        <v>1415.4124071600618</v>
      </c>
      <c r="I111" s="716">
        <f t="shared" si="47"/>
        <v>15142.99588589612</v>
      </c>
      <c r="J111" s="716">
        <f t="shared" si="47"/>
        <v>6590.0998024829223</v>
      </c>
      <c r="K111" s="716">
        <f t="shared" si="47"/>
        <v>9182.5351993127661</v>
      </c>
      <c r="L111" s="716">
        <f t="shared" si="47"/>
        <v>20</v>
      </c>
      <c r="M111" s="716">
        <f t="shared" si="47"/>
        <v>378.46795286770816</v>
      </c>
      <c r="N111" s="716">
        <f t="shared" si="47"/>
        <v>239.35661929422611</v>
      </c>
      <c r="O111" s="716">
        <f t="shared" si="47"/>
        <v>17874.713605020424</v>
      </c>
      <c r="P111" s="716">
        <f t="shared" si="47"/>
        <v>7945.6014887841457</v>
      </c>
      <c r="Q111" s="716">
        <f t="shared" si="47"/>
        <v>1573.0089571983151</v>
      </c>
      <c r="R111" s="716">
        <f t="shared" si="47"/>
        <v>0</v>
      </c>
      <c r="S111" s="716">
        <f t="shared" si="47"/>
        <v>1003.3057094483933</v>
      </c>
      <c r="T111" s="716">
        <f t="shared" si="47"/>
        <v>0</v>
      </c>
      <c r="U111" s="716">
        <f t="shared" si="47"/>
        <v>9.0461400938981278</v>
      </c>
      <c r="V111" s="716">
        <f t="shared" si="47"/>
        <v>53.2514919870667</v>
      </c>
      <c r="W111" s="716">
        <f t="shared" si="47"/>
        <v>2305.6681616860365</v>
      </c>
      <c r="X111" s="716">
        <f t="shared" si="47"/>
        <v>173.17618023286465</v>
      </c>
      <c r="Y111" s="716">
        <f t="shared" si="47"/>
        <v>8339.3052578969018</v>
      </c>
      <c r="Z111" s="716">
        <f t="shared" si="47"/>
        <v>25233.886789478966</v>
      </c>
      <c r="AA111" s="716">
        <f t="shared" si="47"/>
        <v>126.13625174459438</v>
      </c>
      <c r="AB111" s="716">
        <f t="shared" si="47"/>
        <v>7803.6412255330806</v>
      </c>
      <c r="AC111" s="716">
        <f t="shared" si="47"/>
        <v>3.6863154261125395</v>
      </c>
      <c r="AD111" s="716">
        <f t="shared" si="47"/>
        <v>625.21364420491909</v>
      </c>
      <c r="AE111" s="716">
        <f t="shared" si="47"/>
        <v>598.64871606210738</v>
      </c>
      <c r="AF111" s="716">
        <f t="shared" si="47"/>
        <v>267.50199806463814</v>
      </c>
      <c r="AG111" s="716">
        <f t="shared" si="47"/>
        <v>118.19716853326923</v>
      </c>
      <c r="AH111" s="716">
        <f t="shared" si="47"/>
        <v>63011.060152779683</v>
      </c>
      <c r="AI111" s="716">
        <f t="shared" si="47"/>
        <v>963.84351522314569</v>
      </c>
      <c r="AJ111" s="716">
        <f t="shared" si="47"/>
        <v>7038.8513319540052</v>
      </c>
      <c r="AK111" s="716">
        <f t="shared" si="47"/>
        <v>9396.9695160690371</v>
      </c>
      <c r="AL111" s="716">
        <f t="shared" si="47"/>
        <v>44411.44594624707</v>
      </c>
      <c r="AM111" s="716">
        <f t="shared" si="47"/>
        <v>14053.805863844696</v>
      </c>
      <c r="AN111" s="716">
        <f t="shared" si="47"/>
        <v>24293.107342874893</v>
      </c>
    </row>
    <row r="112" spans="1:41" s="780" customFormat="1" x14ac:dyDescent="0.25">
      <c r="A112" s="148" t="s">
        <v>380</v>
      </c>
      <c r="B112" s="716">
        <f ca="1">SUM(B100:B111)</f>
        <v>1179174.4830167203</v>
      </c>
      <c r="C112" s="716">
        <f t="shared" ref="C112:AN112" ca="1" si="48">SUM(C100:C111)</f>
        <v>95178.80383480381</v>
      </c>
      <c r="D112" s="716">
        <f t="shared" ca="1" si="48"/>
        <v>380369.84137639112</v>
      </c>
      <c r="E112" s="716">
        <f t="shared" ca="1" si="48"/>
        <v>524302.11248831032</v>
      </c>
      <c r="F112" s="716">
        <f t="shared" ca="1" si="48"/>
        <v>1083907.3935579029</v>
      </c>
      <c r="G112" s="716">
        <f t="shared" ca="1" si="48"/>
        <v>21773.538325770438</v>
      </c>
      <c r="H112" s="716">
        <f t="shared" ca="1" si="48"/>
        <v>476039.52079018438</v>
      </c>
      <c r="I112" s="716">
        <f t="shared" ca="1" si="48"/>
        <v>1777035.9929587473</v>
      </c>
      <c r="J112" s="716">
        <f t="shared" ca="1" si="48"/>
        <v>457091.01932127512</v>
      </c>
      <c r="K112" s="716">
        <f t="shared" ca="1" si="48"/>
        <v>816223.35276956216</v>
      </c>
      <c r="L112" s="716">
        <f t="shared" ca="1" si="48"/>
        <v>49860.38319707138</v>
      </c>
      <c r="M112" s="716">
        <f t="shared" ca="1" si="48"/>
        <v>263553.17672955769</v>
      </c>
      <c r="N112" s="716">
        <f t="shared" ca="1" si="48"/>
        <v>766196.89993300079</v>
      </c>
      <c r="O112" s="716">
        <f t="shared" ca="1" si="48"/>
        <v>824444.77415469242</v>
      </c>
      <c r="P112" s="716">
        <f t="shared" ca="1" si="48"/>
        <v>240733.57497008675</v>
      </c>
      <c r="Q112" s="716">
        <f t="shared" ca="1" si="48"/>
        <v>246105.42435093081</v>
      </c>
      <c r="R112" s="716">
        <f t="shared" ca="1" si="48"/>
        <v>4285.7491912003497</v>
      </c>
      <c r="S112" s="716">
        <f t="shared" ca="1" si="48"/>
        <v>177327.70396268708</v>
      </c>
      <c r="T112" s="716">
        <f t="shared" ca="1" si="48"/>
        <v>6495.4972264640001</v>
      </c>
      <c r="U112" s="716">
        <f t="shared" ca="1" si="48"/>
        <v>106028.11302871625</v>
      </c>
      <c r="V112" s="716">
        <f t="shared" ca="1" si="48"/>
        <v>64050.896762316464</v>
      </c>
      <c r="W112" s="716">
        <f t="shared" ca="1" si="48"/>
        <v>532509.16354512866</v>
      </c>
      <c r="X112" s="716">
        <f t="shared" ca="1" si="48"/>
        <v>71726.591503189644</v>
      </c>
      <c r="Y112" s="716">
        <f t="shared" ca="1" si="48"/>
        <v>575228.8579191349</v>
      </c>
      <c r="Z112" s="716">
        <f t="shared" ca="1" si="48"/>
        <v>1734433.0064157136</v>
      </c>
      <c r="AA112" s="716">
        <f t="shared" ca="1" si="48"/>
        <v>309562.22991083656</v>
      </c>
      <c r="AB112" s="716">
        <f t="shared" ca="1" si="48"/>
        <v>1113956.5111539583</v>
      </c>
      <c r="AC112" s="716">
        <f t="shared" ca="1" si="48"/>
        <v>46372.923117600687</v>
      </c>
      <c r="AD112" s="716">
        <f t="shared" ca="1" si="48"/>
        <v>54192.659827596523</v>
      </c>
      <c r="AE112" s="716">
        <f t="shared" ca="1" si="48"/>
        <v>65060.190962515357</v>
      </c>
      <c r="AF112" s="716">
        <f t="shared" ca="1" si="48"/>
        <v>129652.17593274356</v>
      </c>
      <c r="AG112" s="716">
        <f t="shared" ca="1" si="48"/>
        <v>25481.601427998252</v>
      </c>
      <c r="AH112" s="716">
        <f t="shared" ca="1" si="48"/>
        <v>1336009.0115491515</v>
      </c>
      <c r="AI112" s="716">
        <f t="shared" ca="1" si="48"/>
        <v>127841.04888288575</v>
      </c>
      <c r="AJ112" s="716">
        <f t="shared" ca="1" si="48"/>
        <v>571513.83431953948</v>
      </c>
      <c r="AK112" s="716">
        <f t="shared" ca="1" si="48"/>
        <v>520012.31715603085</v>
      </c>
      <c r="AL112" s="716">
        <f t="shared" ca="1" si="48"/>
        <v>1059436.2748300103</v>
      </c>
      <c r="AM112" s="716">
        <f t="shared" ca="1" si="48"/>
        <v>787522.42394181911</v>
      </c>
      <c r="AN112" s="716">
        <f t="shared" ca="1" si="48"/>
        <v>947000.72407047008</v>
      </c>
    </row>
    <row r="114" spans="1:41" s="786" customFormat="1" x14ac:dyDescent="0.25">
      <c r="A114" s="148" t="s">
        <v>1194</v>
      </c>
      <c r="B114" s="716">
        <f ca="1">B102+B103</f>
        <v>325648.1206896347</v>
      </c>
      <c r="C114" s="716">
        <f t="shared" ref="C114:AN114" ca="1" si="49">C102+C103</f>
        <v>36957.825036696588</v>
      </c>
      <c r="D114" s="716">
        <f t="shared" ca="1" si="49"/>
        <v>34814.121164714445</v>
      </c>
      <c r="E114" s="716">
        <f t="shared" ca="1" si="49"/>
        <v>198760.25707270321</v>
      </c>
      <c r="F114" s="716">
        <f t="shared" ca="1" si="49"/>
        <v>360333.05200809694</v>
      </c>
      <c r="G114" s="716">
        <f t="shared" ca="1" si="49"/>
        <v>0</v>
      </c>
      <c r="H114" s="716">
        <f t="shared" ca="1" si="49"/>
        <v>156217.80890336717</v>
      </c>
      <c r="I114" s="716">
        <f t="shared" ca="1" si="49"/>
        <v>333148.89494600985</v>
      </c>
      <c r="J114" s="716">
        <f t="shared" ca="1" si="49"/>
        <v>65252.303103042257</v>
      </c>
      <c r="K114" s="716">
        <f t="shared" ca="1" si="49"/>
        <v>145762.1779092589</v>
      </c>
      <c r="L114" s="716">
        <f t="shared" ca="1" si="49"/>
        <v>0</v>
      </c>
      <c r="M114" s="716">
        <f t="shared" ca="1" si="49"/>
        <v>335.51470420298904</v>
      </c>
      <c r="N114" s="716">
        <f t="shared" ca="1" si="49"/>
        <v>248903.83151939593</v>
      </c>
      <c r="O114" s="716">
        <f t="shared" ca="1" si="49"/>
        <v>320877.44609434955</v>
      </c>
      <c r="P114" s="716">
        <f t="shared" ca="1" si="49"/>
        <v>45196.720031783101</v>
      </c>
      <c r="Q114" s="716">
        <f t="shared" ca="1" si="49"/>
        <v>35374.450031036758</v>
      </c>
      <c r="R114" s="716">
        <f t="shared" ca="1" si="49"/>
        <v>0</v>
      </c>
      <c r="S114" s="716">
        <f t="shared" ca="1" si="49"/>
        <v>1496.882163101167</v>
      </c>
      <c r="T114" s="716">
        <f t="shared" ca="1" si="49"/>
        <v>0</v>
      </c>
      <c r="U114" s="716">
        <f t="shared" ca="1" si="49"/>
        <v>3100.8306910436413</v>
      </c>
      <c r="V114" s="716">
        <f t="shared" ca="1" si="49"/>
        <v>23164.926156472306</v>
      </c>
      <c r="W114" s="716">
        <f t="shared" ca="1" si="49"/>
        <v>99964.462199539528</v>
      </c>
      <c r="X114" s="716">
        <f t="shared" ca="1" si="49"/>
        <v>5725.5789141327632</v>
      </c>
      <c r="Y114" s="716">
        <f t="shared" ca="1" si="49"/>
        <v>163951.41787808918</v>
      </c>
      <c r="Z114" s="716">
        <f t="shared" ca="1" si="49"/>
        <v>485841.34220455651</v>
      </c>
      <c r="AA114" s="716">
        <f t="shared" ca="1" si="49"/>
        <v>112904.50739536314</v>
      </c>
      <c r="AB114" s="716">
        <f t="shared" ca="1" si="49"/>
        <v>251948.06718713371</v>
      </c>
      <c r="AC114" s="716">
        <f t="shared" ca="1" si="49"/>
        <v>0</v>
      </c>
      <c r="AD114" s="716">
        <f t="shared" ca="1" si="49"/>
        <v>16998.100419687889</v>
      </c>
      <c r="AE114" s="716">
        <f t="shared" ca="1" si="49"/>
        <v>7444.2004401000167</v>
      </c>
      <c r="AF114" s="716">
        <f t="shared" ca="1" si="49"/>
        <v>11559.685615917186</v>
      </c>
      <c r="AG114" s="716">
        <f t="shared" ca="1" si="49"/>
        <v>3426.1880466060366</v>
      </c>
      <c r="AH114" s="716">
        <f t="shared" ca="1" si="49"/>
        <v>121263.34639599036</v>
      </c>
      <c r="AI114" s="716">
        <f t="shared" ca="1" si="49"/>
        <v>45130.348768567739</v>
      </c>
      <c r="AJ114" s="716">
        <f t="shared" ca="1" si="49"/>
        <v>39633.298439225546</v>
      </c>
      <c r="AK114" s="716">
        <f t="shared" ca="1" si="49"/>
        <v>148261.54227838441</v>
      </c>
      <c r="AL114" s="716">
        <f t="shared" ca="1" si="49"/>
        <v>178983.94215530698</v>
      </c>
      <c r="AM114" s="716">
        <f t="shared" ca="1" si="49"/>
        <v>228222.77929791532</v>
      </c>
      <c r="AN114" s="716">
        <f t="shared" ca="1" si="49"/>
        <v>126492.89065776436</v>
      </c>
    </row>
    <row r="115" spans="1:41" s="786" customFormat="1" x14ac:dyDescent="0.25">
      <c r="A115" s="148" t="s">
        <v>1193</v>
      </c>
      <c r="B115" s="716">
        <f ca="1">B100+B101</f>
        <v>485892.30497185956</v>
      </c>
      <c r="C115" s="716">
        <f t="shared" ref="C115:AN115" ca="1" si="50">C100+C101</f>
        <v>17791.998132005148</v>
      </c>
      <c r="D115" s="716">
        <f t="shared" ca="1" si="50"/>
        <v>235461.0810399949</v>
      </c>
      <c r="E115" s="716">
        <f t="shared" ca="1" si="50"/>
        <v>133940.57930801139</v>
      </c>
      <c r="F115" s="716">
        <f t="shared" ca="1" si="50"/>
        <v>662042.84205383644</v>
      </c>
      <c r="G115" s="716">
        <f t="shared" ca="1" si="50"/>
        <v>0.77492249012000003</v>
      </c>
      <c r="H115" s="716">
        <f t="shared" ca="1" si="50"/>
        <v>90138.707673889163</v>
      </c>
      <c r="I115" s="716">
        <f t="shared" ca="1" si="50"/>
        <v>1359745.380829826</v>
      </c>
      <c r="J115" s="716">
        <f t="shared" ca="1" si="50"/>
        <v>334550.48158634128</v>
      </c>
      <c r="K115" s="716">
        <f t="shared" ca="1" si="50"/>
        <v>399306.12239121064</v>
      </c>
      <c r="L115" s="716">
        <f t="shared" ca="1" si="50"/>
        <v>14164.9468507447</v>
      </c>
      <c r="M115" s="716">
        <f t="shared" ca="1" si="50"/>
        <v>13859.537282406969</v>
      </c>
      <c r="N115" s="716">
        <f t="shared" ca="1" si="50"/>
        <v>476173.02416738053</v>
      </c>
      <c r="O115" s="716">
        <f t="shared" ca="1" si="50"/>
        <v>61006.468670962626</v>
      </c>
      <c r="P115" s="716">
        <f t="shared" ca="1" si="50"/>
        <v>179203.33226479779</v>
      </c>
      <c r="Q115" s="716">
        <f t="shared" ca="1" si="50"/>
        <v>86627.221664372686</v>
      </c>
      <c r="R115" s="716">
        <f t="shared" ca="1" si="50"/>
        <v>37.1962795257</v>
      </c>
      <c r="S115" s="716">
        <f t="shared" ca="1" si="50"/>
        <v>33179.027944077548</v>
      </c>
      <c r="T115" s="716">
        <f t="shared" ca="1" si="50"/>
        <v>31.7718219757</v>
      </c>
      <c r="U115" s="716">
        <f t="shared" ca="1" si="50"/>
        <v>4242.9927718938034</v>
      </c>
      <c r="V115" s="716">
        <f t="shared" ca="1" si="50"/>
        <v>39917.095777315291</v>
      </c>
      <c r="W115" s="716">
        <f t="shared" ca="1" si="50"/>
        <v>274315.36878978903</v>
      </c>
      <c r="X115" s="716">
        <f t="shared" ca="1" si="50"/>
        <v>12047.105421771006</v>
      </c>
      <c r="Y115" s="716">
        <f t="shared" ca="1" si="50"/>
        <v>333236.88780131307</v>
      </c>
      <c r="Z115" s="716">
        <f t="shared" ca="1" si="50"/>
        <v>1079862.9353984783</v>
      </c>
      <c r="AA115" s="716">
        <f t="shared" ca="1" si="50"/>
        <v>3299.6136711309814</v>
      </c>
      <c r="AB115" s="716">
        <f t="shared" ca="1" si="50"/>
        <v>481046.01324982138</v>
      </c>
      <c r="AC115" s="716">
        <f t="shared" ca="1" si="50"/>
        <v>3576.0978732676749</v>
      </c>
      <c r="AD115" s="716">
        <f t="shared" ca="1" si="50"/>
        <v>35022.646637873389</v>
      </c>
      <c r="AE115" s="716">
        <f t="shared" ca="1" si="50"/>
        <v>44850.467380991919</v>
      </c>
      <c r="AF115" s="716">
        <f t="shared" ca="1" si="50"/>
        <v>82653.427791838738</v>
      </c>
      <c r="AG115" s="716">
        <f t="shared" ca="1" si="50"/>
        <v>14571.397037105789</v>
      </c>
      <c r="AH115" s="716">
        <f t="shared" ca="1" si="50"/>
        <v>1028183.1348480006</v>
      </c>
      <c r="AI115" s="716">
        <f t="shared" ca="1" si="50"/>
        <v>71618.029765872358</v>
      </c>
      <c r="AJ115" s="716">
        <f t="shared" ca="1" si="50"/>
        <v>302475.39974724781</v>
      </c>
      <c r="AK115" s="716">
        <f t="shared" ca="1" si="50"/>
        <v>333827.33801953134</v>
      </c>
      <c r="AL115" s="716">
        <f t="shared" ca="1" si="50"/>
        <v>419079.21537481627</v>
      </c>
      <c r="AM115" s="716">
        <f t="shared" ca="1" si="50"/>
        <v>522797.06991477095</v>
      </c>
      <c r="AN115" s="716">
        <f t="shared" ca="1" si="50"/>
        <v>767872.83731307718</v>
      </c>
    </row>
    <row r="116" spans="1:41" s="780" customFormat="1" x14ac:dyDescent="0.25">
      <c r="A116"/>
      <c r="B116" s="716"/>
      <c r="C116" s="716"/>
      <c r="D116" s="716"/>
      <c r="E116" s="716"/>
      <c r="F116" s="716"/>
      <c r="G116" s="716"/>
      <c r="H116" s="716"/>
      <c r="I116" s="716"/>
      <c r="J116" s="716"/>
      <c r="K116" s="716"/>
      <c r="L116" s="716"/>
      <c r="M116" s="716"/>
      <c r="N116" s="716"/>
      <c r="O116" s="716"/>
      <c r="P116" s="716"/>
      <c r="Q116" s="716"/>
      <c r="R116" s="716"/>
      <c r="S116" s="716"/>
      <c r="T116" s="716"/>
      <c r="U116" s="716"/>
      <c r="V116" s="716"/>
      <c r="W116" s="716"/>
      <c r="X116" s="716"/>
      <c r="Y116" s="716"/>
      <c r="Z116" s="716"/>
      <c r="AA116" s="716"/>
      <c r="AB116" s="716"/>
      <c r="AC116" s="716"/>
      <c r="AD116" s="716"/>
      <c r="AE116" s="716"/>
      <c r="AF116" s="716"/>
      <c r="AG116" s="716"/>
      <c r="AH116" s="716"/>
      <c r="AI116" s="716"/>
      <c r="AJ116" s="716"/>
      <c r="AK116" s="716"/>
      <c r="AL116" s="716"/>
      <c r="AM116" s="716"/>
      <c r="AN116" s="716"/>
    </row>
    <row r="117" spans="1:41" x14ac:dyDescent="0.25">
      <c r="A117" s="151" t="s">
        <v>383</v>
      </c>
      <c r="C117" s="780"/>
      <c r="D117" s="780"/>
      <c r="E117" s="780"/>
      <c r="F117" s="780"/>
      <c r="G117" s="780"/>
      <c r="H117" s="780"/>
      <c r="I117" s="780"/>
      <c r="J117" s="780"/>
      <c r="K117" s="780"/>
      <c r="L117" s="780"/>
      <c r="M117" s="780"/>
      <c r="N117" s="780"/>
      <c r="O117" s="780"/>
      <c r="P117" s="780"/>
      <c r="Q117" s="780"/>
      <c r="R117" s="780"/>
      <c r="S117" s="780"/>
      <c r="T117" s="780"/>
      <c r="U117" s="780"/>
      <c r="V117" s="780"/>
      <c r="W117" s="780"/>
      <c r="X117" s="780"/>
      <c r="Y117" s="780"/>
      <c r="Z117" s="780"/>
      <c r="AA117" s="780"/>
      <c r="AB117" s="780"/>
      <c r="AC117" s="780"/>
      <c r="AD117" s="780"/>
      <c r="AE117" s="780"/>
      <c r="AF117" s="780"/>
      <c r="AG117" s="780"/>
      <c r="AH117" s="780"/>
      <c r="AI117" s="780"/>
      <c r="AJ117" s="780"/>
      <c r="AK117" s="780"/>
      <c r="AL117" s="780"/>
      <c r="AM117" s="780"/>
      <c r="AN117" s="780"/>
    </row>
    <row r="118" spans="1:41" s="780" customFormat="1" x14ac:dyDescent="0.25">
      <c r="A118" s="782" t="s">
        <v>1186</v>
      </c>
      <c r="B118" s="784">
        <f ca="1">(Returns_Per_A!X114*B80+Returns_Per_A!X130*B82)+SUMPRODUCT(B80:B91*Returns_Per_A!X234:X245)</f>
        <v>82898757.416632682</v>
      </c>
      <c r="C118" s="784">
        <f ca="1">(Returns_Per_A!Y114*C80+Returns_Per_A!Y130*C82)+SUMPRODUCT(C80:C91*Returns_Per_A!Y234:Y245)</f>
        <v>3429388.569334276</v>
      </c>
      <c r="D118" s="784">
        <f ca="1">(Returns_Per_A!Z114*D80+Returns_Per_A!Z130*D82)+SUMPRODUCT(D80:D91*Returns_Per_A!Z234:Z245)</f>
        <v>80402246.465675831</v>
      </c>
      <c r="E118" s="784">
        <f ca="1">(Returns_Per_A!AA114*E80+Returns_Per_A!AA130*E82)+SUMPRODUCT(E80:E91*Returns_Per_A!AA234:AA245)</f>
        <v>2663682.5802498609</v>
      </c>
      <c r="F118" s="784">
        <f ca="1">(Returns_Per_A!AB114*F80+Returns_Per_A!AB130*F82)+SUMPRODUCT(F80:F91*Returns_Per_A!AB234:AB245)</f>
        <v>127576215.08312407</v>
      </c>
      <c r="G118" s="784">
        <f ca="1">(Returns_Per_A!AC114*G80+Returns_Per_A!AC130*G82)+SUMPRODUCT(G80:G91*Returns_Per_A!AC234:AC245)</f>
        <v>-1202221.5900737769</v>
      </c>
      <c r="H118" s="784">
        <f ca="1">(Returns_Per_A!AD114*H80+Returns_Per_A!AD130*H82)+SUMPRODUCT(H80:H91*Returns_Per_A!AD234:AD245)</f>
        <v>-6228597.3928250372</v>
      </c>
      <c r="I118" s="784">
        <f ca="1">(Returns_Per_A!AE114*I80+Returns_Per_A!AE130*I82)+SUMPRODUCT(I80:I91*Returns_Per_A!AE234:AE245)</f>
        <v>239544916.40048611</v>
      </c>
      <c r="J118" s="784">
        <f ca="1">(Returns_Per_A!AF114*J80+Returns_Per_A!AF130*J82)+SUMPRODUCT(J80:J91*Returns_Per_A!AF234:AF245)</f>
        <v>47263435.122753441</v>
      </c>
      <c r="K118" s="784">
        <f ca="1">(Returns_Per_A!AG114*K80+Returns_Per_A!AG130*K82)+SUMPRODUCT(K80:K91*Returns_Per_A!AG234:AG245)</f>
        <v>31557047.308240727</v>
      </c>
      <c r="L118" s="784">
        <f ca="1">(Returns_Per_A!AH114*L80+Returns_Per_A!AH130*L82)+SUMPRODUCT(L80:L91*Returns_Per_A!AH234:AH245)</f>
        <v>-1412049.6679114716</v>
      </c>
      <c r="M118" s="784">
        <f ca="1">(Returns_Per_A!AI114*M80+Returns_Per_A!AI130*M82)+SUMPRODUCT(M80:M91*Returns_Per_A!AI234:AI245)</f>
        <v>-11079492.409645705</v>
      </c>
      <c r="N118" s="784">
        <f ca="1">(Returns_Per_A!AJ114*N80+Returns_Per_A!AJ130*N82)+SUMPRODUCT(N80:N91*Returns_Per_A!AJ234:AJ245)</f>
        <v>105724313.65673146</v>
      </c>
      <c r="O118" s="784">
        <f ca="1">(Returns_Per_A!AK114*O80+Returns_Per_A!AK130*O82)+SUMPRODUCT(O80:O91*Returns_Per_A!AK234:AK245)</f>
        <v>13680925.407019623</v>
      </c>
      <c r="P118" s="784">
        <f ca="1">(Returns_Per_A!AL114*P80+Returns_Per_A!AL130*P82)+SUMPRODUCT(P80:P91*Returns_Per_A!AL234:AL245)</f>
        <v>38665034.385584265</v>
      </c>
      <c r="Q118" s="784">
        <f ca="1">(Returns_Per_A!AM114*Q80+Returns_Per_A!AM130*Q82)+SUMPRODUCT(Q80:Q91*Returns_Per_A!AM234:AM245)</f>
        <v>5660838.1012776038</v>
      </c>
      <c r="R118" s="784">
        <f ca="1">(Returns_Per_A!AN114*R80+Returns_Per_A!AN130*R82)+SUMPRODUCT(R80:R91*Returns_Per_A!AN234:AN245)</f>
        <v>2300.216909894315</v>
      </c>
      <c r="S118" s="784">
        <f ca="1">(Returns_Per_A!AO114*S80+Returns_Per_A!AO130*S82)+SUMPRODUCT(S80:S91*Returns_Per_A!AO234:AO245)</f>
        <v>-951882.90981814265</v>
      </c>
      <c r="T118" s="784">
        <f ca="1">(Returns_Per_A!AP114*T80+Returns_Per_A!AP130*T82)+SUMPRODUCT(T80:T91*Returns_Per_A!AP234:AP245)</f>
        <v>-5940.2980450550886</v>
      </c>
      <c r="U118" s="784">
        <f ca="1">(Returns_Per_A!AQ114*U80+Returns_Per_A!AQ130*U82)+SUMPRODUCT(U80:U91*Returns_Per_A!AQ234:AQ245)</f>
        <v>-1695944.2516156395</v>
      </c>
      <c r="V118" s="784">
        <f ca="1">(Returns_Per_A!AR114*V80+Returns_Per_A!AR130*V82)+SUMPRODUCT(V80:V91*Returns_Per_A!AR234:AR245)</f>
        <v>8198529.3607053272</v>
      </c>
      <c r="W118" s="784">
        <f ca="1">(Returns_Per_A!AS114*W80+Returns_Per_A!AS130*W82)+SUMPRODUCT(W80:W91*Returns_Per_A!AS234:AS245)</f>
        <v>21640895.155845165</v>
      </c>
      <c r="X118" s="784">
        <f ca="1">(Returns_Per_A!AT114*X80+Returns_Per_A!AT130*X82)+SUMPRODUCT(X80:X91*Returns_Per_A!AT234:AT245)</f>
        <v>333437.6410577168</v>
      </c>
      <c r="Y118" s="784">
        <f ca="1">(Returns_Per_A!AU114*Y80+Returns_Per_A!AU130*Y82)+SUMPRODUCT(Y80:Y91*Returns_Per_A!AU234:AU245)</f>
        <v>91662171.695507661</v>
      </c>
      <c r="Z118" s="784">
        <f ca="1">(Returns_Per_A!AV114*Z80+Returns_Per_A!AV130*Z82)+SUMPRODUCT(Z80:Z91*Returns_Per_A!AV234:AV245)</f>
        <v>185647001.73625261</v>
      </c>
      <c r="AA118" s="784">
        <f ca="1">(Returns_Per_A!AW114*AA80+Returns_Per_A!AW130*AA82)+SUMPRODUCT(AA80:AA91*Returns_Per_A!AW234:AW245)</f>
        <v>-9690256.3594123106</v>
      </c>
      <c r="AB118" s="784">
        <f ca="1">(Returns_Per_A!AX114*AB80+Returns_Per_A!AX130*AB82)+SUMPRODUCT(AB80:AB91*Returns_Per_A!AX234:AX245)</f>
        <v>77340739.07268998</v>
      </c>
      <c r="AC118" s="784">
        <f ca="1">(Returns_Per_A!AY114*AC80+Returns_Per_A!AY130*AC82)+SUMPRODUCT(AC80:AC91*Returns_Per_A!AY234:AY245)</f>
        <v>125039.75965130958</v>
      </c>
      <c r="AD118" s="784">
        <f ca="1">(Returns_Per_A!AZ114*AD80+Returns_Per_A!AZ130*AD82)+SUMPRODUCT(AD80:AD91*Returns_Per_A!AZ234:AZ245)</f>
        <v>9050049.6593308486</v>
      </c>
      <c r="AE118" s="784">
        <f ca="1">(Returns_Per_A!BA114*AE80+Returns_Per_A!BA130*AE82)+SUMPRODUCT(AE80:AE91*Returns_Per_A!BA234:BA245)</f>
        <v>7369426.2410879321</v>
      </c>
      <c r="AF118" s="784">
        <f ca="1">(Returns_Per_A!BB114*AF80+Returns_Per_A!BB130*AF82)+SUMPRODUCT(AF80:AF91*Returns_Per_A!BB234:BB245)</f>
        <v>9529018.0699291751</v>
      </c>
      <c r="AG118" s="784">
        <f ca="1">(Returns_Per_A!BC114*AG80+Returns_Per_A!BC130*AG82)+SUMPRODUCT(AG80:AG91*Returns_Per_A!BC234:BC245)</f>
        <v>5285169.3035095595</v>
      </c>
      <c r="AH118" s="784">
        <f ca="1">(Returns_Per_A!BD114*AH80+Returns_Per_A!BD130*AH82)+SUMPRODUCT(AH80:AH91*Returns_Per_A!BD234:BD245)</f>
        <v>154465243.01313183</v>
      </c>
      <c r="AI118" s="784">
        <f ca="1">(Returns_Per_A!BE114*AI80+Returns_Per_A!BE130*AI82)+SUMPRODUCT(AI80:AI91*Returns_Per_A!BE234:BE245)</f>
        <v>14216281.49298913</v>
      </c>
      <c r="AJ118" s="784">
        <f ca="1">(Returns_Per_A!BF114*AJ80+Returns_Per_A!BF130*AJ82)+SUMPRODUCT(AJ80:AJ91*Returns_Per_A!BF234:BF245)</f>
        <v>23844677.630669355</v>
      </c>
      <c r="AK118" s="784">
        <f ca="1">(Returns_Per_A!BG114*AK80+Returns_Per_A!BG130*AK82)+SUMPRODUCT(AK80:AK91*Returns_Per_A!BG234:BG245)</f>
        <v>76519327.135441676</v>
      </c>
      <c r="AL118" s="784">
        <f ca="1">(Returns_Per_A!BH114*AL80+Returns_Per_A!BH130*AL82)+SUMPRODUCT(AL80:AL91*Returns_Per_A!BH234:BH245)</f>
        <v>37310535.587809145</v>
      </c>
      <c r="AM118" s="784">
        <f ca="1">(Returns_Per_A!BI114*AM80+Returns_Per_A!BI130*AM82)+SUMPRODUCT(AM80:AM91*Returns_Per_A!BI234:BI245)</f>
        <v>111666592.69410202</v>
      </c>
      <c r="AN118" s="784">
        <f ca="1">(Returns_Per_A!BJ114*AN80+Returns_Per_A!BJ130*AN82)+SUMPRODUCT(AN80:AN91*Returns_Per_A!BJ234:BJ245)</f>
        <v>42086959.993725747</v>
      </c>
    </row>
    <row r="119" spans="1:41" s="780" customFormat="1" ht="30" x14ac:dyDescent="0.25">
      <c r="A119" s="783" t="s">
        <v>1187</v>
      </c>
      <c r="B119" s="785">
        <f ca="1">(Returns_Per_A!X114*B100+Returns_Per_A!X130*B102)+SUMPRODUCT(B100:B111*Returns_Per_A!X234:X245)</f>
        <v>82529076.650769234</v>
      </c>
      <c r="C119" s="785">
        <f ca="1">(Returns_Per_A!Y114*C100+Returns_Per_A!Y130*C102)+SUMPRODUCT(C100:C111*Returns_Per_A!Y234:Y245)</f>
        <v>3416922.1540503446</v>
      </c>
      <c r="D119" s="785">
        <f ca="1">(Returns_Per_A!Z114*D100+Returns_Per_A!Z130*D102)+SUMPRODUCT(D100:D111*Returns_Per_A!Z234:Z245)</f>
        <v>79656653.073400408</v>
      </c>
      <c r="E119" s="785">
        <f ca="1">(Returns_Per_A!AA114*E100+Returns_Per_A!AA130*E102)+SUMPRODUCT(E100:E111*Returns_Per_A!AA234:AA245)</f>
        <v>2721128.1284345835</v>
      </c>
      <c r="F119" s="785">
        <f ca="1">(Returns_Per_A!AB114*F100+Returns_Per_A!AB130*F102)+SUMPRODUCT(F100:F111*Returns_Per_A!AB234:AB245)</f>
        <v>127128201.6596373</v>
      </c>
      <c r="G119" s="785">
        <f ca="1">(Returns_Per_A!AC114*G100+Returns_Per_A!AC130*G102)+SUMPRODUCT(G100:G111*Returns_Per_A!AC234:AC245)</f>
        <v>-1202221.5900737769</v>
      </c>
      <c r="H119" s="785">
        <f ca="1">(Returns_Per_A!AD114*H100+Returns_Per_A!AD130*H102)+SUMPRODUCT(H100:H111*Returns_Per_A!AD234:AD245)</f>
        <v>-6173963.9969637692</v>
      </c>
      <c r="I119" s="785">
        <f ca="1">(Returns_Per_A!AE114*I100+Returns_Per_A!AE130*I102)+SUMPRODUCT(I100:I111*Returns_Per_A!AE234:AE245)</f>
        <v>238753400.80681318</v>
      </c>
      <c r="J119" s="785">
        <f ca="1">(Returns_Per_A!AF114*J100+Returns_Per_A!AF130*J102)+SUMPRODUCT(J100:J111*Returns_Per_A!AF234:AF245)</f>
        <v>47115086.645383179</v>
      </c>
      <c r="K119" s="785">
        <f ca="1">(Returns_Per_A!AG114*K100+Returns_Per_A!AG130*K102)+SUMPRODUCT(K100:K111*Returns_Per_A!AG234:AG245)</f>
        <v>31456358.506579727</v>
      </c>
      <c r="L119" s="785">
        <f ca="1">(Returns_Per_A!AH114*L100+Returns_Per_A!AH130*L102)+SUMPRODUCT(L100:L111*Returns_Per_A!AH234:AH245)</f>
        <v>-1412049.6679114716</v>
      </c>
      <c r="M119" s="785">
        <f ca="1">(Returns_Per_A!AI114*M100+Returns_Per_A!AI130*M102)+SUMPRODUCT(M100:M111*Returns_Per_A!AI234:AI245)</f>
        <v>-11011939.254520748</v>
      </c>
      <c r="N119" s="785">
        <f ca="1">(Returns_Per_A!AJ114*N100+Returns_Per_A!AJ130*N102)+SUMPRODUCT(N100:N111*Returns_Per_A!AJ234:AJ245)</f>
        <v>105243445.00426573</v>
      </c>
      <c r="O119" s="785">
        <f ca="1">(Returns_Per_A!AK114*O100+Returns_Per_A!AK130*O102)+SUMPRODUCT(O100:O111*Returns_Per_A!AK234:AK245)</f>
        <v>13580724.886432957</v>
      </c>
      <c r="P119" s="785">
        <f ca="1">(Returns_Per_A!AL114*P100+Returns_Per_A!AL130*P102)+SUMPRODUCT(P100:P111*Returns_Per_A!AL234:AL245)</f>
        <v>38488114.270808384</v>
      </c>
      <c r="Q119" s="785">
        <f ca="1">(Returns_Per_A!AM114*Q100+Returns_Per_A!AM130*Q102)+SUMPRODUCT(Q100:Q111*Returns_Per_A!AM234:AM245)</f>
        <v>5658465.0163706513</v>
      </c>
      <c r="R119" s="785">
        <f ca="1">(Returns_Per_A!AN114*R100+Returns_Per_A!AN130*R102)+SUMPRODUCT(R100:R111*Returns_Per_A!AN234:AN245)</f>
        <v>2300.216909894315</v>
      </c>
      <c r="S119" s="785">
        <f ca="1">(Returns_Per_A!AO114*S100+Returns_Per_A!AO130*S102)+SUMPRODUCT(S100:S111*Returns_Per_A!AO234:AO245)</f>
        <v>-934247.48940942995</v>
      </c>
      <c r="T119" s="785">
        <f ca="1">(Returns_Per_A!AP114*T100+Returns_Per_A!AP130*T102)+SUMPRODUCT(T100:T111*Returns_Per_A!AP234:AP245)</f>
        <v>-5940.2980450550886</v>
      </c>
      <c r="U119" s="785">
        <f ca="1">(Returns_Per_A!AQ114*U100+Returns_Per_A!AQ130*U102)+SUMPRODUCT(U100:U111*Returns_Per_A!AQ234:AQ245)</f>
        <v>-1664207.2150068048</v>
      </c>
      <c r="V119" s="785">
        <f ca="1">(Returns_Per_A!AR114*V100+Returns_Per_A!AR130*V102)+SUMPRODUCT(V100:V111*Returns_Per_A!AR234:AR245)</f>
        <v>8174016.7007501405</v>
      </c>
      <c r="W119" s="785">
        <f ca="1">(Returns_Per_A!AS114*W100+Returns_Per_A!AS130*W102)+SUMPRODUCT(W100:W111*Returns_Per_A!AS234:AS245)</f>
        <v>21535696.58795727</v>
      </c>
      <c r="X119" s="785">
        <f ca="1">(Returns_Per_A!AT114*X100+Returns_Per_A!AT130*X102)+SUMPRODUCT(X100:X111*Returns_Per_A!AT234:AT245)</f>
        <v>400463.03659264743</v>
      </c>
      <c r="Y119" s="785">
        <f ca="1">(Returns_Per_A!AU114*Y100+Returns_Per_A!AU130*Y102)+SUMPRODUCT(Y100:Y111*Returns_Per_A!AU234:AU245)</f>
        <v>91192198.879947767</v>
      </c>
      <c r="Z119" s="785">
        <f ca="1">(Returns_Per_A!AV114*Z100+Returns_Per_A!AV130*Z102)+SUMPRODUCT(Z100:Z111*Returns_Per_A!AV234:AV245)</f>
        <v>184991678.80023068</v>
      </c>
      <c r="AA119" s="785">
        <f ca="1">(Returns_Per_A!AW114*AA100+Returns_Per_A!AW130*AA102)+SUMPRODUCT(AA100:AA111*Returns_Per_A!AW234:AW245)</f>
        <v>-9678670.939832598</v>
      </c>
      <c r="AB119" s="785">
        <f ca="1">(Returns_Per_A!AX114*AB100+Returns_Per_A!AX130*AB102)+SUMPRODUCT(AB100:AB111*Returns_Per_A!AX234:AX245)</f>
        <v>77054147.694311708</v>
      </c>
      <c r="AC119" s="785">
        <f ca="1">(Returns_Per_A!AY114*AC100+Returns_Per_A!AY130*AC102)+SUMPRODUCT(AC100:AC111*Returns_Per_A!AY234:AY245)</f>
        <v>136511.8935575739</v>
      </c>
      <c r="AD119" s="785">
        <f ca="1">(Returns_Per_A!AZ114*AD100+Returns_Per_A!AZ130*AD102)+SUMPRODUCT(AD100:AD111*Returns_Per_A!AZ234:AZ245)</f>
        <v>9008410.1639126353</v>
      </c>
      <c r="AE119" s="785">
        <f ca="1">(Returns_Per_A!BA114*AE100+Returns_Per_A!BA130*AE102)+SUMPRODUCT(AE100:AE111*Returns_Per_A!BA234:BA245)</f>
        <v>7294354.1048759073</v>
      </c>
      <c r="AF119" s="785">
        <f ca="1">(Returns_Per_A!BB114*AF100+Returns_Per_A!BB130*AF102)+SUMPRODUCT(AF100:AF111*Returns_Per_A!BB234:BB245)</f>
        <v>9433056.7498515844</v>
      </c>
      <c r="AG119" s="785">
        <f ca="1">(Returns_Per_A!BC114*AG100+Returns_Per_A!BC130*AG102)+SUMPRODUCT(AG100:AG111*Returns_Per_A!BC234:BC245)</f>
        <v>5233244.1438808795</v>
      </c>
      <c r="AH119" s="785">
        <f ca="1">(Returns_Per_A!BD114*AH100+Returns_Per_A!BD130*AH102)+SUMPRODUCT(AH100:AH111*Returns_Per_A!BD234:BD245)</f>
        <v>153877199.90116507</v>
      </c>
      <c r="AI119" s="785">
        <f ca="1">(Returns_Per_A!BE114*AI100+Returns_Per_A!BE130*AI102)+SUMPRODUCT(AI100:AI111*Returns_Per_A!BE234:BE245)</f>
        <v>14159199.180683237</v>
      </c>
      <c r="AJ119" s="785">
        <f ca="1">(Returns_Per_A!BF114*AJ100+Returns_Per_A!BF130*AJ102)+SUMPRODUCT(AJ100:AJ111*Returns_Per_A!BF234:BF245)</f>
        <v>23650642.112608742</v>
      </c>
      <c r="AK119" s="785">
        <f ca="1">(Returns_Per_A!BG114*AK100+Returns_Per_A!BG130*AK102)+SUMPRODUCT(AK100:AK111*Returns_Per_A!BG234:BG245)</f>
        <v>76160092.424740434</v>
      </c>
      <c r="AL119" s="785">
        <f ca="1">(Returns_Per_A!BH114*AL100+Returns_Per_A!BH130*AL102)+SUMPRODUCT(AL100:AL111*Returns_Per_A!BH234:BH245)</f>
        <v>36987036.56324105</v>
      </c>
      <c r="AM119" s="785">
        <f ca="1">(Returns_Per_A!BI114*AM100+Returns_Per_A!BI130*AM102)+SUMPRODUCT(AM100:AM111*Returns_Per_A!BI234:BI245)</f>
        <v>111312758.30106869</v>
      </c>
      <c r="AN119" s="785">
        <f ca="1">(Returns_Per_A!BJ114*AN100+Returns_Per_A!BJ130*AN102)+SUMPRODUCT(AN100:AN111*Returns_Per_A!BJ234:BJ245)</f>
        <v>41967103.582545906</v>
      </c>
    </row>
    <row r="120" spans="1:41" x14ac:dyDescent="0.25">
      <c r="A120" s="148" t="s">
        <v>379</v>
      </c>
      <c r="B120" s="147">
        <f ca="1">B119-B118</f>
        <v>-369680.76586344838</v>
      </c>
      <c r="C120" s="147">
        <f t="shared" ref="C120:AN120" ca="1" si="51">C119-C118</f>
        <v>-12466.415283931419</v>
      </c>
      <c r="D120" s="147">
        <f t="shared" ca="1" si="51"/>
        <v>-745593.39227542281</v>
      </c>
      <c r="E120" s="147">
        <f t="shared" ca="1" si="51"/>
        <v>57445.548184722662</v>
      </c>
      <c r="F120" s="147">
        <f t="shared" ca="1" si="51"/>
        <v>-448013.4234867692</v>
      </c>
      <c r="G120" s="147">
        <f t="shared" ca="1" si="51"/>
        <v>0</v>
      </c>
      <c r="H120" s="147">
        <f t="shared" ca="1" si="51"/>
        <v>54633.395861268044</v>
      </c>
      <c r="I120" s="147">
        <f t="shared" ca="1" si="51"/>
        <v>-791515.59367293119</v>
      </c>
      <c r="J120" s="147">
        <f t="shared" ca="1" si="51"/>
        <v>-148348.47737026215</v>
      </c>
      <c r="K120" s="147">
        <f t="shared" ca="1" si="51"/>
        <v>-100688.80166099966</v>
      </c>
      <c r="L120" s="147">
        <f t="shared" ca="1" si="51"/>
        <v>0</v>
      </c>
      <c r="M120" s="147">
        <f t="shared" ca="1" si="51"/>
        <v>67553.155124956742</v>
      </c>
      <c r="N120" s="147">
        <f t="shared" ca="1" si="51"/>
        <v>-480868.65246573091</v>
      </c>
      <c r="O120" s="147">
        <f t="shared" ca="1" si="51"/>
        <v>-100200.52058666572</v>
      </c>
      <c r="P120" s="147">
        <f t="shared" ca="1" si="51"/>
        <v>-176920.11477588117</v>
      </c>
      <c r="Q120" s="147">
        <f t="shared" ca="1" si="51"/>
        <v>-2373.0849069524556</v>
      </c>
      <c r="R120" s="147">
        <f t="shared" ca="1" si="51"/>
        <v>0</v>
      </c>
      <c r="S120" s="147">
        <f t="shared" ca="1" si="51"/>
        <v>17635.4204087127</v>
      </c>
      <c r="T120" s="147">
        <f t="shared" ca="1" si="51"/>
        <v>0</v>
      </c>
      <c r="U120" s="147">
        <f t="shared" ca="1" si="51"/>
        <v>31737.036608834751</v>
      </c>
      <c r="V120" s="147">
        <f t="shared" ca="1" si="51"/>
        <v>-24512.659955186769</v>
      </c>
      <c r="W120" s="147">
        <f t="shared" ca="1" si="51"/>
        <v>-105198.56788789481</v>
      </c>
      <c r="X120" s="147">
        <f t="shared" ca="1" si="51"/>
        <v>67025.395534930634</v>
      </c>
      <c r="Y120" s="147">
        <f t="shared" ca="1" si="51"/>
        <v>-469972.81555989385</v>
      </c>
      <c r="Z120" s="147">
        <f t="shared" ca="1" si="51"/>
        <v>-655322.93602192402</v>
      </c>
      <c r="AA120" s="147">
        <f t="shared" ca="1" si="51"/>
        <v>11585.419579712674</v>
      </c>
      <c r="AB120" s="147">
        <f t="shared" ca="1" si="51"/>
        <v>-286591.37837827206</v>
      </c>
      <c r="AC120" s="147">
        <f t="shared" ca="1" si="51"/>
        <v>11472.133906264324</v>
      </c>
      <c r="AD120" s="147">
        <f t="shared" ca="1" si="51"/>
        <v>-41639.495418213308</v>
      </c>
      <c r="AE120" s="147">
        <f t="shared" ca="1" si="51"/>
        <v>-75072.136212024838</v>
      </c>
      <c r="AF120" s="147">
        <f t="shared" ca="1" si="51"/>
        <v>-95961.320077590644</v>
      </c>
      <c r="AG120" s="147">
        <f t="shared" ca="1" si="51"/>
        <v>-51925.159628679976</v>
      </c>
      <c r="AH120" s="147">
        <f t="shared" ca="1" si="51"/>
        <v>-588043.11196675897</v>
      </c>
      <c r="AI120" s="147">
        <f t="shared" ca="1" si="51"/>
        <v>-57082.312305893749</v>
      </c>
      <c r="AJ120" s="147">
        <f t="shared" ca="1" si="51"/>
        <v>-194035.51806061342</v>
      </c>
      <c r="AK120" s="147">
        <f t="shared" ca="1" si="51"/>
        <v>-359234.71070124209</v>
      </c>
      <c r="AL120" s="147">
        <f t="shared" ca="1" si="51"/>
        <v>-323499.0245680958</v>
      </c>
      <c r="AM120" s="147">
        <f t="shared" ca="1" si="51"/>
        <v>-353834.39303332567</v>
      </c>
      <c r="AN120" s="147">
        <f t="shared" ca="1" si="51"/>
        <v>-119856.41117984056</v>
      </c>
    </row>
    <row r="121" spans="1:41" x14ac:dyDescent="0.25">
      <c r="A121" s="146" t="s">
        <v>384</v>
      </c>
      <c r="B121" s="153">
        <f ca="1">B72*Returns_Per_A!X247</f>
        <v>-190341.55529938915</v>
      </c>
      <c r="C121" s="153">
        <f ca="1">C72*Returns_Per_A!Y247</f>
        <v>-24705.801815502851</v>
      </c>
      <c r="D121" s="153">
        <f ca="1">D72*Returns_Per_A!Z247</f>
        <v>-171301.6306306168</v>
      </c>
      <c r="E121" s="153">
        <f ca="1">E72*Returns_Per_A!AA247</f>
        <v>-94256.719149339682</v>
      </c>
      <c r="F121" s="153">
        <f ca="1">F72*Returns_Per_A!AB247</f>
        <v>-165511.39858515956</v>
      </c>
      <c r="G121" s="153">
        <f ca="1">G72*Returns_Per_A!AC247</f>
        <v>0</v>
      </c>
      <c r="H121" s="153">
        <f ca="1">H72*Returns_Per_A!AD247</f>
        <v>-40142.327300645098</v>
      </c>
      <c r="I121" s="153">
        <f ca="1">I72*Returns_Per_A!AE247</f>
        <v>-250766.05361985951</v>
      </c>
      <c r="J121" s="153">
        <f ca="1">J72*Returns_Per_A!AF247</f>
        <v>-57417.641256337956</v>
      </c>
      <c r="K121" s="153">
        <f ca="1">K72*Returns_Per_A!AG247</f>
        <v>-126663.76631849236</v>
      </c>
      <c r="L121" s="153">
        <f ca="1">L72*Returns_Per_A!AH247</f>
        <v>0</v>
      </c>
      <c r="M121" s="153">
        <f ca="1">M72*Returns_Per_A!AI247</f>
        <v>-47438.153301136525</v>
      </c>
      <c r="N121" s="153">
        <f ca="1">N72*Returns_Per_A!AJ247</f>
        <v>-151700.28983911133</v>
      </c>
      <c r="O121" s="153">
        <f ca="1">O72*Returns_Per_A!AK247</f>
        <v>-181401.83451330807</v>
      </c>
      <c r="P121" s="153">
        <f ca="1">P72*Returns_Per_A!AL247</f>
        <v>-46798.356057261961</v>
      </c>
      <c r="Q121" s="153">
        <f ca="1">Q72*Returns_Per_A!AM247</f>
        <v>-30406.215553405767</v>
      </c>
      <c r="R121" s="153">
        <f ca="1">R72*Returns_Per_A!AN247</f>
        <v>0</v>
      </c>
      <c r="S121" s="153">
        <f ca="1">S72*Returns_Per_A!AO247</f>
        <v>-39421.575612679357</v>
      </c>
      <c r="T121" s="153">
        <f ca="1">T72*Returns_Per_A!AP247</f>
        <v>0</v>
      </c>
      <c r="U121" s="153">
        <f ca="1">U72*Returns_Per_A!AQ247</f>
        <v>-14286.653672851293</v>
      </c>
      <c r="V121" s="153">
        <f ca="1">V72*Returns_Per_A!AR247</f>
        <v>-8241.004268947836</v>
      </c>
      <c r="W121" s="153">
        <f ca="1">W72*Returns_Per_A!AS247</f>
        <v>-100879.43565251281</v>
      </c>
      <c r="X121" s="153">
        <f ca="1">X72*Returns_Per_A!AT247</f>
        <v>-41389.621755421947</v>
      </c>
      <c r="Y121" s="153">
        <f ca="1">Y72*Returns_Per_A!AU247</f>
        <v>-137571.00628136579</v>
      </c>
      <c r="Z121" s="153">
        <f ca="1">Z72*Returns_Per_A!AV247</f>
        <v>-261190.51278382636</v>
      </c>
      <c r="AA121" s="153">
        <f ca="1">AA72*Returns_Per_A!AW247</f>
        <v>-40308.208526183756</v>
      </c>
      <c r="AB121" s="153">
        <f ca="1">AB72*Returns_Per_A!AX247</f>
        <v>-184461.176774077</v>
      </c>
      <c r="AC121" s="153">
        <f ca="1">AC72*Returns_Per_A!AY247</f>
        <v>-10087.717569911538</v>
      </c>
      <c r="AD121" s="153">
        <f ca="1">AD72*Returns_Per_A!AZ247</f>
        <v>-10661.708899905549</v>
      </c>
      <c r="AE121" s="153">
        <f ca="1">AE72*Returns_Per_A!BA247</f>
        <v>-25864.618683569694</v>
      </c>
      <c r="AF121" s="153">
        <f ca="1">AF72*Returns_Per_A!BB247</f>
        <v>-55546.838231790949</v>
      </c>
      <c r="AG121" s="153">
        <f ca="1">AG72*Returns_Per_A!BC247</f>
        <v>-12191.29845695662</v>
      </c>
      <c r="AH121" s="153">
        <f ca="1">AH72*Returns_Per_A!BD247</f>
        <v>-199547.58487044982</v>
      </c>
      <c r="AI121" s="153">
        <f ca="1">AI72*Returns_Per_A!BE247</f>
        <v>-22179.1689893681</v>
      </c>
      <c r="AJ121" s="153">
        <f ca="1">AJ72*Returns_Per_A!BF247</f>
        <v>-122384.69598054222</v>
      </c>
      <c r="AK121" s="153">
        <f ca="1">AK72*Returns_Per_A!BG247</f>
        <v>-107100.64613531735</v>
      </c>
      <c r="AL121" s="153">
        <f ca="1">AL72*Returns_Per_A!BH247</f>
        <v>-218441.78132180235</v>
      </c>
      <c r="AM121" s="153">
        <f ca="1">AM72*Returns_Per_A!BI247</f>
        <v>-106476.65622204101</v>
      </c>
      <c r="AN121" s="153">
        <f ca="1">AN72*Returns_Per_A!BJ247</f>
        <v>-117269.99890389979</v>
      </c>
      <c r="AO121" s="152"/>
    </row>
    <row r="122" spans="1:41" x14ac:dyDescent="0.25">
      <c r="A122" s="146" t="s">
        <v>378</v>
      </c>
      <c r="B122" s="147">
        <f t="shared" ref="B122:AN122" ca="1" si="52">IFERROR(B121+B120,0)</f>
        <v>-560022.32116283756</v>
      </c>
      <c r="C122" s="147">
        <f t="shared" ca="1" si="52"/>
        <v>-37172.217099434274</v>
      </c>
      <c r="D122" s="147">
        <f t="shared" ca="1" si="52"/>
        <v>-916895.02290603961</v>
      </c>
      <c r="E122" s="147">
        <f t="shared" ca="1" si="52"/>
        <v>-36811.17096461702</v>
      </c>
      <c r="F122" s="147">
        <f t="shared" ca="1" si="52"/>
        <v>-613524.82207192876</v>
      </c>
      <c r="G122" s="147">
        <f t="shared" ca="1" si="52"/>
        <v>0</v>
      </c>
      <c r="H122" s="147">
        <f t="shared" ca="1" si="52"/>
        <v>14491.068560622945</v>
      </c>
      <c r="I122" s="147">
        <f t="shared" ca="1" si="52"/>
        <v>-1042281.6472927907</v>
      </c>
      <c r="J122" s="147">
        <f t="shared" ca="1" si="52"/>
        <v>-205766.1186266001</v>
      </c>
      <c r="K122" s="147">
        <f t="shared" ca="1" si="52"/>
        <v>-227352.56797949201</v>
      </c>
      <c r="L122" s="147">
        <f t="shared" ca="1" si="52"/>
        <v>0</v>
      </c>
      <c r="M122" s="147">
        <f t="shared" ca="1" si="52"/>
        <v>20115.001823820217</v>
      </c>
      <c r="N122" s="147">
        <f t="shared" ca="1" si="52"/>
        <v>-632568.94230484217</v>
      </c>
      <c r="O122" s="147">
        <f t="shared" ca="1" si="52"/>
        <v>-281602.35509997379</v>
      </c>
      <c r="P122" s="147">
        <f t="shared" ca="1" si="52"/>
        <v>-223718.47083314313</v>
      </c>
      <c r="Q122" s="147">
        <f t="shared" ca="1" si="52"/>
        <v>-32779.300460358223</v>
      </c>
      <c r="R122" s="147">
        <f t="shared" ca="1" si="52"/>
        <v>0</v>
      </c>
      <c r="S122" s="147">
        <f t="shared" ca="1" si="52"/>
        <v>-21786.155203966657</v>
      </c>
      <c r="T122" s="147">
        <f t="shared" ca="1" si="52"/>
        <v>0</v>
      </c>
      <c r="U122" s="147">
        <f t="shared" ca="1" si="52"/>
        <v>17450.382935983456</v>
      </c>
      <c r="V122" s="147">
        <f t="shared" ca="1" si="52"/>
        <v>-32753.664224134605</v>
      </c>
      <c r="W122" s="147">
        <f t="shared" ca="1" si="52"/>
        <v>-206078.00354040763</v>
      </c>
      <c r="X122" s="147">
        <f t="shared" ca="1" si="52"/>
        <v>25635.773779508687</v>
      </c>
      <c r="Y122" s="147">
        <f t="shared" ca="1" si="52"/>
        <v>-607543.8218412596</v>
      </c>
      <c r="Z122" s="147">
        <f t="shared" ca="1" si="52"/>
        <v>-916513.44880575035</v>
      </c>
      <c r="AA122" s="147">
        <f t="shared" ca="1" si="52"/>
        <v>-28722.788946471082</v>
      </c>
      <c r="AB122" s="147">
        <f t="shared" ca="1" si="52"/>
        <v>-471052.55515234906</v>
      </c>
      <c r="AC122" s="147">
        <f t="shared" ca="1" si="52"/>
        <v>1384.4163363527859</v>
      </c>
      <c r="AD122" s="147">
        <f t="shared" ca="1" si="52"/>
        <v>-52301.204318118856</v>
      </c>
      <c r="AE122" s="147">
        <f t="shared" ca="1" si="52"/>
        <v>-100936.75489559452</v>
      </c>
      <c r="AF122" s="147">
        <f t="shared" ca="1" si="52"/>
        <v>-151508.1583093816</v>
      </c>
      <c r="AG122" s="147">
        <f t="shared" ca="1" si="52"/>
        <v>-64116.458085636594</v>
      </c>
      <c r="AH122" s="147">
        <f t="shared" ca="1" si="52"/>
        <v>-787590.69683720882</v>
      </c>
      <c r="AI122" s="147">
        <f t="shared" ca="1" si="52"/>
        <v>-79261.481295261852</v>
      </c>
      <c r="AJ122" s="147">
        <f t="shared" ca="1" si="52"/>
        <v>-316420.21404115565</v>
      </c>
      <c r="AK122" s="147">
        <f t="shared" ca="1" si="52"/>
        <v>-466335.35683655943</v>
      </c>
      <c r="AL122" s="147">
        <f t="shared" ca="1" si="52"/>
        <v>-541940.80588989821</v>
      </c>
      <c r="AM122" s="147">
        <f t="shared" ca="1" si="52"/>
        <v>-460311.04925536667</v>
      </c>
      <c r="AN122" s="147">
        <f t="shared" ca="1" si="52"/>
        <v>-237126.41008374037</v>
      </c>
      <c r="AO122" s="147">
        <f ca="1">SUM(B122:AN122)</f>
        <v>-10273717.340928033</v>
      </c>
    </row>
    <row r="124" spans="1:41" x14ac:dyDescent="0.25">
      <c r="B124" s="153"/>
    </row>
    <row r="130" spans="1:30" x14ac:dyDescent="0.25">
      <c r="A130"/>
      <c r="AD130" s="411"/>
    </row>
    <row r="131" spans="1:30" x14ac:dyDescent="0.25">
      <c r="A131"/>
      <c r="AD131" s="411"/>
    </row>
    <row r="132" spans="1:30" x14ac:dyDescent="0.25">
      <c r="A132"/>
      <c r="AD132" s="411"/>
    </row>
    <row r="133" spans="1:30" x14ac:dyDescent="0.25">
      <c r="A133"/>
      <c r="AD133" s="411"/>
    </row>
    <row r="134" spans="1:30" x14ac:dyDescent="0.25">
      <c r="A134"/>
      <c r="AD134" s="411"/>
    </row>
    <row r="135" spans="1:30" x14ac:dyDescent="0.25">
      <c r="A135"/>
      <c r="AD135" s="411">
        <f>IFERROR(Watersheds!AD22*AD$3,0)</f>
        <v>0</v>
      </c>
    </row>
    <row r="136" spans="1:30" x14ac:dyDescent="0.25">
      <c r="A136"/>
    </row>
    <row r="137" spans="1:30" x14ac:dyDescent="0.25">
      <c r="A137" s="148"/>
      <c r="AD137" s="412">
        <f>SUM(AD130:AD135)</f>
        <v>0</v>
      </c>
    </row>
    <row r="138" spans="1:30" x14ac:dyDescent="0.25">
      <c r="A138" s="409"/>
    </row>
    <row r="139" spans="1:30" x14ac:dyDescent="0.25">
      <c r="A139" s="148"/>
    </row>
    <row r="140" spans="1:30" x14ac:dyDescent="0.25">
      <c r="A140" s="483"/>
    </row>
  </sheetData>
  <sheetProtection algorithmName="SHA-512" hashValue="mwpUeaLmG94EGba7wk0L7Jgpry1ZkI6/26q167Ed3VLUudlCBWIhJvM5cChNmBEGaeN6ZF1WtphRSv0saQId2g==" saltValue="WyGfoJiWCIHfTZSVVysQXA==" spinCount="100000" sheet="1" objects="1" scenarios="1"/>
  <pageMargins left="0.7" right="0.7" top="0.75" bottom="0.75" header="0.3" footer="0.3"/>
  <pageSetup orientation="portrait" horizontalDpi="1200" verticalDpi="1200" r:id="rId1"/>
  <drawing r:id="rId2"/>
  <legacyDrawing r:id="rId3"/>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BM252"/>
  <sheetViews>
    <sheetView topLeftCell="A66" workbookViewId="0">
      <selection activeCell="C86" sqref="C86"/>
    </sheetView>
  </sheetViews>
  <sheetFormatPr defaultColWidth="8.85546875" defaultRowHeight="15" x14ac:dyDescent="0.25"/>
  <cols>
    <col min="1" max="1" width="40.85546875" customWidth="1"/>
    <col min="2" max="5" width="10.85546875" customWidth="1"/>
    <col min="6" max="7" width="12.42578125" customWidth="1"/>
    <col min="9" max="16" width="11" customWidth="1"/>
    <col min="18" max="18" width="19.7109375" customWidth="1"/>
    <col min="19" max="19" width="19.5703125" customWidth="1"/>
    <col min="24" max="24" width="12.5703125" customWidth="1"/>
    <col min="25" max="25" width="11.5703125" customWidth="1"/>
    <col min="26" max="28" width="12.5703125" customWidth="1"/>
    <col min="29" max="29" width="10" customWidth="1"/>
    <col min="30" max="31" width="12.5703125" customWidth="1"/>
    <col min="32" max="32" width="11.5703125" bestFit="1" customWidth="1"/>
    <col min="33" max="33" width="12.5703125" customWidth="1"/>
    <col min="34" max="34" width="10" customWidth="1"/>
    <col min="35" max="35" width="11.5703125" bestFit="1" customWidth="1"/>
    <col min="36" max="37" width="12.5703125" customWidth="1"/>
    <col min="38" max="38" width="11.5703125" customWidth="1"/>
    <col min="39" max="39" width="11.5703125" bestFit="1" customWidth="1"/>
    <col min="40" max="40" width="9" customWidth="1"/>
    <col min="41" max="41" width="11.5703125" customWidth="1"/>
    <col min="42" max="42" width="9" customWidth="1"/>
    <col min="43" max="43" width="11.5703125" customWidth="1"/>
    <col min="44" max="44" width="10.5703125" customWidth="1"/>
    <col min="45" max="45" width="12.5703125" customWidth="1"/>
    <col min="46" max="46" width="11.5703125" customWidth="1"/>
    <col min="47" max="48" width="12.5703125" customWidth="1"/>
    <col min="49" max="49" width="11.5703125" customWidth="1"/>
    <col min="50" max="50" width="12.5703125" customWidth="1"/>
    <col min="51" max="51" width="10" customWidth="1"/>
    <col min="52" max="53" width="10.5703125" customWidth="1"/>
    <col min="54" max="54" width="11.5703125" customWidth="1"/>
    <col min="55" max="55" width="10.5703125" customWidth="1"/>
    <col min="56" max="56" width="12.5703125" customWidth="1"/>
    <col min="57" max="57" width="11.5703125" customWidth="1"/>
    <col min="58" max="60" width="12.5703125" customWidth="1"/>
    <col min="61" max="61" width="11.5703125" customWidth="1"/>
    <col min="62" max="62" width="12.5703125" customWidth="1"/>
    <col min="64" max="64" width="16" bestFit="1" customWidth="1"/>
  </cols>
  <sheetData>
    <row r="1" spans="1:9" ht="72.75" customHeight="1" x14ac:dyDescent="0.25">
      <c r="A1" s="262" t="s">
        <v>1950</v>
      </c>
      <c r="B1" s="261"/>
      <c r="C1" s="260"/>
      <c r="D1" s="258"/>
      <c r="E1" s="258"/>
      <c r="F1" s="258"/>
    </row>
    <row r="2" spans="1:9" x14ac:dyDescent="0.25">
      <c r="A2" s="221" t="s">
        <v>481</v>
      </c>
      <c r="B2" s="257" t="s">
        <v>193</v>
      </c>
      <c r="C2" s="257" t="s">
        <v>191</v>
      </c>
      <c r="D2" s="257" t="s">
        <v>91</v>
      </c>
      <c r="E2" s="257" t="s">
        <v>396</v>
      </c>
      <c r="F2" s="256"/>
      <c r="G2" s="259"/>
      <c r="H2" s="258" t="s">
        <v>465</v>
      </c>
      <c r="I2" s="258"/>
    </row>
    <row r="3" spans="1:9" x14ac:dyDescent="0.25">
      <c r="A3" s="218" t="s">
        <v>518</v>
      </c>
      <c r="B3" s="255"/>
      <c r="C3" s="255"/>
      <c r="D3" s="255"/>
      <c r="E3" s="255"/>
      <c r="F3" s="255"/>
    </row>
    <row r="4" spans="1:9" x14ac:dyDescent="0.25">
      <c r="A4" s="184" t="s">
        <v>517</v>
      </c>
      <c r="B4" s="244">
        <v>34</v>
      </c>
      <c r="C4" s="244">
        <v>34</v>
      </c>
      <c r="D4" s="244">
        <v>1</v>
      </c>
      <c r="E4" s="244">
        <v>0.6</v>
      </c>
      <c r="F4" s="254"/>
    </row>
    <row r="5" spans="1:9" x14ac:dyDescent="0.25">
      <c r="A5" s="184" t="s">
        <v>516</v>
      </c>
      <c r="B5" s="253">
        <v>3.5</v>
      </c>
      <c r="C5" s="253">
        <v>3.5</v>
      </c>
      <c r="D5" s="253">
        <v>50</v>
      </c>
      <c r="E5" s="253">
        <v>10</v>
      </c>
      <c r="F5" s="251" t="s">
        <v>515</v>
      </c>
    </row>
    <row r="6" spans="1:9" x14ac:dyDescent="0.25">
      <c r="A6" s="184" t="s">
        <v>514</v>
      </c>
      <c r="B6" s="252">
        <v>10</v>
      </c>
      <c r="C6" s="252">
        <v>10</v>
      </c>
      <c r="D6" s="252">
        <v>10</v>
      </c>
      <c r="E6" s="252"/>
      <c r="F6" s="251" t="s">
        <v>513</v>
      </c>
    </row>
    <row r="7" spans="1:9" x14ac:dyDescent="0.25">
      <c r="A7" s="184" t="s">
        <v>1036</v>
      </c>
      <c r="B7" s="252">
        <v>145</v>
      </c>
      <c r="C7" s="252">
        <f>B7</f>
        <v>145</v>
      </c>
      <c r="D7" s="252">
        <v>0</v>
      </c>
      <c r="E7" s="213">
        <v>70</v>
      </c>
      <c r="F7" s="237"/>
    </row>
    <row r="8" spans="1:9" ht="26.25" customHeight="1" x14ac:dyDescent="0.25">
      <c r="A8" s="228" t="s">
        <v>410</v>
      </c>
      <c r="B8" s="883" t="s">
        <v>1037</v>
      </c>
      <c r="C8" s="884"/>
      <c r="D8" s="885"/>
      <c r="E8" s="213">
        <v>20</v>
      </c>
      <c r="F8" s="237"/>
    </row>
    <row r="9" spans="1:9" x14ac:dyDescent="0.25">
      <c r="A9" s="228" t="s">
        <v>409</v>
      </c>
      <c r="B9" s="886"/>
      <c r="C9" s="887"/>
      <c r="D9" s="888"/>
      <c r="E9" s="213">
        <v>45</v>
      </c>
      <c r="F9" s="237"/>
    </row>
    <row r="10" spans="1:9" x14ac:dyDescent="0.25">
      <c r="A10" s="230" t="s">
        <v>494</v>
      </c>
      <c r="B10" s="250">
        <v>1</v>
      </c>
      <c r="C10" s="250">
        <v>1</v>
      </c>
      <c r="D10" s="250"/>
      <c r="E10" s="250">
        <v>1</v>
      </c>
      <c r="F10" s="249">
        <v>10</v>
      </c>
      <c r="G10" s="194" t="s">
        <v>512</v>
      </c>
    </row>
    <row r="11" spans="1:9" x14ac:dyDescent="0.25">
      <c r="A11" s="233" t="s">
        <v>511</v>
      </c>
      <c r="B11" s="248"/>
      <c r="C11" s="248"/>
      <c r="D11" s="248"/>
      <c r="E11" s="248"/>
      <c r="F11" s="247"/>
    </row>
    <row r="12" spans="1:9" x14ac:dyDescent="0.25">
      <c r="A12" s="245" t="s">
        <v>510</v>
      </c>
      <c r="B12" s="246">
        <v>44</v>
      </c>
      <c r="C12" s="246">
        <v>44</v>
      </c>
      <c r="D12" s="244">
        <v>48</v>
      </c>
      <c r="E12" s="244"/>
      <c r="F12" s="212">
        <v>0.2</v>
      </c>
    </row>
    <row r="13" spans="1:9" x14ac:dyDescent="0.25">
      <c r="A13" s="245" t="s">
        <v>509</v>
      </c>
      <c r="B13" s="246">
        <v>3</v>
      </c>
      <c r="C13" s="246">
        <v>3</v>
      </c>
      <c r="D13" s="246">
        <v>3</v>
      </c>
      <c r="E13" s="246"/>
      <c r="F13" s="212">
        <v>1.5</v>
      </c>
    </row>
    <row r="14" spans="1:9" x14ac:dyDescent="0.25">
      <c r="A14" s="245" t="s">
        <v>508</v>
      </c>
      <c r="B14" s="246"/>
      <c r="C14" s="246"/>
      <c r="D14" s="246"/>
      <c r="E14" s="246">
        <v>0.8</v>
      </c>
      <c r="F14" s="212">
        <v>2.19</v>
      </c>
    </row>
    <row r="15" spans="1:9" x14ac:dyDescent="0.25">
      <c r="A15" s="245" t="s">
        <v>507</v>
      </c>
      <c r="B15" s="246"/>
      <c r="C15" s="246"/>
      <c r="D15" s="246"/>
      <c r="E15" s="246">
        <v>0.1</v>
      </c>
      <c r="F15" s="212">
        <v>4.87</v>
      </c>
    </row>
    <row r="16" spans="1:9" x14ac:dyDescent="0.25">
      <c r="A16" s="245" t="s">
        <v>506</v>
      </c>
      <c r="B16" s="244">
        <v>2</v>
      </c>
      <c r="C16" s="244">
        <v>2</v>
      </c>
      <c r="D16" s="244">
        <v>2</v>
      </c>
      <c r="E16" s="244">
        <v>0.2</v>
      </c>
      <c r="F16" s="212">
        <v>7</v>
      </c>
    </row>
    <row r="17" spans="1:16" x14ac:dyDescent="0.25">
      <c r="A17" s="243" t="s">
        <v>505</v>
      </c>
      <c r="B17" s="242">
        <f t="array" ref="B17">SUM(B12:B16*$F12:$F16)</f>
        <v>27.3</v>
      </c>
      <c r="C17" s="242">
        <f t="array" ref="C17">SUM(C12:C16*$F12:$F16)</f>
        <v>27.3</v>
      </c>
      <c r="D17" s="242">
        <f t="array" ref="D17">SUM(D12:D16*$F12:$F16)</f>
        <v>28.1</v>
      </c>
      <c r="E17" s="242">
        <f t="array" ref="E17">SUM(E12:E16*$F12:$F16)</f>
        <v>3.6390000000000002</v>
      </c>
      <c r="F17" s="241"/>
    </row>
    <row r="18" spans="1:16" x14ac:dyDescent="0.25">
      <c r="B18" s="112"/>
      <c r="C18" s="112"/>
      <c r="D18" s="112"/>
      <c r="E18" s="112"/>
      <c r="F18" s="112"/>
    </row>
    <row r="19" spans="1:16" x14ac:dyDescent="0.25">
      <c r="A19" s="221" t="s">
        <v>481</v>
      </c>
      <c r="B19" s="220"/>
      <c r="C19" s="220"/>
      <c r="D19" s="220"/>
      <c r="E19" s="220"/>
      <c r="F19" s="219" t="s">
        <v>480</v>
      </c>
    </row>
    <row r="20" spans="1:16" x14ac:dyDescent="0.25">
      <c r="A20" s="218" t="s">
        <v>504</v>
      </c>
      <c r="B20" s="882" t="s">
        <v>503</v>
      </c>
      <c r="C20" s="882"/>
      <c r="D20" s="882"/>
      <c r="E20" s="240"/>
      <c r="F20" s="239"/>
    </row>
    <row r="21" spans="1:16" x14ac:dyDescent="0.25">
      <c r="A21" s="218" t="s">
        <v>502</v>
      </c>
      <c r="B21" s="238"/>
      <c r="C21" s="238"/>
      <c r="D21" s="237"/>
      <c r="E21" s="237"/>
      <c r="F21" s="196"/>
    </row>
    <row r="22" spans="1:16" x14ac:dyDescent="0.25">
      <c r="A22" s="209" t="s">
        <v>246</v>
      </c>
      <c r="B22" s="213">
        <v>1</v>
      </c>
      <c r="C22" s="213">
        <v>1</v>
      </c>
      <c r="D22" s="213">
        <v>1</v>
      </c>
      <c r="E22" s="213"/>
      <c r="F22" s="212">
        <v>9.85</v>
      </c>
    </row>
    <row r="23" spans="1:16" x14ac:dyDescent="0.25">
      <c r="A23" s="209" t="s">
        <v>235</v>
      </c>
      <c r="B23" s="213">
        <v>2</v>
      </c>
      <c r="C23" s="213">
        <v>2</v>
      </c>
      <c r="D23" s="213">
        <v>2</v>
      </c>
      <c r="E23" s="213"/>
      <c r="F23" s="212">
        <v>5.49</v>
      </c>
    </row>
    <row r="24" spans="1:16" x14ac:dyDescent="0.25">
      <c r="A24" s="209" t="s">
        <v>227</v>
      </c>
      <c r="B24" s="213">
        <v>1</v>
      </c>
      <c r="C24" s="213">
        <v>1</v>
      </c>
      <c r="D24" s="213">
        <v>1</v>
      </c>
      <c r="E24" s="213"/>
      <c r="F24" s="212">
        <v>14.18</v>
      </c>
    </row>
    <row r="25" spans="1:16" x14ac:dyDescent="0.25">
      <c r="A25" s="209" t="s">
        <v>501</v>
      </c>
      <c r="B25" s="213">
        <v>1</v>
      </c>
      <c r="C25" s="213">
        <v>1</v>
      </c>
      <c r="D25" s="213">
        <v>1</v>
      </c>
      <c r="E25" s="213"/>
      <c r="F25" s="212">
        <v>7.55</v>
      </c>
    </row>
    <row r="26" spans="1:16" x14ac:dyDescent="0.25">
      <c r="A26" s="236" t="s">
        <v>500</v>
      </c>
      <c r="B26" s="213"/>
      <c r="C26" s="213"/>
      <c r="D26" s="213"/>
      <c r="E26" s="213">
        <v>0.1</v>
      </c>
      <c r="F26" s="212">
        <v>20.07</v>
      </c>
      <c r="H26" s="150"/>
      <c r="I26" s="235"/>
      <c r="J26" s="235"/>
      <c r="K26" s="235"/>
      <c r="L26" s="235"/>
      <c r="M26" s="235"/>
      <c r="N26" s="235"/>
      <c r="O26" s="235"/>
      <c r="P26" s="235"/>
    </row>
    <row r="27" spans="1:16" x14ac:dyDescent="0.25">
      <c r="A27" s="112"/>
      <c r="H27" s="150"/>
    </row>
    <row r="28" spans="1:16" x14ac:dyDescent="0.25">
      <c r="A28" s="234" t="s">
        <v>499</v>
      </c>
    </row>
    <row r="29" spans="1:16" x14ac:dyDescent="0.25">
      <c r="A29" s="234"/>
    </row>
    <row r="30" spans="1:16" x14ac:dyDescent="0.25">
      <c r="A30" s="233" t="s">
        <v>498</v>
      </c>
      <c r="B30" s="232"/>
      <c r="C30" s="232"/>
      <c r="D30" s="232"/>
      <c r="E30" s="9"/>
    </row>
    <row r="31" spans="1:16" x14ac:dyDescent="0.25">
      <c r="A31" s="228" t="s">
        <v>497</v>
      </c>
      <c r="B31" s="620">
        <v>21</v>
      </c>
      <c r="C31" s="620">
        <v>11</v>
      </c>
      <c r="D31" s="620">
        <v>24</v>
      </c>
      <c r="E31" s="620">
        <v>0</v>
      </c>
    </row>
    <row r="32" spans="1:16" x14ac:dyDescent="0.25">
      <c r="A32" s="231"/>
      <c r="B32" s="229"/>
      <c r="C32" s="229"/>
      <c r="D32" s="229"/>
      <c r="E32" s="229"/>
    </row>
    <row r="33" spans="1:16" x14ac:dyDescent="0.25">
      <c r="A33" s="230" t="s">
        <v>496</v>
      </c>
      <c r="B33" s="229"/>
      <c r="C33" s="229"/>
      <c r="D33" s="229"/>
      <c r="E33" s="229"/>
    </row>
    <row r="34" spans="1:16" x14ac:dyDescent="0.25">
      <c r="A34" s="228" t="s">
        <v>495</v>
      </c>
      <c r="B34" s="227">
        <f>B4*B5+B6</f>
        <v>129</v>
      </c>
      <c r="C34" s="227">
        <f>C4*C5+C6</f>
        <v>129</v>
      </c>
      <c r="D34" s="227">
        <f>D4*D5+D6</f>
        <v>60</v>
      </c>
      <c r="E34" s="227">
        <f>E4*E5+E6</f>
        <v>6</v>
      </c>
    </row>
    <row r="35" spans="1:16" x14ac:dyDescent="0.25">
      <c r="A35" s="228" t="s">
        <v>494</v>
      </c>
      <c r="B35" s="227">
        <f>B10*$F$10</f>
        <v>10</v>
      </c>
      <c r="C35" s="227">
        <f>C10*$F$10</f>
        <v>10</v>
      </c>
      <c r="D35" s="227">
        <f>D10*$F$10</f>
        <v>0</v>
      </c>
      <c r="E35" s="227">
        <f>E10*$F$10</f>
        <v>10</v>
      </c>
    </row>
    <row r="36" spans="1:16" x14ac:dyDescent="0.25">
      <c r="A36" s="228" t="s">
        <v>493</v>
      </c>
      <c r="B36" s="227">
        <f>SUMPRODUCT(B12:B16,$F$12:$F$16)</f>
        <v>27.3</v>
      </c>
      <c r="C36" s="227">
        <f>SUMPRODUCT(C12:C16,$F$12:$F$16)</f>
        <v>27.3</v>
      </c>
      <c r="D36" s="227">
        <f>SUMPRODUCT(D12:D16,$F$12:$F$16)</f>
        <v>28.1</v>
      </c>
      <c r="E36" s="227">
        <f>SUMPRODUCT(E12:E16,$F$12:$F$16)</f>
        <v>3.6390000000000002</v>
      </c>
    </row>
    <row r="37" spans="1:16" x14ac:dyDescent="0.25">
      <c r="A37" s="228" t="s">
        <v>492</v>
      </c>
      <c r="B37" s="226">
        <v>0</v>
      </c>
      <c r="C37" s="226">
        <v>0</v>
      </c>
      <c r="D37" s="226">
        <v>0</v>
      </c>
      <c r="E37" s="226"/>
    </row>
    <row r="38" spans="1:16" x14ac:dyDescent="0.25">
      <c r="A38" s="228" t="s">
        <v>491</v>
      </c>
      <c r="B38" s="226">
        <v>32</v>
      </c>
      <c r="C38" s="226">
        <v>32</v>
      </c>
      <c r="D38" s="226">
        <v>21</v>
      </c>
      <c r="E38" s="226"/>
    </row>
    <row r="39" spans="1:16" x14ac:dyDescent="0.25">
      <c r="A39" s="224" t="s">
        <v>490</v>
      </c>
      <c r="B39" s="227">
        <f>SUMPRODUCT(B22:B26,$F$22:$F$26)</f>
        <v>42.559999999999995</v>
      </c>
      <c r="C39" s="227">
        <f>SUMPRODUCT(C22:C26,$F$22:$F$26)</f>
        <v>42.559999999999995</v>
      </c>
      <c r="D39" s="227">
        <f>SUMPRODUCT(D22:D26,$F$22:$F$26)</f>
        <v>42.559999999999995</v>
      </c>
      <c r="E39" s="227">
        <f>SUMPRODUCT(E22:E26,$F$22:$F$26)</f>
        <v>2.0070000000000001</v>
      </c>
    </row>
    <row r="40" spans="1:16" x14ac:dyDescent="0.25">
      <c r="A40" s="224" t="s">
        <v>489</v>
      </c>
      <c r="B40" s="226">
        <v>21</v>
      </c>
      <c r="C40" s="226">
        <v>3</v>
      </c>
      <c r="D40" s="226">
        <v>0</v>
      </c>
      <c r="E40" s="226"/>
    </row>
    <row r="41" spans="1:16" x14ac:dyDescent="0.25">
      <c r="A41" s="224" t="s">
        <v>488</v>
      </c>
      <c r="B41" s="226">
        <v>68.798459856915741</v>
      </c>
      <c r="C41" s="226">
        <v>42.058521219298527</v>
      </c>
      <c r="D41" s="226">
        <v>73.980308312514211</v>
      </c>
      <c r="E41" s="226">
        <v>20</v>
      </c>
    </row>
    <row r="42" spans="1:16" x14ac:dyDescent="0.25">
      <c r="A42" s="224" t="s">
        <v>487</v>
      </c>
      <c r="B42" s="222">
        <f>SUM(B34:B41)</f>
        <v>330.65845985691578</v>
      </c>
      <c r="C42" s="222">
        <f>SUM(C34:C41)</f>
        <v>285.91852121929855</v>
      </c>
      <c r="D42" s="222">
        <f>SUM(D34:D41)</f>
        <v>225.64030831251421</v>
      </c>
      <c r="E42" s="222">
        <f>SUM(E34:E41)</f>
        <v>41.646000000000001</v>
      </c>
    </row>
    <row r="43" spans="1:16" x14ac:dyDescent="0.25">
      <c r="A43" s="224"/>
      <c r="B43" s="222"/>
      <c r="C43" s="222"/>
      <c r="D43" s="222"/>
      <c r="E43" s="222"/>
      <c r="F43" t="s">
        <v>486</v>
      </c>
    </row>
    <row r="44" spans="1:16" x14ac:dyDescent="0.25">
      <c r="A44" s="224" t="s">
        <v>485</v>
      </c>
      <c r="B44" s="222">
        <f>B42*$F$44*$F$46/12</f>
        <v>9.9197537957074733</v>
      </c>
      <c r="C44" s="222">
        <f>C42*$F$44*$F$46/12</f>
        <v>8.5775556365789569</v>
      </c>
      <c r="D44" s="222">
        <f>D42*$F$44*$F$46/12</f>
        <v>6.7692092493754261</v>
      </c>
      <c r="E44" s="222">
        <f>E42*$F$44*$F$46/12</f>
        <v>1.2493799999999999</v>
      </c>
      <c r="F44" s="225">
        <v>0.06</v>
      </c>
    </row>
    <row r="45" spans="1:16" x14ac:dyDescent="0.25">
      <c r="A45" s="224" t="s">
        <v>484</v>
      </c>
      <c r="B45" s="222">
        <f>B42+B44</f>
        <v>340.57821365262328</v>
      </c>
      <c r="C45" s="222">
        <f>C42+C44</f>
        <v>294.4960768558775</v>
      </c>
      <c r="D45" s="222">
        <f>D42+D44</f>
        <v>232.40951756188963</v>
      </c>
      <c r="E45" s="222">
        <f>E42+E44</f>
        <v>42.895380000000003</v>
      </c>
      <c r="F45" t="s">
        <v>483</v>
      </c>
    </row>
    <row r="46" spans="1:16" s="112" customFormat="1" x14ac:dyDescent="0.25">
      <c r="A46" s="223" t="s">
        <v>482</v>
      </c>
      <c r="B46" s="222">
        <f>B31-B45</f>
        <v>-319.57821365262328</v>
      </c>
      <c r="C46" s="222">
        <f>C31-C45</f>
        <v>-283.4960768558775</v>
      </c>
      <c r="D46" s="222">
        <f>D31-D45</f>
        <v>-208.40951756188963</v>
      </c>
      <c r="E46" s="222">
        <f>E31-E45</f>
        <v>-42.895380000000003</v>
      </c>
      <c r="F46">
        <v>6</v>
      </c>
    </row>
    <row r="47" spans="1:16" s="112" customFormat="1" x14ac:dyDescent="0.25">
      <c r="A47"/>
      <c r="G47"/>
      <c r="H47"/>
      <c r="I47"/>
      <c r="J47"/>
      <c r="K47"/>
      <c r="L47"/>
      <c r="M47"/>
      <c r="N47"/>
      <c r="O47"/>
      <c r="P47"/>
    </row>
    <row r="48" spans="1:16" s="112" customFormat="1" x14ac:dyDescent="0.25">
      <c r="A48" s="221" t="s">
        <v>481</v>
      </c>
      <c r="B48" s="220"/>
      <c r="C48" s="220"/>
      <c r="D48" s="220"/>
      <c r="E48" s="220"/>
      <c r="F48" s="219" t="s">
        <v>480</v>
      </c>
      <c r="G48"/>
      <c r="I48"/>
      <c r="J48"/>
      <c r="K48"/>
      <c r="L48"/>
      <c r="M48"/>
      <c r="N48"/>
      <c r="O48"/>
      <c r="P48"/>
    </row>
    <row r="49" spans="1:16" s="112" customFormat="1" x14ac:dyDescent="0.25">
      <c r="A49" s="218" t="s">
        <v>479</v>
      </c>
      <c r="B49" s="217"/>
      <c r="C49" s="217"/>
      <c r="D49" s="217"/>
      <c r="E49" s="217"/>
      <c r="F49" s="214"/>
      <c r="G49"/>
      <c r="H49"/>
      <c r="I49"/>
      <c r="J49"/>
      <c r="K49"/>
      <c r="L49"/>
      <c r="M49"/>
      <c r="N49"/>
      <c r="O49"/>
      <c r="P49"/>
    </row>
    <row r="50" spans="1:16" s="112" customFormat="1" x14ac:dyDescent="0.25">
      <c r="A50" s="146" t="s">
        <v>478</v>
      </c>
      <c r="B50" s="216">
        <v>150</v>
      </c>
      <c r="C50" s="216">
        <v>150</v>
      </c>
      <c r="D50" s="216">
        <v>40</v>
      </c>
      <c r="E50" s="215">
        <f>C77</f>
        <v>3.4</v>
      </c>
      <c r="F50" s="214"/>
      <c r="G50"/>
      <c r="H50"/>
      <c r="I50"/>
      <c r="J50"/>
      <c r="K50"/>
      <c r="L50"/>
      <c r="M50"/>
      <c r="N50"/>
      <c r="O50"/>
      <c r="P50"/>
    </row>
    <row r="51" spans="1:16" s="112" customFormat="1" x14ac:dyDescent="0.25">
      <c r="A51" s="209" t="s">
        <v>477</v>
      </c>
      <c r="B51" s="213">
        <v>1</v>
      </c>
      <c r="C51" s="213"/>
      <c r="D51" s="213" t="s">
        <v>473</v>
      </c>
      <c r="E51" s="213"/>
      <c r="F51" s="212">
        <v>42.6</v>
      </c>
      <c r="G51"/>
      <c r="H51"/>
      <c r="I51"/>
      <c r="J51"/>
      <c r="K51"/>
      <c r="L51"/>
      <c r="M51"/>
      <c r="N51"/>
      <c r="O51"/>
      <c r="P51"/>
    </row>
    <row r="52" spans="1:16" x14ac:dyDescent="0.25">
      <c r="A52" s="209" t="s">
        <v>476</v>
      </c>
      <c r="B52" s="213">
        <v>1</v>
      </c>
      <c r="C52" s="213"/>
      <c r="D52" s="213">
        <v>1</v>
      </c>
      <c r="E52" s="213"/>
      <c r="F52" s="212">
        <v>21.44</v>
      </c>
    </row>
    <row r="53" spans="1:16" x14ac:dyDescent="0.25">
      <c r="A53" s="209" t="s">
        <v>475</v>
      </c>
      <c r="B53" s="213"/>
      <c r="C53" s="213">
        <v>1</v>
      </c>
      <c r="D53" s="213"/>
      <c r="E53" s="213"/>
      <c r="F53" s="212">
        <v>51.93</v>
      </c>
    </row>
    <row r="54" spans="1:16" s="112" customFormat="1" x14ac:dyDescent="0.25">
      <c r="A54" s="209" t="s">
        <v>474</v>
      </c>
      <c r="B54" s="213" t="s">
        <v>473</v>
      </c>
      <c r="C54" s="213"/>
      <c r="D54" s="213">
        <v>1</v>
      </c>
      <c r="E54" s="213"/>
      <c r="F54" s="212">
        <v>37.130000000000003</v>
      </c>
      <c r="G54"/>
      <c r="H54"/>
      <c r="I54"/>
      <c r="J54"/>
      <c r="K54"/>
      <c r="L54"/>
      <c r="M54"/>
      <c r="N54"/>
      <c r="O54"/>
      <c r="P54"/>
    </row>
    <row r="55" spans="1:16" s="112" customFormat="1" x14ac:dyDescent="0.25">
      <c r="A55" s="209" t="s">
        <v>472</v>
      </c>
      <c r="B55" s="213"/>
      <c r="C55" s="213"/>
      <c r="D55" s="213"/>
      <c r="E55" s="213">
        <v>1</v>
      </c>
      <c r="F55" s="212">
        <v>9.49</v>
      </c>
      <c r="G55"/>
      <c r="H55"/>
      <c r="I55"/>
      <c r="J55"/>
      <c r="K55"/>
      <c r="L55"/>
      <c r="M55"/>
      <c r="N55"/>
      <c r="O55"/>
      <c r="P55"/>
    </row>
    <row r="56" spans="1:16" s="112" customFormat="1" x14ac:dyDescent="0.25">
      <c r="A56" s="209" t="s">
        <v>471</v>
      </c>
      <c r="B56" s="213"/>
      <c r="C56" s="213"/>
      <c r="D56" s="213"/>
      <c r="E56" s="213">
        <v>1</v>
      </c>
      <c r="F56" s="212">
        <v>3.53</v>
      </c>
      <c r="G56"/>
      <c r="H56"/>
      <c r="I56"/>
      <c r="J56"/>
      <c r="K56"/>
      <c r="L56"/>
      <c r="M56"/>
      <c r="N56"/>
      <c r="O56"/>
      <c r="P56"/>
    </row>
    <row r="57" spans="1:16" s="112" customFormat="1" x14ac:dyDescent="0.25">
      <c r="A57" s="209" t="s">
        <v>470</v>
      </c>
      <c r="B57" s="213"/>
      <c r="C57" s="213"/>
      <c r="D57" s="213"/>
      <c r="E57" s="213">
        <v>1</v>
      </c>
      <c r="F57" s="212">
        <f>9.2*3</f>
        <v>27.599999999999998</v>
      </c>
      <c r="G57"/>
      <c r="H57"/>
      <c r="I57"/>
      <c r="J57"/>
      <c r="K57"/>
      <c r="L57"/>
      <c r="M57"/>
      <c r="N57"/>
      <c r="O57"/>
      <c r="P57"/>
    </row>
    <row r="58" spans="1:16" x14ac:dyDescent="0.25">
      <c r="A58" s="209" t="s">
        <v>469</v>
      </c>
      <c r="B58" s="211">
        <f>SUMPRODUCT(B51:B57,$F$51:$F$57)</f>
        <v>64.040000000000006</v>
      </c>
      <c r="C58" s="211">
        <f>SUMPRODUCT(C51:C57,$F$51:$F$57)</f>
        <v>51.93</v>
      </c>
      <c r="D58" s="211">
        <f>SUMPRODUCT(D51:D57,$F$51:$F$57)</f>
        <v>58.570000000000007</v>
      </c>
      <c r="E58" s="211">
        <f>SUMPRODUCT(E51:E57,$F$51:$F$57)</f>
        <v>40.619999999999997</v>
      </c>
      <c r="F58" s="207"/>
    </row>
    <row r="59" spans="1:16" x14ac:dyDescent="0.25">
      <c r="A59" s="209" t="s">
        <v>468</v>
      </c>
      <c r="B59" s="208">
        <f>B58/B50</f>
        <v>0.42693333333333339</v>
      </c>
      <c r="C59" s="208">
        <f>C58/C50</f>
        <v>0.34620000000000001</v>
      </c>
      <c r="D59" s="208">
        <f>D58/D50</f>
        <v>1.4642500000000003</v>
      </c>
      <c r="E59" s="208">
        <f>E58/E50</f>
        <v>11.947058823529412</v>
      </c>
      <c r="F59" s="207"/>
    </row>
    <row r="60" spans="1:16" ht="16.5" x14ac:dyDescent="0.35">
      <c r="A60" s="209" t="s">
        <v>467</v>
      </c>
      <c r="B60" s="210">
        <f>28/B50</f>
        <v>0.18666666666666668</v>
      </c>
      <c r="C60" s="210">
        <f>28/C50</f>
        <v>0.18666666666666668</v>
      </c>
      <c r="D60" s="210">
        <f>7/D50</f>
        <v>0.17499999999999999</v>
      </c>
      <c r="E60" s="210">
        <f>8.8/3.4</f>
        <v>2.5882352941176472</v>
      </c>
      <c r="F60" s="207"/>
    </row>
    <row r="61" spans="1:16" x14ac:dyDescent="0.25">
      <c r="A61" s="209" t="s">
        <v>466</v>
      </c>
      <c r="B61" s="208">
        <f>B59+B60</f>
        <v>0.61360000000000003</v>
      </c>
      <c r="C61" s="208">
        <f>C59+C60</f>
        <v>0.53286666666666671</v>
      </c>
      <c r="D61" s="208">
        <f>D59+D60</f>
        <v>1.6392500000000003</v>
      </c>
      <c r="E61" s="208">
        <f>E59+E60</f>
        <v>14.535294117647059</v>
      </c>
      <c r="F61" s="207"/>
    </row>
    <row r="62" spans="1:16" x14ac:dyDescent="0.25">
      <c r="B62" s="11"/>
      <c r="C62" t="s">
        <v>465</v>
      </c>
      <c r="E62" s="208"/>
      <c r="F62" s="207"/>
    </row>
    <row r="63" spans="1:16" x14ac:dyDescent="0.25">
      <c r="A63" s="206" t="s">
        <v>464</v>
      </c>
    </row>
    <row r="64" spans="1:16" x14ac:dyDescent="0.25">
      <c r="A64" s="10" t="s">
        <v>1946</v>
      </c>
      <c r="C64" s="589">
        <v>4</v>
      </c>
      <c r="D64" s="866" t="s">
        <v>1948</v>
      </c>
    </row>
    <row r="65" spans="1:14" x14ac:dyDescent="0.25">
      <c r="A65" s="10" t="s">
        <v>1947</v>
      </c>
      <c r="C65" s="590">
        <v>10</v>
      </c>
      <c r="D65" s="866" t="s">
        <v>1948</v>
      </c>
    </row>
    <row r="66" spans="1:14" x14ac:dyDescent="0.25">
      <c r="A66" s="10" t="s">
        <v>463</v>
      </c>
      <c r="C66" s="200">
        <v>7</v>
      </c>
      <c r="D66" t="s">
        <v>462</v>
      </c>
    </row>
    <row r="67" spans="1:14" x14ac:dyDescent="0.25">
      <c r="A67" s="10" t="s">
        <v>461</v>
      </c>
      <c r="C67" s="191">
        <v>0.67</v>
      </c>
    </row>
    <row r="69" spans="1:14" x14ac:dyDescent="0.25">
      <c r="A69" s="10" t="s">
        <v>460</v>
      </c>
      <c r="C69" s="205"/>
    </row>
    <row r="70" spans="1:14" x14ac:dyDescent="0.25">
      <c r="A70" s="204" t="s">
        <v>459</v>
      </c>
      <c r="C70" s="203">
        <v>0.4</v>
      </c>
      <c r="D70" t="s">
        <v>455</v>
      </c>
      <c r="N70" t="str">
        <f ca="1">CELL("address",C70)</f>
        <v>$C$70</v>
      </c>
    </row>
    <row r="71" spans="1:14" x14ac:dyDescent="0.25">
      <c r="A71" s="204" t="s">
        <v>458</v>
      </c>
      <c r="C71" s="203">
        <v>0.49</v>
      </c>
      <c r="D71" t="s">
        <v>455</v>
      </c>
      <c r="N71" t="str">
        <f ca="1">CELL("address",C71)</f>
        <v>$C$71</v>
      </c>
    </row>
    <row r="72" spans="1:14" x14ac:dyDescent="0.25">
      <c r="A72" s="204" t="s">
        <v>457</v>
      </c>
      <c r="C72" s="203">
        <v>0.56999999999999995</v>
      </c>
      <c r="D72" t="s">
        <v>455</v>
      </c>
      <c r="N72" t="str">
        <f ca="1">CELL("address",C72)</f>
        <v>$C$72</v>
      </c>
    </row>
    <row r="73" spans="1:14" x14ac:dyDescent="0.25">
      <c r="A73" s="10" t="s">
        <v>456</v>
      </c>
      <c r="C73" s="202">
        <v>0.45999999999999996</v>
      </c>
      <c r="D73" s="201" t="s">
        <v>455</v>
      </c>
    </row>
    <row r="74" spans="1:14" x14ac:dyDescent="0.25">
      <c r="A74" s="10" t="s">
        <v>410</v>
      </c>
      <c r="C74" s="202">
        <v>0.44</v>
      </c>
      <c r="D74" s="201" t="s">
        <v>455</v>
      </c>
    </row>
    <row r="75" spans="1:14" x14ac:dyDescent="0.25">
      <c r="A75" s="10" t="s">
        <v>409</v>
      </c>
      <c r="C75" s="202">
        <v>0.38</v>
      </c>
      <c r="D75" s="201" t="s">
        <v>455</v>
      </c>
    </row>
    <row r="76" spans="1:14" x14ac:dyDescent="0.25">
      <c r="A76" s="10" t="s">
        <v>852</v>
      </c>
      <c r="C76" s="499">
        <v>0.34</v>
      </c>
      <c r="D76" s="10" t="s">
        <v>897</v>
      </c>
    </row>
    <row r="77" spans="1:14" x14ac:dyDescent="0.25">
      <c r="A77" s="10" t="s">
        <v>851</v>
      </c>
      <c r="C77" s="200">
        <v>3.4</v>
      </c>
      <c r="D77" s="10" t="s">
        <v>454</v>
      </c>
    </row>
    <row r="78" spans="1:14" x14ac:dyDescent="0.25">
      <c r="A78" s="10" t="s">
        <v>453</v>
      </c>
      <c r="C78">
        <v>5.7</v>
      </c>
    </row>
    <row r="79" spans="1:14" x14ac:dyDescent="0.25">
      <c r="A79" s="10" t="s">
        <v>452</v>
      </c>
      <c r="C79">
        <v>43</v>
      </c>
    </row>
    <row r="80" spans="1:14" x14ac:dyDescent="0.25">
      <c r="A80" s="10" t="s">
        <v>451</v>
      </c>
      <c r="C80" s="10" t="s">
        <v>450</v>
      </c>
      <c r="D80" s="10" t="s">
        <v>449</v>
      </c>
    </row>
    <row r="81" spans="1:63" x14ac:dyDescent="0.25">
      <c r="B81" s="198" t="s">
        <v>448</v>
      </c>
      <c r="C81" s="621">
        <v>1.9</v>
      </c>
      <c r="D81" s="199"/>
      <c r="E81" s="2"/>
    </row>
    <row r="82" spans="1:63" x14ac:dyDescent="0.25">
      <c r="B82" s="198" t="s">
        <v>447</v>
      </c>
      <c r="C82" s="197" t="s">
        <v>445</v>
      </c>
      <c r="D82" s="10"/>
    </row>
    <row r="83" spans="1:63" x14ac:dyDescent="0.25">
      <c r="B83" s="198" t="s">
        <v>446</v>
      </c>
      <c r="C83" s="197" t="s">
        <v>445</v>
      </c>
      <c r="D83" s="10"/>
    </row>
    <row r="85" spans="1:63" x14ac:dyDescent="0.25">
      <c r="A85" t="s">
        <v>1142</v>
      </c>
      <c r="C85" s="213">
        <v>50</v>
      </c>
      <c r="D85" t="s">
        <v>1963</v>
      </c>
    </row>
    <row r="86" spans="1:63" x14ac:dyDescent="0.25">
      <c r="A86" t="s">
        <v>1961</v>
      </c>
      <c r="C86" s="213">
        <v>100</v>
      </c>
      <c r="D86" t="s">
        <v>1964</v>
      </c>
    </row>
    <row r="87" spans="1:63" x14ac:dyDescent="0.25">
      <c r="A87" t="s">
        <v>1962</v>
      </c>
      <c r="C87" s="880">
        <v>100</v>
      </c>
      <c r="D87" t="s">
        <v>1965</v>
      </c>
    </row>
    <row r="88" spans="1:63" x14ac:dyDescent="0.25">
      <c r="A88" t="s">
        <v>1212</v>
      </c>
      <c r="C88" s="795">
        <f>Buffer!AP40</f>
        <v>101.91000465396152</v>
      </c>
      <c r="D88" t="s">
        <v>1214</v>
      </c>
    </row>
    <row r="89" spans="1:63" x14ac:dyDescent="0.25">
      <c r="J89" s="196" t="s">
        <v>444</v>
      </c>
    </row>
    <row r="90" spans="1:63" ht="18" x14ac:dyDescent="0.35">
      <c r="J90" s="4"/>
      <c r="K90" s="195" t="s">
        <v>443</v>
      </c>
      <c r="L90" s="195"/>
      <c r="M90" s="195"/>
      <c r="N90" s="195"/>
      <c r="O90" s="195" t="s">
        <v>429</v>
      </c>
      <c r="P90" s="195"/>
    </row>
    <row r="91" spans="1:63" x14ac:dyDescent="0.25">
      <c r="J91" s="195" t="s">
        <v>442</v>
      </c>
      <c r="K91" s="195" t="s">
        <v>441</v>
      </c>
      <c r="L91" s="195" t="s">
        <v>440</v>
      </c>
      <c r="M91" s="195" t="s">
        <v>439</v>
      </c>
      <c r="N91" s="195" t="s">
        <v>438</v>
      </c>
      <c r="O91" s="195" t="s">
        <v>437</v>
      </c>
      <c r="P91" s="195" t="s">
        <v>83</v>
      </c>
    </row>
    <row r="92" spans="1:63" x14ac:dyDescent="0.25">
      <c r="J92" s="4" t="s">
        <v>134</v>
      </c>
      <c r="K92" s="4">
        <v>0.7</v>
      </c>
      <c r="L92" s="4">
        <v>3.5000000000000003E-2</v>
      </c>
      <c r="M92" s="4">
        <v>0.7</v>
      </c>
      <c r="N92" s="4">
        <v>4.3999999999999997E-2</v>
      </c>
      <c r="O92" s="4">
        <v>1.1659999999999999</v>
      </c>
      <c r="P92" s="4">
        <v>7.3000000000000001E-3</v>
      </c>
    </row>
    <row r="93" spans="1:63" x14ac:dyDescent="0.25">
      <c r="J93" s="4" t="s">
        <v>91</v>
      </c>
      <c r="K93" s="4">
        <v>1.752</v>
      </c>
      <c r="L93" s="4">
        <v>9.9099999999999994E-2</v>
      </c>
      <c r="M93" s="4">
        <v>1.752</v>
      </c>
      <c r="N93" s="4">
        <v>0.1321</v>
      </c>
      <c r="O93" s="4">
        <v>2.2000000000000002</v>
      </c>
      <c r="P93" s="4">
        <v>1.83E-2</v>
      </c>
    </row>
    <row r="95" spans="1:63" x14ac:dyDescent="0.25">
      <c r="R95" s="194" t="s">
        <v>436</v>
      </c>
    </row>
    <row r="96" spans="1:63" ht="60" x14ac:dyDescent="0.25">
      <c r="R96" s="179" t="s">
        <v>435</v>
      </c>
      <c r="X96" s="32" t="s">
        <v>60</v>
      </c>
      <c r="Y96" s="32" t="s">
        <v>59</v>
      </c>
      <c r="Z96" s="32" t="s">
        <v>58</v>
      </c>
      <c r="AA96" s="32" t="s">
        <v>57</v>
      </c>
      <c r="AB96" s="32" t="s">
        <v>56</v>
      </c>
      <c r="AC96" s="32" t="s">
        <v>55</v>
      </c>
      <c r="AD96" s="32" t="s">
        <v>54</v>
      </c>
      <c r="AE96" s="32" t="s">
        <v>53</v>
      </c>
      <c r="AF96" s="32" t="s">
        <v>52</v>
      </c>
      <c r="AG96" s="32" t="s">
        <v>51</v>
      </c>
      <c r="AH96" s="32" t="s">
        <v>50</v>
      </c>
      <c r="AI96" s="32" t="s">
        <v>49</v>
      </c>
      <c r="AJ96" s="32" t="s">
        <v>48</v>
      </c>
      <c r="AK96" s="32" t="s">
        <v>47</v>
      </c>
      <c r="AL96" s="32" t="s">
        <v>46</v>
      </c>
      <c r="AM96" s="32" t="s">
        <v>45</v>
      </c>
      <c r="AN96" s="32" t="s">
        <v>44</v>
      </c>
      <c r="AO96" s="32" t="s">
        <v>43</v>
      </c>
      <c r="AP96" s="32" t="s">
        <v>42</v>
      </c>
      <c r="AQ96" s="32" t="s">
        <v>41</v>
      </c>
      <c r="AR96" s="32" t="s">
        <v>40</v>
      </c>
      <c r="AS96" s="32" t="s">
        <v>39</v>
      </c>
      <c r="AT96" s="32" t="s">
        <v>38</v>
      </c>
      <c r="AU96" s="32" t="s">
        <v>37</v>
      </c>
      <c r="AV96" s="32" t="s">
        <v>36</v>
      </c>
      <c r="AW96" s="32" t="s">
        <v>35</v>
      </c>
      <c r="AX96" s="32" t="s">
        <v>34</v>
      </c>
      <c r="AY96" s="32" t="s">
        <v>33</v>
      </c>
      <c r="AZ96" s="32" t="s">
        <v>32</v>
      </c>
      <c r="BA96" s="32" t="s">
        <v>31</v>
      </c>
      <c r="BB96" s="32" t="s">
        <v>30</v>
      </c>
      <c r="BC96" s="32" t="s">
        <v>29</v>
      </c>
      <c r="BD96" s="32" t="s">
        <v>28</v>
      </c>
      <c r="BE96" s="32" t="s">
        <v>27</v>
      </c>
      <c r="BF96" s="32" t="s">
        <v>26</v>
      </c>
      <c r="BG96" s="32" t="s">
        <v>25</v>
      </c>
      <c r="BH96" s="32" t="s">
        <v>24</v>
      </c>
      <c r="BI96" s="32" t="s">
        <v>23</v>
      </c>
      <c r="BJ96" s="32" t="s">
        <v>22</v>
      </c>
      <c r="BK96" s="193"/>
    </row>
    <row r="97" spans="18:65" x14ac:dyDescent="0.25">
      <c r="R97" t="str">
        <f ca="1">CELL("address",C71)</f>
        <v>$C$71</v>
      </c>
      <c r="S97" t="s">
        <v>434</v>
      </c>
    </row>
    <row r="98" spans="18:65" x14ac:dyDescent="0.25">
      <c r="S98" t="s">
        <v>1148</v>
      </c>
      <c r="V98" s="729"/>
      <c r="W98" s="729"/>
      <c r="X98" s="734">
        <v>17413915.066879999</v>
      </c>
      <c r="Y98" s="734">
        <v>785158.80007999996</v>
      </c>
      <c r="Z98" s="734">
        <v>8337390.9975999994</v>
      </c>
      <c r="AA98" s="734">
        <v>5494899.4208080005</v>
      </c>
      <c r="AB98" s="734">
        <v>0</v>
      </c>
      <c r="AC98" s="734">
        <v>45861.929793280004</v>
      </c>
      <c r="AD98" s="734">
        <v>4490906.0434320001</v>
      </c>
      <c r="AE98" s="734">
        <v>0</v>
      </c>
      <c r="AF98" s="734">
        <v>0</v>
      </c>
      <c r="AG98" s="734">
        <v>0</v>
      </c>
      <c r="AH98" s="734">
        <v>136407.87126879999</v>
      </c>
      <c r="AI98" s="734">
        <v>2452192.3044960001</v>
      </c>
      <c r="AJ98" s="734">
        <v>0</v>
      </c>
      <c r="AK98" s="734">
        <v>8419320.129999999</v>
      </c>
      <c r="AL98" s="734">
        <v>0</v>
      </c>
      <c r="AM98" s="734">
        <v>2484373.1807840001</v>
      </c>
      <c r="AN98" s="734">
        <v>9095.7363287200005</v>
      </c>
      <c r="AO98" s="734">
        <v>1489272.3787839999</v>
      </c>
      <c r="AP98" s="734">
        <v>13222.455310719999</v>
      </c>
      <c r="AQ98" s="734">
        <v>945526.67576800007</v>
      </c>
      <c r="AR98" s="734">
        <v>0</v>
      </c>
      <c r="AS98" s="734">
        <v>9723632.1192000005</v>
      </c>
      <c r="AT98" s="734">
        <v>444141.59800000006</v>
      </c>
      <c r="AU98" s="734">
        <v>14514079.79008</v>
      </c>
      <c r="AV98" s="734">
        <v>0</v>
      </c>
      <c r="AW98" s="734">
        <v>2089652.8007360001</v>
      </c>
      <c r="AX98" s="734">
        <v>20863849.097279999</v>
      </c>
      <c r="AY98" s="734">
        <v>153296.4765776</v>
      </c>
      <c r="AZ98" s="734">
        <v>0</v>
      </c>
      <c r="BA98" s="734">
        <v>0</v>
      </c>
      <c r="BB98" s="734">
        <v>3026365.1053760001</v>
      </c>
      <c r="BC98" s="734">
        <v>574465.79252000002</v>
      </c>
      <c r="BD98" s="734">
        <v>0</v>
      </c>
      <c r="BE98" s="734">
        <v>0</v>
      </c>
      <c r="BF98" s="734">
        <v>4739597.058336</v>
      </c>
      <c r="BG98" s="734">
        <v>16912449.835200001</v>
      </c>
      <c r="BH98" s="734">
        <v>9739243.2072799988</v>
      </c>
      <c r="BI98" s="734">
        <v>0</v>
      </c>
      <c r="BJ98" s="734">
        <v>0</v>
      </c>
      <c r="BK98" s="724"/>
      <c r="BL98" s="730">
        <f t="shared" ref="BL98:BL99" si="0">SUM(X98:BJ98)</f>
        <v>135298315.87191913</v>
      </c>
    </row>
    <row r="99" spans="18:65" x14ac:dyDescent="0.25">
      <c r="S99" t="s">
        <v>1149</v>
      </c>
      <c r="V99" s="729"/>
      <c r="W99" s="729"/>
      <c r="X99" s="734">
        <v>45143591.748300001</v>
      </c>
      <c r="Y99" s="734">
        <v>3287852.5082400003</v>
      </c>
      <c r="Z99" s="734">
        <v>16357213.337899998</v>
      </c>
      <c r="AA99" s="734">
        <v>21001546.157399997</v>
      </c>
      <c r="AB99" s="734">
        <v>32516457.959600002</v>
      </c>
      <c r="AC99" s="734">
        <v>192046.83293100004</v>
      </c>
      <c r="AD99" s="734">
        <v>18786164.5099</v>
      </c>
      <c r="AE99" s="734">
        <v>54495232.821599998</v>
      </c>
      <c r="AF99" s="734">
        <v>15629534.203499999</v>
      </c>
      <c r="AG99" s="734">
        <v>33720411.033500001</v>
      </c>
      <c r="AH99" s="734">
        <v>571383.27017399995</v>
      </c>
      <c r="AI99" s="734">
        <v>10407094.485100001</v>
      </c>
      <c r="AJ99" s="734">
        <v>24083474.363899998</v>
      </c>
      <c r="AK99" s="734">
        <v>39589644.131300002</v>
      </c>
      <c r="AL99" s="734">
        <v>5720262.1702900007</v>
      </c>
      <c r="AM99" s="734">
        <v>11271069.595699999</v>
      </c>
      <c r="AN99" s="734">
        <v>38088.3962579</v>
      </c>
      <c r="AO99" s="734">
        <v>6295973.8659800002</v>
      </c>
      <c r="AP99" s="734">
        <v>55369.032167899997</v>
      </c>
      <c r="AQ99" s="734">
        <v>4049864.4194400003</v>
      </c>
      <c r="AR99" s="734">
        <v>2036829.3150300002</v>
      </c>
      <c r="AS99" s="734">
        <v>22340294.145599991</v>
      </c>
      <c r="AT99" s="734">
        <v>1920803.7857800003</v>
      </c>
      <c r="AU99" s="734">
        <v>27608239.3189</v>
      </c>
      <c r="AV99" s="734">
        <v>52086254.0546</v>
      </c>
      <c r="AW99" s="734">
        <v>9052285.2032599989</v>
      </c>
      <c r="AX99" s="734">
        <v>44040225.872999996</v>
      </c>
      <c r="AY99" s="734">
        <v>641929.002094</v>
      </c>
      <c r="AZ99" s="734">
        <v>1252031.2567599998</v>
      </c>
      <c r="BA99" s="734">
        <v>1933433.4069500002</v>
      </c>
      <c r="BB99" s="734">
        <v>5113707.5584800001</v>
      </c>
      <c r="BC99" s="734">
        <v>1128414.99327</v>
      </c>
      <c r="BD99" s="734">
        <v>44174681.160600007</v>
      </c>
      <c r="BE99" s="734">
        <v>4132075.2698099995</v>
      </c>
      <c r="BF99" s="734">
        <v>21321075.370200001</v>
      </c>
      <c r="BG99" s="734">
        <v>15055332.8204</v>
      </c>
      <c r="BH99" s="734">
        <v>40763142.671999991</v>
      </c>
      <c r="BI99" s="734">
        <v>19810611.6844</v>
      </c>
      <c r="BJ99" s="734">
        <v>22738240.862099998</v>
      </c>
      <c r="BK99" s="724"/>
      <c r="BL99" s="730">
        <f t="shared" si="0"/>
        <v>680361882.5964148</v>
      </c>
    </row>
    <row r="100" spans="18:65" x14ac:dyDescent="0.25">
      <c r="S100" s="586" t="s">
        <v>1150</v>
      </c>
      <c r="V100" s="729"/>
      <c r="W100" s="729"/>
      <c r="X100" s="731">
        <f>X98*$C$70+X99*$C$71</f>
        <v>29085925.983418997</v>
      </c>
      <c r="Y100" s="731">
        <f t="shared" ref="Y100:BJ100" si="1">Y98*$C$70+Y99*$C$71</f>
        <v>1925111.2490696001</v>
      </c>
      <c r="Z100" s="731">
        <f t="shared" si="1"/>
        <v>11349990.934610998</v>
      </c>
      <c r="AA100" s="731">
        <f t="shared" si="1"/>
        <v>12488717.385449199</v>
      </c>
      <c r="AB100" s="731">
        <f t="shared" si="1"/>
        <v>15933064.400204001</v>
      </c>
      <c r="AC100" s="731">
        <f t="shared" si="1"/>
        <v>112447.72005350202</v>
      </c>
      <c r="AD100" s="731">
        <f t="shared" si="1"/>
        <v>11001583.027223799</v>
      </c>
      <c r="AE100" s="731">
        <f t="shared" si="1"/>
        <v>26702664.082583997</v>
      </c>
      <c r="AF100" s="731">
        <f t="shared" si="1"/>
        <v>7658471.7597149992</v>
      </c>
      <c r="AG100" s="731">
        <f t="shared" si="1"/>
        <v>16523001.406415001</v>
      </c>
      <c r="AH100" s="731">
        <f t="shared" si="1"/>
        <v>334540.95089277998</v>
      </c>
      <c r="AI100" s="731">
        <f t="shared" si="1"/>
        <v>6080353.2194974013</v>
      </c>
      <c r="AJ100" s="731">
        <f t="shared" si="1"/>
        <v>11800902.438310999</v>
      </c>
      <c r="AK100" s="731">
        <f t="shared" si="1"/>
        <v>22766653.676337004</v>
      </c>
      <c r="AL100" s="731">
        <f t="shared" si="1"/>
        <v>2802928.4634421002</v>
      </c>
      <c r="AM100" s="731">
        <f t="shared" si="1"/>
        <v>6516573.3742065998</v>
      </c>
      <c r="AN100" s="731">
        <f t="shared" si="1"/>
        <v>22301.608697859003</v>
      </c>
      <c r="AO100" s="731">
        <f t="shared" si="1"/>
        <v>3680736.1458438002</v>
      </c>
      <c r="AP100" s="731">
        <f t="shared" si="1"/>
        <v>32419.807886558996</v>
      </c>
      <c r="AQ100" s="731">
        <f t="shared" si="1"/>
        <v>2362644.2358328002</v>
      </c>
      <c r="AR100" s="731">
        <f t="shared" si="1"/>
        <v>998046.36436470004</v>
      </c>
      <c r="AS100" s="731">
        <f t="shared" si="1"/>
        <v>14836196.979023997</v>
      </c>
      <c r="AT100" s="731">
        <f t="shared" si="1"/>
        <v>1118850.4942322001</v>
      </c>
      <c r="AU100" s="731">
        <f t="shared" si="1"/>
        <v>19333669.182293002</v>
      </c>
      <c r="AV100" s="731">
        <f t="shared" si="1"/>
        <v>25522264.486754</v>
      </c>
      <c r="AW100" s="731">
        <f t="shared" si="1"/>
        <v>5271480.8698918</v>
      </c>
      <c r="AX100" s="731">
        <f t="shared" si="1"/>
        <v>29925250.316681996</v>
      </c>
      <c r="AY100" s="731">
        <f t="shared" si="1"/>
        <v>375863.80165709998</v>
      </c>
      <c r="AZ100" s="731">
        <f t="shared" si="1"/>
        <v>613495.31581239984</v>
      </c>
      <c r="BA100" s="731">
        <f t="shared" si="1"/>
        <v>947382.36940550013</v>
      </c>
      <c r="BB100" s="731">
        <f t="shared" si="1"/>
        <v>3716262.7458056002</v>
      </c>
      <c r="BC100" s="731">
        <f t="shared" si="1"/>
        <v>782709.6637103</v>
      </c>
      <c r="BD100" s="731">
        <f t="shared" si="1"/>
        <v>21645593.768694002</v>
      </c>
      <c r="BE100" s="731">
        <f t="shared" si="1"/>
        <v>2024716.8822068998</v>
      </c>
      <c r="BF100" s="731">
        <f t="shared" si="1"/>
        <v>12343165.7547324</v>
      </c>
      <c r="BG100" s="731">
        <f t="shared" si="1"/>
        <v>14142093.016076</v>
      </c>
      <c r="BH100" s="731">
        <f t="shared" si="1"/>
        <v>23869637.192191996</v>
      </c>
      <c r="BI100" s="731">
        <f t="shared" si="1"/>
        <v>9707199.7253559995</v>
      </c>
      <c r="BJ100" s="731">
        <f t="shared" si="1"/>
        <v>11141738.022428999</v>
      </c>
      <c r="BK100" s="724"/>
      <c r="BL100" s="732">
        <f>SUM(X100:BJ100)</f>
        <v>387496648.82101095</v>
      </c>
      <c r="BM100" s="733">
        <f>BL100/(BL98+BL99)</f>
        <v>0.47507117491899364</v>
      </c>
    </row>
    <row r="101" spans="18:65" x14ac:dyDescent="0.25">
      <c r="S101" s="727" t="s">
        <v>1147</v>
      </c>
      <c r="W101" s="722"/>
      <c r="X101" s="728">
        <v>0.2783665135237518</v>
      </c>
      <c r="Y101" s="728">
        <v>0.19277108277999241</v>
      </c>
      <c r="Z101" s="728">
        <v>0.33761994662188177</v>
      </c>
      <c r="AA101" s="728">
        <v>0.2073825111594319</v>
      </c>
      <c r="AB101" s="728">
        <v>0</v>
      </c>
      <c r="AC101" s="728">
        <v>0.19277108278029606</v>
      </c>
      <c r="AD101" s="728">
        <v>0.19293261293952424</v>
      </c>
      <c r="AE101" s="728">
        <v>0</v>
      </c>
      <c r="AF101" s="728">
        <v>0</v>
      </c>
      <c r="AG101" s="728">
        <v>0</v>
      </c>
      <c r="AH101" s="728">
        <v>0.19272333783485729</v>
      </c>
      <c r="AI101" s="728">
        <v>0.19069426980040471</v>
      </c>
      <c r="AJ101" s="728">
        <v>0</v>
      </c>
      <c r="AK101" s="728">
        <v>0.17536975145258046</v>
      </c>
      <c r="AL101" s="728">
        <v>0</v>
      </c>
      <c r="AM101" s="728">
        <v>0.18061019344511611</v>
      </c>
      <c r="AN101" s="728">
        <v>0.19277108277919849</v>
      </c>
      <c r="AO101" s="728">
        <v>0.19129419057048019</v>
      </c>
      <c r="AP101" s="728">
        <v>0.19277108277964441</v>
      </c>
      <c r="AQ101" s="728">
        <v>0.18927980967797073</v>
      </c>
      <c r="AR101" s="728">
        <v>0</v>
      </c>
      <c r="AS101" s="728">
        <v>0.30325768712469486</v>
      </c>
      <c r="AT101" s="728">
        <v>0.18780205287029006</v>
      </c>
      <c r="AU101" s="728">
        <v>0.34456981707319534</v>
      </c>
      <c r="AV101" s="728">
        <v>0</v>
      </c>
      <c r="AW101" s="728">
        <v>0.18754841392821936</v>
      </c>
      <c r="AX101" s="728">
        <v>0.3214566898431831</v>
      </c>
      <c r="AY101" s="728">
        <v>0.19277108277978858</v>
      </c>
      <c r="AZ101" s="728">
        <v>0</v>
      </c>
      <c r="BA101" s="728">
        <v>0</v>
      </c>
      <c r="BB101" s="728">
        <v>0.37178600613896651</v>
      </c>
      <c r="BC101" s="728">
        <v>0.33734938893769595</v>
      </c>
      <c r="BD101" s="728">
        <v>0</v>
      </c>
      <c r="BE101" s="728">
        <v>0</v>
      </c>
      <c r="BF101" s="728">
        <v>0.18186779605679784</v>
      </c>
      <c r="BG101" s="728">
        <v>0.52904669733912058</v>
      </c>
      <c r="BH101" s="728">
        <v>0.19284719004287271</v>
      </c>
      <c r="BI101" s="728">
        <v>0</v>
      </c>
      <c r="BJ101" s="728">
        <v>0</v>
      </c>
    </row>
    <row r="102" spans="18:65" x14ac:dyDescent="0.25">
      <c r="S102" s="720" t="s">
        <v>1144</v>
      </c>
      <c r="T102" s="358"/>
      <c r="U102" s="358"/>
      <c r="V102" s="358"/>
      <c r="W102" s="721"/>
      <c r="X102" s="725">
        <v>97.821652812547256</v>
      </c>
      <c r="Y102" s="725">
        <v>114.97006005047214</v>
      </c>
      <c r="Z102" s="725">
        <v>82.801570226368511</v>
      </c>
      <c r="AA102" s="725">
        <v>81.987650025345033</v>
      </c>
      <c r="AB102" s="725">
        <v>100.708795414089</v>
      </c>
      <c r="AC102" s="725">
        <v>117</v>
      </c>
      <c r="AD102" s="725">
        <v>57.533103574263833</v>
      </c>
      <c r="AE102" s="725">
        <v>111.39776801043028</v>
      </c>
      <c r="AF102" s="725">
        <v>128.91643393481721</v>
      </c>
      <c r="AG102" s="725">
        <v>121.11519632460444</v>
      </c>
      <c r="AH102" s="725">
        <v>110.41112245394699</v>
      </c>
      <c r="AI102" s="725">
        <v>28.318787709773375</v>
      </c>
      <c r="AJ102" s="725">
        <v>71.785953553132828</v>
      </c>
      <c r="AK102" s="725">
        <v>111.78743151655743</v>
      </c>
      <c r="AL102" s="725">
        <v>108.97262152742181</v>
      </c>
      <c r="AM102" s="725">
        <v>113.14011045648569</v>
      </c>
      <c r="AN102" s="725">
        <v>108.56795269301477</v>
      </c>
      <c r="AO102" s="725">
        <v>25.482129864779566</v>
      </c>
      <c r="AP102" s="725">
        <v>113.91680991880114</v>
      </c>
      <c r="AQ102" s="725">
        <v>39.400013365713491</v>
      </c>
      <c r="AR102" s="725">
        <v>118.78741553832288</v>
      </c>
      <c r="AS102" s="725">
        <v>141.52288024823463</v>
      </c>
      <c r="AT102" s="725">
        <v>53.993385916142756</v>
      </c>
      <c r="AU102" s="725">
        <v>97.658854310476841</v>
      </c>
      <c r="AV102" s="725">
        <v>115.3598438023792</v>
      </c>
      <c r="AW102" s="725">
        <v>29.014882753031529</v>
      </c>
      <c r="AX102" s="725">
        <v>85.325417617299394</v>
      </c>
      <c r="AY102" s="725">
        <v>69.41822369631214</v>
      </c>
      <c r="AZ102" s="725">
        <v>107.27914989427947</v>
      </c>
      <c r="BA102" s="725">
        <v>117.0073222954228</v>
      </c>
      <c r="BB102" s="725">
        <v>108.51266554173674</v>
      </c>
      <c r="BC102" s="725">
        <v>97.888715736090319</v>
      </c>
      <c r="BD102" s="725">
        <v>113.27229723794677</v>
      </c>
      <c r="BE102" s="725">
        <v>97.784849542953495</v>
      </c>
      <c r="BF102" s="725">
        <v>114.63599385693598</v>
      </c>
      <c r="BG102" s="725">
        <v>108.54756145659185</v>
      </c>
      <c r="BH102" s="725">
        <v>116.68851351502057</v>
      </c>
      <c r="BI102" s="725">
        <v>94.911163110602601</v>
      </c>
      <c r="BJ102" s="725">
        <v>113.4743986919562</v>
      </c>
    </row>
    <row r="103" spans="18:65" x14ac:dyDescent="0.25">
      <c r="S103" s="722" t="s">
        <v>1145</v>
      </c>
      <c r="W103" s="722"/>
      <c r="X103" s="723">
        <v>6.5063736976214162E-2</v>
      </c>
      <c r="Y103" s="723">
        <v>4.5977011139891916E-2</v>
      </c>
      <c r="Z103" s="723">
        <v>7.7835299260097385E-2</v>
      </c>
      <c r="AA103" s="723">
        <v>4.9290149067592937E-2</v>
      </c>
      <c r="AB103" s="723">
        <v>0.52747251775557258</v>
      </c>
      <c r="AC103" s="723">
        <v>4.5977011139961013E-2</v>
      </c>
      <c r="AD103" s="723">
        <v>4.6013764290923256E-2</v>
      </c>
      <c r="AE103" s="723">
        <v>0.54818391438683578</v>
      </c>
      <c r="AF103" s="723">
        <v>0.52684186637384356</v>
      </c>
      <c r="AG103" s="723">
        <v>0.29643803542240343</v>
      </c>
      <c r="AH103" s="723">
        <v>4.59661471329946E-2</v>
      </c>
      <c r="AI103" s="723">
        <v>4.5504218996507029E-2</v>
      </c>
      <c r="AJ103" s="723">
        <v>0.52747251775538251</v>
      </c>
      <c r="AK103" s="723">
        <v>4.2001011141964285E-2</v>
      </c>
      <c r="AL103" s="723">
        <v>0.66451676686302752</v>
      </c>
      <c r="AM103" s="723">
        <v>4.3201873671049114E-2</v>
      </c>
      <c r="AN103" s="723">
        <v>4.5977011139711269E-2</v>
      </c>
      <c r="AO103" s="723">
        <v>4.564084072190671E-2</v>
      </c>
      <c r="AP103" s="723">
        <v>4.5977011139812736E-2</v>
      </c>
      <c r="AQ103" s="723">
        <v>4.5181944934950681E-2</v>
      </c>
      <c r="AR103" s="723">
        <v>0.5274725177559505</v>
      </c>
      <c r="AS103" s="723">
        <v>7.047165407547841E-2</v>
      </c>
      <c r="AT103" s="723">
        <v>4.4845016669680431E-2</v>
      </c>
      <c r="AU103" s="723">
        <v>7.9310456864822937E-2</v>
      </c>
      <c r="AV103" s="723">
        <v>0.59133867401435991</v>
      </c>
      <c r="AW103" s="723">
        <v>4.4787163129723806E-2</v>
      </c>
      <c r="AX103" s="723">
        <v>7.4386188018199961E-2</v>
      </c>
      <c r="AY103" s="723">
        <v>4.5977011139845536E-2</v>
      </c>
      <c r="AZ103" s="723">
        <v>0.68817204438814861</v>
      </c>
      <c r="BA103" s="723">
        <v>0.59070333240229644</v>
      </c>
      <c r="BB103" s="723">
        <v>8.5042132807254436E-2</v>
      </c>
      <c r="BC103" s="723">
        <v>7.7777775938018129E-2</v>
      </c>
      <c r="BD103" s="723">
        <v>0.54589992176751578</v>
      </c>
      <c r="BE103" s="723">
        <v>0.52747251775503456</v>
      </c>
      <c r="BF103" s="723">
        <v>4.3489609171357871E-2</v>
      </c>
      <c r="BG103" s="723">
        <v>0.1168119325530344</v>
      </c>
      <c r="BH103" s="723">
        <v>4.5994328269545359E-2</v>
      </c>
      <c r="BI103" s="723">
        <v>0.65612325165784735</v>
      </c>
      <c r="BJ103" s="723">
        <v>0.68593622384847708</v>
      </c>
      <c r="BK103" s="724"/>
      <c r="BL103" s="723">
        <v>0.34752442058488398</v>
      </c>
    </row>
    <row r="104" spans="18:65" x14ac:dyDescent="0.25">
      <c r="S104" t="s">
        <v>1038</v>
      </c>
      <c r="X104" s="38">
        <f t="shared" ref="X104:BJ104" si="2">X102*(X103*$C$70+(1-X103)*$BM$100)</f>
        <v>45.994446359587286</v>
      </c>
      <c r="Y104" s="38">
        <f t="shared" si="2"/>
        <v>54.22213679962875</v>
      </c>
      <c r="Z104" s="38">
        <f t="shared" si="2"/>
        <v>38.852814163577655</v>
      </c>
      <c r="AA104" s="38">
        <f t="shared" si="2"/>
        <v>38.646592833621462</v>
      </c>
      <c r="AB104" s="38">
        <f t="shared" si="2"/>
        <v>43.855980729711334</v>
      </c>
      <c r="AC104" s="38">
        <f t="shared" si="2"/>
        <v>55.179496320794009</v>
      </c>
      <c r="AD104" s="38">
        <f t="shared" si="2"/>
        <v>27.133582089345349</v>
      </c>
      <c r="AE104" s="38">
        <f t="shared" si="2"/>
        <v>48.337537292259455</v>
      </c>
      <c r="AF104" s="38">
        <f t="shared" si="2"/>
        <v>56.145754537194861</v>
      </c>
      <c r="AG104" s="38">
        <f t="shared" si="2"/>
        <v>54.843046900250627</v>
      </c>
      <c r="AH104" s="38">
        <f t="shared" si="2"/>
        <v>52.072142400742486</v>
      </c>
      <c r="AI104" s="38">
        <f t="shared" si="2"/>
        <v>13.356701208007587</v>
      </c>
      <c r="AJ104" s="38">
        <f t="shared" si="2"/>
        <v>31.26085842597433</v>
      </c>
      <c r="AK104" s="38">
        <f t="shared" si="2"/>
        <v>52.754513365574908</v>
      </c>
      <c r="AL104" s="38">
        <f t="shared" si="2"/>
        <v>46.333537212854814</v>
      </c>
      <c r="AM104" s="38">
        <f t="shared" si="2"/>
        <v>53.38266745471887</v>
      </c>
      <c r="AN104" s="38">
        <f t="shared" si="2"/>
        <v>51.202777317782775</v>
      </c>
      <c r="AO104" s="38">
        <f t="shared" si="2"/>
        <v>12.018515658748937</v>
      </c>
      <c r="AP104" s="38">
        <f t="shared" si="2"/>
        <v>53.72540336573698</v>
      </c>
      <c r="AQ104" s="38">
        <f t="shared" si="2"/>
        <v>18.584171245498066</v>
      </c>
      <c r="AR104" s="38">
        <f t="shared" si="2"/>
        <v>51.72873516518851</v>
      </c>
      <c r="AS104" s="38">
        <f t="shared" si="2"/>
        <v>66.484729785420129</v>
      </c>
      <c r="AT104" s="38">
        <f t="shared" si="2"/>
        <v>25.468928874904886</v>
      </c>
      <c r="AU104" s="38">
        <f t="shared" si="2"/>
        <v>45.813452756136577</v>
      </c>
      <c r="AV104" s="38">
        <f t="shared" si="2"/>
        <v>49.683025932787814</v>
      </c>
      <c r="AW104" s="38">
        <f t="shared" si="2"/>
        <v>13.686579876690182</v>
      </c>
      <c r="AX104" s="38">
        <f t="shared" si="2"/>
        <v>40.059167206555195</v>
      </c>
      <c r="AY104" s="38">
        <f t="shared" si="2"/>
        <v>32.738996743989588</v>
      </c>
      <c r="AZ104" s="38">
        <f t="shared" si="2"/>
        <v>45.422988795859233</v>
      </c>
      <c r="BA104" s="38">
        <f t="shared" si="2"/>
        <v>50.398140567871039</v>
      </c>
      <c r="BB104" s="38">
        <f t="shared" si="2"/>
        <v>50.858471561211481</v>
      </c>
      <c r="BC104" s="38">
        <f t="shared" si="2"/>
        <v>45.932547806116197</v>
      </c>
      <c r="BD104" s="38">
        <f t="shared" si="2"/>
        <v>49.170351844370835</v>
      </c>
      <c r="BE104" s="38">
        <f t="shared" si="2"/>
        <v>42.582680684252736</v>
      </c>
      <c r="BF104" s="38">
        <f t="shared" si="2"/>
        <v>54.085990856136839</v>
      </c>
      <c r="BG104" s="38">
        <f t="shared" si="2"/>
        <v>50.615941300607922</v>
      </c>
      <c r="BH104" s="38">
        <f t="shared" si="2"/>
        <v>55.032441483952091</v>
      </c>
      <c r="BI104" s="38">
        <f t="shared" si="2"/>
        <v>40.414618894283258</v>
      </c>
      <c r="BJ104" s="38">
        <f t="shared" si="2"/>
        <v>48.065160883877809</v>
      </c>
    </row>
    <row r="106" spans="18:65" x14ac:dyDescent="0.25">
      <c r="S106" s="112" t="s">
        <v>433</v>
      </c>
    </row>
    <row r="107" spans="18:65" x14ac:dyDescent="0.25">
      <c r="S107" s="192" t="s">
        <v>432</v>
      </c>
      <c r="X107" s="189">
        <f t="shared" ref="X107:BJ107" si="3">34/1.3</f>
        <v>26.153846153846153</v>
      </c>
      <c r="Y107" s="189">
        <f t="shared" si="3"/>
        <v>26.153846153846153</v>
      </c>
      <c r="Z107" s="189">
        <f t="shared" si="3"/>
        <v>26.153846153846153</v>
      </c>
      <c r="AA107" s="189">
        <f t="shared" si="3"/>
        <v>26.153846153846153</v>
      </c>
      <c r="AB107" s="189">
        <f t="shared" si="3"/>
        <v>26.153846153846153</v>
      </c>
      <c r="AC107" s="189">
        <f t="shared" si="3"/>
        <v>26.153846153846153</v>
      </c>
      <c r="AD107" s="189">
        <f t="shared" si="3"/>
        <v>26.153846153846153</v>
      </c>
      <c r="AE107" s="189">
        <f t="shared" si="3"/>
        <v>26.153846153846153</v>
      </c>
      <c r="AF107" s="189">
        <f t="shared" si="3"/>
        <v>26.153846153846153</v>
      </c>
      <c r="AG107" s="189">
        <f t="shared" si="3"/>
        <v>26.153846153846153</v>
      </c>
      <c r="AH107" s="189">
        <f t="shared" si="3"/>
        <v>26.153846153846153</v>
      </c>
      <c r="AI107" s="189">
        <f t="shared" si="3"/>
        <v>26.153846153846153</v>
      </c>
      <c r="AJ107" s="189">
        <f t="shared" si="3"/>
        <v>26.153846153846153</v>
      </c>
      <c r="AK107" s="189">
        <f t="shared" si="3"/>
        <v>26.153846153846153</v>
      </c>
      <c r="AL107" s="189">
        <f t="shared" si="3"/>
        <v>26.153846153846153</v>
      </c>
      <c r="AM107" s="189">
        <f t="shared" si="3"/>
        <v>26.153846153846153</v>
      </c>
      <c r="AN107" s="189">
        <f t="shared" si="3"/>
        <v>26.153846153846153</v>
      </c>
      <c r="AO107" s="189">
        <f t="shared" si="3"/>
        <v>26.153846153846153</v>
      </c>
      <c r="AP107" s="189">
        <f t="shared" si="3"/>
        <v>26.153846153846153</v>
      </c>
      <c r="AQ107" s="189">
        <f t="shared" si="3"/>
        <v>26.153846153846153</v>
      </c>
      <c r="AR107" s="189">
        <f t="shared" si="3"/>
        <v>26.153846153846153</v>
      </c>
      <c r="AS107" s="189">
        <f t="shared" si="3"/>
        <v>26.153846153846153</v>
      </c>
      <c r="AT107" s="189">
        <f t="shared" si="3"/>
        <v>26.153846153846153</v>
      </c>
      <c r="AU107" s="189">
        <f t="shared" si="3"/>
        <v>26.153846153846153</v>
      </c>
      <c r="AV107" s="189">
        <f t="shared" si="3"/>
        <v>26.153846153846153</v>
      </c>
      <c r="AW107" s="189">
        <f t="shared" si="3"/>
        <v>26.153846153846153</v>
      </c>
      <c r="AX107" s="189">
        <f t="shared" si="3"/>
        <v>26.153846153846153</v>
      </c>
      <c r="AY107" s="189">
        <f t="shared" si="3"/>
        <v>26.153846153846153</v>
      </c>
      <c r="AZ107" s="189">
        <f t="shared" si="3"/>
        <v>26.153846153846153</v>
      </c>
      <c r="BA107" s="189">
        <f t="shared" si="3"/>
        <v>26.153846153846153</v>
      </c>
      <c r="BB107" s="189">
        <f t="shared" si="3"/>
        <v>26.153846153846153</v>
      </c>
      <c r="BC107" s="189">
        <f t="shared" si="3"/>
        <v>26.153846153846153</v>
      </c>
      <c r="BD107" s="189">
        <f t="shared" si="3"/>
        <v>26.153846153846153</v>
      </c>
      <c r="BE107" s="189">
        <f t="shared" si="3"/>
        <v>26.153846153846153</v>
      </c>
      <c r="BF107" s="189">
        <f t="shared" si="3"/>
        <v>26.153846153846153</v>
      </c>
      <c r="BG107" s="189">
        <f t="shared" si="3"/>
        <v>26.153846153846153</v>
      </c>
      <c r="BH107" s="189">
        <f t="shared" si="3"/>
        <v>26.153846153846153</v>
      </c>
      <c r="BI107" s="189">
        <f t="shared" si="3"/>
        <v>26.153846153846153</v>
      </c>
      <c r="BJ107" s="189">
        <f t="shared" si="3"/>
        <v>26.153846153846153</v>
      </c>
    </row>
    <row r="108" spans="18:65" x14ac:dyDescent="0.25">
      <c r="S108" s="180" t="s">
        <v>431</v>
      </c>
      <c r="X108" s="189">
        <f t="shared" ref="X108:BJ108" si="4">12/1.3</f>
        <v>9.2307692307692299</v>
      </c>
      <c r="Y108" s="189">
        <f t="shared" si="4"/>
        <v>9.2307692307692299</v>
      </c>
      <c r="Z108" s="189">
        <f t="shared" si="4"/>
        <v>9.2307692307692299</v>
      </c>
      <c r="AA108" s="189">
        <f t="shared" si="4"/>
        <v>9.2307692307692299</v>
      </c>
      <c r="AB108" s="189">
        <f t="shared" si="4"/>
        <v>9.2307692307692299</v>
      </c>
      <c r="AC108" s="189">
        <f t="shared" si="4"/>
        <v>9.2307692307692299</v>
      </c>
      <c r="AD108" s="189">
        <f t="shared" si="4"/>
        <v>9.2307692307692299</v>
      </c>
      <c r="AE108" s="189">
        <f t="shared" si="4"/>
        <v>9.2307692307692299</v>
      </c>
      <c r="AF108" s="189">
        <f t="shared" si="4"/>
        <v>9.2307692307692299</v>
      </c>
      <c r="AG108" s="189">
        <f t="shared" si="4"/>
        <v>9.2307692307692299</v>
      </c>
      <c r="AH108" s="189">
        <f t="shared" si="4"/>
        <v>9.2307692307692299</v>
      </c>
      <c r="AI108" s="189">
        <f t="shared" si="4"/>
        <v>9.2307692307692299</v>
      </c>
      <c r="AJ108" s="189">
        <f t="shared" si="4"/>
        <v>9.2307692307692299</v>
      </c>
      <c r="AK108" s="189">
        <f t="shared" si="4"/>
        <v>9.2307692307692299</v>
      </c>
      <c r="AL108" s="189">
        <f t="shared" si="4"/>
        <v>9.2307692307692299</v>
      </c>
      <c r="AM108" s="189">
        <f t="shared" si="4"/>
        <v>9.2307692307692299</v>
      </c>
      <c r="AN108" s="189">
        <f t="shared" si="4"/>
        <v>9.2307692307692299</v>
      </c>
      <c r="AO108" s="189">
        <f t="shared" si="4"/>
        <v>9.2307692307692299</v>
      </c>
      <c r="AP108" s="189">
        <f t="shared" si="4"/>
        <v>9.2307692307692299</v>
      </c>
      <c r="AQ108" s="189">
        <f t="shared" si="4"/>
        <v>9.2307692307692299</v>
      </c>
      <c r="AR108" s="189">
        <f t="shared" si="4"/>
        <v>9.2307692307692299</v>
      </c>
      <c r="AS108" s="189">
        <f t="shared" si="4"/>
        <v>9.2307692307692299</v>
      </c>
      <c r="AT108" s="189">
        <f t="shared" si="4"/>
        <v>9.2307692307692299</v>
      </c>
      <c r="AU108" s="189">
        <f t="shared" si="4"/>
        <v>9.2307692307692299</v>
      </c>
      <c r="AV108" s="189">
        <f t="shared" si="4"/>
        <v>9.2307692307692299</v>
      </c>
      <c r="AW108" s="189">
        <f t="shared" si="4"/>
        <v>9.2307692307692299</v>
      </c>
      <c r="AX108" s="189">
        <f t="shared" si="4"/>
        <v>9.2307692307692299</v>
      </c>
      <c r="AY108" s="189">
        <f t="shared" si="4"/>
        <v>9.2307692307692299</v>
      </c>
      <c r="AZ108" s="189">
        <f t="shared" si="4"/>
        <v>9.2307692307692299</v>
      </c>
      <c r="BA108" s="189">
        <f t="shared" si="4"/>
        <v>9.2307692307692299</v>
      </c>
      <c r="BB108" s="189">
        <f t="shared" si="4"/>
        <v>9.2307692307692299</v>
      </c>
      <c r="BC108" s="189">
        <f t="shared" si="4"/>
        <v>9.2307692307692299</v>
      </c>
      <c r="BD108" s="189">
        <f t="shared" si="4"/>
        <v>9.2307692307692299</v>
      </c>
      <c r="BE108" s="189">
        <f t="shared" si="4"/>
        <v>9.2307692307692299</v>
      </c>
      <c r="BF108" s="189">
        <f t="shared" si="4"/>
        <v>9.2307692307692299</v>
      </c>
      <c r="BG108" s="189">
        <f t="shared" si="4"/>
        <v>9.2307692307692299</v>
      </c>
      <c r="BH108" s="189">
        <f t="shared" si="4"/>
        <v>9.2307692307692299</v>
      </c>
      <c r="BI108" s="189">
        <f t="shared" si="4"/>
        <v>9.2307692307692299</v>
      </c>
      <c r="BJ108" s="189">
        <f t="shared" si="4"/>
        <v>9.2307692307692299</v>
      </c>
    </row>
    <row r="109" spans="18:65" x14ac:dyDescent="0.25">
      <c r="S109" s="180" t="s">
        <v>430</v>
      </c>
      <c r="T109" s="190"/>
      <c r="X109" s="191">
        <v>0.24</v>
      </c>
      <c r="Y109" s="191">
        <v>0.24</v>
      </c>
      <c r="Z109" s="191">
        <v>0.24</v>
      </c>
      <c r="AA109" s="191">
        <v>0.24</v>
      </c>
      <c r="AB109" s="191">
        <v>0.24</v>
      </c>
      <c r="AC109" s="191">
        <v>0.24</v>
      </c>
      <c r="AD109" s="191">
        <v>0.24</v>
      </c>
      <c r="AE109" s="191">
        <v>0.24</v>
      </c>
      <c r="AF109" s="191">
        <v>0.24</v>
      </c>
      <c r="AG109" s="191">
        <v>0.24</v>
      </c>
      <c r="AH109" s="191">
        <v>0.24</v>
      </c>
      <c r="AI109" s="191">
        <v>0.24</v>
      </c>
      <c r="AJ109" s="191">
        <v>0.24</v>
      </c>
      <c r="AK109" s="191">
        <v>0.24</v>
      </c>
      <c r="AL109" s="191">
        <v>0.24</v>
      </c>
      <c r="AM109" s="191">
        <v>0.24</v>
      </c>
      <c r="AN109" s="191">
        <v>0.24</v>
      </c>
      <c r="AO109" s="191">
        <v>0.24</v>
      </c>
      <c r="AP109" s="191">
        <v>0.24</v>
      </c>
      <c r="AQ109" s="191">
        <v>0.24</v>
      </c>
      <c r="AR109" s="191">
        <v>0.24</v>
      </c>
      <c r="AS109" s="191">
        <v>0.24</v>
      </c>
      <c r="AT109" s="191">
        <v>0.24</v>
      </c>
      <c r="AU109" s="191">
        <v>0.24</v>
      </c>
      <c r="AV109" s="191">
        <v>0.24</v>
      </c>
      <c r="AW109" s="191">
        <v>0.24</v>
      </c>
      <c r="AX109" s="191">
        <v>0.24</v>
      </c>
      <c r="AY109" s="191">
        <v>0.24</v>
      </c>
      <c r="AZ109" s="191">
        <v>0.24</v>
      </c>
      <c r="BA109" s="191">
        <v>0.24</v>
      </c>
      <c r="BB109" s="191">
        <v>0.24</v>
      </c>
      <c r="BC109" s="191">
        <v>0.24</v>
      </c>
      <c r="BD109" s="191">
        <v>0.24</v>
      </c>
      <c r="BE109" s="191">
        <v>0.24</v>
      </c>
      <c r="BF109" s="191">
        <v>0.24</v>
      </c>
      <c r="BG109" s="191">
        <v>0.24</v>
      </c>
      <c r="BH109" s="191">
        <v>0.24</v>
      </c>
      <c r="BI109" s="191">
        <v>0.24</v>
      </c>
      <c r="BJ109" s="191">
        <v>0.24</v>
      </c>
    </row>
    <row r="110" spans="18:65" ht="18" x14ac:dyDescent="0.35">
      <c r="S110" s="180" t="s">
        <v>429</v>
      </c>
      <c r="T110" s="190"/>
      <c r="X110" s="189">
        <f t="shared" ref="X110:BJ110" si="5">151/1.3</f>
        <v>116.15384615384615</v>
      </c>
      <c r="Y110" s="189">
        <f t="shared" si="5"/>
        <v>116.15384615384615</v>
      </c>
      <c r="Z110" s="189">
        <f t="shared" si="5"/>
        <v>116.15384615384615</v>
      </c>
      <c r="AA110" s="189">
        <f t="shared" si="5"/>
        <v>116.15384615384615</v>
      </c>
      <c r="AB110" s="189">
        <f t="shared" si="5"/>
        <v>116.15384615384615</v>
      </c>
      <c r="AC110" s="189">
        <f t="shared" si="5"/>
        <v>116.15384615384615</v>
      </c>
      <c r="AD110" s="189">
        <f t="shared" si="5"/>
        <v>116.15384615384615</v>
      </c>
      <c r="AE110" s="189">
        <f t="shared" si="5"/>
        <v>116.15384615384615</v>
      </c>
      <c r="AF110" s="189">
        <f t="shared" si="5"/>
        <v>116.15384615384615</v>
      </c>
      <c r="AG110" s="189">
        <f t="shared" si="5"/>
        <v>116.15384615384615</v>
      </c>
      <c r="AH110" s="189">
        <f t="shared" si="5"/>
        <v>116.15384615384615</v>
      </c>
      <c r="AI110" s="189">
        <f t="shared" si="5"/>
        <v>116.15384615384615</v>
      </c>
      <c r="AJ110" s="189">
        <f t="shared" si="5"/>
        <v>116.15384615384615</v>
      </c>
      <c r="AK110" s="189">
        <f t="shared" si="5"/>
        <v>116.15384615384615</v>
      </c>
      <c r="AL110" s="189">
        <f t="shared" si="5"/>
        <v>116.15384615384615</v>
      </c>
      <c r="AM110" s="189">
        <f t="shared" si="5"/>
        <v>116.15384615384615</v>
      </c>
      <c r="AN110" s="189">
        <f t="shared" si="5"/>
        <v>116.15384615384615</v>
      </c>
      <c r="AO110" s="189">
        <f t="shared" si="5"/>
        <v>116.15384615384615</v>
      </c>
      <c r="AP110" s="189">
        <f t="shared" si="5"/>
        <v>116.15384615384615</v>
      </c>
      <c r="AQ110" s="189">
        <f t="shared" si="5"/>
        <v>116.15384615384615</v>
      </c>
      <c r="AR110" s="189">
        <f t="shared" si="5"/>
        <v>116.15384615384615</v>
      </c>
      <c r="AS110" s="189">
        <f t="shared" si="5"/>
        <v>116.15384615384615</v>
      </c>
      <c r="AT110" s="189">
        <f t="shared" si="5"/>
        <v>116.15384615384615</v>
      </c>
      <c r="AU110" s="189">
        <f t="shared" si="5"/>
        <v>116.15384615384615</v>
      </c>
      <c r="AV110" s="189">
        <f t="shared" si="5"/>
        <v>116.15384615384615</v>
      </c>
      <c r="AW110" s="189">
        <f t="shared" si="5"/>
        <v>116.15384615384615</v>
      </c>
      <c r="AX110" s="189">
        <f t="shared" si="5"/>
        <v>116.15384615384615</v>
      </c>
      <c r="AY110" s="189">
        <f t="shared" si="5"/>
        <v>116.15384615384615</v>
      </c>
      <c r="AZ110" s="189">
        <f t="shared" si="5"/>
        <v>116.15384615384615</v>
      </c>
      <c r="BA110" s="189">
        <f t="shared" si="5"/>
        <v>116.15384615384615</v>
      </c>
      <c r="BB110" s="189">
        <f t="shared" si="5"/>
        <v>116.15384615384615</v>
      </c>
      <c r="BC110" s="189">
        <f t="shared" si="5"/>
        <v>116.15384615384615</v>
      </c>
      <c r="BD110" s="189">
        <f t="shared" si="5"/>
        <v>116.15384615384615</v>
      </c>
      <c r="BE110" s="189">
        <f t="shared" si="5"/>
        <v>116.15384615384615</v>
      </c>
      <c r="BF110" s="189">
        <f t="shared" si="5"/>
        <v>116.15384615384615</v>
      </c>
      <c r="BG110" s="189">
        <f t="shared" si="5"/>
        <v>116.15384615384615</v>
      </c>
      <c r="BH110" s="189">
        <f t="shared" si="5"/>
        <v>116.15384615384615</v>
      </c>
      <c r="BI110" s="189">
        <f t="shared" si="5"/>
        <v>116.15384615384615</v>
      </c>
      <c r="BJ110" s="189">
        <f t="shared" si="5"/>
        <v>116.15384615384615</v>
      </c>
    </row>
    <row r="111" spans="18:65" s="112" customFormat="1" x14ac:dyDescent="0.25">
      <c r="S111" s="180"/>
      <c r="T111" s="10"/>
      <c r="X111" s="10"/>
      <c r="Y111" s="10"/>
      <c r="Z111" s="10"/>
      <c r="AA111" s="10"/>
      <c r="AB111" s="10"/>
      <c r="AC111" s="10"/>
      <c r="AD111" s="10"/>
      <c r="AE111" s="10"/>
      <c r="AF111" s="10"/>
      <c r="AG111" s="10"/>
      <c r="AH111" s="10"/>
      <c r="AI111" s="10"/>
      <c r="AJ111" s="10"/>
      <c r="AK111" s="10"/>
      <c r="AL111" s="10"/>
      <c r="AM111" s="10"/>
      <c r="AN111" s="10"/>
      <c r="AO111" s="10"/>
      <c r="AP111" s="10"/>
      <c r="AQ111" s="10"/>
      <c r="AR111" s="10"/>
      <c r="AS111" s="10"/>
      <c r="AT111" s="10"/>
      <c r="AU111" s="10"/>
      <c r="AV111" s="10"/>
      <c r="AW111" s="10"/>
      <c r="AX111" s="10"/>
      <c r="AY111" s="10"/>
      <c r="AZ111" s="10"/>
      <c r="BA111" s="10"/>
      <c r="BB111" s="10"/>
      <c r="BC111" s="10"/>
      <c r="BD111" s="10"/>
      <c r="BE111" s="10"/>
      <c r="BF111" s="10"/>
      <c r="BG111" s="10"/>
    </row>
    <row r="112" spans="18:65" x14ac:dyDescent="0.25">
      <c r="S112" s="184" t="s">
        <v>418</v>
      </c>
    </row>
    <row r="113" spans="18:64" x14ac:dyDescent="0.25">
      <c r="R113" t="s">
        <v>421</v>
      </c>
      <c r="S113" t="s">
        <v>428</v>
      </c>
      <c r="U113" s="186" t="s">
        <v>420</v>
      </c>
      <c r="W113" t="s">
        <v>420</v>
      </c>
      <c r="X113" s="99">
        <f>'Fertilizer Rate'!B46/(1-Watersheds!B8+Watersheds!B8*$C$67)</f>
        <v>160.97747712275466</v>
      </c>
      <c r="Y113" s="99">
        <f>'Fertilizer Rate'!C46/(1-Watersheds!C8+Watersheds!C8*$C$67)</f>
        <v>150.59426478548244</v>
      </c>
      <c r="Z113" s="99">
        <f>'Fertilizer Rate'!D46/(1-Watersheds!D8+Watersheds!D8*$C$67)</f>
        <v>179.25186638040083</v>
      </c>
      <c r="AA113" s="99">
        <f>'Fertilizer Rate'!E46/(1-Watersheds!E8+Watersheds!E8*$C$67)</f>
        <v>119.58071617012943</v>
      </c>
      <c r="AB113" s="99">
        <f>'Fertilizer Rate'!F46/(1-Watersheds!F8+Watersheds!F8*$C$67)</f>
        <v>168.95310402416999</v>
      </c>
      <c r="AC113" s="99">
        <f>'Fertilizer Rate'!G46/(1-Watersheds!G8+Watersheds!G8*$C$67)</f>
        <v>84.304396684326363</v>
      </c>
      <c r="AD113" s="99">
        <f>'Fertilizer Rate'!H46/(1-Watersheds!H8+Watersheds!H8*$C$67)</f>
        <v>108.51493426325121</v>
      </c>
      <c r="AE113" s="99">
        <f>'Fertilizer Rate'!I46/(1-Watersheds!I8+Watersheds!I8*$C$67)</f>
        <v>168.69887797291108</v>
      </c>
      <c r="AF113" s="99">
        <f>'Fertilizer Rate'!J46/(1-Watersheds!J8+Watersheds!J8*$C$67)</f>
        <v>161.97781392665362</v>
      </c>
      <c r="AG113" s="99">
        <f>'Fertilizer Rate'!K46/(1-Watersheds!K8+Watersheds!K8*$C$67)</f>
        <v>132.89264617871541</v>
      </c>
      <c r="AH113" s="99">
        <f>'Fertilizer Rate'!L46/(1-Watersheds!L8+Watersheds!L8*$C$67)</f>
        <v>35.822765980375813</v>
      </c>
      <c r="AI113" s="99">
        <f>'Fertilizer Rate'!M46/(1-Watersheds!M8+Watersheds!M8*$C$67)</f>
        <v>80.110553791282072</v>
      </c>
      <c r="AJ113" s="99">
        <f>'Fertilizer Rate'!N46/(1-Watersheds!N8+Watersheds!N8*$C$67)</f>
        <v>171.37257301077378</v>
      </c>
      <c r="AK113" s="99">
        <f>'Fertilizer Rate'!O46/(1-Watersheds!O8+Watersheds!O8*$C$67)</f>
        <v>152.8712784774182</v>
      </c>
      <c r="AL113" s="99">
        <f>'Fertilizer Rate'!P46/(1-Watersheds!P8+Watersheds!P8*$C$67)</f>
        <v>178.10998263079514</v>
      </c>
      <c r="AM113" s="99">
        <f>'Fertilizer Rate'!Q46/(1-Watersheds!Q8+Watersheds!Q8*$C$67)</f>
        <v>114.4768656983487</v>
      </c>
      <c r="AN113" s="99">
        <f>'Fertilizer Rate'!R46/(1-Watersheds!R8+Watersheds!R8*$C$67)</f>
        <v>124.0038604282245</v>
      </c>
      <c r="AO113" s="99">
        <f>'Fertilizer Rate'!S46/(1-Watersheds!S8+Watersheds!S8*$C$67)</f>
        <v>95.398113308347703</v>
      </c>
      <c r="AP113" s="99">
        <f>'Fertilizer Rate'!T46/(1-Watersheds!T8+Watersheds!T8*$C$67)</f>
        <v>45.93045591130506</v>
      </c>
      <c r="AQ113" s="99">
        <f>'Fertilizer Rate'!U46/(1-Watersheds!U8+Watersheds!U8*$C$67)</f>
        <v>22.01445278197745</v>
      </c>
      <c r="AR113" s="99">
        <f>'Fertilizer Rate'!V46/(1-Watersheds!V8+Watersheds!V8*$C$67)</f>
        <v>174.60954260239134</v>
      </c>
      <c r="AS113" s="99">
        <f>'Fertilizer Rate'!W46/(1-Watersheds!W8+Watersheds!W8*$C$67)</f>
        <v>141.55500500173466</v>
      </c>
      <c r="AT113" s="99">
        <f>'Fertilizer Rate'!X46/(1-Watersheds!X8+Watersheds!X8*$C$67)</f>
        <v>28.10958044186172</v>
      </c>
      <c r="AU113" s="99">
        <f>'Fertilizer Rate'!Y46/(1-Watersheds!Y8+Watersheds!Y8*$C$67)</f>
        <v>179.99522972366131</v>
      </c>
      <c r="AV113" s="99">
        <f>'Fertilizer Rate'!Z46/(1-Watersheds!Z8+Watersheds!Z8*$C$67)</f>
        <v>163.70497622698241</v>
      </c>
      <c r="AW113" s="99">
        <f>'Fertilizer Rate'!AA46/(1-Watersheds!AA8+Watersheds!AA8*$C$67)</f>
        <v>113.35898307301667</v>
      </c>
      <c r="AX113" s="99">
        <f>'Fertilizer Rate'!AB46/(1-Watersheds!AB8+Watersheds!AB8*$C$67)</f>
        <v>148.54783172166731</v>
      </c>
      <c r="AY113" s="99">
        <f>'Fertilizer Rate'!AC46/(1-Watersheds!AC8+Watersheds!AC8*$C$67)</f>
        <v>86.478408755568978</v>
      </c>
      <c r="AZ113" s="99">
        <f>'Fertilizer Rate'!AD46/(1-Watersheds!AD8+Watersheds!AD8*$C$67)</f>
        <v>188.25598938593706</v>
      </c>
      <c r="BA113" s="99">
        <f>'Fertilizer Rate'!AE46/(1-Watersheds!AE8+Watersheds!AE8*$C$67)</f>
        <v>161.47583522953204</v>
      </c>
      <c r="BB113" s="99">
        <f>'Fertilizer Rate'!AF46/(1-Watersheds!AF8+Watersheds!AF8*$C$67)</f>
        <v>142.55040102955923</v>
      </c>
      <c r="BC113" s="99">
        <f>'Fertilizer Rate'!AG46/(1-Watersheds!AG8+Watersheds!AG8*$C$67)</f>
        <v>183.42587902956581</v>
      </c>
      <c r="BD113" s="99">
        <f>'Fertilizer Rate'!AH46/(1-Watersheds!AH8+Watersheds!AH8*$C$67)</f>
        <v>161.16483970399801</v>
      </c>
      <c r="BE113" s="99">
        <f>'Fertilizer Rate'!AI46/(1-Watersheds!AI8+Watersheds!AI8*$C$67)</f>
        <v>170.53894953767099</v>
      </c>
      <c r="BF113" s="99">
        <f>'Fertilizer Rate'!AJ46/(1-Watersheds!AJ8+Watersheds!AJ8*$C$67)</f>
        <v>131.77137988185248</v>
      </c>
      <c r="BG113" s="99">
        <f>'Fertilizer Rate'!AK46/(1-Watersheds!AK8+Watersheds!AK8*$C$67)</f>
        <v>178.19354600800125</v>
      </c>
      <c r="BH113" s="99">
        <f>'Fertilizer Rate'!AL46/(1-Watersheds!AL8+Watersheds!AL8*$C$67)</f>
        <v>140.82046895311674</v>
      </c>
      <c r="BI113" s="99">
        <f>'Fertilizer Rate'!AM46/(1-Watersheds!AM8+Watersheds!AM8*$C$67)</f>
        <v>176.00808514891224</v>
      </c>
      <c r="BJ113" s="99">
        <f>'Fertilizer Rate'!AN46/(1-Watersheds!AN8+Watersheds!AN8*$C$67)</f>
        <v>129.79551139723472</v>
      </c>
      <c r="BK113" s="99"/>
      <c r="BL113" s="99"/>
    </row>
    <row r="114" spans="18:64" x14ac:dyDescent="0.25">
      <c r="S114" s="180" t="s">
        <v>417</v>
      </c>
      <c r="V114" s="188">
        <f>Returns_Per_A!C64</f>
        <v>4</v>
      </c>
      <c r="X114" s="171">
        <f t="shared" ref="X114:BJ114" si="6">$V$114*X113</f>
        <v>643.90990849101865</v>
      </c>
      <c r="Y114" s="171">
        <f t="shared" si="6"/>
        <v>602.37705914192975</v>
      </c>
      <c r="Z114" s="171">
        <f t="shared" si="6"/>
        <v>717.00746552160331</v>
      </c>
      <c r="AA114" s="171">
        <f t="shared" si="6"/>
        <v>478.32286468051774</v>
      </c>
      <c r="AB114" s="171">
        <f t="shared" si="6"/>
        <v>675.81241609667995</v>
      </c>
      <c r="AC114" s="171">
        <f t="shared" si="6"/>
        <v>337.21758673730545</v>
      </c>
      <c r="AD114" s="171">
        <f t="shared" si="6"/>
        <v>434.05973705300482</v>
      </c>
      <c r="AE114" s="171">
        <f t="shared" si="6"/>
        <v>674.79551189164431</v>
      </c>
      <c r="AF114" s="171">
        <f t="shared" si="6"/>
        <v>647.9112557066145</v>
      </c>
      <c r="AG114" s="171">
        <f t="shared" si="6"/>
        <v>531.57058471486164</v>
      </c>
      <c r="AH114" s="171">
        <f t="shared" si="6"/>
        <v>143.29106392150325</v>
      </c>
      <c r="AI114" s="171">
        <f t="shared" si="6"/>
        <v>320.44221516512829</v>
      </c>
      <c r="AJ114" s="171">
        <f t="shared" si="6"/>
        <v>685.49029204309511</v>
      </c>
      <c r="AK114" s="171">
        <f t="shared" si="6"/>
        <v>611.4851139096728</v>
      </c>
      <c r="AL114" s="171">
        <f t="shared" si="6"/>
        <v>712.43993052318058</v>
      </c>
      <c r="AM114" s="171">
        <f t="shared" si="6"/>
        <v>457.90746279339481</v>
      </c>
      <c r="AN114" s="171">
        <f t="shared" si="6"/>
        <v>496.015441712898</v>
      </c>
      <c r="AO114" s="171">
        <f t="shared" si="6"/>
        <v>381.59245323339081</v>
      </c>
      <c r="AP114" s="171">
        <f t="shared" si="6"/>
        <v>183.72182364522024</v>
      </c>
      <c r="AQ114" s="171">
        <f t="shared" si="6"/>
        <v>88.057811127909801</v>
      </c>
      <c r="AR114" s="171">
        <f t="shared" si="6"/>
        <v>698.43817040956537</v>
      </c>
      <c r="AS114" s="171">
        <f t="shared" si="6"/>
        <v>566.22002000693863</v>
      </c>
      <c r="AT114" s="171">
        <f t="shared" si="6"/>
        <v>112.43832176744688</v>
      </c>
      <c r="AU114" s="171">
        <f t="shared" si="6"/>
        <v>719.98091889464524</v>
      </c>
      <c r="AV114" s="171">
        <f t="shared" si="6"/>
        <v>654.81990490792964</v>
      </c>
      <c r="AW114" s="171">
        <f t="shared" si="6"/>
        <v>453.4359322920667</v>
      </c>
      <c r="AX114" s="171">
        <f t="shared" si="6"/>
        <v>594.19132688666923</v>
      </c>
      <c r="AY114" s="171">
        <f t="shared" si="6"/>
        <v>345.91363502227591</v>
      </c>
      <c r="AZ114" s="171">
        <f t="shared" si="6"/>
        <v>753.02395754374822</v>
      </c>
      <c r="BA114" s="171">
        <f t="shared" si="6"/>
        <v>645.90334091812815</v>
      </c>
      <c r="BB114" s="171">
        <f t="shared" si="6"/>
        <v>570.2016041182369</v>
      </c>
      <c r="BC114" s="171">
        <f t="shared" si="6"/>
        <v>733.70351611826322</v>
      </c>
      <c r="BD114" s="171">
        <f t="shared" si="6"/>
        <v>644.65935881599205</v>
      </c>
      <c r="BE114" s="171">
        <f t="shared" si="6"/>
        <v>682.15579815068395</v>
      </c>
      <c r="BF114" s="171">
        <f t="shared" si="6"/>
        <v>527.08551952740993</v>
      </c>
      <c r="BG114" s="171">
        <f t="shared" si="6"/>
        <v>712.774184032005</v>
      </c>
      <c r="BH114" s="171">
        <f t="shared" si="6"/>
        <v>563.28187581246698</v>
      </c>
      <c r="BI114" s="171">
        <f t="shared" si="6"/>
        <v>704.03234059564898</v>
      </c>
      <c r="BJ114" s="171">
        <f t="shared" si="6"/>
        <v>519.18204558893888</v>
      </c>
    </row>
    <row r="115" spans="18:64" s="112" customFormat="1" x14ac:dyDescent="0.25">
      <c r="S115" s="180"/>
      <c r="T115" s="10"/>
      <c r="X115" s="10"/>
      <c r="Y115" s="10"/>
      <c r="Z115" s="10"/>
      <c r="AA115" s="10"/>
      <c r="AB115" s="10"/>
      <c r="AC115" s="10"/>
      <c r="AD115" s="10"/>
      <c r="AE115" s="10"/>
      <c r="AF115" s="10"/>
      <c r="AG115" s="10"/>
      <c r="AH115" s="10"/>
      <c r="AI115" s="10"/>
      <c r="AJ115" s="10"/>
      <c r="AK115" s="10"/>
      <c r="AL115" s="10"/>
      <c r="AM115" s="10"/>
      <c r="AN115" s="10"/>
      <c r="AO115" s="10"/>
      <c r="AP115" s="10"/>
      <c r="AQ115" s="10"/>
      <c r="AR115" s="10"/>
      <c r="AS115" s="10"/>
      <c r="AT115" s="10"/>
      <c r="AU115" s="10"/>
      <c r="AV115" s="10"/>
      <c r="AW115" s="10"/>
      <c r="AX115" s="10"/>
      <c r="AY115" s="10"/>
      <c r="AZ115" s="10"/>
      <c r="BA115" s="10"/>
      <c r="BB115" s="10"/>
      <c r="BC115" s="10"/>
      <c r="BD115" s="10"/>
      <c r="BE115" s="10"/>
      <c r="BF115" s="10"/>
      <c r="BG115" s="10"/>
    </row>
    <row r="116" spans="18:64" s="112" customFormat="1" x14ac:dyDescent="0.25">
      <c r="S116" s="180" t="s">
        <v>413</v>
      </c>
      <c r="T116" s="10"/>
      <c r="U116" t="s">
        <v>134</v>
      </c>
      <c r="X116" s="10"/>
      <c r="Y116" s="10"/>
      <c r="Z116" s="10"/>
      <c r="AA116" s="10"/>
      <c r="AB116" s="10"/>
      <c r="AC116" s="10"/>
      <c r="AD116" s="10"/>
      <c r="AE116" s="10"/>
      <c r="AF116" s="10"/>
      <c r="AG116" s="10"/>
      <c r="AH116" s="10"/>
      <c r="AI116" s="10"/>
      <c r="AJ116" s="10"/>
      <c r="AK116" s="10"/>
      <c r="AL116" s="10"/>
      <c r="AM116" s="10"/>
      <c r="AN116" s="10"/>
      <c r="AO116" s="10"/>
      <c r="AP116" s="10"/>
      <c r="AQ116" s="10"/>
      <c r="AR116" s="10"/>
      <c r="AS116" s="10"/>
      <c r="AT116" s="10"/>
      <c r="AU116" s="10"/>
      <c r="AV116" s="10"/>
      <c r="AW116" s="10"/>
      <c r="AX116" s="10"/>
      <c r="AY116" s="10"/>
      <c r="AZ116" s="10"/>
      <c r="BA116" s="10"/>
      <c r="BB116" s="10"/>
      <c r="BC116" s="10"/>
      <c r="BD116" s="10"/>
      <c r="BE116" s="10"/>
      <c r="BF116" s="10"/>
      <c r="BG116" s="10"/>
    </row>
    <row r="117" spans="18:64" x14ac:dyDescent="0.25">
      <c r="R117" t="str">
        <f ca="1">CELL("address",C74)</f>
        <v>$C$74</v>
      </c>
      <c r="S117" s="180" t="s">
        <v>410</v>
      </c>
      <c r="X117" s="187">
        <f t="shared" ref="X117:BJ117" si="7">ROUNDUP((MAX(($K$92-$L$92*X$107),0)*X113)*X$109+MAX(($M$92-$N$92*X$108),0)*X113*(1-X$109)*2,-1)/2</f>
        <v>40</v>
      </c>
      <c r="Y117" s="187">
        <f t="shared" si="7"/>
        <v>35</v>
      </c>
      <c r="Z117" s="187">
        <f t="shared" si="7"/>
        <v>45</v>
      </c>
      <c r="AA117" s="187">
        <f t="shared" si="7"/>
        <v>30</v>
      </c>
      <c r="AB117" s="187">
        <f t="shared" si="7"/>
        <v>40</v>
      </c>
      <c r="AC117" s="187">
        <f t="shared" si="7"/>
        <v>20</v>
      </c>
      <c r="AD117" s="187">
        <f t="shared" si="7"/>
        <v>25</v>
      </c>
      <c r="AE117" s="187">
        <f t="shared" si="7"/>
        <v>40</v>
      </c>
      <c r="AF117" s="187">
        <f t="shared" si="7"/>
        <v>40</v>
      </c>
      <c r="AG117" s="187">
        <f t="shared" si="7"/>
        <v>30</v>
      </c>
      <c r="AH117" s="187">
        <f t="shared" si="7"/>
        <v>10</v>
      </c>
      <c r="AI117" s="187">
        <f t="shared" si="7"/>
        <v>20</v>
      </c>
      <c r="AJ117" s="187">
        <f t="shared" si="7"/>
        <v>40</v>
      </c>
      <c r="AK117" s="187">
        <f t="shared" si="7"/>
        <v>35</v>
      </c>
      <c r="AL117" s="187">
        <f t="shared" si="7"/>
        <v>40</v>
      </c>
      <c r="AM117" s="187">
        <f t="shared" si="7"/>
        <v>30</v>
      </c>
      <c r="AN117" s="187">
        <f t="shared" si="7"/>
        <v>30</v>
      </c>
      <c r="AO117" s="187">
        <f t="shared" si="7"/>
        <v>25</v>
      </c>
      <c r="AP117" s="187">
        <f t="shared" si="7"/>
        <v>15</v>
      </c>
      <c r="AQ117" s="187">
        <f t="shared" si="7"/>
        <v>5</v>
      </c>
      <c r="AR117" s="187">
        <f t="shared" si="7"/>
        <v>40</v>
      </c>
      <c r="AS117" s="187">
        <f t="shared" si="7"/>
        <v>35</v>
      </c>
      <c r="AT117" s="187">
        <f t="shared" si="7"/>
        <v>10</v>
      </c>
      <c r="AU117" s="187">
        <f t="shared" si="7"/>
        <v>45</v>
      </c>
      <c r="AV117" s="187">
        <f t="shared" si="7"/>
        <v>40</v>
      </c>
      <c r="AW117" s="187">
        <f t="shared" si="7"/>
        <v>30</v>
      </c>
      <c r="AX117" s="187">
        <f t="shared" si="7"/>
        <v>35</v>
      </c>
      <c r="AY117" s="187">
        <f t="shared" si="7"/>
        <v>20</v>
      </c>
      <c r="AZ117" s="187">
        <f t="shared" si="7"/>
        <v>45</v>
      </c>
      <c r="BA117" s="187">
        <f t="shared" si="7"/>
        <v>40</v>
      </c>
      <c r="BB117" s="187">
        <f t="shared" si="7"/>
        <v>35</v>
      </c>
      <c r="BC117" s="187">
        <f t="shared" si="7"/>
        <v>45</v>
      </c>
      <c r="BD117" s="187">
        <f t="shared" si="7"/>
        <v>40</v>
      </c>
      <c r="BE117" s="187">
        <f t="shared" si="7"/>
        <v>40</v>
      </c>
      <c r="BF117" s="187">
        <f t="shared" si="7"/>
        <v>30</v>
      </c>
      <c r="BG117" s="187">
        <f t="shared" si="7"/>
        <v>40</v>
      </c>
      <c r="BH117" s="187">
        <f t="shared" si="7"/>
        <v>35</v>
      </c>
      <c r="BI117" s="187">
        <f t="shared" si="7"/>
        <v>40</v>
      </c>
      <c r="BJ117" s="187">
        <f t="shared" si="7"/>
        <v>30</v>
      </c>
    </row>
    <row r="118" spans="18:64" x14ac:dyDescent="0.25">
      <c r="R118" t="str">
        <f ca="1">CELL("address",C75)</f>
        <v>$C$75</v>
      </c>
      <c r="S118" s="180" t="s">
        <v>409</v>
      </c>
      <c r="X118" s="182">
        <f t="shared" ref="X118:BJ118" si="8">ROUNDUP(MAX(($O$92-$P$92*X$110)*X113,0)*2,-1)/2</f>
        <v>55</v>
      </c>
      <c r="Y118" s="182">
        <f t="shared" si="8"/>
        <v>50</v>
      </c>
      <c r="Z118" s="182">
        <f t="shared" si="8"/>
        <v>60</v>
      </c>
      <c r="AA118" s="182">
        <f t="shared" si="8"/>
        <v>40</v>
      </c>
      <c r="AB118" s="182">
        <f t="shared" si="8"/>
        <v>55</v>
      </c>
      <c r="AC118" s="182">
        <f t="shared" si="8"/>
        <v>30</v>
      </c>
      <c r="AD118" s="182">
        <f t="shared" si="8"/>
        <v>35</v>
      </c>
      <c r="AE118" s="182">
        <f t="shared" si="8"/>
        <v>55</v>
      </c>
      <c r="AF118" s="182">
        <f t="shared" si="8"/>
        <v>55</v>
      </c>
      <c r="AG118" s="182">
        <f t="shared" si="8"/>
        <v>45</v>
      </c>
      <c r="AH118" s="182">
        <f t="shared" si="8"/>
        <v>15</v>
      </c>
      <c r="AI118" s="182">
        <f t="shared" si="8"/>
        <v>30</v>
      </c>
      <c r="AJ118" s="182">
        <f t="shared" si="8"/>
        <v>55</v>
      </c>
      <c r="AK118" s="182">
        <f t="shared" si="8"/>
        <v>50</v>
      </c>
      <c r="AL118" s="182">
        <f t="shared" si="8"/>
        <v>60</v>
      </c>
      <c r="AM118" s="182">
        <f t="shared" si="8"/>
        <v>40</v>
      </c>
      <c r="AN118" s="182">
        <f t="shared" si="8"/>
        <v>40</v>
      </c>
      <c r="AO118" s="182">
        <f t="shared" si="8"/>
        <v>35</v>
      </c>
      <c r="AP118" s="182">
        <f t="shared" si="8"/>
        <v>15</v>
      </c>
      <c r="AQ118" s="182">
        <f t="shared" si="8"/>
        <v>10</v>
      </c>
      <c r="AR118" s="182">
        <f t="shared" si="8"/>
        <v>60</v>
      </c>
      <c r="AS118" s="182">
        <f t="shared" si="8"/>
        <v>50</v>
      </c>
      <c r="AT118" s="182">
        <f t="shared" si="8"/>
        <v>10</v>
      </c>
      <c r="AU118" s="182">
        <f t="shared" si="8"/>
        <v>60</v>
      </c>
      <c r="AV118" s="182">
        <f t="shared" si="8"/>
        <v>55</v>
      </c>
      <c r="AW118" s="182">
        <f t="shared" si="8"/>
        <v>40</v>
      </c>
      <c r="AX118" s="182">
        <f t="shared" si="8"/>
        <v>50</v>
      </c>
      <c r="AY118" s="182">
        <f t="shared" si="8"/>
        <v>30</v>
      </c>
      <c r="AZ118" s="182">
        <f t="shared" si="8"/>
        <v>60</v>
      </c>
      <c r="BA118" s="182">
        <f t="shared" si="8"/>
        <v>55</v>
      </c>
      <c r="BB118" s="182">
        <f t="shared" si="8"/>
        <v>50</v>
      </c>
      <c r="BC118" s="182">
        <f t="shared" si="8"/>
        <v>60</v>
      </c>
      <c r="BD118" s="182">
        <f t="shared" si="8"/>
        <v>55</v>
      </c>
      <c r="BE118" s="182">
        <f t="shared" si="8"/>
        <v>55</v>
      </c>
      <c r="BF118" s="182">
        <f t="shared" si="8"/>
        <v>45</v>
      </c>
      <c r="BG118" s="182">
        <f t="shared" si="8"/>
        <v>60</v>
      </c>
      <c r="BH118" s="182">
        <f t="shared" si="8"/>
        <v>45</v>
      </c>
      <c r="BI118" s="182">
        <f t="shared" si="8"/>
        <v>60</v>
      </c>
      <c r="BJ118" s="182">
        <f t="shared" si="8"/>
        <v>45</v>
      </c>
    </row>
    <row r="119" spans="18:64" x14ac:dyDescent="0.25">
      <c r="S119" s="180" t="s">
        <v>412</v>
      </c>
      <c r="X119" s="182"/>
      <c r="Y119" s="182"/>
      <c r="Z119" s="182"/>
      <c r="AA119" s="182"/>
      <c r="AB119" s="182"/>
      <c r="AC119" s="182"/>
      <c r="AD119" s="182"/>
      <c r="AE119" s="182"/>
      <c r="AF119" s="182"/>
      <c r="AG119" s="182"/>
      <c r="AH119" s="182"/>
      <c r="AI119" s="182"/>
      <c r="AJ119" s="182"/>
      <c r="AK119" s="182"/>
      <c r="AL119" s="182"/>
      <c r="AM119" s="182"/>
      <c r="AN119" s="182"/>
      <c r="AO119" s="182"/>
      <c r="AP119" s="182"/>
      <c r="AQ119" s="182"/>
      <c r="AR119" s="182"/>
      <c r="AS119" s="182"/>
      <c r="AT119" s="182"/>
      <c r="AU119" s="182"/>
      <c r="AV119" s="182"/>
      <c r="AW119" s="182"/>
      <c r="AX119" s="182"/>
      <c r="AY119" s="182"/>
      <c r="AZ119" s="182"/>
      <c r="BA119" s="182"/>
      <c r="BB119" s="182"/>
      <c r="BC119" s="182"/>
      <c r="BD119" s="182"/>
      <c r="BE119" s="182"/>
      <c r="BF119" s="182"/>
      <c r="BG119" s="182"/>
    </row>
    <row r="120" spans="18:64" x14ac:dyDescent="0.25">
      <c r="S120" s="180" t="s">
        <v>410</v>
      </c>
      <c r="X120" s="735">
        <f t="shared" ref="X120:BJ120" si="9">-$C74*X117</f>
        <v>-17.600000000000001</v>
      </c>
      <c r="Y120" s="171">
        <f t="shared" si="9"/>
        <v>-15.4</v>
      </c>
      <c r="Z120" s="171">
        <f t="shared" si="9"/>
        <v>-19.8</v>
      </c>
      <c r="AA120" s="171">
        <f t="shared" si="9"/>
        <v>-13.2</v>
      </c>
      <c r="AB120" s="171">
        <f t="shared" si="9"/>
        <v>-17.600000000000001</v>
      </c>
      <c r="AC120" s="171">
        <f t="shared" si="9"/>
        <v>-8.8000000000000007</v>
      </c>
      <c r="AD120" s="171">
        <f t="shared" si="9"/>
        <v>-11</v>
      </c>
      <c r="AE120" s="171">
        <f t="shared" si="9"/>
        <v>-17.600000000000001</v>
      </c>
      <c r="AF120" s="171">
        <f t="shared" si="9"/>
        <v>-17.600000000000001</v>
      </c>
      <c r="AG120" s="171">
        <f t="shared" si="9"/>
        <v>-13.2</v>
      </c>
      <c r="AH120" s="171">
        <f t="shared" si="9"/>
        <v>-4.4000000000000004</v>
      </c>
      <c r="AI120" s="171">
        <f t="shared" si="9"/>
        <v>-8.8000000000000007</v>
      </c>
      <c r="AJ120" s="171">
        <f t="shared" si="9"/>
        <v>-17.600000000000001</v>
      </c>
      <c r="AK120" s="171">
        <f t="shared" si="9"/>
        <v>-15.4</v>
      </c>
      <c r="AL120" s="171">
        <f t="shared" si="9"/>
        <v>-17.600000000000001</v>
      </c>
      <c r="AM120" s="171">
        <f t="shared" si="9"/>
        <v>-13.2</v>
      </c>
      <c r="AN120" s="171">
        <f t="shared" si="9"/>
        <v>-13.2</v>
      </c>
      <c r="AO120" s="171">
        <f t="shared" si="9"/>
        <v>-11</v>
      </c>
      <c r="AP120" s="171">
        <f t="shared" si="9"/>
        <v>-6.6</v>
      </c>
      <c r="AQ120" s="171">
        <f t="shared" si="9"/>
        <v>-2.2000000000000002</v>
      </c>
      <c r="AR120" s="171">
        <f t="shared" si="9"/>
        <v>-17.600000000000001</v>
      </c>
      <c r="AS120" s="171">
        <f t="shared" si="9"/>
        <v>-15.4</v>
      </c>
      <c r="AT120" s="171">
        <f t="shared" si="9"/>
        <v>-4.4000000000000004</v>
      </c>
      <c r="AU120" s="171">
        <f t="shared" si="9"/>
        <v>-19.8</v>
      </c>
      <c r="AV120" s="171">
        <f t="shared" si="9"/>
        <v>-17.600000000000001</v>
      </c>
      <c r="AW120" s="171">
        <f t="shared" si="9"/>
        <v>-13.2</v>
      </c>
      <c r="AX120" s="171">
        <f t="shared" si="9"/>
        <v>-15.4</v>
      </c>
      <c r="AY120" s="171">
        <f t="shared" si="9"/>
        <v>-8.8000000000000007</v>
      </c>
      <c r="AZ120" s="171">
        <f t="shared" si="9"/>
        <v>-19.8</v>
      </c>
      <c r="BA120" s="171">
        <f t="shared" si="9"/>
        <v>-17.600000000000001</v>
      </c>
      <c r="BB120" s="171">
        <f t="shared" si="9"/>
        <v>-15.4</v>
      </c>
      <c r="BC120" s="171">
        <f t="shared" si="9"/>
        <v>-19.8</v>
      </c>
      <c r="BD120" s="171">
        <f t="shared" si="9"/>
        <v>-17.600000000000001</v>
      </c>
      <c r="BE120" s="171">
        <f t="shared" si="9"/>
        <v>-17.600000000000001</v>
      </c>
      <c r="BF120" s="171">
        <f t="shared" si="9"/>
        <v>-13.2</v>
      </c>
      <c r="BG120" s="171">
        <f t="shared" si="9"/>
        <v>-17.600000000000001</v>
      </c>
      <c r="BH120" s="171">
        <f t="shared" si="9"/>
        <v>-15.4</v>
      </c>
      <c r="BI120" s="171">
        <f t="shared" si="9"/>
        <v>-17.600000000000001</v>
      </c>
      <c r="BJ120" s="171">
        <f t="shared" si="9"/>
        <v>-13.2</v>
      </c>
    </row>
    <row r="121" spans="18:64" x14ac:dyDescent="0.25">
      <c r="S121" s="180" t="s">
        <v>409</v>
      </c>
      <c r="X121" s="735">
        <f t="shared" ref="X121:BJ121" si="10">-$C75*X118</f>
        <v>-20.9</v>
      </c>
      <c r="Y121" s="171">
        <f t="shared" si="10"/>
        <v>-19</v>
      </c>
      <c r="Z121" s="171">
        <f t="shared" si="10"/>
        <v>-22.8</v>
      </c>
      <c r="AA121" s="171">
        <f t="shared" si="10"/>
        <v>-15.2</v>
      </c>
      <c r="AB121" s="171">
        <f t="shared" si="10"/>
        <v>-20.9</v>
      </c>
      <c r="AC121" s="171">
        <f t="shared" si="10"/>
        <v>-11.4</v>
      </c>
      <c r="AD121" s="171">
        <f t="shared" si="10"/>
        <v>-13.3</v>
      </c>
      <c r="AE121" s="171">
        <f t="shared" si="10"/>
        <v>-20.9</v>
      </c>
      <c r="AF121" s="171">
        <f t="shared" si="10"/>
        <v>-20.9</v>
      </c>
      <c r="AG121" s="171">
        <f t="shared" si="10"/>
        <v>-17.100000000000001</v>
      </c>
      <c r="AH121" s="171">
        <f t="shared" si="10"/>
        <v>-5.7</v>
      </c>
      <c r="AI121" s="171">
        <f t="shared" si="10"/>
        <v>-11.4</v>
      </c>
      <c r="AJ121" s="171">
        <f t="shared" si="10"/>
        <v>-20.9</v>
      </c>
      <c r="AK121" s="171">
        <f t="shared" si="10"/>
        <v>-19</v>
      </c>
      <c r="AL121" s="171">
        <f t="shared" si="10"/>
        <v>-22.8</v>
      </c>
      <c r="AM121" s="171">
        <f t="shared" si="10"/>
        <v>-15.2</v>
      </c>
      <c r="AN121" s="171">
        <f t="shared" si="10"/>
        <v>-15.2</v>
      </c>
      <c r="AO121" s="171">
        <f t="shared" si="10"/>
        <v>-13.3</v>
      </c>
      <c r="AP121" s="171">
        <f t="shared" si="10"/>
        <v>-5.7</v>
      </c>
      <c r="AQ121" s="171">
        <f t="shared" si="10"/>
        <v>-3.8</v>
      </c>
      <c r="AR121" s="171">
        <f t="shared" si="10"/>
        <v>-22.8</v>
      </c>
      <c r="AS121" s="171">
        <f t="shared" si="10"/>
        <v>-19</v>
      </c>
      <c r="AT121" s="171">
        <f t="shared" si="10"/>
        <v>-3.8</v>
      </c>
      <c r="AU121" s="171">
        <f t="shared" si="10"/>
        <v>-22.8</v>
      </c>
      <c r="AV121" s="171">
        <f t="shared" si="10"/>
        <v>-20.9</v>
      </c>
      <c r="AW121" s="171">
        <f t="shared" si="10"/>
        <v>-15.2</v>
      </c>
      <c r="AX121" s="171">
        <f t="shared" si="10"/>
        <v>-19</v>
      </c>
      <c r="AY121" s="171">
        <f t="shared" si="10"/>
        <v>-11.4</v>
      </c>
      <c r="AZ121" s="171">
        <f t="shared" si="10"/>
        <v>-22.8</v>
      </c>
      <c r="BA121" s="171">
        <f t="shared" si="10"/>
        <v>-20.9</v>
      </c>
      <c r="BB121" s="171">
        <f t="shared" si="10"/>
        <v>-19</v>
      </c>
      <c r="BC121" s="171">
        <f t="shared" si="10"/>
        <v>-22.8</v>
      </c>
      <c r="BD121" s="171">
        <f t="shared" si="10"/>
        <v>-20.9</v>
      </c>
      <c r="BE121" s="171">
        <f t="shared" si="10"/>
        <v>-20.9</v>
      </c>
      <c r="BF121" s="171">
        <f t="shared" si="10"/>
        <v>-17.100000000000001</v>
      </c>
      <c r="BG121" s="171">
        <f t="shared" si="10"/>
        <v>-22.8</v>
      </c>
      <c r="BH121" s="171">
        <f t="shared" si="10"/>
        <v>-17.100000000000001</v>
      </c>
      <c r="BI121" s="171">
        <f t="shared" si="10"/>
        <v>-22.8</v>
      </c>
      <c r="BJ121" s="171">
        <f t="shared" si="10"/>
        <v>-17.100000000000001</v>
      </c>
    </row>
    <row r="122" spans="18:64" x14ac:dyDescent="0.25">
      <c r="S122" s="180" t="s">
        <v>408</v>
      </c>
      <c r="V122" s="173">
        <f>B61</f>
        <v>0.61360000000000003</v>
      </c>
      <c r="X122" s="735">
        <f t="shared" ref="X122:BJ122" si="11">-$V$122*X113</f>
        <v>-98.775779962522265</v>
      </c>
      <c r="Y122" s="171">
        <f t="shared" si="11"/>
        <v>-92.404640872372028</v>
      </c>
      <c r="Z122" s="171">
        <f t="shared" si="11"/>
        <v>-109.98894521101396</v>
      </c>
      <c r="AA122" s="171">
        <f t="shared" si="11"/>
        <v>-73.374727441991425</v>
      </c>
      <c r="AB122" s="171">
        <f t="shared" si="11"/>
        <v>-103.66962462923071</v>
      </c>
      <c r="AC122" s="171">
        <f t="shared" si="11"/>
        <v>-51.729177805502658</v>
      </c>
      <c r="AD122" s="171">
        <f t="shared" si="11"/>
        <v>-66.584763663930943</v>
      </c>
      <c r="AE122" s="171">
        <f t="shared" si="11"/>
        <v>-103.51363152417824</v>
      </c>
      <c r="AF122" s="171">
        <f t="shared" si="11"/>
        <v>-99.389586625394671</v>
      </c>
      <c r="AG122" s="171">
        <f t="shared" si="11"/>
        <v>-81.542927695259777</v>
      </c>
      <c r="AH122" s="171">
        <f t="shared" si="11"/>
        <v>-21.980849205558599</v>
      </c>
      <c r="AI122" s="171">
        <f t="shared" si="11"/>
        <v>-49.155835806330686</v>
      </c>
      <c r="AJ122" s="171">
        <f t="shared" si="11"/>
        <v>-105.15421079941079</v>
      </c>
      <c r="AK122" s="171">
        <f t="shared" si="11"/>
        <v>-93.801816473743813</v>
      </c>
      <c r="AL122" s="171">
        <f t="shared" si="11"/>
        <v>-109.2882853422559</v>
      </c>
      <c r="AM122" s="171">
        <f t="shared" si="11"/>
        <v>-70.243004792506767</v>
      </c>
      <c r="AN122" s="171">
        <f t="shared" si="11"/>
        <v>-76.088768758758562</v>
      </c>
      <c r="AO122" s="171">
        <f t="shared" si="11"/>
        <v>-58.536282326002151</v>
      </c>
      <c r="AP122" s="171">
        <f t="shared" si="11"/>
        <v>-28.182927747176787</v>
      </c>
      <c r="AQ122" s="171">
        <f t="shared" si="11"/>
        <v>-13.508068227021365</v>
      </c>
      <c r="AR122" s="171">
        <f t="shared" si="11"/>
        <v>-107.14041534082733</v>
      </c>
      <c r="AS122" s="171">
        <f t="shared" si="11"/>
        <v>-86.858151069064391</v>
      </c>
      <c r="AT122" s="171">
        <f t="shared" si="11"/>
        <v>-17.248038559126353</v>
      </c>
      <c r="AU122" s="171">
        <f t="shared" si="11"/>
        <v>-110.44507295843859</v>
      </c>
      <c r="AV122" s="171">
        <f t="shared" si="11"/>
        <v>-100.44937341287641</v>
      </c>
      <c r="AW122" s="171">
        <f t="shared" si="11"/>
        <v>-69.557072013603033</v>
      </c>
      <c r="AX122" s="171">
        <f t="shared" si="11"/>
        <v>-91.148949544415061</v>
      </c>
      <c r="AY122" s="171">
        <f t="shared" si="11"/>
        <v>-53.06315161241713</v>
      </c>
      <c r="AZ122" s="171">
        <f t="shared" si="11"/>
        <v>-115.51387508721099</v>
      </c>
      <c r="BA122" s="171">
        <f t="shared" si="11"/>
        <v>-99.081572496840863</v>
      </c>
      <c r="BB122" s="171">
        <f t="shared" si="11"/>
        <v>-87.468926071737542</v>
      </c>
      <c r="BC122" s="171">
        <f t="shared" si="11"/>
        <v>-112.55011937254159</v>
      </c>
      <c r="BD122" s="171">
        <f t="shared" si="11"/>
        <v>-98.89074564237319</v>
      </c>
      <c r="BE122" s="171">
        <f t="shared" si="11"/>
        <v>-104.64269943631493</v>
      </c>
      <c r="BF122" s="171">
        <f t="shared" si="11"/>
        <v>-80.854918695504693</v>
      </c>
      <c r="BG122" s="171">
        <f t="shared" si="11"/>
        <v>-109.33955983050957</v>
      </c>
      <c r="BH122" s="171">
        <f t="shared" si="11"/>
        <v>-86.407439749632445</v>
      </c>
      <c r="BI122" s="171">
        <f t="shared" si="11"/>
        <v>-107.99856104737256</v>
      </c>
      <c r="BJ122" s="171">
        <f t="shared" si="11"/>
        <v>-79.642525793343225</v>
      </c>
    </row>
    <row r="123" spans="18:64" x14ac:dyDescent="0.25">
      <c r="S123" s="180" t="s">
        <v>416</v>
      </c>
      <c r="X123" s="735">
        <f t="shared" ref="X123:BJ123" si="12">SUM(X120:X122)</f>
        <v>-137.27577996252228</v>
      </c>
      <c r="Y123" s="171">
        <f t="shared" si="12"/>
        <v>-126.80464087237203</v>
      </c>
      <c r="Z123" s="171">
        <f t="shared" si="12"/>
        <v>-152.58894521101396</v>
      </c>
      <c r="AA123" s="171">
        <f t="shared" si="12"/>
        <v>-101.77472744199142</v>
      </c>
      <c r="AB123" s="171">
        <f t="shared" si="12"/>
        <v>-142.16962462923073</v>
      </c>
      <c r="AC123" s="171">
        <f t="shared" si="12"/>
        <v>-71.929177805502661</v>
      </c>
      <c r="AD123" s="171">
        <f t="shared" si="12"/>
        <v>-90.88476366393094</v>
      </c>
      <c r="AE123" s="171">
        <f t="shared" si="12"/>
        <v>-142.01363152417824</v>
      </c>
      <c r="AF123" s="171">
        <f t="shared" si="12"/>
        <v>-137.88958662539466</v>
      </c>
      <c r="AG123" s="171">
        <f t="shared" si="12"/>
        <v>-111.84292769525977</v>
      </c>
      <c r="AH123" s="171">
        <f t="shared" si="12"/>
        <v>-32.0808492055586</v>
      </c>
      <c r="AI123" s="171">
        <f t="shared" si="12"/>
        <v>-69.355835806330688</v>
      </c>
      <c r="AJ123" s="171">
        <f t="shared" si="12"/>
        <v>-143.65421079941081</v>
      </c>
      <c r="AK123" s="171">
        <f t="shared" si="12"/>
        <v>-128.2018164737438</v>
      </c>
      <c r="AL123" s="171">
        <f t="shared" si="12"/>
        <v>-149.68828534225591</v>
      </c>
      <c r="AM123" s="171">
        <f t="shared" si="12"/>
        <v>-98.643004792506758</v>
      </c>
      <c r="AN123" s="171">
        <f t="shared" si="12"/>
        <v>-104.48876875875857</v>
      </c>
      <c r="AO123" s="171">
        <f t="shared" si="12"/>
        <v>-82.836282326002149</v>
      </c>
      <c r="AP123" s="171">
        <f t="shared" si="12"/>
        <v>-40.482927747176788</v>
      </c>
      <c r="AQ123" s="171">
        <f t="shared" si="12"/>
        <v>-19.508068227021365</v>
      </c>
      <c r="AR123" s="171">
        <f t="shared" si="12"/>
        <v>-147.54041534082734</v>
      </c>
      <c r="AS123" s="171">
        <f t="shared" si="12"/>
        <v>-121.25815106906438</v>
      </c>
      <c r="AT123" s="171">
        <f t="shared" si="12"/>
        <v>-25.448038559126353</v>
      </c>
      <c r="AU123" s="171">
        <f t="shared" si="12"/>
        <v>-153.0450729584386</v>
      </c>
      <c r="AV123" s="171">
        <f t="shared" si="12"/>
        <v>-138.94937341287641</v>
      </c>
      <c r="AW123" s="171">
        <f t="shared" si="12"/>
        <v>-97.957072013603039</v>
      </c>
      <c r="AX123" s="171">
        <f t="shared" si="12"/>
        <v>-125.54894954441505</v>
      </c>
      <c r="AY123" s="171">
        <f t="shared" si="12"/>
        <v>-73.263151612417133</v>
      </c>
      <c r="AZ123" s="171">
        <f t="shared" si="12"/>
        <v>-158.113875087211</v>
      </c>
      <c r="BA123" s="171">
        <f t="shared" si="12"/>
        <v>-137.58157249684086</v>
      </c>
      <c r="BB123" s="171">
        <f t="shared" si="12"/>
        <v>-121.86892607173755</v>
      </c>
      <c r="BC123" s="171">
        <f t="shared" si="12"/>
        <v>-155.15011937254158</v>
      </c>
      <c r="BD123" s="171">
        <f t="shared" si="12"/>
        <v>-137.39074564237319</v>
      </c>
      <c r="BE123" s="171">
        <f t="shared" si="12"/>
        <v>-143.14269943631493</v>
      </c>
      <c r="BF123" s="171">
        <f t="shared" si="12"/>
        <v>-111.15491869550469</v>
      </c>
      <c r="BG123" s="171">
        <f t="shared" si="12"/>
        <v>-149.73955983050956</v>
      </c>
      <c r="BH123" s="171">
        <f t="shared" si="12"/>
        <v>-118.90743974963245</v>
      </c>
      <c r="BI123" s="171">
        <f t="shared" si="12"/>
        <v>-148.39856104737257</v>
      </c>
      <c r="BJ123" s="171">
        <f t="shared" si="12"/>
        <v>-109.94252579334322</v>
      </c>
    </row>
    <row r="124" spans="18:64" x14ac:dyDescent="0.25">
      <c r="S124" s="180" t="s">
        <v>427</v>
      </c>
      <c r="X124" s="735">
        <f t="shared" ref="X124:BJ124" si="13">X123+$B$46</f>
        <v>-456.85399361514555</v>
      </c>
      <c r="Y124" s="171">
        <f t="shared" si="13"/>
        <v>-446.38285452499531</v>
      </c>
      <c r="Z124" s="171">
        <f t="shared" si="13"/>
        <v>-472.16715886363727</v>
      </c>
      <c r="AA124" s="171">
        <f t="shared" si="13"/>
        <v>-421.35294109461472</v>
      </c>
      <c r="AB124" s="171">
        <f t="shared" si="13"/>
        <v>-461.747838281854</v>
      </c>
      <c r="AC124" s="171">
        <f t="shared" si="13"/>
        <v>-391.50739145812594</v>
      </c>
      <c r="AD124" s="171">
        <f t="shared" si="13"/>
        <v>-410.4629773165542</v>
      </c>
      <c r="AE124" s="171">
        <f t="shared" si="13"/>
        <v>-461.59184517680148</v>
      </c>
      <c r="AF124" s="171">
        <f t="shared" si="13"/>
        <v>-457.46780027801793</v>
      </c>
      <c r="AG124" s="171">
        <f t="shared" si="13"/>
        <v>-431.42114134788307</v>
      </c>
      <c r="AH124" s="171">
        <f t="shared" si="13"/>
        <v>-351.65906285818187</v>
      </c>
      <c r="AI124" s="171">
        <f t="shared" si="13"/>
        <v>-388.93404945895395</v>
      </c>
      <c r="AJ124" s="171">
        <f t="shared" si="13"/>
        <v>-463.23242445203408</v>
      </c>
      <c r="AK124" s="171">
        <f t="shared" si="13"/>
        <v>-447.78003012636708</v>
      </c>
      <c r="AL124" s="171">
        <f t="shared" si="13"/>
        <v>-469.26649899487916</v>
      </c>
      <c r="AM124" s="171">
        <f t="shared" si="13"/>
        <v>-418.22121844513003</v>
      </c>
      <c r="AN124" s="171">
        <f t="shared" si="13"/>
        <v>-424.06698241138184</v>
      </c>
      <c r="AO124" s="171">
        <f t="shared" si="13"/>
        <v>-402.41449597862544</v>
      </c>
      <c r="AP124" s="171">
        <f t="shared" si="13"/>
        <v>-360.06114139980008</v>
      </c>
      <c r="AQ124" s="171">
        <f t="shared" si="13"/>
        <v>-339.08628187964462</v>
      </c>
      <c r="AR124" s="171">
        <f t="shared" si="13"/>
        <v>-467.11862899345061</v>
      </c>
      <c r="AS124" s="171">
        <f t="shared" si="13"/>
        <v>-440.83636472168769</v>
      </c>
      <c r="AT124" s="171">
        <f t="shared" si="13"/>
        <v>-345.02625221174964</v>
      </c>
      <c r="AU124" s="171">
        <f t="shared" si="13"/>
        <v>-472.62328661106187</v>
      </c>
      <c r="AV124" s="171">
        <f t="shared" si="13"/>
        <v>-458.52758706549969</v>
      </c>
      <c r="AW124" s="171">
        <f t="shared" si="13"/>
        <v>-417.53528566622629</v>
      </c>
      <c r="AX124" s="171">
        <f t="shared" si="13"/>
        <v>-445.12716319703833</v>
      </c>
      <c r="AY124" s="171">
        <f t="shared" si="13"/>
        <v>-392.84136526504039</v>
      </c>
      <c r="AZ124" s="171">
        <f t="shared" si="13"/>
        <v>-477.69208873983428</v>
      </c>
      <c r="BA124" s="171">
        <f t="shared" si="13"/>
        <v>-457.15978614946414</v>
      </c>
      <c r="BB124" s="171">
        <f t="shared" si="13"/>
        <v>-441.4471397243608</v>
      </c>
      <c r="BC124" s="171">
        <f t="shared" si="13"/>
        <v>-474.72833302516483</v>
      </c>
      <c r="BD124" s="171">
        <f t="shared" si="13"/>
        <v>-456.96895929499647</v>
      </c>
      <c r="BE124" s="171">
        <f t="shared" si="13"/>
        <v>-462.72091308893823</v>
      </c>
      <c r="BF124" s="171">
        <f t="shared" si="13"/>
        <v>-430.73313234812798</v>
      </c>
      <c r="BG124" s="171">
        <f t="shared" si="13"/>
        <v>-469.31777348313284</v>
      </c>
      <c r="BH124" s="171">
        <f t="shared" si="13"/>
        <v>-438.48565340225571</v>
      </c>
      <c r="BI124" s="171">
        <f t="shared" si="13"/>
        <v>-467.97677469999587</v>
      </c>
      <c r="BJ124" s="171">
        <f t="shared" si="13"/>
        <v>-429.52073944596651</v>
      </c>
    </row>
    <row r="125" spans="18:64" x14ac:dyDescent="0.25">
      <c r="S125" s="180" t="s">
        <v>426</v>
      </c>
      <c r="X125" s="735">
        <f t="shared" ref="X125:BJ125" si="14">-X$104</f>
        <v>-45.994446359587286</v>
      </c>
      <c r="Y125" s="171">
        <f t="shared" si="14"/>
        <v>-54.22213679962875</v>
      </c>
      <c r="Z125" s="171">
        <f t="shared" si="14"/>
        <v>-38.852814163577655</v>
      </c>
      <c r="AA125" s="171">
        <f t="shared" si="14"/>
        <v>-38.646592833621462</v>
      </c>
      <c r="AB125" s="171">
        <f t="shared" si="14"/>
        <v>-43.855980729711334</v>
      </c>
      <c r="AC125" s="171">
        <f t="shared" si="14"/>
        <v>-55.179496320794009</v>
      </c>
      <c r="AD125" s="171">
        <f t="shared" si="14"/>
        <v>-27.133582089345349</v>
      </c>
      <c r="AE125" s="171">
        <f t="shared" si="14"/>
        <v>-48.337537292259455</v>
      </c>
      <c r="AF125" s="171">
        <f t="shared" si="14"/>
        <v>-56.145754537194861</v>
      </c>
      <c r="AG125" s="171">
        <f t="shared" si="14"/>
        <v>-54.843046900250627</v>
      </c>
      <c r="AH125" s="171">
        <f t="shared" si="14"/>
        <v>-52.072142400742486</v>
      </c>
      <c r="AI125" s="171">
        <f t="shared" si="14"/>
        <v>-13.356701208007587</v>
      </c>
      <c r="AJ125" s="171">
        <f t="shared" si="14"/>
        <v>-31.26085842597433</v>
      </c>
      <c r="AK125" s="171">
        <f t="shared" si="14"/>
        <v>-52.754513365574908</v>
      </c>
      <c r="AL125" s="171">
        <f t="shared" si="14"/>
        <v>-46.333537212854814</v>
      </c>
      <c r="AM125" s="171">
        <f t="shared" si="14"/>
        <v>-53.38266745471887</v>
      </c>
      <c r="AN125" s="171">
        <f t="shared" si="14"/>
        <v>-51.202777317782775</v>
      </c>
      <c r="AO125" s="171">
        <f t="shared" si="14"/>
        <v>-12.018515658748937</v>
      </c>
      <c r="AP125" s="171">
        <f t="shared" si="14"/>
        <v>-53.72540336573698</v>
      </c>
      <c r="AQ125" s="171">
        <f t="shared" si="14"/>
        <v>-18.584171245498066</v>
      </c>
      <c r="AR125" s="171">
        <f t="shared" si="14"/>
        <v>-51.72873516518851</v>
      </c>
      <c r="AS125" s="171">
        <f t="shared" si="14"/>
        <v>-66.484729785420129</v>
      </c>
      <c r="AT125" s="171">
        <f t="shared" si="14"/>
        <v>-25.468928874904886</v>
      </c>
      <c r="AU125" s="171">
        <f t="shared" si="14"/>
        <v>-45.813452756136577</v>
      </c>
      <c r="AV125" s="171">
        <f t="shared" si="14"/>
        <v>-49.683025932787814</v>
      </c>
      <c r="AW125" s="171">
        <f t="shared" si="14"/>
        <v>-13.686579876690182</v>
      </c>
      <c r="AX125" s="171">
        <f t="shared" si="14"/>
        <v>-40.059167206555195</v>
      </c>
      <c r="AY125" s="171">
        <f t="shared" si="14"/>
        <v>-32.738996743989588</v>
      </c>
      <c r="AZ125" s="171">
        <f t="shared" si="14"/>
        <v>-45.422988795859233</v>
      </c>
      <c r="BA125" s="171">
        <f t="shared" si="14"/>
        <v>-50.398140567871039</v>
      </c>
      <c r="BB125" s="171">
        <f t="shared" si="14"/>
        <v>-50.858471561211481</v>
      </c>
      <c r="BC125" s="171">
        <f t="shared" si="14"/>
        <v>-45.932547806116197</v>
      </c>
      <c r="BD125" s="171">
        <f t="shared" si="14"/>
        <v>-49.170351844370835</v>
      </c>
      <c r="BE125" s="171">
        <f t="shared" si="14"/>
        <v>-42.582680684252736</v>
      </c>
      <c r="BF125" s="171">
        <f t="shared" si="14"/>
        <v>-54.085990856136839</v>
      </c>
      <c r="BG125" s="171">
        <f t="shared" si="14"/>
        <v>-50.615941300607922</v>
      </c>
      <c r="BH125" s="171">
        <f t="shared" si="14"/>
        <v>-55.032441483952091</v>
      </c>
      <c r="BI125" s="171">
        <f t="shared" si="14"/>
        <v>-40.414618894283258</v>
      </c>
      <c r="BJ125" s="171">
        <f t="shared" si="14"/>
        <v>-48.065160883877809</v>
      </c>
    </row>
    <row r="126" spans="18:64" x14ac:dyDescent="0.25">
      <c r="S126" s="180" t="s">
        <v>415</v>
      </c>
      <c r="X126" s="735">
        <f t="shared" ref="X126:BJ126" si="15">X123+$B$46+X125</f>
        <v>-502.84843997473286</v>
      </c>
      <c r="Y126" s="171">
        <f t="shared" si="15"/>
        <v>-500.60499132462405</v>
      </c>
      <c r="Z126" s="171">
        <f t="shared" si="15"/>
        <v>-511.01997302721492</v>
      </c>
      <c r="AA126" s="171">
        <f t="shared" si="15"/>
        <v>-459.99953392823619</v>
      </c>
      <c r="AB126" s="171">
        <f t="shared" si="15"/>
        <v>-505.60381901156535</v>
      </c>
      <c r="AC126" s="171">
        <f t="shared" si="15"/>
        <v>-446.68688777891992</v>
      </c>
      <c r="AD126" s="171">
        <f t="shared" si="15"/>
        <v>-437.59655940589954</v>
      </c>
      <c r="AE126" s="171">
        <f t="shared" si="15"/>
        <v>-509.92938246906095</v>
      </c>
      <c r="AF126" s="171">
        <f t="shared" si="15"/>
        <v>-513.61355481521275</v>
      </c>
      <c r="AG126" s="171">
        <f t="shared" si="15"/>
        <v>-486.26418824813368</v>
      </c>
      <c r="AH126" s="171">
        <f t="shared" si="15"/>
        <v>-403.73120525892438</v>
      </c>
      <c r="AI126" s="171">
        <f t="shared" si="15"/>
        <v>-402.29075066696151</v>
      </c>
      <c r="AJ126" s="171">
        <f t="shared" si="15"/>
        <v>-494.49328287800842</v>
      </c>
      <c r="AK126" s="171">
        <f t="shared" si="15"/>
        <v>-500.53454349194197</v>
      </c>
      <c r="AL126" s="171">
        <f t="shared" si="15"/>
        <v>-515.60003620773398</v>
      </c>
      <c r="AM126" s="171">
        <f t="shared" si="15"/>
        <v>-471.60388589984893</v>
      </c>
      <c r="AN126" s="171">
        <f t="shared" si="15"/>
        <v>-475.2697597291646</v>
      </c>
      <c r="AO126" s="171">
        <f t="shared" si="15"/>
        <v>-414.43301163737436</v>
      </c>
      <c r="AP126" s="171">
        <f t="shared" si="15"/>
        <v>-413.78654476553709</v>
      </c>
      <c r="AQ126" s="171">
        <f t="shared" si="15"/>
        <v>-357.67045312514267</v>
      </c>
      <c r="AR126" s="171">
        <f t="shared" si="15"/>
        <v>-518.84736415863915</v>
      </c>
      <c r="AS126" s="171">
        <f t="shared" si="15"/>
        <v>-507.32109450710783</v>
      </c>
      <c r="AT126" s="171">
        <f t="shared" si="15"/>
        <v>-370.4951810866545</v>
      </c>
      <c r="AU126" s="171">
        <f t="shared" si="15"/>
        <v>-518.43673936719847</v>
      </c>
      <c r="AV126" s="171">
        <f t="shared" si="15"/>
        <v>-508.2106129982875</v>
      </c>
      <c r="AW126" s="171">
        <f t="shared" si="15"/>
        <v>-431.22186554291648</v>
      </c>
      <c r="AX126" s="171">
        <f t="shared" si="15"/>
        <v>-485.1863304035935</v>
      </c>
      <c r="AY126" s="171">
        <f t="shared" si="15"/>
        <v>-425.58036200902995</v>
      </c>
      <c r="AZ126" s="171">
        <f t="shared" si="15"/>
        <v>-523.11507753569356</v>
      </c>
      <c r="BA126" s="171">
        <f t="shared" si="15"/>
        <v>-507.55792671733519</v>
      </c>
      <c r="BB126" s="171">
        <f t="shared" si="15"/>
        <v>-492.3056112855723</v>
      </c>
      <c r="BC126" s="171">
        <f t="shared" si="15"/>
        <v>-520.66088083128102</v>
      </c>
      <c r="BD126" s="171">
        <f t="shared" si="15"/>
        <v>-506.13931113936729</v>
      </c>
      <c r="BE126" s="171">
        <f t="shared" si="15"/>
        <v>-505.30359377319098</v>
      </c>
      <c r="BF126" s="171">
        <f t="shared" si="15"/>
        <v>-484.81912320426483</v>
      </c>
      <c r="BG126" s="171">
        <f t="shared" si="15"/>
        <v>-519.93371478374081</v>
      </c>
      <c r="BH126" s="171">
        <f t="shared" si="15"/>
        <v>-493.51809488620779</v>
      </c>
      <c r="BI126" s="171">
        <f t="shared" si="15"/>
        <v>-508.39139359427912</v>
      </c>
      <c r="BJ126" s="171">
        <f t="shared" si="15"/>
        <v>-477.58590032984432</v>
      </c>
    </row>
    <row r="127" spans="18:64" x14ac:dyDescent="0.25">
      <c r="S127" t="s">
        <v>425</v>
      </c>
      <c r="X127" s="735">
        <f t="shared" ref="X127:BJ127" si="16">X114+X126</f>
        <v>141.0614685162858</v>
      </c>
      <c r="Y127" s="171">
        <f t="shared" si="16"/>
        <v>101.7720678173057</v>
      </c>
      <c r="Z127" s="171">
        <f t="shared" si="16"/>
        <v>205.98749249438839</v>
      </c>
      <c r="AA127" s="171">
        <f t="shared" si="16"/>
        <v>18.323330752281549</v>
      </c>
      <c r="AB127" s="171">
        <f t="shared" si="16"/>
        <v>170.2085970851146</v>
      </c>
      <c r="AC127" s="171">
        <f t="shared" si="16"/>
        <v>-109.46930104161447</v>
      </c>
      <c r="AD127" s="171">
        <f t="shared" si="16"/>
        <v>-3.5368223528947169</v>
      </c>
      <c r="AE127" s="171">
        <f t="shared" si="16"/>
        <v>164.86612942258336</v>
      </c>
      <c r="AF127" s="171">
        <f t="shared" si="16"/>
        <v>134.29770089140175</v>
      </c>
      <c r="AG127" s="171">
        <f t="shared" si="16"/>
        <v>45.306396466727961</v>
      </c>
      <c r="AH127" s="171">
        <f t="shared" si="16"/>
        <v>-260.4401413374211</v>
      </c>
      <c r="AI127" s="171">
        <f t="shared" si="16"/>
        <v>-81.848535501833226</v>
      </c>
      <c r="AJ127" s="171">
        <f t="shared" si="16"/>
        <v>190.99700916508669</v>
      </c>
      <c r="AK127" s="171">
        <f t="shared" si="16"/>
        <v>110.95057041773083</v>
      </c>
      <c r="AL127" s="171">
        <f t="shared" si="16"/>
        <v>196.8398943154466</v>
      </c>
      <c r="AM127" s="171">
        <f t="shared" si="16"/>
        <v>-13.69642310645412</v>
      </c>
      <c r="AN127" s="171">
        <f t="shared" si="16"/>
        <v>20.745681983733391</v>
      </c>
      <c r="AO127" s="171">
        <f t="shared" si="16"/>
        <v>-32.84055840398355</v>
      </c>
      <c r="AP127" s="171">
        <f t="shared" si="16"/>
        <v>-230.06472112031685</v>
      </c>
      <c r="AQ127" s="171">
        <f t="shared" si="16"/>
        <v>-269.61264199723286</v>
      </c>
      <c r="AR127" s="171">
        <f t="shared" si="16"/>
        <v>179.59080625092622</v>
      </c>
      <c r="AS127" s="171">
        <f t="shared" si="16"/>
        <v>58.898925499830796</v>
      </c>
      <c r="AT127" s="171">
        <f t="shared" si="16"/>
        <v>-258.0568593192076</v>
      </c>
      <c r="AU127" s="171">
        <f t="shared" si="16"/>
        <v>201.54417952744677</v>
      </c>
      <c r="AV127" s="171">
        <f t="shared" si="16"/>
        <v>146.60929190964214</v>
      </c>
      <c r="AW127" s="171">
        <f t="shared" si="16"/>
        <v>22.21406674915022</v>
      </c>
      <c r="AX127" s="171">
        <f t="shared" si="16"/>
        <v>109.00499648307573</v>
      </c>
      <c r="AY127" s="171">
        <f t="shared" si="16"/>
        <v>-79.666726986754043</v>
      </c>
      <c r="AZ127" s="171">
        <f t="shared" si="16"/>
        <v>229.90888000805467</v>
      </c>
      <c r="BA127" s="171">
        <f t="shared" si="16"/>
        <v>138.34541420079296</v>
      </c>
      <c r="BB127" s="171">
        <f t="shared" si="16"/>
        <v>77.895992832664604</v>
      </c>
      <c r="BC127" s="171">
        <f t="shared" si="16"/>
        <v>213.0426352869822</v>
      </c>
      <c r="BD127" s="171">
        <f t="shared" si="16"/>
        <v>138.52004767662476</v>
      </c>
      <c r="BE127" s="171">
        <f t="shared" si="16"/>
        <v>176.85220437749297</v>
      </c>
      <c r="BF127" s="171">
        <f t="shared" si="16"/>
        <v>42.266396323145102</v>
      </c>
      <c r="BG127" s="171">
        <f t="shared" si="16"/>
        <v>192.84046924826418</v>
      </c>
      <c r="BH127" s="171">
        <f t="shared" si="16"/>
        <v>69.763780926259187</v>
      </c>
      <c r="BI127" s="171">
        <f t="shared" si="16"/>
        <v>195.64094700136985</v>
      </c>
      <c r="BJ127" s="171">
        <f t="shared" si="16"/>
        <v>41.596145259094556</v>
      </c>
    </row>
    <row r="128" spans="18:64" x14ac:dyDescent="0.25">
      <c r="S128" s="180"/>
      <c r="X128" s="171"/>
      <c r="Y128" s="171"/>
      <c r="Z128" s="171"/>
      <c r="AA128" s="171"/>
      <c r="AB128" s="171"/>
      <c r="AC128" s="171"/>
      <c r="AD128" s="171"/>
      <c r="AE128" s="171"/>
      <c r="AF128" s="171"/>
      <c r="AG128" s="171"/>
      <c r="AH128" s="171"/>
      <c r="AI128" s="171"/>
      <c r="AJ128" s="171"/>
      <c r="AK128" s="171"/>
      <c r="AL128" s="171"/>
      <c r="AM128" s="171"/>
      <c r="AN128" s="171"/>
      <c r="AO128" s="171"/>
      <c r="AP128" s="171"/>
      <c r="AQ128" s="171"/>
      <c r="AR128" s="171"/>
      <c r="AS128" s="171"/>
      <c r="AT128" s="171"/>
      <c r="AU128" s="171"/>
      <c r="AV128" s="171"/>
      <c r="AW128" s="171"/>
      <c r="AX128" s="171"/>
      <c r="AY128" s="171"/>
      <c r="AZ128" s="171"/>
      <c r="BA128" s="171"/>
      <c r="BB128" s="171"/>
      <c r="BC128" s="171"/>
      <c r="BD128" s="171"/>
      <c r="BE128" s="171"/>
      <c r="BF128" s="171"/>
      <c r="BG128" s="171"/>
    </row>
    <row r="129" spans="18:62" x14ac:dyDescent="0.25">
      <c r="R129" t="s">
        <v>419</v>
      </c>
      <c r="S129" t="s">
        <v>428</v>
      </c>
      <c r="U129" s="186" t="s">
        <v>420</v>
      </c>
      <c r="W129" t="s">
        <v>420</v>
      </c>
      <c r="X129" s="183">
        <f t="shared" ref="X129:BJ129" si="17">X113*$C$67</f>
        <v>107.85490967224563</v>
      </c>
      <c r="Y129" s="183">
        <f t="shared" si="17"/>
        <v>100.89815740627324</v>
      </c>
      <c r="Z129" s="183">
        <f t="shared" si="17"/>
        <v>120.09875047486857</v>
      </c>
      <c r="AA129" s="183">
        <f t="shared" si="17"/>
        <v>80.119079833986731</v>
      </c>
      <c r="AB129" s="183">
        <f t="shared" si="17"/>
        <v>113.1985796961939</v>
      </c>
      <c r="AC129" s="183">
        <f t="shared" si="17"/>
        <v>56.483945778498665</v>
      </c>
      <c r="AD129" s="183">
        <f t="shared" si="17"/>
        <v>72.705005956378315</v>
      </c>
      <c r="AE129" s="183">
        <f t="shared" si="17"/>
        <v>113.02824824185043</v>
      </c>
      <c r="AF129" s="183">
        <f t="shared" si="17"/>
        <v>108.52513533085794</v>
      </c>
      <c r="AG129" s="183">
        <f t="shared" si="17"/>
        <v>89.038072939739337</v>
      </c>
      <c r="AH129" s="183">
        <f t="shared" si="17"/>
        <v>24.001253206851796</v>
      </c>
      <c r="AI129" s="183">
        <f t="shared" si="17"/>
        <v>53.674071040158992</v>
      </c>
      <c r="AJ129" s="183">
        <f t="shared" si="17"/>
        <v>114.81962391721844</v>
      </c>
      <c r="AK129" s="183">
        <f t="shared" si="17"/>
        <v>102.4237565798702</v>
      </c>
      <c r="AL129" s="183">
        <f t="shared" si="17"/>
        <v>119.33368836263276</v>
      </c>
      <c r="AM129" s="183">
        <f t="shared" si="17"/>
        <v>76.699500017893641</v>
      </c>
      <c r="AN129" s="183">
        <f t="shared" si="17"/>
        <v>83.082586486910415</v>
      </c>
      <c r="AO129" s="183">
        <f t="shared" si="17"/>
        <v>63.916735916592962</v>
      </c>
      <c r="AP129" s="183">
        <f t="shared" si="17"/>
        <v>30.773405460574391</v>
      </c>
      <c r="AQ129" s="183">
        <f t="shared" si="17"/>
        <v>14.749683363924893</v>
      </c>
      <c r="AR129" s="183">
        <f t="shared" si="17"/>
        <v>116.9883935436022</v>
      </c>
      <c r="AS129" s="183">
        <f t="shared" si="17"/>
        <v>94.841853351162229</v>
      </c>
      <c r="AT129" s="183">
        <f t="shared" si="17"/>
        <v>18.833418896047352</v>
      </c>
      <c r="AU129" s="183">
        <f t="shared" si="17"/>
        <v>120.59680391485308</v>
      </c>
      <c r="AV129" s="183">
        <f t="shared" si="17"/>
        <v>109.68233407207822</v>
      </c>
      <c r="AW129" s="183">
        <f t="shared" si="17"/>
        <v>75.950518658921169</v>
      </c>
      <c r="AX129" s="183">
        <f t="shared" si="17"/>
        <v>99.527047253517097</v>
      </c>
      <c r="AY129" s="183">
        <f t="shared" si="17"/>
        <v>57.94053386623122</v>
      </c>
      <c r="AZ129" s="183">
        <f t="shared" si="17"/>
        <v>126.13151288857783</v>
      </c>
      <c r="BA129" s="183">
        <f t="shared" si="17"/>
        <v>108.18880960378647</v>
      </c>
      <c r="BB129" s="183">
        <f t="shared" si="17"/>
        <v>95.508768689804683</v>
      </c>
      <c r="BC129" s="183">
        <f t="shared" si="17"/>
        <v>122.8953389498091</v>
      </c>
      <c r="BD129" s="183">
        <f t="shared" si="17"/>
        <v>107.98044260167867</v>
      </c>
      <c r="BE129" s="183">
        <f t="shared" si="17"/>
        <v>114.26109619023957</v>
      </c>
      <c r="BF129" s="183">
        <f t="shared" si="17"/>
        <v>88.286824520841165</v>
      </c>
      <c r="BG129" s="183">
        <f t="shared" si="17"/>
        <v>119.38967582536084</v>
      </c>
      <c r="BH129" s="183">
        <f t="shared" si="17"/>
        <v>94.349714198588231</v>
      </c>
      <c r="BI129" s="183">
        <f t="shared" si="17"/>
        <v>117.92541704977121</v>
      </c>
      <c r="BJ129" s="183">
        <f t="shared" si="17"/>
        <v>86.962992636147263</v>
      </c>
    </row>
    <row r="130" spans="18:62" x14ac:dyDescent="0.25">
      <c r="S130" s="180" t="s">
        <v>417</v>
      </c>
      <c r="V130" s="188">
        <f>V114</f>
        <v>4</v>
      </c>
      <c r="X130" s="171">
        <f t="shared" ref="X130:BJ130" si="18">$V$114*X129</f>
        <v>431.4196386889825</v>
      </c>
      <c r="Y130" s="171">
        <f t="shared" si="18"/>
        <v>403.59262962509297</v>
      </c>
      <c r="Z130" s="171">
        <f t="shared" si="18"/>
        <v>480.39500189947427</v>
      </c>
      <c r="AA130" s="171">
        <f t="shared" si="18"/>
        <v>320.47631933594693</v>
      </c>
      <c r="AB130" s="171">
        <f t="shared" si="18"/>
        <v>452.79431878477561</v>
      </c>
      <c r="AC130" s="171">
        <f t="shared" si="18"/>
        <v>225.93578311399466</v>
      </c>
      <c r="AD130" s="171">
        <f t="shared" si="18"/>
        <v>290.82002382551326</v>
      </c>
      <c r="AE130" s="171">
        <f t="shared" si="18"/>
        <v>452.11299296740174</v>
      </c>
      <c r="AF130" s="171">
        <f t="shared" si="18"/>
        <v>434.10054132343174</v>
      </c>
      <c r="AG130" s="171">
        <f t="shared" si="18"/>
        <v>356.15229175895735</v>
      </c>
      <c r="AH130" s="171">
        <f t="shared" si="18"/>
        <v>96.005012827407185</v>
      </c>
      <c r="AI130" s="171">
        <f t="shared" si="18"/>
        <v>214.69628416063597</v>
      </c>
      <c r="AJ130" s="171">
        <f t="shared" si="18"/>
        <v>459.27849566887375</v>
      </c>
      <c r="AK130" s="171">
        <f t="shared" si="18"/>
        <v>409.6950263194808</v>
      </c>
      <c r="AL130" s="171">
        <f t="shared" si="18"/>
        <v>477.33475345053103</v>
      </c>
      <c r="AM130" s="171">
        <f t="shared" si="18"/>
        <v>306.79800007157456</v>
      </c>
      <c r="AN130" s="171">
        <f t="shared" si="18"/>
        <v>332.33034594764166</v>
      </c>
      <c r="AO130" s="171">
        <f t="shared" si="18"/>
        <v>255.66694366637185</v>
      </c>
      <c r="AP130" s="171">
        <f t="shared" si="18"/>
        <v>123.09362184229757</v>
      </c>
      <c r="AQ130" s="171">
        <f t="shared" si="18"/>
        <v>58.998733455699572</v>
      </c>
      <c r="AR130" s="171">
        <f t="shared" si="18"/>
        <v>467.9535741744088</v>
      </c>
      <c r="AS130" s="171">
        <f t="shared" si="18"/>
        <v>379.36741340464891</v>
      </c>
      <c r="AT130" s="171">
        <f t="shared" si="18"/>
        <v>75.333675584189407</v>
      </c>
      <c r="AU130" s="171">
        <f t="shared" si="18"/>
        <v>482.38721565941233</v>
      </c>
      <c r="AV130" s="171">
        <f t="shared" si="18"/>
        <v>438.72933628831288</v>
      </c>
      <c r="AW130" s="171">
        <f t="shared" si="18"/>
        <v>303.80207463568468</v>
      </c>
      <c r="AX130" s="171">
        <f t="shared" si="18"/>
        <v>398.10818901406839</v>
      </c>
      <c r="AY130" s="171">
        <f t="shared" si="18"/>
        <v>231.76213546492488</v>
      </c>
      <c r="AZ130" s="171">
        <f t="shared" si="18"/>
        <v>504.52605155431132</v>
      </c>
      <c r="BA130" s="171">
        <f t="shared" si="18"/>
        <v>432.75523841514587</v>
      </c>
      <c r="BB130" s="171">
        <f t="shared" si="18"/>
        <v>382.03507475921873</v>
      </c>
      <c r="BC130" s="171">
        <f t="shared" si="18"/>
        <v>491.58135579923641</v>
      </c>
      <c r="BD130" s="171">
        <f t="shared" si="18"/>
        <v>431.9217704067147</v>
      </c>
      <c r="BE130" s="171">
        <f t="shared" si="18"/>
        <v>457.04438476095828</v>
      </c>
      <c r="BF130" s="171">
        <f t="shared" si="18"/>
        <v>353.14729808336466</v>
      </c>
      <c r="BG130" s="171">
        <f t="shared" si="18"/>
        <v>477.55870330144336</v>
      </c>
      <c r="BH130" s="171">
        <f t="shared" si="18"/>
        <v>377.39885679435292</v>
      </c>
      <c r="BI130" s="171">
        <f t="shared" si="18"/>
        <v>471.70166819908485</v>
      </c>
      <c r="BJ130" s="171">
        <f t="shared" si="18"/>
        <v>347.85197054458905</v>
      </c>
    </row>
    <row r="131" spans="18:62" x14ac:dyDescent="0.25">
      <c r="S131" s="180"/>
      <c r="T131" s="10"/>
      <c r="U131" s="112"/>
      <c r="V131" s="112"/>
      <c r="W131" s="112"/>
      <c r="X131" s="10"/>
      <c r="Y131" s="10"/>
      <c r="Z131" s="10"/>
      <c r="AA131" s="10"/>
      <c r="AB131" s="10"/>
      <c r="AC131" s="10"/>
      <c r="AD131" s="10"/>
      <c r="AE131" s="10"/>
      <c r="AF131" s="10"/>
      <c r="AG131" s="10"/>
      <c r="AH131" s="10"/>
      <c r="AI131" s="10"/>
      <c r="AJ131" s="10"/>
      <c r="AK131" s="10"/>
      <c r="AL131" s="10"/>
      <c r="AM131" s="10"/>
      <c r="AN131" s="10"/>
      <c r="AO131" s="10"/>
      <c r="AP131" s="10"/>
      <c r="AQ131" s="10"/>
      <c r="AR131" s="10"/>
      <c r="AS131" s="10"/>
      <c r="AT131" s="10"/>
      <c r="AU131" s="10"/>
      <c r="AV131" s="10"/>
      <c r="AW131" s="10"/>
      <c r="AX131" s="10"/>
      <c r="AY131" s="10"/>
      <c r="AZ131" s="10"/>
      <c r="BA131" s="10"/>
      <c r="BB131" s="10"/>
      <c r="BC131" s="10"/>
      <c r="BD131" s="10"/>
      <c r="BE131" s="10"/>
      <c r="BF131" s="10"/>
      <c r="BG131" s="10"/>
    </row>
    <row r="132" spans="18:62" x14ac:dyDescent="0.25">
      <c r="S132" s="180" t="s">
        <v>413</v>
      </c>
      <c r="T132" s="10"/>
      <c r="U132" t="s">
        <v>134</v>
      </c>
      <c r="V132" s="112"/>
      <c r="W132" s="112"/>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c r="AY132" s="10"/>
      <c r="AZ132" s="10"/>
      <c r="BA132" s="10"/>
      <c r="BB132" s="10"/>
      <c r="BC132" s="10"/>
      <c r="BD132" s="10"/>
      <c r="BE132" s="10"/>
      <c r="BF132" s="10"/>
      <c r="BG132" s="10"/>
    </row>
    <row r="133" spans="18:62" x14ac:dyDescent="0.25">
      <c r="S133" s="180" t="s">
        <v>410</v>
      </c>
      <c r="X133" s="187">
        <f t="shared" ref="X133:BJ133" si="19">ROUNDUP((MAX(($K$92-$L$92*X$107),0)*X129)*X$109+MAX(($M$92-$N$92*X$108),0)*X129*(1-X$109)*2,-1)/2</f>
        <v>25</v>
      </c>
      <c r="Y133" s="187">
        <f t="shared" si="19"/>
        <v>25</v>
      </c>
      <c r="Z133" s="187">
        <f t="shared" si="19"/>
        <v>30</v>
      </c>
      <c r="AA133" s="187">
        <f t="shared" si="19"/>
        <v>20</v>
      </c>
      <c r="AB133" s="187">
        <f t="shared" si="19"/>
        <v>30</v>
      </c>
      <c r="AC133" s="187">
        <f t="shared" si="19"/>
        <v>15</v>
      </c>
      <c r="AD133" s="187">
        <f t="shared" si="19"/>
        <v>20</v>
      </c>
      <c r="AE133" s="187">
        <f t="shared" si="19"/>
        <v>30</v>
      </c>
      <c r="AF133" s="187">
        <f t="shared" si="19"/>
        <v>25</v>
      </c>
      <c r="AG133" s="187">
        <f t="shared" si="19"/>
        <v>20</v>
      </c>
      <c r="AH133" s="187">
        <f t="shared" si="19"/>
        <v>10</v>
      </c>
      <c r="AI133" s="187">
        <f t="shared" si="19"/>
        <v>15</v>
      </c>
      <c r="AJ133" s="187">
        <f t="shared" si="19"/>
        <v>30</v>
      </c>
      <c r="AK133" s="187">
        <f t="shared" si="19"/>
        <v>25</v>
      </c>
      <c r="AL133" s="187">
        <f t="shared" si="19"/>
        <v>30</v>
      </c>
      <c r="AM133" s="187">
        <f t="shared" si="19"/>
        <v>20</v>
      </c>
      <c r="AN133" s="187">
        <f t="shared" si="19"/>
        <v>20</v>
      </c>
      <c r="AO133" s="187">
        <f t="shared" si="19"/>
        <v>15</v>
      </c>
      <c r="AP133" s="187">
        <f t="shared" si="19"/>
        <v>10</v>
      </c>
      <c r="AQ133" s="187">
        <f t="shared" si="19"/>
        <v>5</v>
      </c>
      <c r="AR133" s="187">
        <f t="shared" si="19"/>
        <v>30</v>
      </c>
      <c r="AS133" s="187">
        <f t="shared" si="19"/>
        <v>25</v>
      </c>
      <c r="AT133" s="187">
        <f t="shared" si="19"/>
        <v>5</v>
      </c>
      <c r="AU133" s="187">
        <f t="shared" si="19"/>
        <v>30</v>
      </c>
      <c r="AV133" s="187">
        <f t="shared" si="19"/>
        <v>25</v>
      </c>
      <c r="AW133" s="187">
        <f t="shared" si="19"/>
        <v>20</v>
      </c>
      <c r="AX133" s="187">
        <f t="shared" si="19"/>
        <v>25</v>
      </c>
      <c r="AY133" s="187">
        <f t="shared" si="19"/>
        <v>15</v>
      </c>
      <c r="AZ133" s="187">
        <f t="shared" si="19"/>
        <v>30</v>
      </c>
      <c r="BA133" s="187">
        <f t="shared" si="19"/>
        <v>25</v>
      </c>
      <c r="BB133" s="187">
        <f t="shared" si="19"/>
        <v>25</v>
      </c>
      <c r="BC133" s="187">
        <f t="shared" si="19"/>
        <v>30</v>
      </c>
      <c r="BD133" s="187">
        <f t="shared" si="19"/>
        <v>25</v>
      </c>
      <c r="BE133" s="187">
        <f t="shared" si="19"/>
        <v>30</v>
      </c>
      <c r="BF133" s="187">
        <f t="shared" si="19"/>
        <v>20</v>
      </c>
      <c r="BG133" s="187">
        <f t="shared" si="19"/>
        <v>30</v>
      </c>
      <c r="BH133" s="187">
        <f t="shared" si="19"/>
        <v>25</v>
      </c>
      <c r="BI133" s="187">
        <f t="shared" si="19"/>
        <v>30</v>
      </c>
      <c r="BJ133" s="187">
        <f t="shared" si="19"/>
        <v>20</v>
      </c>
    </row>
    <row r="134" spans="18:62" x14ac:dyDescent="0.25">
      <c r="S134" s="180" t="s">
        <v>409</v>
      </c>
      <c r="X134" s="182">
        <f t="shared" ref="X134:BJ134" si="20">ROUNDUP(MAX(($O$92-$P$92*X$110)*X129,0)*2,-1)/2</f>
        <v>35</v>
      </c>
      <c r="Y134" s="182">
        <f t="shared" si="20"/>
        <v>35</v>
      </c>
      <c r="Z134" s="182">
        <f t="shared" si="20"/>
        <v>40</v>
      </c>
      <c r="AA134" s="182">
        <f t="shared" si="20"/>
        <v>30</v>
      </c>
      <c r="AB134" s="182">
        <f t="shared" si="20"/>
        <v>40</v>
      </c>
      <c r="AC134" s="182">
        <f t="shared" si="20"/>
        <v>20</v>
      </c>
      <c r="AD134" s="182">
        <f t="shared" si="20"/>
        <v>25</v>
      </c>
      <c r="AE134" s="182">
        <f t="shared" si="20"/>
        <v>40</v>
      </c>
      <c r="AF134" s="182">
        <f t="shared" si="20"/>
        <v>35</v>
      </c>
      <c r="AG134" s="182">
        <f t="shared" si="20"/>
        <v>30</v>
      </c>
      <c r="AH134" s="182">
        <f t="shared" si="20"/>
        <v>10</v>
      </c>
      <c r="AI134" s="182">
        <f t="shared" si="20"/>
        <v>20</v>
      </c>
      <c r="AJ134" s="182">
        <f t="shared" si="20"/>
        <v>40</v>
      </c>
      <c r="AK134" s="182">
        <f t="shared" si="20"/>
        <v>35</v>
      </c>
      <c r="AL134" s="182">
        <f t="shared" si="20"/>
        <v>40</v>
      </c>
      <c r="AM134" s="182">
        <f t="shared" si="20"/>
        <v>25</v>
      </c>
      <c r="AN134" s="182">
        <f t="shared" si="20"/>
        <v>30</v>
      </c>
      <c r="AO134" s="182">
        <f t="shared" si="20"/>
        <v>25</v>
      </c>
      <c r="AP134" s="182">
        <f t="shared" si="20"/>
        <v>10</v>
      </c>
      <c r="AQ134" s="182">
        <f t="shared" si="20"/>
        <v>5</v>
      </c>
      <c r="AR134" s="182">
        <f t="shared" si="20"/>
        <v>40</v>
      </c>
      <c r="AS134" s="182">
        <f t="shared" si="20"/>
        <v>35</v>
      </c>
      <c r="AT134" s="182">
        <f t="shared" si="20"/>
        <v>10</v>
      </c>
      <c r="AU134" s="182">
        <f t="shared" si="20"/>
        <v>40</v>
      </c>
      <c r="AV134" s="182">
        <f t="shared" si="20"/>
        <v>35</v>
      </c>
      <c r="AW134" s="182">
        <f t="shared" si="20"/>
        <v>25</v>
      </c>
      <c r="AX134" s="182">
        <f t="shared" si="20"/>
        <v>35</v>
      </c>
      <c r="AY134" s="182">
        <f t="shared" si="20"/>
        <v>20</v>
      </c>
      <c r="AZ134" s="182">
        <f t="shared" si="20"/>
        <v>45</v>
      </c>
      <c r="BA134" s="182">
        <f t="shared" si="20"/>
        <v>35</v>
      </c>
      <c r="BB134" s="182">
        <f t="shared" si="20"/>
        <v>35</v>
      </c>
      <c r="BC134" s="182">
        <f t="shared" si="20"/>
        <v>40</v>
      </c>
      <c r="BD134" s="182">
        <f t="shared" si="20"/>
        <v>35</v>
      </c>
      <c r="BE134" s="182">
        <f t="shared" si="20"/>
        <v>40</v>
      </c>
      <c r="BF134" s="182">
        <f t="shared" si="20"/>
        <v>30</v>
      </c>
      <c r="BG134" s="182">
        <f t="shared" si="20"/>
        <v>40</v>
      </c>
      <c r="BH134" s="182">
        <f t="shared" si="20"/>
        <v>35</v>
      </c>
      <c r="BI134" s="182">
        <f t="shared" si="20"/>
        <v>40</v>
      </c>
      <c r="BJ134" s="182">
        <f t="shared" si="20"/>
        <v>30</v>
      </c>
    </row>
    <row r="135" spans="18:62" x14ac:dyDescent="0.25">
      <c r="S135" s="180" t="s">
        <v>412</v>
      </c>
      <c r="X135" s="182"/>
      <c r="Y135" s="182"/>
      <c r="Z135" s="182"/>
      <c r="AA135" s="182"/>
      <c r="AB135" s="182"/>
      <c r="AC135" s="182"/>
      <c r="AD135" s="182"/>
      <c r="AE135" s="182"/>
      <c r="AF135" s="182"/>
      <c r="AG135" s="182"/>
      <c r="AH135" s="182"/>
      <c r="AI135" s="182"/>
      <c r="AJ135" s="182"/>
      <c r="AK135" s="182"/>
      <c r="AL135" s="182"/>
      <c r="AM135" s="182"/>
      <c r="AN135" s="182"/>
      <c r="AO135" s="182"/>
      <c r="AP135" s="182"/>
      <c r="AQ135" s="182"/>
      <c r="AR135" s="182"/>
      <c r="AS135" s="182"/>
      <c r="AT135" s="182"/>
      <c r="AU135" s="182"/>
      <c r="AV135" s="182"/>
      <c r="AW135" s="182"/>
      <c r="AX135" s="182"/>
      <c r="AY135" s="182"/>
      <c r="AZ135" s="182"/>
      <c r="BA135" s="182"/>
      <c r="BB135" s="182"/>
      <c r="BC135" s="182"/>
      <c r="BD135" s="182"/>
      <c r="BE135" s="182"/>
      <c r="BF135" s="182"/>
      <c r="BG135" s="182"/>
    </row>
    <row r="136" spans="18:62" x14ac:dyDescent="0.25">
      <c r="S136" s="180" t="s">
        <v>410</v>
      </c>
      <c r="X136" s="171">
        <f t="shared" ref="X136:BJ136" si="21">-$C74*X133</f>
        <v>-11</v>
      </c>
      <c r="Y136" s="171">
        <f t="shared" si="21"/>
        <v>-11</v>
      </c>
      <c r="Z136" s="171">
        <f t="shared" si="21"/>
        <v>-13.2</v>
      </c>
      <c r="AA136" s="171">
        <f t="shared" si="21"/>
        <v>-8.8000000000000007</v>
      </c>
      <c r="AB136" s="171">
        <f t="shared" si="21"/>
        <v>-13.2</v>
      </c>
      <c r="AC136" s="171">
        <f t="shared" si="21"/>
        <v>-6.6</v>
      </c>
      <c r="AD136" s="171">
        <f t="shared" si="21"/>
        <v>-8.8000000000000007</v>
      </c>
      <c r="AE136" s="171">
        <f t="shared" si="21"/>
        <v>-13.2</v>
      </c>
      <c r="AF136" s="171">
        <f t="shared" si="21"/>
        <v>-11</v>
      </c>
      <c r="AG136" s="171">
        <f t="shared" si="21"/>
        <v>-8.8000000000000007</v>
      </c>
      <c r="AH136" s="171">
        <f t="shared" si="21"/>
        <v>-4.4000000000000004</v>
      </c>
      <c r="AI136" s="171">
        <f t="shared" si="21"/>
        <v>-6.6</v>
      </c>
      <c r="AJ136" s="171">
        <f t="shared" si="21"/>
        <v>-13.2</v>
      </c>
      <c r="AK136" s="171">
        <f t="shared" si="21"/>
        <v>-11</v>
      </c>
      <c r="AL136" s="171">
        <f t="shared" si="21"/>
        <v>-13.2</v>
      </c>
      <c r="AM136" s="171">
        <f t="shared" si="21"/>
        <v>-8.8000000000000007</v>
      </c>
      <c r="AN136" s="171">
        <f t="shared" si="21"/>
        <v>-8.8000000000000007</v>
      </c>
      <c r="AO136" s="171">
        <f t="shared" si="21"/>
        <v>-6.6</v>
      </c>
      <c r="AP136" s="171">
        <f t="shared" si="21"/>
        <v>-4.4000000000000004</v>
      </c>
      <c r="AQ136" s="171">
        <f t="shared" si="21"/>
        <v>-2.2000000000000002</v>
      </c>
      <c r="AR136" s="171">
        <f t="shared" si="21"/>
        <v>-13.2</v>
      </c>
      <c r="AS136" s="171">
        <f t="shared" si="21"/>
        <v>-11</v>
      </c>
      <c r="AT136" s="171">
        <f t="shared" si="21"/>
        <v>-2.2000000000000002</v>
      </c>
      <c r="AU136" s="171">
        <f t="shared" si="21"/>
        <v>-13.2</v>
      </c>
      <c r="AV136" s="171">
        <f t="shared" si="21"/>
        <v>-11</v>
      </c>
      <c r="AW136" s="171">
        <f t="shared" si="21"/>
        <v>-8.8000000000000007</v>
      </c>
      <c r="AX136" s="171">
        <f t="shared" si="21"/>
        <v>-11</v>
      </c>
      <c r="AY136" s="171">
        <f t="shared" si="21"/>
        <v>-6.6</v>
      </c>
      <c r="AZ136" s="171">
        <f t="shared" si="21"/>
        <v>-13.2</v>
      </c>
      <c r="BA136" s="171">
        <f t="shared" si="21"/>
        <v>-11</v>
      </c>
      <c r="BB136" s="171">
        <f t="shared" si="21"/>
        <v>-11</v>
      </c>
      <c r="BC136" s="171">
        <f t="shared" si="21"/>
        <v>-13.2</v>
      </c>
      <c r="BD136" s="171">
        <f t="shared" si="21"/>
        <v>-11</v>
      </c>
      <c r="BE136" s="171">
        <f t="shared" si="21"/>
        <v>-13.2</v>
      </c>
      <c r="BF136" s="171">
        <f t="shared" si="21"/>
        <v>-8.8000000000000007</v>
      </c>
      <c r="BG136" s="171">
        <f t="shared" si="21"/>
        <v>-13.2</v>
      </c>
      <c r="BH136" s="171">
        <f t="shared" si="21"/>
        <v>-11</v>
      </c>
      <c r="BI136" s="171">
        <f t="shared" si="21"/>
        <v>-13.2</v>
      </c>
      <c r="BJ136" s="171">
        <f t="shared" si="21"/>
        <v>-8.8000000000000007</v>
      </c>
    </row>
    <row r="137" spans="18:62" x14ac:dyDescent="0.25">
      <c r="S137" s="180" t="s">
        <v>409</v>
      </c>
      <c r="X137" s="171">
        <f t="shared" ref="X137:BJ137" si="22">-$C75*X134</f>
        <v>-13.3</v>
      </c>
      <c r="Y137" s="171">
        <f t="shared" si="22"/>
        <v>-13.3</v>
      </c>
      <c r="Z137" s="171">
        <f t="shared" si="22"/>
        <v>-15.2</v>
      </c>
      <c r="AA137" s="171">
        <f t="shared" si="22"/>
        <v>-11.4</v>
      </c>
      <c r="AB137" s="171">
        <f t="shared" si="22"/>
        <v>-15.2</v>
      </c>
      <c r="AC137" s="171">
        <f t="shared" si="22"/>
        <v>-7.6</v>
      </c>
      <c r="AD137" s="171">
        <f t="shared" si="22"/>
        <v>-9.5</v>
      </c>
      <c r="AE137" s="171">
        <f t="shared" si="22"/>
        <v>-15.2</v>
      </c>
      <c r="AF137" s="171">
        <f t="shared" si="22"/>
        <v>-13.3</v>
      </c>
      <c r="AG137" s="171">
        <f t="shared" si="22"/>
        <v>-11.4</v>
      </c>
      <c r="AH137" s="171">
        <f t="shared" si="22"/>
        <v>-3.8</v>
      </c>
      <c r="AI137" s="171">
        <f t="shared" si="22"/>
        <v>-7.6</v>
      </c>
      <c r="AJ137" s="171">
        <f t="shared" si="22"/>
        <v>-15.2</v>
      </c>
      <c r="AK137" s="171">
        <f t="shared" si="22"/>
        <v>-13.3</v>
      </c>
      <c r="AL137" s="171">
        <f t="shared" si="22"/>
        <v>-15.2</v>
      </c>
      <c r="AM137" s="171">
        <f t="shared" si="22"/>
        <v>-9.5</v>
      </c>
      <c r="AN137" s="171">
        <f t="shared" si="22"/>
        <v>-11.4</v>
      </c>
      <c r="AO137" s="171">
        <f t="shared" si="22"/>
        <v>-9.5</v>
      </c>
      <c r="AP137" s="171">
        <f t="shared" si="22"/>
        <v>-3.8</v>
      </c>
      <c r="AQ137" s="171">
        <f t="shared" si="22"/>
        <v>-1.9</v>
      </c>
      <c r="AR137" s="171">
        <f t="shared" si="22"/>
        <v>-15.2</v>
      </c>
      <c r="AS137" s="171">
        <f t="shared" si="22"/>
        <v>-13.3</v>
      </c>
      <c r="AT137" s="171">
        <f t="shared" si="22"/>
        <v>-3.8</v>
      </c>
      <c r="AU137" s="171">
        <f t="shared" si="22"/>
        <v>-15.2</v>
      </c>
      <c r="AV137" s="171">
        <f t="shared" si="22"/>
        <v>-13.3</v>
      </c>
      <c r="AW137" s="171">
        <f t="shared" si="22"/>
        <v>-9.5</v>
      </c>
      <c r="AX137" s="171">
        <f t="shared" si="22"/>
        <v>-13.3</v>
      </c>
      <c r="AY137" s="171">
        <f t="shared" si="22"/>
        <v>-7.6</v>
      </c>
      <c r="AZ137" s="171">
        <f t="shared" si="22"/>
        <v>-17.100000000000001</v>
      </c>
      <c r="BA137" s="171">
        <f t="shared" si="22"/>
        <v>-13.3</v>
      </c>
      <c r="BB137" s="171">
        <f t="shared" si="22"/>
        <v>-13.3</v>
      </c>
      <c r="BC137" s="171">
        <f t="shared" si="22"/>
        <v>-15.2</v>
      </c>
      <c r="BD137" s="171">
        <f t="shared" si="22"/>
        <v>-13.3</v>
      </c>
      <c r="BE137" s="171">
        <f t="shared" si="22"/>
        <v>-15.2</v>
      </c>
      <c r="BF137" s="171">
        <f t="shared" si="22"/>
        <v>-11.4</v>
      </c>
      <c r="BG137" s="171">
        <f t="shared" si="22"/>
        <v>-15.2</v>
      </c>
      <c r="BH137" s="171">
        <f t="shared" si="22"/>
        <v>-13.3</v>
      </c>
      <c r="BI137" s="171">
        <f t="shared" si="22"/>
        <v>-15.2</v>
      </c>
      <c r="BJ137" s="171">
        <f t="shared" si="22"/>
        <v>-11.4</v>
      </c>
    </row>
    <row r="138" spans="18:62" x14ac:dyDescent="0.25">
      <c r="S138" s="180" t="s">
        <v>408</v>
      </c>
      <c r="V138" s="173">
        <f>V122</f>
        <v>0.61360000000000003</v>
      </c>
      <c r="X138" s="171">
        <f t="shared" ref="X138:BJ138" si="23">-$V$122*X129</f>
        <v>-66.179772574889924</v>
      </c>
      <c r="Y138" s="171">
        <f t="shared" si="23"/>
        <v>-61.911109384489265</v>
      </c>
      <c r="Z138" s="171">
        <f t="shared" si="23"/>
        <v>-73.692593291379353</v>
      </c>
      <c r="AA138" s="171">
        <f t="shared" si="23"/>
        <v>-49.161067386134263</v>
      </c>
      <c r="AB138" s="171">
        <f t="shared" si="23"/>
        <v>-69.458648501584577</v>
      </c>
      <c r="AC138" s="171">
        <f t="shared" si="23"/>
        <v>-34.658549129686783</v>
      </c>
      <c r="AD138" s="171">
        <f t="shared" si="23"/>
        <v>-44.611791654833738</v>
      </c>
      <c r="AE138" s="171">
        <f t="shared" si="23"/>
        <v>-69.354133121199425</v>
      </c>
      <c r="AF138" s="171">
        <f t="shared" si="23"/>
        <v>-66.591023039014431</v>
      </c>
      <c r="AG138" s="171">
        <f t="shared" si="23"/>
        <v>-54.633761555824059</v>
      </c>
      <c r="AH138" s="171">
        <f t="shared" si="23"/>
        <v>-14.727168967724262</v>
      </c>
      <c r="AI138" s="171">
        <f t="shared" si="23"/>
        <v>-32.934409990241562</v>
      </c>
      <c r="AJ138" s="171">
        <f t="shared" si="23"/>
        <v>-70.45332123560523</v>
      </c>
      <c r="AK138" s="171">
        <f t="shared" si="23"/>
        <v>-62.847217037408356</v>
      </c>
      <c r="AL138" s="171">
        <f t="shared" si="23"/>
        <v>-73.223151179311458</v>
      </c>
      <c r="AM138" s="171">
        <f t="shared" si="23"/>
        <v>-47.062813210979542</v>
      </c>
      <c r="AN138" s="171">
        <f t="shared" si="23"/>
        <v>-50.979475068368231</v>
      </c>
      <c r="AO138" s="171">
        <f t="shared" si="23"/>
        <v>-39.219309158421446</v>
      </c>
      <c r="AP138" s="171">
        <f t="shared" si="23"/>
        <v>-18.882561590608447</v>
      </c>
      <c r="AQ138" s="171">
        <f t="shared" si="23"/>
        <v>-9.0504057121043147</v>
      </c>
      <c r="AR138" s="171">
        <f t="shared" si="23"/>
        <v>-71.784078278354315</v>
      </c>
      <c r="AS138" s="171">
        <f t="shared" si="23"/>
        <v>-58.19496121627315</v>
      </c>
      <c r="AT138" s="171">
        <f t="shared" si="23"/>
        <v>-11.556185834614656</v>
      </c>
      <c r="AU138" s="171">
        <f t="shared" si="23"/>
        <v>-73.998198882153858</v>
      </c>
      <c r="AV138" s="171">
        <f t="shared" si="23"/>
        <v>-67.301080186627203</v>
      </c>
      <c r="AW138" s="171">
        <f t="shared" si="23"/>
        <v>-46.603238249114035</v>
      </c>
      <c r="AX138" s="171">
        <f t="shared" si="23"/>
        <v>-61.069796194758091</v>
      </c>
      <c r="AY138" s="171">
        <f t="shared" si="23"/>
        <v>-35.552311580319476</v>
      </c>
      <c r="AZ138" s="171">
        <f t="shared" si="23"/>
        <v>-77.394296308431365</v>
      </c>
      <c r="BA138" s="171">
        <f t="shared" si="23"/>
        <v>-66.38465357288338</v>
      </c>
      <c r="BB138" s="171">
        <f t="shared" si="23"/>
        <v>-58.604180468064158</v>
      </c>
      <c r="BC138" s="171">
        <f t="shared" si="23"/>
        <v>-75.408579979602862</v>
      </c>
      <c r="BD138" s="171">
        <f t="shared" si="23"/>
        <v>-66.256799580390037</v>
      </c>
      <c r="BE138" s="171">
        <f t="shared" si="23"/>
        <v>-70.110608622331</v>
      </c>
      <c r="BF138" s="171">
        <f t="shared" si="23"/>
        <v>-54.172795525988143</v>
      </c>
      <c r="BG138" s="171">
        <f t="shared" si="23"/>
        <v>-73.257505086441412</v>
      </c>
      <c r="BH138" s="171">
        <f t="shared" si="23"/>
        <v>-57.892984632253743</v>
      </c>
      <c r="BI138" s="171">
        <f t="shared" si="23"/>
        <v>-72.359035901739617</v>
      </c>
      <c r="BJ138" s="171">
        <f t="shared" si="23"/>
        <v>-53.360492281539962</v>
      </c>
    </row>
    <row r="139" spans="18:62" x14ac:dyDescent="0.25">
      <c r="S139" s="180" t="s">
        <v>416</v>
      </c>
      <c r="X139" s="171">
        <f t="shared" ref="X139:BJ139" si="24">SUM(X136:X138)</f>
        <v>-90.479772574889921</v>
      </c>
      <c r="Y139" s="171">
        <f t="shared" si="24"/>
        <v>-86.211109384489262</v>
      </c>
      <c r="Z139" s="171">
        <f t="shared" si="24"/>
        <v>-102.09259329137936</v>
      </c>
      <c r="AA139" s="171">
        <f t="shared" si="24"/>
        <v>-69.361067386134266</v>
      </c>
      <c r="AB139" s="171">
        <f t="shared" si="24"/>
        <v>-97.858648501584582</v>
      </c>
      <c r="AC139" s="171">
        <f t="shared" si="24"/>
        <v>-48.858549129686779</v>
      </c>
      <c r="AD139" s="171">
        <f t="shared" si="24"/>
        <v>-62.911791654833735</v>
      </c>
      <c r="AE139" s="171">
        <f t="shared" si="24"/>
        <v>-97.75413312119943</v>
      </c>
      <c r="AF139" s="171">
        <f t="shared" si="24"/>
        <v>-90.891023039014428</v>
      </c>
      <c r="AG139" s="171">
        <f t="shared" si="24"/>
        <v>-74.833761555824054</v>
      </c>
      <c r="AH139" s="171">
        <f t="shared" si="24"/>
        <v>-22.927168967724263</v>
      </c>
      <c r="AI139" s="171">
        <f t="shared" si="24"/>
        <v>-47.134409990241565</v>
      </c>
      <c r="AJ139" s="171">
        <f t="shared" si="24"/>
        <v>-98.853321235605222</v>
      </c>
      <c r="AK139" s="171">
        <f t="shared" si="24"/>
        <v>-87.147217037408353</v>
      </c>
      <c r="AL139" s="171">
        <f t="shared" si="24"/>
        <v>-101.62315117931146</v>
      </c>
      <c r="AM139" s="171">
        <f t="shared" si="24"/>
        <v>-65.362813210979539</v>
      </c>
      <c r="AN139" s="171">
        <f t="shared" si="24"/>
        <v>-71.179475068368234</v>
      </c>
      <c r="AO139" s="171">
        <f t="shared" si="24"/>
        <v>-55.319309158421447</v>
      </c>
      <c r="AP139" s="171">
        <f t="shared" si="24"/>
        <v>-27.082561590608446</v>
      </c>
      <c r="AQ139" s="171">
        <f t="shared" si="24"/>
        <v>-13.150405712104314</v>
      </c>
      <c r="AR139" s="171">
        <f t="shared" si="24"/>
        <v>-100.18407827835432</v>
      </c>
      <c r="AS139" s="171">
        <f t="shared" si="24"/>
        <v>-82.494961216273154</v>
      </c>
      <c r="AT139" s="171">
        <f t="shared" si="24"/>
        <v>-17.556185834614656</v>
      </c>
      <c r="AU139" s="171">
        <f t="shared" si="24"/>
        <v>-102.39819888215385</v>
      </c>
      <c r="AV139" s="171">
        <f t="shared" si="24"/>
        <v>-91.6010801866272</v>
      </c>
      <c r="AW139" s="171">
        <f t="shared" si="24"/>
        <v>-64.90323824911404</v>
      </c>
      <c r="AX139" s="171">
        <f t="shared" si="24"/>
        <v>-85.369796194758095</v>
      </c>
      <c r="AY139" s="171">
        <f t="shared" si="24"/>
        <v>-49.752311580319471</v>
      </c>
      <c r="AZ139" s="171">
        <f t="shared" si="24"/>
        <v>-107.69429630843136</v>
      </c>
      <c r="BA139" s="171">
        <f t="shared" si="24"/>
        <v>-90.684653572883377</v>
      </c>
      <c r="BB139" s="171">
        <f t="shared" si="24"/>
        <v>-82.904180468064155</v>
      </c>
      <c r="BC139" s="171">
        <f t="shared" si="24"/>
        <v>-103.80857997960285</v>
      </c>
      <c r="BD139" s="171">
        <f t="shared" si="24"/>
        <v>-90.556799580390035</v>
      </c>
      <c r="BE139" s="171">
        <f t="shared" si="24"/>
        <v>-98.510608622331006</v>
      </c>
      <c r="BF139" s="171">
        <f t="shared" si="24"/>
        <v>-74.372795525988153</v>
      </c>
      <c r="BG139" s="171">
        <f t="shared" si="24"/>
        <v>-101.6575050864414</v>
      </c>
      <c r="BH139" s="171">
        <f t="shared" si="24"/>
        <v>-82.19298463225374</v>
      </c>
      <c r="BI139" s="171">
        <f t="shared" si="24"/>
        <v>-100.75903590173962</v>
      </c>
      <c r="BJ139" s="171">
        <f t="shared" si="24"/>
        <v>-73.560492281539965</v>
      </c>
    </row>
    <row r="140" spans="18:62" x14ac:dyDescent="0.25">
      <c r="S140" s="180" t="s">
        <v>427</v>
      </c>
      <c r="X140" s="171">
        <f t="shared" ref="X140:BJ140" si="25">X139+$B$46</f>
        <v>-410.0579862275132</v>
      </c>
      <c r="Y140" s="171">
        <f t="shared" si="25"/>
        <v>-405.78932303711252</v>
      </c>
      <c r="Z140" s="171">
        <f t="shared" si="25"/>
        <v>-421.67080694400261</v>
      </c>
      <c r="AA140" s="171">
        <f t="shared" si="25"/>
        <v>-388.93928103875754</v>
      </c>
      <c r="AB140" s="171">
        <f t="shared" si="25"/>
        <v>-417.43686215420786</v>
      </c>
      <c r="AC140" s="171">
        <f t="shared" si="25"/>
        <v>-368.43676278231004</v>
      </c>
      <c r="AD140" s="171">
        <f t="shared" si="25"/>
        <v>-382.49000530745701</v>
      </c>
      <c r="AE140" s="171">
        <f t="shared" si="25"/>
        <v>-417.33234677382268</v>
      </c>
      <c r="AF140" s="171">
        <f t="shared" si="25"/>
        <v>-410.46923669163772</v>
      </c>
      <c r="AG140" s="171">
        <f t="shared" si="25"/>
        <v>-394.4119752084473</v>
      </c>
      <c r="AH140" s="171">
        <f t="shared" si="25"/>
        <v>-342.50538262034752</v>
      </c>
      <c r="AI140" s="171">
        <f t="shared" si="25"/>
        <v>-366.71262364286486</v>
      </c>
      <c r="AJ140" s="171">
        <f t="shared" si="25"/>
        <v>-418.4315348882285</v>
      </c>
      <c r="AK140" s="171">
        <f t="shared" si="25"/>
        <v>-406.72543069003166</v>
      </c>
      <c r="AL140" s="171">
        <f t="shared" si="25"/>
        <v>-421.20136483193471</v>
      </c>
      <c r="AM140" s="171">
        <f t="shared" si="25"/>
        <v>-384.94102686360281</v>
      </c>
      <c r="AN140" s="171">
        <f t="shared" si="25"/>
        <v>-390.7576887209915</v>
      </c>
      <c r="AO140" s="171">
        <f t="shared" si="25"/>
        <v>-374.89752281104472</v>
      </c>
      <c r="AP140" s="171">
        <f t="shared" si="25"/>
        <v>-346.66077524323174</v>
      </c>
      <c r="AQ140" s="171">
        <f t="shared" si="25"/>
        <v>-332.72861936472759</v>
      </c>
      <c r="AR140" s="171">
        <f t="shared" si="25"/>
        <v>-419.7622919309776</v>
      </c>
      <c r="AS140" s="171">
        <f t="shared" si="25"/>
        <v>-402.07317486889644</v>
      </c>
      <c r="AT140" s="171">
        <f t="shared" si="25"/>
        <v>-337.13439948723794</v>
      </c>
      <c r="AU140" s="171">
        <f t="shared" si="25"/>
        <v>-421.97641253477713</v>
      </c>
      <c r="AV140" s="171">
        <f t="shared" si="25"/>
        <v>-411.17929383925048</v>
      </c>
      <c r="AW140" s="171">
        <f t="shared" si="25"/>
        <v>-384.48145190173733</v>
      </c>
      <c r="AX140" s="171">
        <f t="shared" si="25"/>
        <v>-404.9480098473814</v>
      </c>
      <c r="AY140" s="171">
        <f t="shared" si="25"/>
        <v>-369.33052523294276</v>
      </c>
      <c r="AZ140" s="171">
        <f t="shared" si="25"/>
        <v>-427.27250996105465</v>
      </c>
      <c r="BA140" s="171">
        <f t="shared" si="25"/>
        <v>-410.26286722550662</v>
      </c>
      <c r="BB140" s="171">
        <f t="shared" si="25"/>
        <v>-402.48239412068745</v>
      </c>
      <c r="BC140" s="171">
        <f t="shared" si="25"/>
        <v>-423.38679363222616</v>
      </c>
      <c r="BD140" s="171">
        <f t="shared" si="25"/>
        <v>-410.1350132330133</v>
      </c>
      <c r="BE140" s="171">
        <f t="shared" si="25"/>
        <v>-418.08882227495428</v>
      </c>
      <c r="BF140" s="171">
        <f t="shared" si="25"/>
        <v>-393.95100917861146</v>
      </c>
      <c r="BG140" s="171">
        <f t="shared" si="25"/>
        <v>-421.23571873906468</v>
      </c>
      <c r="BH140" s="171">
        <f t="shared" si="25"/>
        <v>-401.77119828487702</v>
      </c>
      <c r="BI140" s="171">
        <f t="shared" si="25"/>
        <v>-420.33724955436287</v>
      </c>
      <c r="BJ140" s="171">
        <f t="shared" si="25"/>
        <v>-393.13870593416323</v>
      </c>
    </row>
    <row r="141" spans="18:62" x14ac:dyDescent="0.25">
      <c r="S141" s="180" t="s">
        <v>426</v>
      </c>
      <c r="X141" s="171">
        <f t="shared" ref="X141:BJ141" si="26">-X$104</f>
        <v>-45.994446359587286</v>
      </c>
      <c r="Y141" s="171">
        <f t="shared" si="26"/>
        <v>-54.22213679962875</v>
      </c>
      <c r="Z141" s="171">
        <f t="shared" si="26"/>
        <v>-38.852814163577655</v>
      </c>
      <c r="AA141" s="171">
        <f t="shared" si="26"/>
        <v>-38.646592833621462</v>
      </c>
      <c r="AB141" s="171">
        <f t="shared" si="26"/>
        <v>-43.855980729711334</v>
      </c>
      <c r="AC141" s="171">
        <f t="shared" si="26"/>
        <v>-55.179496320794009</v>
      </c>
      <c r="AD141" s="171">
        <f t="shared" si="26"/>
        <v>-27.133582089345349</v>
      </c>
      <c r="AE141" s="171">
        <f t="shared" si="26"/>
        <v>-48.337537292259455</v>
      </c>
      <c r="AF141" s="171">
        <f t="shared" si="26"/>
        <v>-56.145754537194861</v>
      </c>
      <c r="AG141" s="171">
        <f t="shared" si="26"/>
        <v>-54.843046900250627</v>
      </c>
      <c r="AH141" s="171">
        <f t="shared" si="26"/>
        <v>-52.072142400742486</v>
      </c>
      <c r="AI141" s="171">
        <f t="shared" si="26"/>
        <v>-13.356701208007587</v>
      </c>
      <c r="AJ141" s="171">
        <f t="shared" si="26"/>
        <v>-31.26085842597433</v>
      </c>
      <c r="AK141" s="171">
        <f t="shared" si="26"/>
        <v>-52.754513365574908</v>
      </c>
      <c r="AL141" s="171">
        <f t="shared" si="26"/>
        <v>-46.333537212854814</v>
      </c>
      <c r="AM141" s="171">
        <f t="shared" si="26"/>
        <v>-53.38266745471887</v>
      </c>
      <c r="AN141" s="171">
        <f t="shared" si="26"/>
        <v>-51.202777317782775</v>
      </c>
      <c r="AO141" s="171">
        <f t="shared" si="26"/>
        <v>-12.018515658748937</v>
      </c>
      <c r="AP141" s="171">
        <f t="shared" si="26"/>
        <v>-53.72540336573698</v>
      </c>
      <c r="AQ141" s="171">
        <f t="shared" si="26"/>
        <v>-18.584171245498066</v>
      </c>
      <c r="AR141" s="171">
        <f t="shared" si="26"/>
        <v>-51.72873516518851</v>
      </c>
      <c r="AS141" s="171">
        <f t="shared" si="26"/>
        <v>-66.484729785420129</v>
      </c>
      <c r="AT141" s="171">
        <f t="shared" si="26"/>
        <v>-25.468928874904886</v>
      </c>
      <c r="AU141" s="171">
        <f t="shared" si="26"/>
        <v>-45.813452756136577</v>
      </c>
      <c r="AV141" s="171">
        <f t="shared" si="26"/>
        <v>-49.683025932787814</v>
      </c>
      <c r="AW141" s="171">
        <f t="shared" si="26"/>
        <v>-13.686579876690182</v>
      </c>
      <c r="AX141" s="171">
        <f t="shared" si="26"/>
        <v>-40.059167206555195</v>
      </c>
      <c r="AY141" s="171">
        <f t="shared" si="26"/>
        <v>-32.738996743989588</v>
      </c>
      <c r="AZ141" s="171">
        <f t="shared" si="26"/>
        <v>-45.422988795859233</v>
      </c>
      <c r="BA141" s="171">
        <f t="shared" si="26"/>
        <v>-50.398140567871039</v>
      </c>
      <c r="BB141" s="171">
        <f t="shared" si="26"/>
        <v>-50.858471561211481</v>
      </c>
      <c r="BC141" s="171">
        <f t="shared" si="26"/>
        <v>-45.932547806116197</v>
      </c>
      <c r="BD141" s="171">
        <f t="shared" si="26"/>
        <v>-49.170351844370835</v>
      </c>
      <c r="BE141" s="171">
        <f t="shared" si="26"/>
        <v>-42.582680684252736</v>
      </c>
      <c r="BF141" s="171">
        <f t="shared" si="26"/>
        <v>-54.085990856136839</v>
      </c>
      <c r="BG141" s="171">
        <f t="shared" si="26"/>
        <v>-50.615941300607922</v>
      </c>
      <c r="BH141" s="171">
        <f t="shared" si="26"/>
        <v>-55.032441483952091</v>
      </c>
      <c r="BI141" s="171">
        <f t="shared" si="26"/>
        <v>-40.414618894283258</v>
      </c>
      <c r="BJ141" s="171">
        <f t="shared" si="26"/>
        <v>-48.065160883877809</v>
      </c>
    </row>
    <row r="142" spans="18:62" x14ac:dyDescent="0.25">
      <c r="S142" s="180" t="s">
        <v>415</v>
      </c>
      <c r="X142" s="171">
        <f t="shared" ref="X142:BJ142" si="27">X139+$B$46+X141</f>
        <v>-456.0524325871005</v>
      </c>
      <c r="Y142" s="171">
        <f t="shared" si="27"/>
        <v>-460.01145983674127</v>
      </c>
      <c r="Z142" s="171">
        <f t="shared" si="27"/>
        <v>-460.52362110758025</v>
      </c>
      <c r="AA142" s="171">
        <f t="shared" si="27"/>
        <v>-427.58587387237901</v>
      </c>
      <c r="AB142" s="171">
        <f t="shared" si="27"/>
        <v>-461.29284288391921</v>
      </c>
      <c r="AC142" s="171">
        <f t="shared" si="27"/>
        <v>-423.61625910310403</v>
      </c>
      <c r="AD142" s="171">
        <f t="shared" si="27"/>
        <v>-409.62358739680235</v>
      </c>
      <c r="AE142" s="171">
        <f t="shared" si="27"/>
        <v>-465.66988406608215</v>
      </c>
      <c r="AF142" s="171">
        <f t="shared" si="27"/>
        <v>-466.61499122883259</v>
      </c>
      <c r="AG142" s="171">
        <f t="shared" si="27"/>
        <v>-449.25502210869791</v>
      </c>
      <c r="AH142" s="171">
        <f t="shared" si="27"/>
        <v>-394.57752502109003</v>
      </c>
      <c r="AI142" s="171">
        <f t="shared" si="27"/>
        <v>-380.06932485087242</v>
      </c>
      <c r="AJ142" s="171">
        <f t="shared" si="27"/>
        <v>-449.69239331420283</v>
      </c>
      <c r="AK142" s="171">
        <f t="shared" si="27"/>
        <v>-459.47994405560655</v>
      </c>
      <c r="AL142" s="171">
        <f t="shared" si="27"/>
        <v>-467.53490204478953</v>
      </c>
      <c r="AM142" s="171">
        <f t="shared" si="27"/>
        <v>-438.32369431832171</v>
      </c>
      <c r="AN142" s="171">
        <f t="shared" si="27"/>
        <v>-441.96046603877426</v>
      </c>
      <c r="AO142" s="171">
        <f t="shared" si="27"/>
        <v>-386.91603846979365</v>
      </c>
      <c r="AP142" s="171">
        <f t="shared" si="27"/>
        <v>-400.38617860896875</v>
      </c>
      <c r="AQ142" s="171">
        <f t="shared" si="27"/>
        <v>-351.31279061022565</v>
      </c>
      <c r="AR142" s="171">
        <f t="shared" si="27"/>
        <v>-471.49102709616614</v>
      </c>
      <c r="AS142" s="171">
        <f t="shared" si="27"/>
        <v>-468.55790465431659</v>
      </c>
      <c r="AT142" s="171">
        <f t="shared" si="27"/>
        <v>-362.6033283621428</v>
      </c>
      <c r="AU142" s="171">
        <f t="shared" si="27"/>
        <v>-467.78986529091372</v>
      </c>
      <c r="AV142" s="171">
        <f t="shared" si="27"/>
        <v>-460.86231977203829</v>
      </c>
      <c r="AW142" s="171">
        <f t="shared" si="27"/>
        <v>-398.16803177842752</v>
      </c>
      <c r="AX142" s="171">
        <f t="shared" si="27"/>
        <v>-445.00717705393657</v>
      </c>
      <c r="AY142" s="171">
        <f t="shared" si="27"/>
        <v>-402.06952197693238</v>
      </c>
      <c r="AZ142" s="171">
        <f t="shared" si="27"/>
        <v>-472.69549875691388</v>
      </c>
      <c r="BA142" s="171">
        <f t="shared" si="27"/>
        <v>-460.66100779337768</v>
      </c>
      <c r="BB142" s="171">
        <f t="shared" si="27"/>
        <v>-453.34086568189895</v>
      </c>
      <c r="BC142" s="171">
        <f t="shared" si="27"/>
        <v>-469.31934143834235</v>
      </c>
      <c r="BD142" s="171">
        <f t="shared" si="27"/>
        <v>-459.30536507738412</v>
      </c>
      <c r="BE142" s="171">
        <f t="shared" si="27"/>
        <v>-460.67150295920703</v>
      </c>
      <c r="BF142" s="171">
        <f t="shared" si="27"/>
        <v>-448.0370000347483</v>
      </c>
      <c r="BG142" s="171">
        <f t="shared" si="27"/>
        <v>-471.85166003967259</v>
      </c>
      <c r="BH142" s="171">
        <f t="shared" si="27"/>
        <v>-456.8036397688291</v>
      </c>
      <c r="BI142" s="171">
        <f t="shared" si="27"/>
        <v>-460.75186844864612</v>
      </c>
      <c r="BJ142" s="171">
        <f t="shared" si="27"/>
        <v>-441.20386681804104</v>
      </c>
    </row>
    <row r="143" spans="18:62" x14ac:dyDescent="0.25">
      <c r="S143" t="s">
        <v>425</v>
      </c>
      <c r="X143" s="171">
        <f t="shared" ref="X143:BJ143" si="28">X130+X142</f>
        <v>-24.632793898117995</v>
      </c>
      <c r="Y143" s="171">
        <f t="shared" si="28"/>
        <v>-56.418830211648299</v>
      </c>
      <c r="Z143" s="171">
        <f t="shared" si="28"/>
        <v>19.871380791894012</v>
      </c>
      <c r="AA143" s="171">
        <f t="shared" si="28"/>
        <v>-107.10955453643209</v>
      </c>
      <c r="AB143" s="171">
        <f t="shared" si="28"/>
        <v>-8.4985240991435944</v>
      </c>
      <c r="AC143" s="171">
        <f t="shared" si="28"/>
        <v>-197.68047598910937</v>
      </c>
      <c r="AD143" s="171">
        <f t="shared" si="28"/>
        <v>-118.80356357128909</v>
      </c>
      <c r="AE143" s="171">
        <f t="shared" si="28"/>
        <v>-13.55689109868041</v>
      </c>
      <c r="AF143" s="171">
        <f t="shared" si="28"/>
        <v>-32.514449905400852</v>
      </c>
      <c r="AG143" s="171">
        <f t="shared" si="28"/>
        <v>-93.102730349740568</v>
      </c>
      <c r="AH143" s="171">
        <f t="shared" si="28"/>
        <v>-298.57251219368283</v>
      </c>
      <c r="AI143" s="171">
        <f t="shared" si="28"/>
        <v>-165.37304069023645</v>
      </c>
      <c r="AJ143" s="171">
        <f t="shared" si="28"/>
        <v>9.5861023546709134</v>
      </c>
      <c r="AK143" s="171">
        <f t="shared" si="28"/>
        <v>-49.784917736125749</v>
      </c>
      <c r="AL143" s="171">
        <f t="shared" si="28"/>
        <v>9.7998514057414923</v>
      </c>
      <c r="AM143" s="171">
        <f t="shared" si="28"/>
        <v>-131.52569424674715</v>
      </c>
      <c r="AN143" s="171">
        <f t="shared" si="28"/>
        <v>-109.6301200911326</v>
      </c>
      <c r="AO143" s="171">
        <f t="shared" si="28"/>
        <v>-131.2490948034218</v>
      </c>
      <c r="AP143" s="171">
        <f t="shared" si="28"/>
        <v>-277.29255676667117</v>
      </c>
      <c r="AQ143" s="171">
        <f t="shared" si="28"/>
        <v>-292.3140571545261</v>
      </c>
      <c r="AR143" s="171">
        <f t="shared" si="28"/>
        <v>-3.5374529217573354</v>
      </c>
      <c r="AS143" s="171">
        <f t="shared" si="28"/>
        <v>-89.190491249667673</v>
      </c>
      <c r="AT143" s="171">
        <f t="shared" si="28"/>
        <v>-287.26965277795341</v>
      </c>
      <c r="AU143" s="171">
        <f t="shared" si="28"/>
        <v>14.59735036849861</v>
      </c>
      <c r="AV143" s="171">
        <f t="shared" si="28"/>
        <v>-22.132983483725411</v>
      </c>
      <c r="AW143" s="171">
        <f t="shared" si="28"/>
        <v>-94.365957142742843</v>
      </c>
      <c r="AX143" s="171">
        <f t="shared" si="28"/>
        <v>-46.898988039868186</v>
      </c>
      <c r="AY143" s="171">
        <f t="shared" si="28"/>
        <v>-170.3073865120075</v>
      </c>
      <c r="AZ143" s="171">
        <f t="shared" si="28"/>
        <v>31.830552797397445</v>
      </c>
      <c r="BA143" s="171">
        <f t="shared" si="28"/>
        <v>-27.90576937823181</v>
      </c>
      <c r="BB143" s="171">
        <f t="shared" si="28"/>
        <v>-71.305790922680217</v>
      </c>
      <c r="BC143" s="171">
        <f t="shared" si="28"/>
        <v>22.262014360894057</v>
      </c>
      <c r="BD143" s="171">
        <f t="shared" si="28"/>
        <v>-27.383594670669424</v>
      </c>
      <c r="BE143" s="171">
        <f t="shared" si="28"/>
        <v>-3.6271181982487519</v>
      </c>
      <c r="BF143" s="171">
        <f t="shared" si="28"/>
        <v>-94.889701951383643</v>
      </c>
      <c r="BG143" s="171">
        <f t="shared" si="28"/>
        <v>5.7070432617707638</v>
      </c>
      <c r="BH143" s="171">
        <f t="shared" si="28"/>
        <v>-79.404782974476177</v>
      </c>
      <c r="BI143" s="171">
        <f t="shared" si="28"/>
        <v>10.949799750438729</v>
      </c>
      <c r="BJ143" s="171">
        <f t="shared" si="28"/>
        <v>-93.351896273451985</v>
      </c>
    </row>
    <row r="144" spans="18:62" x14ac:dyDescent="0.25">
      <c r="X144" s="171"/>
      <c r="Y144" s="171"/>
      <c r="Z144" s="171"/>
      <c r="AA144" s="171"/>
      <c r="AB144" s="171"/>
      <c r="AC144" s="171"/>
      <c r="AD144" s="171"/>
      <c r="AE144" s="171"/>
      <c r="AF144" s="171"/>
      <c r="AG144" s="171"/>
      <c r="AH144" s="171"/>
      <c r="AI144" s="171"/>
      <c r="AJ144" s="171"/>
      <c r="AK144" s="171"/>
      <c r="AL144" s="171"/>
      <c r="AM144" s="171"/>
      <c r="AN144" s="171"/>
      <c r="AO144" s="171"/>
      <c r="AP144" s="171"/>
      <c r="AQ144" s="171"/>
      <c r="AR144" s="171"/>
      <c r="AS144" s="171"/>
      <c r="AT144" s="171"/>
      <c r="AU144" s="171"/>
      <c r="AV144" s="171"/>
      <c r="AW144" s="171"/>
      <c r="AX144" s="171"/>
      <c r="AY144" s="171"/>
      <c r="AZ144" s="171"/>
      <c r="BA144" s="171"/>
      <c r="BB144" s="171"/>
      <c r="BC144" s="171"/>
      <c r="BD144" s="171"/>
      <c r="BE144" s="171"/>
      <c r="BF144" s="171"/>
      <c r="BG144" s="171"/>
      <c r="BH144" s="171"/>
      <c r="BI144" s="171"/>
      <c r="BJ144" s="171"/>
    </row>
    <row r="145" spans="18:62" x14ac:dyDescent="0.25">
      <c r="S145" s="180" t="s">
        <v>1192</v>
      </c>
      <c r="X145" s="3">
        <f ca="1">(X113*Buffer!B80+Returns_Per_A!X129*Buffer!B82)/(Buffer!B80+Buffer!B82)</f>
        <v>139.66089977250641</v>
      </c>
      <c r="Y145" s="171"/>
      <c r="Z145" s="171"/>
      <c r="AA145" s="171"/>
      <c r="AB145" s="171"/>
      <c r="AC145" s="171"/>
      <c r="AD145" s="171"/>
      <c r="AE145" s="171"/>
      <c r="AF145" s="171"/>
      <c r="AG145" s="171"/>
      <c r="AH145" s="171"/>
      <c r="AI145" s="171"/>
      <c r="AJ145" s="171"/>
      <c r="AK145" s="171"/>
      <c r="AL145" s="171"/>
      <c r="AM145" s="171"/>
      <c r="AN145" s="171"/>
      <c r="AO145" s="171"/>
      <c r="AP145" s="171"/>
      <c r="AQ145" s="171"/>
      <c r="AR145" s="171"/>
      <c r="AS145" s="171"/>
      <c r="AT145" s="171"/>
      <c r="AU145" s="171"/>
      <c r="AV145" s="171"/>
      <c r="AW145" s="171"/>
      <c r="AX145" s="171"/>
      <c r="AY145" s="171"/>
      <c r="AZ145" s="171"/>
      <c r="BA145" s="171"/>
      <c r="BB145" s="171"/>
      <c r="BC145" s="171"/>
      <c r="BD145" s="171"/>
      <c r="BE145" s="171"/>
      <c r="BF145" s="171"/>
      <c r="BG145" s="171"/>
      <c r="BH145" s="171"/>
      <c r="BI145" s="171"/>
      <c r="BJ145" s="171"/>
    </row>
    <row r="146" spans="18:62" x14ac:dyDescent="0.25">
      <c r="S146" s="180"/>
      <c r="X146" s="171"/>
      <c r="Y146" s="171"/>
      <c r="Z146" s="171"/>
      <c r="AA146" s="171"/>
      <c r="AB146" s="171"/>
      <c r="AC146" s="171"/>
      <c r="AD146" s="171"/>
      <c r="AE146" s="171"/>
      <c r="AF146" s="171"/>
      <c r="AG146" s="171"/>
      <c r="AH146" s="171"/>
      <c r="AI146" s="171"/>
      <c r="AJ146" s="171"/>
      <c r="AK146" s="171"/>
      <c r="AL146" s="171"/>
      <c r="AM146" s="171"/>
      <c r="AN146" s="171"/>
      <c r="AO146" s="171"/>
      <c r="AP146" s="171"/>
      <c r="AQ146" s="171"/>
      <c r="AR146" s="171"/>
      <c r="AS146" s="171"/>
      <c r="AT146" s="171"/>
      <c r="AU146" s="171"/>
      <c r="AV146" s="171"/>
      <c r="AW146" s="171"/>
      <c r="AX146" s="171"/>
      <c r="AY146" s="171"/>
      <c r="AZ146" s="171"/>
      <c r="BA146" s="171"/>
      <c r="BB146" s="171"/>
      <c r="BC146" s="171"/>
      <c r="BD146" s="171"/>
      <c r="BE146" s="171"/>
      <c r="BF146" s="171"/>
      <c r="BG146" s="171"/>
    </row>
    <row r="147" spans="18:62" x14ac:dyDescent="0.25">
      <c r="R147" s="179" t="s">
        <v>1180</v>
      </c>
    </row>
    <row r="148" spans="18:62" x14ac:dyDescent="0.25">
      <c r="R148" t="s">
        <v>421</v>
      </c>
      <c r="S148" s="184" t="s">
        <v>418</v>
      </c>
    </row>
    <row r="149" spans="18:62" x14ac:dyDescent="0.25">
      <c r="S149" t="s">
        <v>191</v>
      </c>
      <c r="T149" t="s">
        <v>1181</v>
      </c>
      <c r="X149" s="778">
        <v>12.009309215238979</v>
      </c>
      <c r="Y149" s="778">
        <v>8.2426133747117944</v>
      </c>
      <c r="Z149" s="778">
        <v>19.051371723349291</v>
      </c>
      <c r="AA149" s="778">
        <v>18.076054896270865</v>
      </c>
      <c r="AB149" s="778">
        <v>3.7988055519077957</v>
      </c>
      <c r="AC149" s="778">
        <v>0</v>
      </c>
      <c r="AD149" s="778">
        <v>14.212229475654169</v>
      </c>
      <c r="AE149" s="778">
        <v>1.6054012485486908</v>
      </c>
      <c r="AF149" s="778">
        <v>14.039237958337985</v>
      </c>
      <c r="AG149" s="778">
        <v>6.9137983314313258</v>
      </c>
      <c r="AH149" s="778">
        <v>4.6977909379580991</v>
      </c>
      <c r="AI149" s="778">
        <v>4.7327713324427085</v>
      </c>
      <c r="AJ149" s="778">
        <v>1.1461754478051285</v>
      </c>
      <c r="AK149" s="778">
        <v>7.2048527988086501</v>
      </c>
      <c r="AL149" s="778">
        <v>22.388113967854398</v>
      </c>
      <c r="AM149" s="778">
        <v>7.0610634321336949</v>
      </c>
      <c r="AN149" s="778">
        <v>4.4339199419567468</v>
      </c>
      <c r="AO149" s="778">
        <v>4.4888940768475765</v>
      </c>
      <c r="AP149" s="778">
        <v>4.4788613843205134</v>
      </c>
      <c r="AQ149" s="778">
        <v>2.321979469151441</v>
      </c>
      <c r="AR149" s="778">
        <v>0</v>
      </c>
      <c r="AS149" s="778">
        <v>1.2874698402082878</v>
      </c>
      <c r="AT149" s="778">
        <v>3.1638308059114064</v>
      </c>
      <c r="AU149" s="778">
        <v>22.436009671456564</v>
      </c>
      <c r="AV149" s="778">
        <v>4.7974969412804427</v>
      </c>
      <c r="AW149" s="778">
        <v>7.4708004569959154</v>
      </c>
      <c r="AX149" s="778">
        <v>13.736398186118501</v>
      </c>
      <c r="AY149" s="778">
        <v>14.04643539515077</v>
      </c>
      <c r="AZ149" s="778">
        <v>1.606380113662393</v>
      </c>
      <c r="BA149" s="778">
        <v>7.2673514351951489</v>
      </c>
      <c r="BB149" s="778">
        <v>14.275386963474677</v>
      </c>
      <c r="BC149" s="778">
        <v>19.997808700958469</v>
      </c>
      <c r="BD149" s="778">
        <v>8.7865491149595982</v>
      </c>
      <c r="BE149" s="778">
        <v>1.5896586825466483</v>
      </c>
      <c r="BF149" s="778">
        <v>5.5504932289729627</v>
      </c>
      <c r="BG149" s="778">
        <v>22.348106367259469</v>
      </c>
      <c r="BH149" s="778">
        <v>3.9960924351245914</v>
      </c>
      <c r="BI149" s="778">
        <v>7.2834340664076738</v>
      </c>
      <c r="BJ149" s="778">
        <v>1.8898899241841933</v>
      </c>
    </row>
    <row r="150" spans="18:62" x14ac:dyDescent="0.25">
      <c r="S150" s="180" t="s">
        <v>417</v>
      </c>
      <c r="V150" s="776">
        <f>C64*C66</f>
        <v>28</v>
      </c>
      <c r="W150" s="867" t="s">
        <v>1949</v>
      </c>
      <c r="X150" s="171">
        <f>$V$150*X149</f>
        <v>336.26065802669143</v>
      </c>
      <c r="Y150" s="171">
        <f t="shared" ref="Y150:BJ150" si="29">$V$150*Y149</f>
        <v>230.79317449193024</v>
      </c>
      <c r="Z150" s="171">
        <f t="shared" si="29"/>
        <v>533.43840825378015</v>
      </c>
      <c r="AA150" s="171">
        <f t="shared" si="29"/>
        <v>506.12953709558423</v>
      </c>
      <c r="AB150" s="171">
        <f t="shared" si="29"/>
        <v>106.36655545341827</v>
      </c>
      <c r="AC150" s="171">
        <f t="shared" si="29"/>
        <v>0</v>
      </c>
      <c r="AD150" s="171">
        <f t="shared" si="29"/>
        <v>397.94242531831674</v>
      </c>
      <c r="AE150" s="171">
        <f t="shared" si="29"/>
        <v>44.95123495936334</v>
      </c>
      <c r="AF150" s="171">
        <f t="shared" si="29"/>
        <v>393.09866283346355</v>
      </c>
      <c r="AG150" s="171">
        <f t="shared" si="29"/>
        <v>193.58635328007713</v>
      </c>
      <c r="AH150" s="171">
        <f t="shared" si="29"/>
        <v>131.53814626282679</v>
      </c>
      <c r="AI150" s="171">
        <f t="shared" si="29"/>
        <v>132.51759730839584</v>
      </c>
      <c r="AJ150" s="171">
        <f t="shared" si="29"/>
        <v>32.092912538543601</v>
      </c>
      <c r="AK150" s="171">
        <f t="shared" si="29"/>
        <v>201.7358783666422</v>
      </c>
      <c r="AL150" s="171">
        <f t="shared" si="29"/>
        <v>626.86719109992316</v>
      </c>
      <c r="AM150" s="171">
        <f t="shared" si="29"/>
        <v>197.70977609974346</v>
      </c>
      <c r="AN150" s="171">
        <f t="shared" si="29"/>
        <v>124.14975837478892</v>
      </c>
      <c r="AO150" s="171">
        <f t="shared" si="29"/>
        <v>125.68903415173214</v>
      </c>
      <c r="AP150" s="171">
        <f t="shared" si="29"/>
        <v>125.40811876097438</v>
      </c>
      <c r="AQ150" s="171">
        <f t="shared" si="29"/>
        <v>65.015425136240353</v>
      </c>
      <c r="AR150" s="171">
        <f t="shared" si="29"/>
        <v>0</v>
      </c>
      <c r="AS150" s="171">
        <f t="shared" si="29"/>
        <v>36.049155525832056</v>
      </c>
      <c r="AT150" s="171">
        <f t="shared" si="29"/>
        <v>88.587262565519381</v>
      </c>
      <c r="AU150" s="171">
        <f t="shared" si="29"/>
        <v>628.20827080078379</v>
      </c>
      <c r="AV150" s="171">
        <f t="shared" si="29"/>
        <v>134.3299143558524</v>
      </c>
      <c r="AW150" s="171">
        <f t="shared" si="29"/>
        <v>209.18241279588563</v>
      </c>
      <c r="AX150" s="171">
        <f t="shared" si="29"/>
        <v>384.61914921131802</v>
      </c>
      <c r="AY150" s="171">
        <f t="shared" si="29"/>
        <v>393.30019106422156</v>
      </c>
      <c r="AZ150" s="171">
        <f t="shared" si="29"/>
        <v>44.978643182547003</v>
      </c>
      <c r="BA150" s="171">
        <f t="shared" si="29"/>
        <v>203.48584018546416</v>
      </c>
      <c r="BB150" s="171">
        <f t="shared" si="29"/>
        <v>399.71083497729097</v>
      </c>
      <c r="BC150" s="171">
        <f t="shared" si="29"/>
        <v>559.93864362683712</v>
      </c>
      <c r="BD150" s="171">
        <f t="shared" si="29"/>
        <v>246.02337521886875</v>
      </c>
      <c r="BE150" s="171">
        <f t="shared" si="29"/>
        <v>44.510443111306152</v>
      </c>
      <c r="BF150" s="171">
        <f t="shared" si="29"/>
        <v>155.41381041124296</v>
      </c>
      <c r="BG150" s="171">
        <f t="shared" si="29"/>
        <v>625.74697828326509</v>
      </c>
      <c r="BH150" s="171">
        <f t="shared" si="29"/>
        <v>111.89058818348856</v>
      </c>
      <c r="BI150" s="171">
        <f t="shared" si="29"/>
        <v>203.93615385941487</v>
      </c>
      <c r="BJ150" s="171">
        <f t="shared" si="29"/>
        <v>52.916917877157417</v>
      </c>
    </row>
    <row r="151" spans="18:62" x14ac:dyDescent="0.25">
      <c r="S151" s="180"/>
      <c r="V151" s="777"/>
      <c r="X151" s="171"/>
      <c r="Y151" s="171"/>
      <c r="Z151" s="171"/>
      <c r="AA151" s="171"/>
      <c r="AB151" s="171"/>
      <c r="AC151" s="171"/>
      <c r="AD151" s="171"/>
      <c r="AE151" s="171"/>
      <c r="AF151" s="171"/>
      <c r="AG151" s="171"/>
      <c r="AH151" s="171"/>
      <c r="AI151" s="171"/>
      <c r="AJ151" s="171"/>
      <c r="AK151" s="171"/>
      <c r="AL151" s="171"/>
      <c r="AM151" s="171"/>
      <c r="AN151" s="171"/>
      <c r="AO151" s="171"/>
      <c r="AP151" s="171"/>
      <c r="AQ151" s="171"/>
      <c r="AR151" s="171"/>
      <c r="AS151" s="171"/>
      <c r="AT151" s="171"/>
      <c r="AU151" s="171"/>
      <c r="AV151" s="171"/>
      <c r="AW151" s="171"/>
      <c r="AX151" s="171"/>
      <c r="AY151" s="171"/>
      <c r="AZ151" s="171"/>
      <c r="BA151" s="171"/>
      <c r="BB151" s="171"/>
      <c r="BC151" s="171"/>
      <c r="BD151" s="171"/>
      <c r="BE151" s="171"/>
      <c r="BF151" s="171"/>
      <c r="BG151" s="171"/>
      <c r="BH151" s="171"/>
      <c r="BI151" s="171"/>
      <c r="BJ151" s="171"/>
    </row>
    <row r="152" spans="18:62" x14ac:dyDescent="0.25">
      <c r="S152" s="180" t="s">
        <v>408</v>
      </c>
      <c r="V152" s="173">
        <f>C61</f>
        <v>0.53286666666666671</v>
      </c>
      <c r="X152" s="171">
        <f>-$V$152*X113</f>
        <v>-85.779531642811875</v>
      </c>
      <c r="Y152" s="171">
        <f t="shared" ref="Y152:BJ152" si="30">-$V$152*Y113</f>
        <v>-80.246663895357415</v>
      </c>
      <c r="Z152" s="171">
        <f t="shared" si="30"/>
        <v>-95.517344531902936</v>
      </c>
      <c r="AA152" s="171">
        <f t="shared" si="30"/>
        <v>-63.720577623189641</v>
      </c>
      <c r="AB152" s="171">
        <f t="shared" si="30"/>
        <v>-90.02947736434605</v>
      </c>
      <c r="AC152" s="171">
        <f t="shared" si="30"/>
        <v>-44.923002846521378</v>
      </c>
      <c r="AD152" s="171">
        <f t="shared" si="30"/>
        <v>-57.82399130441113</v>
      </c>
      <c r="AE152" s="171">
        <f t="shared" si="30"/>
        <v>-89.894008775831892</v>
      </c>
      <c r="AF152" s="171">
        <f t="shared" si="30"/>
        <v>-86.312577781049498</v>
      </c>
      <c r="AG152" s="171">
        <f t="shared" si="30"/>
        <v>-70.814061393764817</v>
      </c>
      <c r="AH152" s="171">
        <f t="shared" si="30"/>
        <v>-19.088757898742926</v>
      </c>
      <c r="AI152" s="171">
        <f t="shared" si="30"/>
        <v>-42.688243763581177</v>
      </c>
      <c r="AJ152" s="171">
        <f t="shared" si="30"/>
        <v>-91.318731738341</v>
      </c>
      <c r="AK152" s="171">
        <f t="shared" si="30"/>
        <v>-81.46000859133359</v>
      </c>
      <c r="AL152" s="171">
        <f t="shared" si="30"/>
        <v>-94.908872744529717</v>
      </c>
      <c r="AM152" s="171">
        <f t="shared" si="30"/>
        <v>-61.000905835126751</v>
      </c>
      <c r="AN152" s="171">
        <f t="shared" si="30"/>
        <v>-66.077523760186565</v>
      </c>
      <c r="AO152" s="171">
        <f t="shared" si="30"/>
        <v>-50.834474644908219</v>
      </c>
      <c r="AP152" s="171">
        <f t="shared" si="30"/>
        <v>-24.474808939937425</v>
      </c>
      <c r="AQ152" s="171">
        <f t="shared" si="30"/>
        <v>-11.730768072423052</v>
      </c>
      <c r="AR152" s="171">
        <f t="shared" si="30"/>
        <v>-93.043604934727611</v>
      </c>
      <c r="AS152" s="171">
        <f t="shared" si="30"/>
        <v>-75.429943665257682</v>
      </c>
      <c r="AT152" s="171">
        <f t="shared" si="30"/>
        <v>-14.978658431453383</v>
      </c>
      <c r="AU152" s="171">
        <f t="shared" si="30"/>
        <v>-95.913458078748334</v>
      </c>
      <c r="AV152" s="171">
        <f t="shared" si="30"/>
        <v>-87.232924998818035</v>
      </c>
      <c r="AW152" s="171">
        <f t="shared" si="30"/>
        <v>-60.405223446841489</v>
      </c>
      <c r="AX152" s="171">
        <f t="shared" si="30"/>
        <v>-79.156187930085792</v>
      </c>
      <c r="AY152" s="171">
        <f t="shared" si="30"/>
        <v>-46.081461412217529</v>
      </c>
      <c r="AZ152" s="171">
        <f t="shared" si="30"/>
        <v>-100.31534154411966</v>
      </c>
      <c r="BA152" s="171">
        <f t="shared" si="30"/>
        <v>-86.045090065976652</v>
      </c>
      <c r="BB152" s="171">
        <f t="shared" si="30"/>
        <v>-75.960357028617793</v>
      </c>
      <c r="BC152" s="171">
        <f t="shared" si="30"/>
        <v>-97.741536738887973</v>
      </c>
      <c r="BD152" s="171">
        <f t="shared" si="30"/>
        <v>-85.879370916937077</v>
      </c>
      <c r="BE152" s="171">
        <f t="shared" si="30"/>
        <v>-90.874521576973621</v>
      </c>
      <c r="BF152" s="171">
        <f t="shared" si="30"/>
        <v>-70.2165759597098</v>
      </c>
      <c r="BG152" s="171">
        <f t="shared" si="30"/>
        <v>-94.953400882796942</v>
      </c>
      <c r="BH152" s="171">
        <f t="shared" si="30"/>
        <v>-75.038533889484142</v>
      </c>
      <c r="BI152" s="171">
        <f t="shared" si="30"/>
        <v>-93.78884163968371</v>
      </c>
      <c r="BJ152" s="171">
        <f t="shared" si="30"/>
        <v>-69.163701506539809</v>
      </c>
    </row>
    <row r="153" spans="18:62" x14ac:dyDescent="0.25">
      <c r="S153" s="180" t="s">
        <v>416</v>
      </c>
      <c r="X153" s="171">
        <f t="shared" ref="X153:BJ153" si="31">X152+X120+X121</f>
        <v>-124.27953164281189</v>
      </c>
      <c r="Y153" s="171">
        <f t="shared" si="31"/>
        <v>-114.64666389535742</v>
      </c>
      <c r="Z153" s="171">
        <f t="shared" si="31"/>
        <v>-138.11734453190294</v>
      </c>
      <c r="AA153" s="171">
        <f t="shared" si="31"/>
        <v>-92.120577623189646</v>
      </c>
      <c r="AB153" s="171">
        <f t="shared" si="31"/>
        <v>-128.52947736434606</v>
      </c>
      <c r="AC153" s="171">
        <f t="shared" si="31"/>
        <v>-65.123002846521388</v>
      </c>
      <c r="AD153" s="171">
        <f t="shared" si="31"/>
        <v>-82.12399130441112</v>
      </c>
      <c r="AE153" s="171">
        <f t="shared" si="31"/>
        <v>-128.39400877583191</v>
      </c>
      <c r="AF153" s="171">
        <f t="shared" si="31"/>
        <v>-124.8125777810495</v>
      </c>
      <c r="AG153" s="171">
        <f t="shared" si="31"/>
        <v>-101.11406139376481</v>
      </c>
      <c r="AH153" s="171">
        <f t="shared" si="31"/>
        <v>-29.188757898742924</v>
      </c>
      <c r="AI153" s="171">
        <f t="shared" si="31"/>
        <v>-62.88824376358118</v>
      </c>
      <c r="AJ153" s="171">
        <f t="shared" si="31"/>
        <v>-129.818731738341</v>
      </c>
      <c r="AK153" s="171">
        <f t="shared" si="31"/>
        <v>-115.8600085913336</v>
      </c>
      <c r="AL153" s="171">
        <f t="shared" si="31"/>
        <v>-135.30887274452974</v>
      </c>
      <c r="AM153" s="171">
        <f t="shared" si="31"/>
        <v>-89.40090583512675</v>
      </c>
      <c r="AN153" s="171">
        <f t="shared" si="31"/>
        <v>-94.477523760186571</v>
      </c>
      <c r="AO153" s="171">
        <f t="shared" si="31"/>
        <v>-75.134474644908224</v>
      </c>
      <c r="AP153" s="171">
        <f t="shared" si="31"/>
        <v>-36.774808939937429</v>
      </c>
      <c r="AQ153" s="171">
        <f t="shared" si="31"/>
        <v>-17.730768072423054</v>
      </c>
      <c r="AR153" s="171">
        <f t="shared" si="31"/>
        <v>-133.44360493472763</v>
      </c>
      <c r="AS153" s="171">
        <f t="shared" si="31"/>
        <v>-109.82994366525769</v>
      </c>
      <c r="AT153" s="171">
        <f t="shared" si="31"/>
        <v>-23.178658431453382</v>
      </c>
      <c r="AU153" s="171">
        <f t="shared" si="31"/>
        <v>-138.51345807874833</v>
      </c>
      <c r="AV153" s="171">
        <f t="shared" si="31"/>
        <v>-125.73292499881805</v>
      </c>
      <c r="AW153" s="171">
        <f t="shared" si="31"/>
        <v>-88.805223446841495</v>
      </c>
      <c r="AX153" s="171">
        <f t="shared" si="31"/>
        <v>-113.5561879300858</v>
      </c>
      <c r="AY153" s="171">
        <f t="shared" si="31"/>
        <v>-66.281461412217539</v>
      </c>
      <c r="AZ153" s="171">
        <f t="shared" si="31"/>
        <v>-142.91534154411966</v>
      </c>
      <c r="BA153" s="171">
        <f t="shared" si="31"/>
        <v>-124.54509006597667</v>
      </c>
      <c r="BB153" s="171">
        <f t="shared" si="31"/>
        <v>-110.3603570286178</v>
      </c>
      <c r="BC153" s="171">
        <f t="shared" si="31"/>
        <v>-140.34153673888798</v>
      </c>
      <c r="BD153" s="171">
        <f t="shared" si="31"/>
        <v>-124.37937091693709</v>
      </c>
      <c r="BE153" s="171">
        <f t="shared" si="31"/>
        <v>-129.37452157697362</v>
      </c>
      <c r="BF153" s="171">
        <f t="shared" si="31"/>
        <v>-100.5165759597098</v>
      </c>
      <c r="BG153" s="171">
        <f t="shared" si="31"/>
        <v>-135.35340088279696</v>
      </c>
      <c r="BH153" s="171">
        <f t="shared" si="31"/>
        <v>-107.53853388948414</v>
      </c>
      <c r="BI153" s="171">
        <f t="shared" si="31"/>
        <v>-134.18884163968372</v>
      </c>
      <c r="BJ153" s="171">
        <f t="shared" si="31"/>
        <v>-99.46370150653982</v>
      </c>
    </row>
    <row r="154" spans="18:62" x14ac:dyDescent="0.25">
      <c r="S154" s="180" t="s">
        <v>427</v>
      </c>
      <c r="X154" s="171">
        <f>X153+$C$46</f>
        <v>-407.77560849868939</v>
      </c>
      <c r="Y154" s="171">
        <f t="shared" ref="Y154:BJ154" si="32">Y153+$C$46</f>
        <v>-398.1427407512349</v>
      </c>
      <c r="Z154" s="171">
        <f t="shared" si="32"/>
        <v>-421.61342138778048</v>
      </c>
      <c r="AA154" s="171">
        <f t="shared" si="32"/>
        <v>-375.61665447906717</v>
      </c>
      <c r="AB154" s="171">
        <f t="shared" si="32"/>
        <v>-412.02555422022357</v>
      </c>
      <c r="AC154" s="171">
        <f t="shared" si="32"/>
        <v>-348.61907970239889</v>
      </c>
      <c r="AD154" s="171">
        <f t="shared" si="32"/>
        <v>-365.62006816028861</v>
      </c>
      <c r="AE154" s="171">
        <f t="shared" si="32"/>
        <v>-411.89008563170944</v>
      </c>
      <c r="AF154" s="171">
        <f t="shared" si="32"/>
        <v>-408.30865463692703</v>
      </c>
      <c r="AG154" s="171">
        <f t="shared" si="32"/>
        <v>-384.61013824964232</v>
      </c>
      <c r="AH154" s="171">
        <f t="shared" si="32"/>
        <v>-312.68483475462045</v>
      </c>
      <c r="AI154" s="171">
        <f t="shared" si="32"/>
        <v>-346.38432061945866</v>
      </c>
      <c r="AJ154" s="171">
        <f t="shared" si="32"/>
        <v>-413.3148085942185</v>
      </c>
      <c r="AK154" s="171">
        <f t="shared" si="32"/>
        <v>-399.35608544721111</v>
      </c>
      <c r="AL154" s="171">
        <f t="shared" si="32"/>
        <v>-418.80494960040721</v>
      </c>
      <c r="AM154" s="171">
        <f t="shared" si="32"/>
        <v>-372.89698269100427</v>
      </c>
      <c r="AN154" s="171">
        <f t="shared" si="32"/>
        <v>-377.97360061606406</v>
      </c>
      <c r="AO154" s="171">
        <f t="shared" si="32"/>
        <v>-358.63055150078571</v>
      </c>
      <c r="AP154" s="171">
        <f t="shared" si="32"/>
        <v>-320.27088579581493</v>
      </c>
      <c r="AQ154" s="171">
        <f t="shared" si="32"/>
        <v>-301.22684492830058</v>
      </c>
      <c r="AR154" s="171">
        <f t="shared" si="32"/>
        <v>-416.93968179060516</v>
      </c>
      <c r="AS154" s="171">
        <f t="shared" si="32"/>
        <v>-393.32602052113521</v>
      </c>
      <c r="AT154" s="171">
        <f t="shared" si="32"/>
        <v>-306.67473528733086</v>
      </c>
      <c r="AU154" s="171">
        <f t="shared" si="32"/>
        <v>-422.00953493462583</v>
      </c>
      <c r="AV154" s="171">
        <f t="shared" si="32"/>
        <v>-409.22900185469553</v>
      </c>
      <c r="AW154" s="171">
        <f t="shared" si="32"/>
        <v>-372.30130030271903</v>
      </c>
      <c r="AX154" s="171">
        <f t="shared" si="32"/>
        <v>-397.0522647859633</v>
      </c>
      <c r="AY154" s="171">
        <f t="shared" si="32"/>
        <v>-349.77753826809504</v>
      </c>
      <c r="AZ154" s="171">
        <f t="shared" si="32"/>
        <v>-426.41141839999716</v>
      </c>
      <c r="BA154" s="171">
        <f t="shared" si="32"/>
        <v>-408.04116692185414</v>
      </c>
      <c r="BB154" s="171">
        <f t="shared" si="32"/>
        <v>-393.85643388449529</v>
      </c>
      <c r="BC154" s="171">
        <f t="shared" si="32"/>
        <v>-423.83761359476546</v>
      </c>
      <c r="BD154" s="171">
        <f t="shared" si="32"/>
        <v>-407.8754477728146</v>
      </c>
      <c r="BE154" s="171">
        <f t="shared" si="32"/>
        <v>-412.87059843285112</v>
      </c>
      <c r="BF154" s="171">
        <f t="shared" si="32"/>
        <v>-384.01265281558733</v>
      </c>
      <c r="BG154" s="171">
        <f t="shared" si="32"/>
        <v>-418.84947773867447</v>
      </c>
      <c r="BH154" s="171">
        <f t="shared" si="32"/>
        <v>-391.03461074536165</v>
      </c>
      <c r="BI154" s="171">
        <f t="shared" si="32"/>
        <v>-417.68491849556119</v>
      </c>
      <c r="BJ154" s="171">
        <f t="shared" si="32"/>
        <v>-382.9597783624173</v>
      </c>
    </row>
    <row r="155" spans="18:62" x14ac:dyDescent="0.25">
      <c r="S155" s="180" t="s">
        <v>426</v>
      </c>
      <c r="X155" s="171">
        <f>-X104</f>
        <v>-45.994446359587286</v>
      </c>
      <c r="Y155" s="171">
        <f t="shared" ref="Y155:BJ155" si="33">-Y104</f>
        <v>-54.22213679962875</v>
      </c>
      <c r="Z155" s="171">
        <f t="shared" si="33"/>
        <v>-38.852814163577655</v>
      </c>
      <c r="AA155" s="171">
        <f t="shared" si="33"/>
        <v>-38.646592833621462</v>
      </c>
      <c r="AB155" s="171">
        <f t="shared" si="33"/>
        <v>-43.855980729711334</v>
      </c>
      <c r="AC155" s="171">
        <f t="shared" si="33"/>
        <v>-55.179496320794009</v>
      </c>
      <c r="AD155" s="171">
        <f t="shared" si="33"/>
        <v>-27.133582089345349</v>
      </c>
      <c r="AE155" s="171">
        <f t="shared" si="33"/>
        <v>-48.337537292259455</v>
      </c>
      <c r="AF155" s="171">
        <f t="shared" si="33"/>
        <v>-56.145754537194861</v>
      </c>
      <c r="AG155" s="171">
        <f t="shared" si="33"/>
        <v>-54.843046900250627</v>
      </c>
      <c r="AH155" s="171">
        <f t="shared" si="33"/>
        <v>-52.072142400742486</v>
      </c>
      <c r="AI155" s="171">
        <f t="shared" si="33"/>
        <v>-13.356701208007587</v>
      </c>
      <c r="AJ155" s="171">
        <f t="shared" si="33"/>
        <v>-31.26085842597433</v>
      </c>
      <c r="AK155" s="171">
        <f t="shared" si="33"/>
        <v>-52.754513365574908</v>
      </c>
      <c r="AL155" s="171">
        <f t="shared" si="33"/>
        <v>-46.333537212854814</v>
      </c>
      <c r="AM155" s="171">
        <f t="shared" si="33"/>
        <v>-53.38266745471887</v>
      </c>
      <c r="AN155" s="171">
        <f t="shared" si="33"/>
        <v>-51.202777317782775</v>
      </c>
      <c r="AO155" s="171">
        <f t="shared" si="33"/>
        <v>-12.018515658748937</v>
      </c>
      <c r="AP155" s="171">
        <f t="shared" si="33"/>
        <v>-53.72540336573698</v>
      </c>
      <c r="AQ155" s="171">
        <f t="shared" si="33"/>
        <v>-18.584171245498066</v>
      </c>
      <c r="AR155" s="171">
        <f t="shared" si="33"/>
        <v>-51.72873516518851</v>
      </c>
      <c r="AS155" s="171">
        <f t="shared" si="33"/>
        <v>-66.484729785420129</v>
      </c>
      <c r="AT155" s="171">
        <f t="shared" si="33"/>
        <v>-25.468928874904886</v>
      </c>
      <c r="AU155" s="171">
        <f t="shared" si="33"/>
        <v>-45.813452756136577</v>
      </c>
      <c r="AV155" s="171">
        <f t="shared" si="33"/>
        <v>-49.683025932787814</v>
      </c>
      <c r="AW155" s="171">
        <f t="shared" si="33"/>
        <v>-13.686579876690182</v>
      </c>
      <c r="AX155" s="171">
        <f t="shared" si="33"/>
        <v>-40.059167206555195</v>
      </c>
      <c r="AY155" s="171">
        <f t="shared" si="33"/>
        <v>-32.738996743989588</v>
      </c>
      <c r="AZ155" s="171">
        <f t="shared" si="33"/>
        <v>-45.422988795859233</v>
      </c>
      <c r="BA155" s="171">
        <f t="shared" si="33"/>
        <v>-50.398140567871039</v>
      </c>
      <c r="BB155" s="171">
        <f t="shared" si="33"/>
        <v>-50.858471561211481</v>
      </c>
      <c r="BC155" s="171">
        <f t="shared" si="33"/>
        <v>-45.932547806116197</v>
      </c>
      <c r="BD155" s="171">
        <f t="shared" si="33"/>
        <v>-49.170351844370835</v>
      </c>
      <c r="BE155" s="171">
        <f t="shared" si="33"/>
        <v>-42.582680684252736</v>
      </c>
      <c r="BF155" s="171">
        <f t="shared" si="33"/>
        <v>-54.085990856136839</v>
      </c>
      <c r="BG155" s="171">
        <f t="shared" si="33"/>
        <v>-50.615941300607922</v>
      </c>
      <c r="BH155" s="171">
        <f t="shared" si="33"/>
        <v>-55.032441483952091</v>
      </c>
      <c r="BI155" s="171">
        <f t="shared" si="33"/>
        <v>-40.414618894283258</v>
      </c>
      <c r="BJ155" s="171">
        <f t="shared" si="33"/>
        <v>-48.065160883877809</v>
      </c>
    </row>
    <row r="156" spans="18:62" x14ac:dyDescent="0.25">
      <c r="S156" s="180" t="s">
        <v>415</v>
      </c>
      <c r="X156" s="171">
        <f>X154+X155</f>
        <v>-453.77005485827669</v>
      </c>
      <c r="Y156" s="171">
        <f t="shared" ref="Y156:BJ156" si="34">Y154+Y155</f>
        <v>-452.36487755086364</v>
      </c>
      <c r="Z156" s="171">
        <f t="shared" si="34"/>
        <v>-460.46623555135812</v>
      </c>
      <c r="AA156" s="171">
        <f t="shared" si="34"/>
        <v>-414.26324731268863</v>
      </c>
      <c r="AB156" s="171">
        <f t="shared" si="34"/>
        <v>-455.88153494993492</v>
      </c>
      <c r="AC156" s="171">
        <f t="shared" si="34"/>
        <v>-403.79857602319288</v>
      </c>
      <c r="AD156" s="171">
        <f t="shared" si="34"/>
        <v>-392.75365024963395</v>
      </c>
      <c r="AE156" s="171">
        <f t="shared" si="34"/>
        <v>-460.22762292396891</v>
      </c>
      <c r="AF156" s="171">
        <f t="shared" si="34"/>
        <v>-464.45440917412191</v>
      </c>
      <c r="AG156" s="171">
        <f t="shared" si="34"/>
        <v>-439.45318514989293</v>
      </c>
      <c r="AH156" s="171">
        <f t="shared" si="34"/>
        <v>-364.75697715536296</v>
      </c>
      <c r="AI156" s="171">
        <f t="shared" si="34"/>
        <v>-359.74102182746623</v>
      </c>
      <c r="AJ156" s="171">
        <f t="shared" si="34"/>
        <v>-444.57566702019284</v>
      </c>
      <c r="AK156" s="171">
        <f t="shared" si="34"/>
        <v>-452.11059881278601</v>
      </c>
      <c r="AL156" s="171">
        <f t="shared" si="34"/>
        <v>-465.13848681326203</v>
      </c>
      <c r="AM156" s="171">
        <f t="shared" si="34"/>
        <v>-426.27965014572317</v>
      </c>
      <c r="AN156" s="171">
        <f t="shared" si="34"/>
        <v>-429.17637793384682</v>
      </c>
      <c r="AO156" s="171">
        <f t="shared" si="34"/>
        <v>-370.64906715953464</v>
      </c>
      <c r="AP156" s="171">
        <f t="shared" si="34"/>
        <v>-373.99628916155189</v>
      </c>
      <c r="AQ156" s="171">
        <f t="shared" si="34"/>
        <v>-319.81101617379863</v>
      </c>
      <c r="AR156" s="171">
        <f t="shared" si="34"/>
        <v>-468.66841695579365</v>
      </c>
      <c r="AS156" s="171">
        <f t="shared" si="34"/>
        <v>-459.81075030655535</v>
      </c>
      <c r="AT156" s="171">
        <f t="shared" si="34"/>
        <v>-332.14366416223572</v>
      </c>
      <c r="AU156" s="171">
        <f t="shared" si="34"/>
        <v>-467.82298769076243</v>
      </c>
      <c r="AV156" s="171">
        <f t="shared" si="34"/>
        <v>-458.91202778748334</v>
      </c>
      <c r="AW156" s="171">
        <f t="shared" si="34"/>
        <v>-385.98788017940922</v>
      </c>
      <c r="AX156" s="171">
        <f t="shared" si="34"/>
        <v>-437.11143199251848</v>
      </c>
      <c r="AY156" s="171">
        <f t="shared" si="34"/>
        <v>-382.51653501208466</v>
      </c>
      <c r="AZ156" s="171">
        <f t="shared" si="34"/>
        <v>-471.83440719585639</v>
      </c>
      <c r="BA156" s="171">
        <f t="shared" si="34"/>
        <v>-458.43930748972519</v>
      </c>
      <c r="BB156" s="171">
        <f t="shared" si="34"/>
        <v>-444.71490544570679</v>
      </c>
      <c r="BC156" s="171">
        <f t="shared" si="34"/>
        <v>-469.77016140088165</v>
      </c>
      <c r="BD156" s="171">
        <f t="shared" si="34"/>
        <v>-457.04579961718542</v>
      </c>
      <c r="BE156" s="171">
        <f t="shared" si="34"/>
        <v>-455.45327911710388</v>
      </c>
      <c r="BF156" s="171">
        <f t="shared" si="34"/>
        <v>-438.09864367172418</v>
      </c>
      <c r="BG156" s="171">
        <f t="shared" si="34"/>
        <v>-469.46541903928238</v>
      </c>
      <c r="BH156" s="171">
        <f t="shared" si="34"/>
        <v>-446.06705222931373</v>
      </c>
      <c r="BI156" s="171">
        <f t="shared" si="34"/>
        <v>-458.09953738984444</v>
      </c>
      <c r="BJ156" s="171">
        <f t="shared" si="34"/>
        <v>-431.02493924629511</v>
      </c>
    </row>
    <row r="157" spans="18:62" x14ac:dyDescent="0.25">
      <c r="S157" t="s">
        <v>425</v>
      </c>
      <c r="X157" s="171">
        <f t="shared" ref="X157:BJ157" si="35">X150+X156</f>
        <v>-117.50939683158526</v>
      </c>
      <c r="Y157" s="171">
        <f t="shared" si="35"/>
        <v>-221.57170305893339</v>
      </c>
      <c r="Z157" s="171">
        <f t="shared" si="35"/>
        <v>72.972172702422029</v>
      </c>
      <c r="AA157" s="171">
        <f t="shared" si="35"/>
        <v>91.866289782895592</v>
      </c>
      <c r="AB157" s="171">
        <f t="shared" si="35"/>
        <v>-349.51497949651662</v>
      </c>
      <c r="AC157" s="171">
        <f t="shared" si="35"/>
        <v>-403.79857602319288</v>
      </c>
      <c r="AD157" s="171">
        <f t="shared" si="35"/>
        <v>5.1887750686827872</v>
      </c>
      <c r="AE157" s="171">
        <f t="shared" si="35"/>
        <v>-415.27638796460559</v>
      </c>
      <c r="AF157" s="171">
        <f t="shared" si="35"/>
        <v>-71.355746340658357</v>
      </c>
      <c r="AG157" s="171">
        <f t="shared" si="35"/>
        <v>-245.8668318698158</v>
      </c>
      <c r="AH157" s="171">
        <f t="shared" si="35"/>
        <v>-233.21883089253618</v>
      </c>
      <c r="AI157" s="171">
        <f t="shared" si="35"/>
        <v>-227.22342451907039</v>
      </c>
      <c r="AJ157" s="171">
        <f t="shared" si="35"/>
        <v>-412.48275448164924</v>
      </c>
      <c r="AK157" s="171">
        <f t="shared" si="35"/>
        <v>-250.37472044614381</v>
      </c>
      <c r="AL157" s="171">
        <f t="shared" si="35"/>
        <v>161.72870428666113</v>
      </c>
      <c r="AM157" s="171">
        <f t="shared" si="35"/>
        <v>-228.5698740459797</v>
      </c>
      <c r="AN157" s="171">
        <f t="shared" si="35"/>
        <v>-305.02661955905791</v>
      </c>
      <c r="AO157" s="171">
        <f t="shared" si="35"/>
        <v>-244.96003300780251</v>
      </c>
      <c r="AP157" s="171">
        <f t="shared" si="35"/>
        <v>-248.5881704005775</v>
      </c>
      <c r="AQ157" s="171">
        <f t="shared" si="35"/>
        <v>-254.79559103755827</v>
      </c>
      <c r="AR157" s="171">
        <f t="shared" si="35"/>
        <v>-468.66841695579365</v>
      </c>
      <c r="AS157" s="171">
        <f t="shared" si="35"/>
        <v>-423.76159478072327</v>
      </c>
      <c r="AT157" s="171">
        <f t="shared" si="35"/>
        <v>-243.55640159671634</v>
      </c>
      <c r="AU157" s="171">
        <f t="shared" si="35"/>
        <v>160.38528311002136</v>
      </c>
      <c r="AV157" s="171">
        <f t="shared" si="35"/>
        <v>-324.58211343163094</v>
      </c>
      <c r="AW157" s="171">
        <f t="shared" si="35"/>
        <v>-176.80546738352359</v>
      </c>
      <c r="AX157" s="171">
        <f t="shared" si="35"/>
        <v>-52.492282781200458</v>
      </c>
      <c r="AY157" s="171">
        <f t="shared" si="35"/>
        <v>10.783656052136905</v>
      </c>
      <c r="AZ157" s="171">
        <f t="shared" si="35"/>
        <v>-426.8557640133094</v>
      </c>
      <c r="BA157" s="171">
        <f t="shared" si="35"/>
        <v>-254.95346730426104</v>
      </c>
      <c r="BB157" s="171">
        <f t="shared" si="35"/>
        <v>-45.004070468415819</v>
      </c>
      <c r="BC157" s="171">
        <f t="shared" si="35"/>
        <v>90.168482225955472</v>
      </c>
      <c r="BD157" s="171">
        <f t="shared" si="35"/>
        <v>-211.02242439831667</v>
      </c>
      <c r="BE157" s="171">
        <f t="shared" si="35"/>
        <v>-410.94283600579774</v>
      </c>
      <c r="BF157" s="171">
        <f t="shared" si="35"/>
        <v>-282.68483326048124</v>
      </c>
      <c r="BG157" s="171">
        <f t="shared" si="35"/>
        <v>156.28155924398271</v>
      </c>
      <c r="BH157" s="171">
        <f t="shared" si="35"/>
        <v>-334.17646404582518</v>
      </c>
      <c r="BI157" s="171">
        <f t="shared" si="35"/>
        <v>-254.16338353042957</v>
      </c>
      <c r="BJ157" s="171">
        <f t="shared" si="35"/>
        <v>-378.1080213691377</v>
      </c>
    </row>
    <row r="158" spans="18:62" x14ac:dyDescent="0.25">
      <c r="S158" s="180"/>
      <c r="X158" s="171"/>
    </row>
    <row r="159" spans="18:62" x14ac:dyDescent="0.25">
      <c r="R159" t="s">
        <v>419</v>
      </c>
      <c r="S159" s="184" t="s">
        <v>418</v>
      </c>
    </row>
    <row r="160" spans="18:62" x14ac:dyDescent="0.25">
      <c r="S160" t="s">
        <v>191</v>
      </c>
      <c r="T160" t="s">
        <v>1181</v>
      </c>
      <c r="X160" s="779">
        <v>8.0462371742101162</v>
      </c>
      <c r="Y160" s="779">
        <v>5.5225509610569032</v>
      </c>
      <c r="Z160" s="779">
        <v>12.764419054644026</v>
      </c>
      <c r="AA160" s="779">
        <v>12.11095678050148</v>
      </c>
      <c r="AB160" s="779">
        <v>2.5451997197782235</v>
      </c>
      <c r="AC160" s="779">
        <v>0</v>
      </c>
      <c r="AD160" s="779">
        <v>9.522193748688295</v>
      </c>
      <c r="AE160" s="779">
        <v>1.0756188365276229</v>
      </c>
      <c r="AF160" s="779">
        <v>9.4062894320864494</v>
      </c>
      <c r="AG160" s="779">
        <v>4.6322448820589885</v>
      </c>
      <c r="AH160" s="779">
        <v>3.1475199284319264</v>
      </c>
      <c r="AI160" s="779">
        <v>3.1709567927366149</v>
      </c>
      <c r="AJ160" s="779">
        <v>0.7679375500294362</v>
      </c>
      <c r="AK160" s="779">
        <v>4.8272513752017954</v>
      </c>
      <c r="AL160" s="779">
        <v>15.000036358462445</v>
      </c>
      <c r="AM160" s="779">
        <v>4.7309124995295759</v>
      </c>
      <c r="AN160" s="779">
        <v>2.9707263611110206</v>
      </c>
      <c r="AO160" s="779">
        <v>3.0075590314878764</v>
      </c>
      <c r="AP160" s="779">
        <v>3.0008371274947447</v>
      </c>
      <c r="AQ160" s="779">
        <v>1.5557262443314654</v>
      </c>
      <c r="AR160" s="779">
        <v>0</v>
      </c>
      <c r="AS160" s="779">
        <v>0.86260479293955294</v>
      </c>
      <c r="AT160" s="779">
        <v>2.1197666399606425</v>
      </c>
      <c r="AU160" s="779">
        <v>15.032126479875899</v>
      </c>
      <c r="AV160" s="779">
        <v>3.2143229506578965</v>
      </c>
      <c r="AW160" s="779">
        <v>5.0054363061872635</v>
      </c>
      <c r="AX160" s="779">
        <v>9.2033867846993953</v>
      </c>
      <c r="AY160" s="779">
        <v>9.4111117147510175</v>
      </c>
      <c r="AZ160" s="779">
        <v>1.0762746761538033</v>
      </c>
      <c r="BA160" s="779">
        <v>4.86912546158075</v>
      </c>
      <c r="BB160" s="779">
        <v>9.5645092655280344</v>
      </c>
      <c r="BC160" s="779">
        <v>13.398531829642177</v>
      </c>
      <c r="BD160" s="779">
        <v>5.8869879070229318</v>
      </c>
      <c r="BE160" s="779">
        <v>1.0650713173062545</v>
      </c>
      <c r="BF160" s="779">
        <v>3.7188304634118854</v>
      </c>
      <c r="BG160" s="779">
        <v>14.973231266063843</v>
      </c>
      <c r="BH160" s="779">
        <v>2.677381931533477</v>
      </c>
      <c r="BI160" s="779">
        <v>4.8799008244931414</v>
      </c>
      <c r="BJ160" s="779">
        <v>1.2662262492034095</v>
      </c>
    </row>
    <row r="161" spans="18:62" x14ac:dyDescent="0.25">
      <c r="S161" s="180" t="s">
        <v>417</v>
      </c>
      <c r="V161" s="776">
        <f>V150</f>
        <v>28</v>
      </c>
      <c r="W161" t="str">
        <f>W150</f>
        <v>/ton</v>
      </c>
      <c r="X161" s="171">
        <f>$V$150*X160</f>
        <v>225.29464087788324</v>
      </c>
      <c r="Y161" s="171">
        <f t="shared" ref="Y161:BJ161" si="36">$V$150*Y160</f>
        <v>154.6314269095933</v>
      </c>
      <c r="Z161" s="171">
        <f t="shared" si="36"/>
        <v>357.40373353003275</v>
      </c>
      <c r="AA161" s="171">
        <f t="shared" si="36"/>
        <v>339.10678985404144</v>
      </c>
      <c r="AB161" s="171">
        <f t="shared" si="36"/>
        <v>71.265592153790251</v>
      </c>
      <c r="AC161" s="171">
        <f t="shared" si="36"/>
        <v>0</v>
      </c>
      <c r="AD161" s="171">
        <f t="shared" si="36"/>
        <v>266.62142496327226</v>
      </c>
      <c r="AE161" s="171">
        <f t="shared" si="36"/>
        <v>30.117327422773442</v>
      </c>
      <c r="AF161" s="171">
        <f t="shared" si="36"/>
        <v>263.37610409842057</v>
      </c>
      <c r="AG161" s="171">
        <f t="shared" si="36"/>
        <v>129.70285669765167</v>
      </c>
      <c r="AH161" s="171">
        <f t="shared" si="36"/>
        <v>88.130557996093941</v>
      </c>
      <c r="AI161" s="171">
        <f t="shared" si="36"/>
        <v>88.786790196625219</v>
      </c>
      <c r="AJ161" s="171">
        <f t="shared" si="36"/>
        <v>21.502251400824214</v>
      </c>
      <c r="AK161" s="171">
        <f t="shared" si="36"/>
        <v>135.16303850565026</v>
      </c>
      <c r="AL161" s="171">
        <f t="shared" si="36"/>
        <v>420.00101803694849</v>
      </c>
      <c r="AM161" s="171">
        <f t="shared" si="36"/>
        <v>132.46554998682814</v>
      </c>
      <c r="AN161" s="171">
        <f t="shared" si="36"/>
        <v>83.180338111108583</v>
      </c>
      <c r="AO161" s="171">
        <f t="shared" si="36"/>
        <v>84.211652881660541</v>
      </c>
      <c r="AP161" s="171">
        <f t="shared" si="36"/>
        <v>84.023439569852854</v>
      </c>
      <c r="AQ161" s="171">
        <f t="shared" si="36"/>
        <v>43.560334841281033</v>
      </c>
      <c r="AR161" s="171">
        <f t="shared" si="36"/>
        <v>0</v>
      </c>
      <c r="AS161" s="171">
        <f t="shared" si="36"/>
        <v>24.152934202307481</v>
      </c>
      <c r="AT161" s="171">
        <f t="shared" si="36"/>
        <v>59.353465918897989</v>
      </c>
      <c r="AU161" s="171">
        <f t="shared" si="36"/>
        <v>420.89954143652517</v>
      </c>
      <c r="AV161" s="171">
        <f t="shared" si="36"/>
        <v>90.00104261842111</v>
      </c>
      <c r="AW161" s="171">
        <f t="shared" si="36"/>
        <v>140.15221657324338</v>
      </c>
      <c r="AX161" s="171">
        <f t="shared" si="36"/>
        <v>257.69482997158309</v>
      </c>
      <c r="AY161" s="171">
        <f t="shared" si="36"/>
        <v>263.5111280130285</v>
      </c>
      <c r="AZ161" s="171">
        <f t="shared" si="36"/>
        <v>30.135690932306495</v>
      </c>
      <c r="BA161" s="171">
        <f t="shared" si="36"/>
        <v>136.335512924261</v>
      </c>
      <c r="BB161" s="171">
        <f t="shared" si="36"/>
        <v>267.80625943478498</v>
      </c>
      <c r="BC161" s="171">
        <f t="shared" si="36"/>
        <v>375.15889122998095</v>
      </c>
      <c r="BD161" s="171">
        <f t="shared" si="36"/>
        <v>164.83566139664208</v>
      </c>
      <c r="BE161" s="171">
        <f t="shared" si="36"/>
        <v>29.821996884575125</v>
      </c>
      <c r="BF161" s="171">
        <f t="shared" si="36"/>
        <v>104.1272529755328</v>
      </c>
      <c r="BG161" s="171">
        <f t="shared" si="36"/>
        <v>419.25047544978759</v>
      </c>
      <c r="BH161" s="171">
        <f t="shared" si="36"/>
        <v>74.966694082937352</v>
      </c>
      <c r="BI161" s="171">
        <f t="shared" si="36"/>
        <v>136.63722308580796</v>
      </c>
      <c r="BJ161" s="171">
        <f t="shared" si="36"/>
        <v>35.454334977695467</v>
      </c>
    </row>
    <row r="162" spans="18:62" x14ac:dyDescent="0.25">
      <c r="S162" s="180"/>
      <c r="V162" s="777"/>
      <c r="X162" s="171"/>
      <c r="Y162" s="171"/>
      <c r="Z162" s="171"/>
      <c r="AA162" s="171"/>
      <c r="AB162" s="171"/>
      <c r="AC162" s="171"/>
      <c r="AD162" s="171"/>
      <c r="AE162" s="171"/>
      <c r="AF162" s="171"/>
      <c r="AG162" s="171"/>
      <c r="AH162" s="171"/>
      <c r="AI162" s="171"/>
      <c r="AJ162" s="171"/>
      <c r="AK162" s="171"/>
      <c r="AL162" s="171"/>
      <c r="AM162" s="171"/>
      <c r="AN162" s="171"/>
      <c r="AO162" s="171"/>
      <c r="AP162" s="171"/>
      <c r="AQ162" s="171"/>
      <c r="AR162" s="171"/>
      <c r="AS162" s="171"/>
      <c r="AT162" s="171"/>
      <c r="AU162" s="171"/>
      <c r="AV162" s="171"/>
      <c r="AW162" s="171"/>
      <c r="AX162" s="171"/>
      <c r="AY162" s="171"/>
      <c r="AZ162" s="171"/>
      <c r="BA162" s="171"/>
      <c r="BB162" s="171"/>
      <c r="BC162" s="171"/>
      <c r="BD162" s="171"/>
      <c r="BE162" s="171"/>
      <c r="BF162" s="171"/>
      <c r="BG162" s="171"/>
      <c r="BH162" s="171"/>
      <c r="BI162" s="171"/>
      <c r="BJ162" s="171"/>
    </row>
    <row r="163" spans="18:62" x14ac:dyDescent="0.25">
      <c r="S163" s="180" t="s">
        <v>408</v>
      </c>
      <c r="X163" s="171">
        <f>-$V$152*X129</f>
        <v>-57.472286200683961</v>
      </c>
      <c r="Y163" s="171">
        <f t="shared" ref="Y163:BJ163" si="37">-$V$152*Y129</f>
        <v>-53.765264809889473</v>
      </c>
      <c r="Z163" s="171">
        <f t="shared" si="37"/>
        <v>-63.996620836374966</v>
      </c>
      <c r="AA163" s="171">
        <f t="shared" si="37"/>
        <v>-42.692787007537063</v>
      </c>
      <c r="AB163" s="171">
        <f t="shared" si="37"/>
        <v>-60.31974983411186</v>
      </c>
      <c r="AC163" s="171">
        <f t="shared" si="37"/>
        <v>-30.098411907169325</v>
      </c>
      <c r="AD163" s="171">
        <f t="shared" si="37"/>
        <v>-38.742074173955459</v>
      </c>
      <c r="AE163" s="171">
        <f t="shared" si="37"/>
        <v>-60.228985879807375</v>
      </c>
      <c r="AF163" s="171">
        <f t="shared" si="37"/>
        <v>-57.829427113303169</v>
      </c>
      <c r="AG163" s="171">
        <f t="shared" si="37"/>
        <v>-47.445421133822435</v>
      </c>
      <c r="AH163" s="171">
        <f t="shared" si="37"/>
        <v>-12.789467792157762</v>
      </c>
      <c r="AI163" s="171">
        <f t="shared" si="37"/>
        <v>-28.601123321599392</v>
      </c>
      <c r="AJ163" s="171">
        <f t="shared" si="37"/>
        <v>-61.183550264688471</v>
      </c>
      <c r="AK163" s="171">
        <f t="shared" si="37"/>
        <v>-54.578205756193505</v>
      </c>
      <c r="AL163" s="171">
        <f t="shared" si="37"/>
        <v>-63.588944738834911</v>
      </c>
      <c r="AM163" s="171">
        <f t="shared" si="37"/>
        <v>-40.870606909534928</v>
      </c>
      <c r="AN163" s="171">
        <f t="shared" si="37"/>
        <v>-44.271940919324997</v>
      </c>
      <c r="AO163" s="171">
        <f t="shared" si="37"/>
        <v>-34.059098012088505</v>
      </c>
      <c r="AP163" s="171">
        <f t="shared" si="37"/>
        <v>-16.398121989758074</v>
      </c>
      <c r="AQ163" s="171">
        <f t="shared" si="37"/>
        <v>-7.8596146085234455</v>
      </c>
      <c r="AR163" s="171">
        <f t="shared" si="37"/>
        <v>-62.339215306267498</v>
      </c>
      <c r="AS163" s="171">
        <f t="shared" si="37"/>
        <v>-50.53806225572265</v>
      </c>
      <c r="AT163" s="171">
        <f t="shared" si="37"/>
        <v>-10.035701149073766</v>
      </c>
      <c r="AU163" s="171">
        <f t="shared" si="37"/>
        <v>-64.262016912761382</v>
      </c>
      <c r="AV163" s="171">
        <f t="shared" si="37"/>
        <v>-58.446059749208082</v>
      </c>
      <c r="AW163" s="171">
        <f t="shared" si="37"/>
        <v>-40.471499709383799</v>
      </c>
      <c r="AX163" s="171">
        <f t="shared" si="37"/>
        <v>-53.034645913157483</v>
      </c>
      <c r="AY163" s="171">
        <f t="shared" si="37"/>
        <v>-30.874579146185745</v>
      </c>
      <c r="AZ163" s="171">
        <f t="shared" si="37"/>
        <v>-67.211278834560176</v>
      </c>
      <c r="BA163" s="171">
        <f t="shared" si="37"/>
        <v>-57.650210344204353</v>
      </c>
      <c r="BB163" s="171">
        <f t="shared" si="37"/>
        <v>-50.893439209173927</v>
      </c>
      <c r="BC163" s="171">
        <f t="shared" si="37"/>
        <v>-65.486829615054944</v>
      </c>
      <c r="BD163" s="171">
        <f t="shared" si="37"/>
        <v>-57.539178514347846</v>
      </c>
      <c r="BE163" s="171">
        <f t="shared" si="37"/>
        <v>-60.885929456572327</v>
      </c>
      <c r="BF163" s="171">
        <f t="shared" si="37"/>
        <v>-47.045105893005569</v>
      </c>
      <c r="BG163" s="171">
        <f t="shared" si="37"/>
        <v>-63.618778591473948</v>
      </c>
      <c r="BH163" s="171">
        <f t="shared" si="37"/>
        <v>-50.275817705954388</v>
      </c>
      <c r="BI163" s="171">
        <f t="shared" si="37"/>
        <v>-62.838523898588093</v>
      </c>
      <c r="BJ163" s="171">
        <f t="shared" si="37"/>
        <v>-46.339680009381674</v>
      </c>
    </row>
    <row r="164" spans="18:62" x14ac:dyDescent="0.25">
      <c r="S164" s="180" t="s">
        <v>416</v>
      </c>
      <c r="X164" s="171">
        <f t="shared" ref="X164:BJ164" si="38">X163+X136+X137</f>
        <v>-81.772286200683951</v>
      </c>
      <c r="Y164" s="171">
        <f t="shared" si="38"/>
        <v>-78.06526480988947</v>
      </c>
      <c r="Z164" s="171">
        <f t="shared" si="38"/>
        <v>-92.396620836374964</v>
      </c>
      <c r="AA164" s="171">
        <f t="shared" si="38"/>
        <v>-62.892787007537059</v>
      </c>
      <c r="AB164" s="171">
        <f t="shared" si="38"/>
        <v>-88.719749834111866</v>
      </c>
      <c r="AC164" s="171">
        <f t="shared" si="38"/>
        <v>-44.298411907169324</v>
      </c>
      <c r="AD164" s="171">
        <f t="shared" si="38"/>
        <v>-57.042074173955456</v>
      </c>
      <c r="AE164" s="171">
        <f t="shared" si="38"/>
        <v>-88.628985879807374</v>
      </c>
      <c r="AF164" s="171">
        <f t="shared" si="38"/>
        <v>-82.129427113303166</v>
      </c>
      <c r="AG164" s="171">
        <f t="shared" si="38"/>
        <v>-67.645421133822438</v>
      </c>
      <c r="AH164" s="171">
        <f t="shared" si="38"/>
        <v>-20.989467792157765</v>
      </c>
      <c r="AI164" s="171">
        <f t="shared" si="38"/>
        <v>-42.801123321599391</v>
      </c>
      <c r="AJ164" s="171">
        <f t="shared" si="38"/>
        <v>-89.583550264688469</v>
      </c>
      <c r="AK164" s="171">
        <f t="shared" si="38"/>
        <v>-78.878205756193509</v>
      </c>
      <c r="AL164" s="171">
        <f t="shared" si="38"/>
        <v>-91.988944738834917</v>
      </c>
      <c r="AM164" s="171">
        <f t="shared" si="38"/>
        <v>-59.170606909534925</v>
      </c>
      <c r="AN164" s="171">
        <f t="shared" si="38"/>
        <v>-64.471940919325007</v>
      </c>
      <c r="AO164" s="171">
        <f t="shared" si="38"/>
        <v>-50.159098012088506</v>
      </c>
      <c r="AP164" s="171">
        <f t="shared" si="38"/>
        <v>-24.598121989758074</v>
      </c>
      <c r="AQ164" s="171">
        <f t="shared" si="38"/>
        <v>-11.959614608523447</v>
      </c>
      <c r="AR164" s="171">
        <f t="shared" si="38"/>
        <v>-90.739215306267496</v>
      </c>
      <c r="AS164" s="171">
        <f t="shared" si="38"/>
        <v>-74.838062255722647</v>
      </c>
      <c r="AT164" s="171">
        <f t="shared" si="38"/>
        <v>-16.035701149073766</v>
      </c>
      <c r="AU164" s="171">
        <f t="shared" si="38"/>
        <v>-92.662016912761388</v>
      </c>
      <c r="AV164" s="171">
        <f t="shared" si="38"/>
        <v>-82.746059749208072</v>
      </c>
      <c r="AW164" s="171">
        <f t="shared" si="38"/>
        <v>-58.771499709383804</v>
      </c>
      <c r="AX164" s="171">
        <f t="shared" si="38"/>
        <v>-77.334645913157473</v>
      </c>
      <c r="AY164" s="171">
        <f t="shared" si="38"/>
        <v>-45.074579146185748</v>
      </c>
      <c r="AZ164" s="171">
        <f t="shared" si="38"/>
        <v>-97.511278834560187</v>
      </c>
      <c r="BA164" s="171">
        <f t="shared" si="38"/>
        <v>-81.950210344204351</v>
      </c>
      <c r="BB164" s="171">
        <f t="shared" si="38"/>
        <v>-75.193439209173931</v>
      </c>
      <c r="BC164" s="171">
        <f t="shared" si="38"/>
        <v>-93.88682961505495</v>
      </c>
      <c r="BD164" s="171">
        <f t="shared" si="38"/>
        <v>-81.839178514347836</v>
      </c>
      <c r="BE164" s="171">
        <f t="shared" si="38"/>
        <v>-89.285929456572333</v>
      </c>
      <c r="BF164" s="171">
        <f t="shared" si="38"/>
        <v>-67.245105893005572</v>
      </c>
      <c r="BG164" s="171">
        <f t="shared" si="38"/>
        <v>-92.018778591473946</v>
      </c>
      <c r="BH164" s="171">
        <f t="shared" si="38"/>
        <v>-74.575817705954393</v>
      </c>
      <c r="BI164" s="171">
        <f t="shared" si="38"/>
        <v>-91.238523898588099</v>
      </c>
      <c r="BJ164" s="171">
        <f t="shared" si="38"/>
        <v>-66.539680009381684</v>
      </c>
    </row>
    <row r="165" spans="18:62" x14ac:dyDescent="0.25">
      <c r="S165" s="180" t="s">
        <v>427</v>
      </c>
      <c r="X165" s="171">
        <f>X164+$C$46</f>
        <v>-365.26836305656144</v>
      </c>
      <c r="Y165" s="171">
        <f t="shared" ref="Y165:BJ165" si="39">Y164+$C$46</f>
        <v>-361.56134166576697</v>
      </c>
      <c r="Z165" s="171">
        <f t="shared" si="39"/>
        <v>-375.89269769225245</v>
      </c>
      <c r="AA165" s="171">
        <f t="shared" si="39"/>
        <v>-346.38886386341454</v>
      </c>
      <c r="AB165" s="171">
        <f t="shared" si="39"/>
        <v>-372.2158266899894</v>
      </c>
      <c r="AC165" s="171">
        <f t="shared" si="39"/>
        <v>-327.79448876304684</v>
      </c>
      <c r="AD165" s="171">
        <f t="shared" si="39"/>
        <v>-340.53815102983299</v>
      </c>
      <c r="AE165" s="171">
        <f t="shared" si="39"/>
        <v>-372.12506273568488</v>
      </c>
      <c r="AF165" s="171">
        <f t="shared" si="39"/>
        <v>-365.62550396918067</v>
      </c>
      <c r="AG165" s="171">
        <f t="shared" si="39"/>
        <v>-351.14149798969993</v>
      </c>
      <c r="AH165" s="171">
        <f t="shared" si="39"/>
        <v>-304.48554464803527</v>
      </c>
      <c r="AI165" s="171">
        <f t="shared" si="39"/>
        <v>-326.2972001774769</v>
      </c>
      <c r="AJ165" s="171">
        <f t="shared" si="39"/>
        <v>-373.07962712056599</v>
      </c>
      <c r="AK165" s="171">
        <f t="shared" si="39"/>
        <v>-362.374282612071</v>
      </c>
      <c r="AL165" s="171">
        <f t="shared" si="39"/>
        <v>-375.48502159471241</v>
      </c>
      <c r="AM165" s="171">
        <f t="shared" si="39"/>
        <v>-342.66668376541242</v>
      </c>
      <c r="AN165" s="171">
        <f t="shared" si="39"/>
        <v>-347.9680177752025</v>
      </c>
      <c r="AO165" s="171">
        <f t="shared" si="39"/>
        <v>-333.65517486796602</v>
      </c>
      <c r="AP165" s="171">
        <f t="shared" si="39"/>
        <v>-308.09419884563556</v>
      </c>
      <c r="AQ165" s="171">
        <f t="shared" si="39"/>
        <v>-295.45569146440096</v>
      </c>
      <c r="AR165" s="171">
        <f t="shared" si="39"/>
        <v>-374.23529216214502</v>
      </c>
      <c r="AS165" s="171">
        <f t="shared" si="39"/>
        <v>-358.33413911160017</v>
      </c>
      <c r="AT165" s="171">
        <f t="shared" si="39"/>
        <v>-299.53177800495126</v>
      </c>
      <c r="AU165" s="171">
        <f t="shared" si="39"/>
        <v>-376.15809376863888</v>
      </c>
      <c r="AV165" s="171">
        <f t="shared" si="39"/>
        <v>-366.24213660508559</v>
      </c>
      <c r="AW165" s="171">
        <f t="shared" si="39"/>
        <v>-342.26757656526132</v>
      </c>
      <c r="AX165" s="171">
        <f t="shared" si="39"/>
        <v>-360.83072276903499</v>
      </c>
      <c r="AY165" s="171">
        <f t="shared" si="39"/>
        <v>-328.57065600206323</v>
      </c>
      <c r="AZ165" s="171">
        <f t="shared" si="39"/>
        <v>-381.00735569043769</v>
      </c>
      <c r="BA165" s="171">
        <f t="shared" si="39"/>
        <v>-365.44628720008188</v>
      </c>
      <c r="BB165" s="171">
        <f t="shared" si="39"/>
        <v>-358.68951606505141</v>
      </c>
      <c r="BC165" s="171">
        <f t="shared" si="39"/>
        <v>-377.38290647093243</v>
      </c>
      <c r="BD165" s="171">
        <f t="shared" si="39"/>
        <v>-365.33525537022535</v>
      </c>
      <c r="BE165" s="171">
        <f t="shared" si="39"/>
        <v>-372.78200631244982</v>
      </c>
      <c r="BF165" s="171">
        <f t="shared" si="39"/>
        <v>-350.74118274888309</v>
      </c>
      <c r="BG165" s="171">
        <f t="shared" si="39"/>
        <v>-375.51485544735147</v>
      </c>
      <c r="BH165" s="171">
        <f t="shared" si="39"/>
        <v>-358.07189456183187</v>
      </c>
      <c r="BI165" s="171">
        <f t="shared" si="39"/>
        <v>-374.73460075446559</v>
      </c>
      <c r="BJ165" s="171">
        <f t="shared" si="39"/>
        <v>-350.0357568652592</v>
      </c>
    </row>
    <row r="166" spans="18:62" x14ac:dyDescent="0.25">
      <c r="S166" s="180" t="s">
        <v>426</v>
      </c>
      <c r="X166" s="171">
        <f>-X104</f>
        <v>-45.994446359587286</v>
      </c>
      <c r="Y166" s="171">
        <f t="shared" ref="Y166:BJ166" si="40">-Y104</f>
        <v>-54.22213679962875</v>
      </c>
      <c r="Z166" s="171">
        <f t="shared" si="40"/>
        <v>-38.852814163577655</v>
      </c>
      <c r="AA166" s="171">
        <f t="shared" si="40"/>
        <v>-38.646592833621462</v>
      </c>
      <c r="AB166" s="171">
        <f t="shared" si="40"/>
        <v>-43.855980729711334</v>
      </c>
      <c r="AC166" s="171">
        <f t="shared" si="40"/>
        <v>-55.179496320794009</v>
      </c>
      <c r="AD166" s="171">
        <f t="shared" si="40"/>
        <v>-27.133582089345349</v>
      </c>
      <c r="AE166" s="171">
        <f t="shared" si="40"/>
        <v>-48.337537292259455</v>
      </c>
      <c r="AF166" s="171">
        <f t="shared" si="40"/>
        <v>-56.145754537194861</v>
      </c>
      <c r="AG166" s="171">
        <f t="shared" si="40"/>
        <v>-54.843046900250627</v>
      </c>
      <c r="AH166" s="171">
        <f t="shared" si="40"/>
        <v>-52.072142400742486</v>
      </c>
      <c r="AI166" s="171">
        <f t="shared" si="40"/>
        <v>-13.356701208007587</v>
      </c>
      <c r="AJ166" s="171">
        <f t="shared" si="40"/>
        <v>-31.26085842597433</v>
      </c>
      <c r="AK166" s="171">
        <f t="shared" si="40"/>
        <v>-52.754513365574908</v>
      </c>
      <c r="AL166" s="171">
        <f t="shared" si="40"/>
        <v>-46.333537212854814</v>
      </c>
      <c r="AM166" s="171">
        <f t="shared" si="40"/>
        <v>-53.38266745471887</v>
      </c>
      <c r="AN166" s="171">
        <f t="shared" si="40"/>
        <v>-51.202777317782775</v>
      </c>
      <c r="AO166" s="171">
        <f t="shared" si="40"/>
        <v>-12.018515658748937</v>
      </c>
      <c r="AP166" s="171">
        <f t="shared" si="40"/>
        <v>-53.72540336573698</v>
      </c>
      <c r="AQ166" s="171">
        <f t="shared" si="40"/>
        <v>-18.584171245498066</v>
      </c>
      <c r="AR166" s="171">
        <f t="shared" si="40"/>
        <v>-51.72873516518851</v>
      </c>
      <c r="AS166" s="171">
        <f t="shared" si="40"/>
        <v>-66.484729785420129</v>
      </c>
      <c r="AT166" s="171">
        <f t="shared" si="40"/>
        <v>-25.468928874904886</v>
      </c>
      <c r="AU166" s="171">
        <f t="shared" si="40"/>
        <v>-45.813452756136577</v>
      </c>
      <c r="AV166" s="171">
        <f t="shared" si="40"/>
        <v>-49.683025932787814</v>
      </c>
      <c r="AW166" s="171">
        <f t="shared" si="40"/>
        <v>-13.686579876690182</v>
      </c>
      <c r="AX166" s="171">
        <f t="shared" si="40"/>
        <v>-40.059167206555195</v>
      </c>
      <c r="AY166" s="171">
        <f t="shared" si="40"/>
        <v>-32.738996743989588</v>
      </c>
      <c r="AZ166" s="171">
        <f t="shared" si="40"/>
        <v>-45.422988795859233</v>
      </c>
      <c r="BA166" s="171">
        <f t="shared" si="40"/>
        <v>-50.398140567871039</v>
      </c>
      <c r="BB166" s="171">
        <f t="shared" si="40"/>
        <v>-50.858471561211481</v>
      </c>
      <c r="BC166" s="171">
        <f t="shared" si="40"/>
        <v>-45.932547806116197</v>
      </c>
      <c r="BD166" s="171">
        <f t="shared" si="40"/>
        <v>-49.170351844370835</v>
      </c>
      <c r="BE166" s="171">
        <f t="shared" si="40"/>
        <v>-42.582680684252736</v>
      </c>
      <c r="BF166" s="171">
        <f t="shared" si="40"/>
        <v>-54.085990856136839</v>
      </c>
      <c r="BG166" s="171">
        <f t="shared" si="40"/>
        <v>-50.615941300607922</v>
      </c>
      <c r="BH166" s="171">
        <f t="shared" si="40"/>
        <v>-55.032441483952091</v>
      </c>
      <c r="BI166" s="171">
        <f t="shared" si="40"/>
        <v>-40.414618894283258</v>
      </c>
      <c r="BJ166" s="171">
        <f t="shared" si="40"/>
        <v>-48.065160883877809</v>
      </c>
    </row>
    <row r="167" spans="18:62" x14ac:dyDescent="0.25">
      <c r="S167" s="180" t="s">
        <v>415</v>
      </c>
      <c r="X167" s="171">
        <f>X165+X166</f>
        <v>-411.26280941614874</v>
      </c>
      <c r="Y167" s="171">
        <f t="shared" ref="Y167:BJ167" si="41">Y165+Y166</f>
        <v>-415.78347846539572</v>
      </c>
      <c r="Z167" s="171">
        <f t="shared" si="41"/>
        <v>-414.7455118558301</v>
      </c>
      <c r="AA167" s="171">
        <f t="shared" si="41"/>
        <v>-385.03545669703601</v>
      </c>
      <c r="AB167" s="171">
        <f t="shared" si="41"/>
        <v>-416.07180741970075</v>
      </c>
      <c r="AC167" s="171">
        <f t="shared" si="41"/>
        <v>-382.97398508384083</v>
      </c>
      <c r="AD167" s="171">
        <f t="shared" si="41"/>
        <v>-367.67173311917833</v>
      </c>
      <c r="AE167" s="171">
        <f t="shared" si="41"/>
        <v>-420.46260002794435</v>
      </c>
      <c r="AF167" s="171">
        <f t="shared" si="41"/>
        <v>-421.77125850637555</v>
      </c>
      <c r="AG167" s="171">
        <f t="shared" si="41"/>
        <v>-405.98454488995054</v>
      </c>
      <c r="AH167" s="171">
        <f t="shared" si="41"/>
        <v>-356.55768704877778</v>
      </c>
      <c r="AI167" s="171">
        <f t="shared" si="41"/>
        <v>-339.65390138548446</v>
      </c>
      <c r="AJ167" s="171">
        <f t="shared" si="41"/>
        <v>-404.34048554654032</v>
      </c>
      <c r="AK167" s="171">
        <f t="shared" si="41"/>
        <v>-415.12879597764589</v>
      </c>
      <c r="AL167" s="171">
        <f t="shared" si="41"/>
        <v>-421.81855880756723</v>
      </c>
      <c r="AM167" s="171">
        <f t="shared" si="41"/>
        <v>-396.04935122013126</v>
      </c>
      <c r="AN167" s="171">
        <f t="shared" si="41"/>
        <v>-399.17079509298526</v>
      </c>
      <c r="AO167" s="171">
        <f t="shared" si="41"/>
        <v>-345.67369052671495</v>
      </c>
      <c r="AP167" s="171">
        <f t="shared" si="41"/>
        <v>-361.81960221137251</v>
      </c>
      <c r="AQ167" s="171">
        <f t="shared" si="41"/>
        <v>-314.03986270989901</v>
      </c>
      <c r="AR167" s="171">
        <f t="shared" si="41"/>
        <v>-425.9640273273335</v>
      </c>
      <c r="AS167" s="171">
        <f t="shared" si="41"/>
        <v>-424.81886889702031</v>
      </c>
      <c r="AT167" s="171">
        <f t="shared" si="41"/>
        <v>-325.00070687985612</v>
      </c>
      <c r="AU167" s="171">
        <f t="shared" si="41"/>
        <v>-421.97154652477548</v>
      </c>
      <c r="AV167" s="171">
        <f t="shared" si="41"/>
        <v>-415.9251625378734</v>
      </c>
      <c r="AW167" s="171">
        <f t="shared" si="41"/>
        <v>-355.95415644195151</v>
      </c>
      <c r="AX167" s="171">
        <f t="shared" si="41"/>
        <v>-400.88988997559017</v>
      </c>
      <c r="AY167" s="171">
        <f t="shared" si="41"/>
        <v>-361.30965274605285</v>
      </c>
      <c r="AZ167" s="171">
        <f t="shared" si="41"/>
        <v>-426.43034448629692</v>
      </c>
      <c r="BA167" s="171">
        <f t="shared" si="41"/>
        <v>-415.84442776795294</v>
      </c>
      <c r="BB167" s="171">
        <f t="shared" si="41"/>
        <v>-409.54798762626291</v>
      </c>
      <c r="BC167" s="171">
        <f t="shared" si="41"/>
        <v>-423.31545427704862</v>
      </c>
      <c r="BD167" s="171">
        <f t="shared" si="41"/>
        <v>-414.50560721459618</v>
      </c>
      <c r="BE167" s="171">
        <f t="shared" si="41"/>
        <v>-415.36468699670257</v>
      </c>
      <c r="BF167" s="171">
        <f t="shared" si="41"/>
        <v>-404.82717360501994</v>
      </c>
      <c r="BG167" s="171">
        <f t="shared" si="41"/>
        <v>-426.13079674795938</v>
      </c>
      <c r="BH167" s="171">
        <f t="shared" si="41"/>
        <v>-413.10433604578395</v>
      </c>
      <c r="BI167" s="171">
        <f t="shared" si="41"/>
        <v>-415.14921964874884</v>
      </c>
      <c r="BJ167" s="171">
        <f t="shared" si="41"/>
        <v>-398.10091774913701</v>
      </c>
    </row>
    <row r="168" spans="18:62" x14ac:dyDescent="0.25">
      <c r="S168" t="s">
        <v>425</v>
      </c>
      <c r="X168" s="171">
        <f t="shared" ref="X168:BJ168" si="42">X161+X167</f>
        <v>-185.9681685382655</v>
      </c>
      <c r="Y168" s="171">
        <f t="shared" si="42"/>
        <v>-261.15205155580242</v>
      </c>
      <c r="Z168" s="171">
        <f t="shared" si="42"/>
        <v>-57.34177832579735</v>
      </c>
      <c r="AA168" s="171">
        <f t="shared" si="42"/>
        <v>-45.928666842994573</v>
      </c>
      <c r="AB168" s="171">
        <f t="shared" si="42"/>
        <v>-344.80621526591051</v>
      </c>
      <c r="AC168" s="171">
        <f t="shared" si="42"/>
        <v>-382.97398508384083</v>
      </c>
      <c r="AD168" s="171">
        <f t="shared" si="42"/>
        <v>-101.05030815590607</v>
      </c>
      <c r="AE168" s="171">
        <f t="shared" si="42"/>
        <v>-390.34527260517092</v>
      </c>
      <c r="AF168" s="171">
        <f t="shared" si="42"/>
        <v>-158.39515440795498</v>
      </c>
      <c r="AG168" s="171">
        <f t="shared" si="42"/>
        <v>-276.28168819229887</v>
      </c>
      <c r="AH168" s="171">
        <f t="shared" si="42"/>
        <v>-268.42712905268382</v>
      </c>
      <c r="AI168" s="171">
        <f t="shared" si="42"/>
        <v>-250.86711118885924</v>
      </c>
      <c r="AJ168" s="171">
        <f t="shared" si="42"/>
        <v>-382.83823414571611</v>
      </c>
      <c r="AK168" s="171">
        <f t="shared" si="42"/>
        <v>-279.96575747199563</v>
      </c>
      <c r="AL168" s="171">
        <f t="shared" si="42"/>
        <v>-1.8175407706187343</v>
      </c>
      <c r="AM168" s="171">
        <f t="shared" si="42"/>
        <v>-263.58380123330312</v>
      </c>
      <c r="AN168" s="171">
        <f t="shared" si="42"/>
        <v>-315.99045698187666</v>
      </c>
      <c r="AO168" s="171">
        <f t="shared" si="42"/>
        <v>-261.46203764505441</v>
      </c>
      <c r="AP168" s="171">
        <f t="shared" si="42"/>
        <v>-277.79616264151969</v>
      </c>
      <c r="AQ168" s="171">
        <f t="shared" si="42"/>
        <v>-270.47952786861799</v>
      </c>
      <c r="AR168" s="171">
        <f t="shared" si="42"/>
        <v>-425.9640273273335</v>
      </c>
      <c r="AS168" s="171">
        <f t="shared" si="42"/>
        <v>-400.6659346947128</v>
      </c>
      <c r="AT168" s="171">
        <f t="shared" si="42"/>
        <v>-265.64724096095813</v>
      </c>
      <c r="AU168" s="171">
        <f t="shared" si="42"/>
        <v>-1.0720050882503074</v>
      </c>
      <c r="AV168" s="171">
        <f t="shared" si="42"/>
        <v>-325.92411991945232</v>
      </c>
      <c r="AW168" s="171">
        <f t="shared" si="42"/>
        <v>-215.80193986870813</v>
      </c>
      <c r="AX168" s="171">
        <f t="shared" si="42"/>
        <v>-143.19506000400708</v>
      </c>
      <c r="AY168" s="171">
        <f t="shared" si="42"/>
        <v>-97.798524733024351</v>
      </c>
      <c r="AZ168" s="171">
        <f t="shared" si="42"/>
        <v>-396.29465355399043</v>
      </c>
      <c r="BA168" s="171">
        <f t="shared" si="42"/>
        <v>-279.50891484369197</v>
      </c>
      <c r="BB168" s="171">
        <f t="shared" si="42"/>
        <v>-141.74172819147793</v>
      </c>
      <c r="BC168" s="171">
        <f t="shared" si="42"/>
        <v>-48.156563047067664</v>
      </c>
      <c r="BD168" s="171">
        <f t="shared" si="42"/>
        <v>-249.6699458179541</v>
      </c>
      <c r="BE168" s="171">
        <f t="shared" si="42"/>
        <v>-385.54269011212745</v>
      </c>
      <c r="BF168" s="171">
        <f t="shared" si="42"/>
        <v>-300.69992062948711</v>
      </c>
      <c r="BG168" s="171">
        <f t="shared" si="42"/>
        <v>-6.8803212981717934</v>
      </c>
      <c r="BH168" s="171">
        <f t="shared" si="42"/>
        <v>-338.1376419628466</v>
      </c>
      <c r="BI168" s="171">
        <f t="shared" si="42"/>
        <v>-278.51199656294091</v>
      </c>
      <c r="BJ168" s="171">
        <f t="shared" si="42"/>
        <v>-362.64658277144156</v>
      </c>
    </row>
    <row r="174" spans="18:62" x14ac:dyDescent="0.25">
      <c r="S174" t="s">
        <v>424</v>
      </c>
    </row>
    <row r="175" spans="18:62" x14ac:dyDescent="0.25">
      <c r="R175" t="str">
        <f ca="1">CELL("address",C77)</f>
        <v>$C$77</v>
      </c>
      <c r="S175" t="s">
        <v>423</v>
      </c>
      <c r="X175" s="171"/>
      <c r="Y175" s="171"/>
      <c r="Z175" s="171"/>
      <c r="AA175" s="171"/>
      <c r="AB175" s="171"/>
      <c r="AC175" s="171"/>
      <c r="AD175" s="171"/>
      <c r="AE175" s="171"/>
      <c r="AF175" s="171"/>
      <c r="AG175" s="171"/>
      <c r="AH175" s="171"/>
      <c r="AI175" s="171"/>
      <c r="AJ175" s="171"/>
      <c r="AK175" s="171"/>
      <c r="AL175" s="171"/>
      <c r="AM175" s="171"/>
      <c r="AN175" s="171"/>
      <c r="AO175" s="171"/>
      <c r="AP175" s="171"/>
      <c r="AQ175" s="171"/>
      <c r="AR175" s="171"/>
      <c r="AS175" s="171"/>
      <c r="AT175" s="171"/>
      <c r="AU175" s="171"/>
      <c r="AV175" s="171"/>
      <c r="AW175" s="171"/>
      <c r="AX175" s="171"/>
      <c r="AY175" s="171"/>
      <c r="AZ175" s="171"/>
      <c r="BA175" s="171"/>
      <c r="BB175" s="171"/>
      <c r="BC175" s="171"/>
      <c r="BD175" s="171"/>
      <c r="BE175" s="171"/>
      <c r="BF175" s="171"/>
      <c r="BG175" s="171"/>
    </row>
    <row r="177" spans="18:64" x14ac:dyDescent="0.25">
      <c r="R177" s="179" t="s">
        <v>422</v>
      </c>
    </row>
    <row r="178" spans="18:64" x14ac:dyDescent="0.25">
      <c r="S178" s="184" t="s">
        <v>418</v>
      </c>
      <c r="T178" s="112"/>
    </row>
    <row r="179" spans="18:64" x14ac:dyDescent="0.25">
      <c r="R179" t="s">
        <v>421</v>
      </c>
      <c r="S179" t="s">
        <v>91</v>
      </c>
      <c r="U179" s="186" t="s">
        <v>420</v>
      </c>
      <c r="X179" s="99">
        <f>'Fertilizer Rate'!B48/(1-Watersheds!B8+Watersheds!B8*$C$67)</f>
        <v>42.919229604830463</v>
      </c>
      <c r="Y179" s="99">
        <f>'Fertilizer Rate'!C48/(1-Watersheds!C8+Watersheds!C8*$C$67)</f>
        <v>41.669731826747778</v>
      </c>
      <c r="Z179" s="99">
        <f>'Fertilizer Rate'!D48/(1-Watersheds!D8+Watersheds!D8*$C$67)</f>
        <v>50.727917325743739</v>
      </c>
      <c r="AA179" s="99">
        <f>'Fertilizer Rate'!E48/(1-Watersheds!E8+Watersheds!E8*$C$67)</f>
        <v>35.345796093566136</v>
      </c>
      <c r="AB179" s="99">
        <f>'Fertilizer Rate'!F48/(1-Watersheds!F8+Watersheds!F8*$C$67)</f>
        <v>46.628360374991153</v>
      </c>
      <c r="AC179" s="99">
        <f>'Fertilizer Rate'!G48/(1-Watersheds!G8+Watersheds!G8*$C$67)</f>
        <v>24.337257209254208</v>
      </c>
      <c r="AD179" s="99">
        <f>'Fertilizer Rate'!H48/(1-Watersheds!H8+Watersheds!H8*$C$67)</f>
        <v>31.873956864536215</v>
      </c>
      <c r="AE179" s="99">
        <f>'Fertilizer Rate'!I48/(1-Watersheds!I8+Watersheds!I8*$C$67)</f>
        <v>46.104421434841399</v>
      </c>
      <c r="AF179" s="99">
        <f>'Fertilizer Rate'!J48/(1-Watersheds!J8+Watersheds!J8*$C$67)</f>
        <v>42.153220938211334</v>
      </c>
      <c r="AG179" s="99">
        <f>'Fertilizer Rate'!K48/(1-Watersheds!K8+Watersheds!K8*$C$67)</f>
        <v>34.809152953578661</v>
      </c>
      <c r="AH179" s="99">
        <f>'Fertilizer Rate'!L48/(1-Watersheds!L8+Watersheds!L8*$C$67)</f>
        <v>14.223528790352212</v>
      </c>
      <c r="AI179" s="99">
        <f>'Fertilizer Rate'!M48/(1-Watersheds!M8+Watersheds!M8*$C$67)</f>
        <v>17.534257445531512</v>
      </c>
      <c r="AJ179" s="99">
        <f>'Fertilizer Rate'!N48/(1-Watersheds!N8+Watersheds!N8*$C$67)</f>
        <v>49.058033890306206</v>
      </c>
      <c r="AK179" s="99">
        <f>'Fertilizer Rate'!O48/(1-Watersheds!O8+Watersheds!O8*$C$67)</f>
        <v>41.928371413942948</v>
      </c>
      <c r="AL179" s="99">
        <f>'Fertilizer Rate'!P48/(1-Watersheds!P8+Watersheds!P8*$C$67)</f>
        <v>49.119085303932536</v>
      </c>
      <c r="AM179" s="99">
        <f>'Fertilizer Rate'!Q48/(1-Watersheds!Q8+Watersheds!Q8*$C$67)</f>
        <v>31.228585932866974</v>
      </c>
      <c r="AN179" s="99">
        <f>'Fertilizer Rate'!R48/(1-Watersheds!R8+Watersheds!R8*$C$67)</f>
        <v>35.797821439367588</v>
      </c>
      <c r="AO179" s="99">
        <f>'Fertilizer Rate'!S48/(1-Watersheds!S8+Watersheds!S8*$C$67)</f>
        <v>26.574591031647639</v>
      </c>
      <c r="AP179" s="99">
        <f>'Fertilizer Rate'!T48/(1-Watersheds!T8+Watersheds!T8*$C$67)</f>
        <v>13.259347667285111</v>
      </c>
      <c r="AQ179" s="99">
        <f>'Fertilizer Rate'!U48/(1-Watersheds!U8+Watersheds!U8*$C$67)</f>
        <v>20.042472175434202</v>
      </c>
      <c r="AR179" s="99">
        <f>'Fertilizer Rate'!V48/(1-Watersheds!V8+Watersheds!V8*$C$67)</f>
        <v>49.345238149428013</v>
      </c>
      <c r="AS179" s="99">
        <f>'Fertilizer Rate'!W48/(1-Watersheds!W8+Watersheds!W8*$C$67)</f>
        <v>36.265718960828195</v>
      </c>
      <c r="AT179" s="99">
        <f>'Fertilizer Rate'!X48/(1-Watersheds!X8+Watersheds!X8*$C$67)</f>
        <v>21.851244447319978</v>
      </c>
      <c r="AU179" s="99">
        <f>'Fertilizer Rate'!Y48/(1-Watersheds!Y8+Watersheds!Y8*$C$67)</f>
        <v>50.582350920111359</v>
      </c>
      <c r="AV179" s="99">
        <f>'Fertilizer Rate'!Z48/(1-Watersheds!Z8+Watersheds!Z8*$C$67)</f>
        <v>45.73674161538684</v>
      </c>
      <c r="AW179" s="99">
        <f>'Fertilizer Rate'!AA48/(1-Watersheds!AA8+Watersheds!AA8*$C$67)</f>
        <v>36.640370662011762</v>
      </c>
      <c r="AX179" s="99">
        <f>'Fertilizer Rate'!AB48/(1-Watersheds!AB8+Watersheds!AB8*$C$67)</f>
        <v>39.807149366279859</v>
      </c>
      <c r="AY179" s="99">
        <f>'Fertilizer Rate'!AC48/(1-Watersheds!AC8+Watersheds!AC8*$C$67)</f>
        <v>30.300492506165451</v>
      </c>
      <c r="AZ179" s="99">
        <f>'Fertilizer Rate'!AD48/(1-Watersheds!AD8+Watersheds!AD8*$C$67)</f>
        <v>52.241210089360017</v>
      </c>
      <c r="BA179" s="99">
        <f>'Fertilizer Rate'!AE48/(1-Watersheds!AE8+Watersheds!AE8*$C$67)</f>
        <v>44.408592489276977</v>
      </c>
      <c r="BB179" s="99">
        <f>'Fertilizer Rate'!AF48/(1-Watersheds!AF8+Watersheds!AF8*$C$67)</f>
        <v>39.18614287454146</v>
      </c>
      <c r="BC179" s="99">
        <f>'Fertilizer Rate'!AG48/(1-Watersheds!AG8+Watersheds!AG8*$C$67)</f>
        <v>51.671807737251669</v>
      </c>
      <c r="BD179" s="99">
        <f>'Fertilizer Rate'!AH48/(1-Watersheds!AH8+Watersheds!AH8*$C$67)</f>
        <v>43.621963701528379</v>
      </c>
      <c r="BE179" s="99">
        <f>'Fertilizer Rate'!AI48/(1-Watersheds!AI8+Watersheds!AI8*$C$67)</f>
        <v>45.579099623589961</v>
      </c>
      <c r="BF179" s="99">
        <f>'Fertilizer Rate'!AJ48/(1-Watersheds!AJ8+Watersheds!AJ8*$C$67)</f>
        <v>36.137842378463148</v>
      </c>
      <c r="BG179" s="99">
        <f>'Fertilizer Rate'!AK48/(1-Watersheds!AK8+Watersheds!AK8*$C$67)</f>
        <v>49.677705772554674</v>
      </c>
      <c r="BH179" s="99">
        <f>'Fertilizer Rate'!AL48/(1-Watersheds!AL8+Watersheds!AL8*$C$67)</f>
        <v>38.557164473750476</v>
      </c>
      <c r="BI179" s="99">
        <f>'Fertilizer Rate'!AM48/(1-Watersheds!AM8+Watersheds!AM8*$C$67)</f>
        <v>48.417681857468637</v>
      </c>
      <c r="BJ179" s="99">
        <f>'Fertilizer Rate'!AN48/(1-Watersheds!AN8+Watersheds!AN8*$C$67)</f>
        <v>36.082937007648731</v>
      </c>
      <c r="BK179" s="99"/>
      <c r="BL179" s="99"/>
    </row>
    <row r="180" spans="18:64" x14ac:dyDescent="0.25">
      <c r="R180" t="str">
        <f ca="1">CELL("address",C65)</f>
        <v>$C$65</v>
      </c>
      <c r="S180" s="178" t="s">
        <v>417</v>
      </c>
      <c r="X180" s="171">
        <f t="shared" ref="X180:BJ180" si="43">$C$65*X179</f>
        <v>429.19229604830463</v>
      </c>
      <c r="Y180" s="171">
        <f t="shared" si="43"/>
        <v>416.69731826747778</v>
      </c>
      <c r="Z180" s="171">
        <f t="shared" si="43"/>
        <v>507.27917325743738</v>
      </c>
      <c r="AA180" s="171">
        <f t="shared" si="43"/>
        <v>353.45796093566139</v>
      </c>
      <c r="AB180" s="171">
        <f t="shared" si="43"/>
        <v>466.28360374991155</v>
      </c>
      <c r="AC180" s="171">
        <f t="shared" si="43"/>
        <v>243.37257209254207</v>
      </c>
      <c r="AD180" s="171">
        <f t="shared" si="43"/>
        <v>318.73956864536217</v>
      </c>
      <c r="AE180" s="171">
        <f t="shared" si="43"/>
        <v>461.04421434841402</v>
      </c>
      <c r="AF180" s="171">
        <f t="shared" si="43"/>
        <v>421.53220938211336</v>
      </c>
      <c r="AG180" s="171">
        <f t="shared" si="43"/>
        <v>348.09152953578661</v>
      </c>
      <c r="AH180" s="171">
        <f t="shared" si="43"/>
        <v>142.23528790352213</v>
      </c>
      <c r="AI180" s="171">
        <f t="shared" si="43"/>
        <v>175.34257445531512</v>
      </c>
      <c r="AJ180" s="171">
        <f t="shared" si="43"/>
        <v>490.58033890306206</v>
      </c>
      <c r="AK180" s="171">
        <f t="shared" si="43"/>
        <v>419.28371413942949</v>
      </c>
      <c r="AL180" s="171">
        <f t="shared" si="43"/>
        <v>491.19085303932536</v>
      </c>
      <c r="AM180" s="171">
        <f t="shared" si="43"/>
        <v>312.28585932866974</v>
      </c>
      <c r="AN180" s="171">
        <f t="shared" si="43"/>
        <v>357.9782143936759</v>
      </c>
      <c r="AO180" s="171">
        <f t="shared" si="43"/>
        <v>265.7459103164764</v>
      </c>
      <c r="AP180" s="171">
        <f t="shared" si="43"/>
        <v>132.5934766728511</v>
      </c>
      <c r="AQ180" s="171">
        <f t="shared" si="43"/>
        <v>200.42472175434202</v>
      </c>
      <c r="AR180" s="171">
        <f t="shared" si="43"/>
        <v>493.45238149428013</v>
      </c>
      <c r="AS180" s="171">
        <f t="shared" si="43"/>
        <v>362.65718960828195</v>
      </c>
      <c r="AT180" s="171">
        <f t="shared" si="43"/>
        <v>218.51244447319976</v>
      </c>
      <c r="AU180" s="171">
        <f t="shared" si="43"/>
        <v>505.82350920111361</v>
      </c>
      <c r="AV180" s="171">
        <f t="shared" si="43"/>
        <v>457.36741615386842</v>
      </c>
      <c r="AW180" s="171">
        <f t="shared" si="43"/>
        <v>366.40370662011765</v>
      </c>
      <c r="AX180" s="171">
        <f t="shared" si="43"/>
        <v>398.07149366279862</v>
      </c>
      <c r="AY180" s="171">
        <f t="shared" si="43"/>
        <v>303.00492506165449</v>
      </c>
      <c r="AZ180" s="171">
        <f t="shared" si="43"/>
        <v>522.41210089360015</v>
      </c>
      <c r="BA180" s="171">
        <f t="shared" si="43"/>
        <v>444.08592489276975</v>
      </c>
      <c r="BB180" s="171">
        <f t="shared" si="43"/>
        <v>391.86142874541463</v>
      </c>
      <c r="BC180" s="171">
        <f t="shared" si="43"/>
        <v>516.71807737251675</v>
      </c>
      <c r="BD180" s="171">
        <f t="shared" si="43"/>
        <v>436.21963701528381</v>
      </c>
      <c r="BE180" s="171">
        <f t="shared" si="43"/>
        <v>455.79099623589963</v>
      </c>
      <c r="BF180" s="171">
        <f t="shared" si="43"/>
        <v>361.37842378463148</v>
      </c>
      <c r="BG180" s="171">
        <f t="shared" si="43"/>
        <v>496.77705772554674</v>
      </c>
      <c r="BH180" s="171">
        <f t="shared" si="43"/>
        <v>385.57164473750476</v>
      </c>
      <c r="BI180" s="171">
        <f t="shared" si="43"/>
        <v>484.17681857468637</v>
      </c>
      <c r="BJ180" s="171">
        <f t="shared" si="43"/>
        <v>360.82937007648729</v>
      </c>
    </row>
    <row r="182" spans="18:64" x14ac:dyDescent="0.25">
      <c r="S182" s="180" t="s">
        <v>413</v>
      </c>
      <c r="X182" s="182"/>
      <c r="Y182" s="182"/>
      <c r="Z182" s="182"/>
      <c r="AA182" s="182"/>
      <c r="AB182" s="182"/>
      <c r="AC182" s="182"/>
      <c r="AD182" s="182"/>
      <c r="AE182" s="182"/>
      <c r="AF182" s="182"/>
      <c r="AG182" s="182"/>
      <c r="AH182" s="182"/>
      <c r="AI182" s="182"/>
      <c r="AJ182" s="182"/>
      <c r="AK182" s="182"/>
      <c r="AL182" s="182"/>
      <c r="AM182" s="182"/>
      <c r="AN182" s="182"/>
      <c r="AO182" s="182"/>
      <c r="AP182" s="182"/>
      <c r="AQ182" s="182"/>
      <c r="AR182" s="182"/>
      <c r="AS182" s="182"/>
      <c r="AT182" s="182"/>
      <c r="AU182" s="182"/>
      <c r="AV182" s="182"/>
      <c r="AW182" s="182"/>
      <c r="AX182" s="182"/>
      <c r="AY182" s="182"/>
      <c r="AZ182" s="182"/>
      <c r="BA182" s="182"/>
      <c r="BB182" s="182"/>
      <c r="BC182" s="182"/>
      <c r="BD182" s="182"/>
      <c r="BE182" s="182"/>
      <c r="BF182" s="182"/>
      <c r="BG182" s="182"/>
    </row>
    <row r="183" spans="18:64" x14ac:dyDescent="0.25">
      <c r="S183" s="180" t="s">
        <v>410</v>
      </c>
      <c r="V183" s="185">
        <f>C74</f>
        <v>0.44</v>
      </c>
      <c r="X183" s="99">
        <f t="shared" ref="X183:BJ183" si="44">ROUNDUP((MAX(($K$93-$L$93*X$107),0)*X179)*X$109+MAX(($M$93-$N$93*X$108),0)*X179*(1-X$109)*2,-1)/2</f>
        <v>20</v>
      </c>
      <c r="Y183" s="99">
        <f t="shared" si="44"/>
        <v>20</v>
      </c>
      <c r="Z183" s="99">
        <f t="shared" si="44"/>
        <v>25</v>
      </c>
      <c r="AA183" s="99">
        <f t="shared" si="44"/>
        <v>15</v>
      </c>
      <c r="AB183" s="99">
        <f t="shared" si="44"/>
        <v>20</v>
      </c>
      <c r="AC183" s="99">
        <f t="shared" si="44"/>
        <v>10</v>
      </c>
      <c r="AD183" s="99">
        <f t="shared" si="44"/>
        <v>15</v>
      </c>
      <c r="AE183" s="99">
        <f t="shared" si="44"/>
        <v>20</v>
      </c>
      <c r="AF183" s="99">
        <f t="shared" si="44"/>
        <v>20</v>
      </c>
      <c r="AG183" s="99">
        <f t="shared" si="44"/>
        <v>15</v>
      </c>
      <c r="AH183" s="99">
        <f t="shared" si="44"/>
        <v>10</v>
      </c>
      <c r="AI183" s="99">
        <f t="shared" si="44"/>
        <v>10</v>
      </c>
      <c r="AJ183" s="99">
        <f t="shared" si="44"/>
        <v>20</v>
      </c>
      <c r="AK183" s="99">
        <f t="shared" si="44"/>
        <v>20</v>
      </c>
      <c r="AL183" s="99">
        <f t="shared" si="44"/>
        <v>20</v>
      </c>
      <c r="AM183" s="99">
        <f t="shared" si="44"/>
        <v>15</v>
      </c>
      <c r="AN183" s="99">
        <f t="shared" si="44"/>
        <v>15</v>
      </c>
      <c r="AO183" s="99">
        <f t="shared" si="44"/>
        <v>15</v>
      </c>
      <c r="AP183" s="99">
        <f t="shared" si="44"/>
        <v>10</v>
      </c>
      <c r="AQ183" s="99">
        <f t="shared" si="44"/>
        <v>10</v>
      </c>
      <c r="AR183" s="99">
        <f t="shared" si="44"/>
        <v>20</v>
      </c>
      <c r="AS183" s="99">
        <f t="shared" si="44"/>
        <v>15</v>
      </c>
      <c r="AT183" s="99">
        <f t="shared" si="44"/>
        <v>10</v>
      </c>
      <c r="AU183" s="99">
        <f t="shared" si="44"/>
        <v>25</v>
      </c>
      <c r="AV183" s="99">
        <f t="shared" si="44"/>
        <v>20</v>
      </c>
      <c r="AW183" s="99">
        <f t="shared" si="44"/>
        <v>15</v>
      </c>
      <c r="AX183" s="99">
        <f t="shared" si="44"/>
        <v>20</v>
      </c>
      <c r="AY183" s="99">
        <f t="shared" si="44"/>
        <v>15</v>
      </c>
      <c r="AZ183" s="99">
        <f t="shared" si="44"/>
        <v>25</v>
      </c>
      <c r="BA183" s="99">
        <f t="shared" si="44"/>
        <v>20</v>
      </c>
      <c r="BB183" s="99">
        <f t="shared" si="44"/>
        <v>20</v>
      </c>
      <c r="BC183" s="99">
        <f t="shared" si="44"/>
        <v>25</v>
      </c>
      <c r="BD183" s="99">
        <f t="shared" si="44"/>
        <v>20</v>
      </c>
      <c r="BE183" s="99">
        <f t="shared" si="44"/>
        <v>20</v>
      </c>
      <c r="BF183" s="99">
        <f t="shared" si="44"/>
        <v>15</v>
      </c>
      <c r="BG183" s="99">
        <f t="shared" si="44"/>
        <v>25</v>
      </c>
      <c r="BH183" s="99">
        <f t="shared" si="44"/>
        <v>20</v>
      </c>
      <c r="BI183" s="99">
        <f t="shared" si="44"/>
        <v>20</v>
      </c>
      <c r="BJ183" s="99">
        <f t="shared" si="44"/>
        <v>15</v>
      </c>
    </row>
    <row r="184" spans="18:64" x14ac:dyDescent="0.25">
      <c r="S184" s="180" t="s">
        <v>409</v>
      </c>
      <c r="V184" s="185">
        <f>C75</f>
        <v>0.38</v>
      </c>
      <c r="X184" s="99">
        <f t="shared" ref="X184:BJ184" si="45">ROUNDUP(MAX(($O$93-$P$93*X$110)*X179,0)*2,-1)/2</f>
        <v>5</v>
      </c>
      <c r="Y184" s="99">
        <f t="shared" si="45"/>
        <v>5</v>
      </c>
      <c r="Z184" s="99">
        <f t="shared" si="45"/>
        <v>5</v>
      </c>
      <c r="AA184" s="99">
        <f t="shared" si="45"/>
        <v>5</v>
      </c>
      <c r="AB184" s="99">
        <f t="shared" si="45"/>
        <v>5</v>
      </c>
      <c r="AC184" s="99">
        <f t="shared" si="45"/>
        <v>5</v>
      </c>
      <c r="AD184" s="99">
        <f t="shared" si="45"/>
        <v>5</v>
      </c>
      <c r="AE184" s="99">
        <f t="shared" si="45"/>
        <v>5</v>
      </c>
      <c r="AF184" s="99">
        <f t="shared" si="45"/>
        <v>5</v>
      </c>
      <c r="AG184" s="99">
        <f t="shared" si="45"/>
        <v>5</v>
      </c>
      <c r="AH184" s="99">
        <f t="shared" si="45"/>
        <v>5</v>
      </c>
      <c r="AI184" s="99">
        <f t="shared" si="45"/>
        <v>5</v>
      </c>
      <c r="AJ184" s="99">
        <f t="shared" si="45"/>
        <v>5</v>
      </c>
      <c r="AK184" s="99">
        <f t="shared" si="45"/>
        <v>5</v>
      </c>
      <c r="AL184" s="99">
        <f t="shared" si="45"/>
        <v>5</v>
      </c>
      <c r="AM184" s="99">
        <f t="shared" si="45"/>
        <v>5</v>
      </c>
      <c r="AN184" s="99">
        <f t="shared" si="45"/>
        <v>5</v>
      </c>
      <c r="AO184" s="99">
        <f t="shared" si="45"/>
        <v>5</v>
      </c>
      <c r="AP184" s="99">
        <f t="shared" si="45"/>
        <v>5</v>
      </c>
      <c r="AQ184" s="99">
        <f t="shared" si="45"/>
        <v>5</v>
      </c>
      <c r="AR184" s="99">
        <f t="shared" si="45"/>
        <v>5</v>
      </c>
      <c r="AS184" s="99">
        <f t="shared" si="45"/>
        <v>5</v>
      </c>
      <c r="AT184" s="99">
        <f t="shared" si="45"/>
        <v>5</v>
      </c>
      <c r="AU184" s="99">
        <f t="shared" si="45"/>
        <v>5</v>
      </c>
      <c r="AV184" s="99">
        <f t="shared" si="45"/>
        <v>5</v>
      </c>
      <c r="AW184" s="99">
        <f t="shared" si="45"/>
        <v>5</v>
      </c>
      <c r="AX184" s="99">
        <f t="shared" si="45"/>
        <v>5</v>
      </c>
      <c r="AY184" s="99">
        <f t="shared" si="45"/>
        <v>5</v>
      </c>
      <c r="AZ184" s="99">
        <f t="shared" si="45"/>
        <v>5</v>
      </c>
      <c r="BA184" s="99">
        <f t="shared" si="45"/>
        <v>5</v>
      </c>
      <c r="BB184" s="99">
        <f t="shared" si="45"/>
        <v>5</v>
      </c>
      <c r="BC184" s="99">
        <f t="shared" si="45"/>
        <v>5</v>
      </c>
      <c r="BD184" s="99">
        <f t="shared" si="45"/>
        <v>5</v>
      </c>
      <c r="BE184" s="99">
        <f t="shared" si="45"/>
        <v>5</v>
      </c>
      <c r="BF184" s="99">
        <f t="shared" si="45"/>
        <v>5</v>
      </c>
      <c r="BG184" s="99">
        <f t="shared" si="45"/>
        <v>5</v>
      </c>
      <c r="BH184" s="99">
        <f t="shared" si="45"/>
        <v>5</v>
      </c>
      <c r="BI184" s="99">
        <f t="shared" si="45"/>
        <v>5</v>
      </c>
      <c r="BJ184" s="99">
        <f t="shared" si="45"/>
        <v>5</v>
      </c>
    </row>
    <row r="185" spans="18:64" x14ac:dyDescent="0.25">
      <c r="S185" s="180" t="s">
        <v>412</v>
      </c>
      <c r="X185" s="182"/>
      <c r="Y185" s="99"/>
      <c r="Z185" s="99"/>
      <c r="AA185" s="99"/>
      <c r="AB185" s="99"/>
      <c r="AC185" s="99"/>
      <c r="AD185" s="99"/>
      <c r="AE185" s="99"/>
      <c r="AF185" s="99"/>
      <c r="AG185" s="99"/>
      <c r="AH185" s="99"/>
      <c r="AI185" s="99"/>
      <c r="AJ185" s="99"/>
      <c r="AK185" s="99"/>
      <c r="AL185" s="99"/>
      <c r="AM185" s="99"/>
      <c r="AN185" s="99"/>
      <c r="AO185" s="99"/>
      <c r="AP185" s="99"/>
      <c r="AQ185" s="99"/>
      <c r="AR185" s="99"/>
      <c r="AS185" s="99"/>
      <c r="AT185" s="99"/>
      <c r="AU185" s="99"/>
      <c r="AV185" s="99"/>
      <c r="AW185" s="99"/>
      <c r="AX185" s="99"/>
      <c r="AY185" s="99"/>
      <c r="AZ185" s="99"/>
      <c r="BA185" s="99"/>
      <c r="BB185" s="99"/>
      <c r="BC185" s="99"/>
      <c r="BD185" s="99"/>
      <c r="BE185" s="99"/>
      <c r="BF185" s="99"/>
      <c r="BG185" s="99"/>
    </row>
    <row r="186" spans="18:64" x14ac:dyDescent="0.25">
      <c r="S186" s="180" t="s">
        <v>410</v>
      </c>
      <c r="X186" s="171">
        <f>-$V$183*X183</f>
        <v>-8.8000000000000007</v>
      </c>
      <c r="Y186" s="171">
        <f t="shared" ref="Y186:BJ186" si="46">-$V183*Y183</f>
        <v>-8.8000000000000007</v>
      </c>
      <c r="Z186" s="171">
        <f t="shared" si="46"/>
        <v>-11</v>
      </c>
      <c r="AA186" s="171">
        <f t="shared" si="46"/>
        <v>-6.6</v>
      </c>
      <c r="AB186" s="171">
        <f t="shared" si="46"/>
        <v>-8.8000000000000007</v>
      </c>
      <c r="AC186" s="171">
        <f t="shared" si="46"/>
        <v>-4.4000000000000004</v>
      </c>
      <c r="AD186" s="171">
        <f t="shared" si="46"/>
        <v>-6.6</v>
      </c>
      <c r="AE186" s="171">
        <f t="shared" si="46"/>
        <v>-8.8000000000000007</v>
      </c>
      <c r="AF186" s="171">
        <f t="shared" si="46"/>
        <v>-8.8000000000000007</v>
      </c>
      <c r="AG186" s="171">
        <f t="shared" si="46"/>
        <v>-6.6</v>
      </c>
      <c r="AH186" s="171">
        <f t="shared" si="46"/>
        <v>-4.4000000000000004</v>
      </c>
      <c r="AI186" s="171">
        <f t="shared" si="46"/>
        <v>-4.4000000000000004</v>
      </c>
      <c r="AJ186" s="171">
        <f t="shared" si="46"/>
        <v>-8.8000000000000007</v>
      </c>
      <c r="AK186" s="171">
        <f t="shared" si="46"/>
        <v>-8.8000000000000007</v>
      </c>
      <c r="AL186" s="171">
        <f t="shared" si="46"/>
        <v>-8.8000000000000007</v>
      </c>
      <c r="AM186" s="171">
        <f t="shared" si="46"/>
        <v>-6.6</v>
      </c>
      <c r="AN186" s="171">
        <f t="shared" si="46"/>
        <v>-6.6</v>
      </c>
      <c r="AO186" s="171">
        <f t="shared" si="46"/>
        <v>-6.6</v>
      </c>
      <c r="AP186" s="171">
        <f t="shared" si="46"/>
        <v>-4.4000000000000004</v>
      </c>
      <c r="AQ186" s="171">
        <f t="shared" si="46"/>
        <v>-4.4000000000000004</v>
      </c>
      <c r="AR186" s="171">
        <f t="shared" si="46"/>
        <v>-8.8000000000000007</v>
      </c>
      <c r="AS186" s="171">
        <f t="shared" si="46"/>
        <v>-6.6</v>
      </c>
      <c r="AT186" s="171">
        <f t="shared" si="46"/>
        <v>-4.4000000000000004</v>
      </c>
      <c r="AU186" s="171">
        <f t="shared" si="46"/>
        <v>-11</v>
      </c>
      <c r="AV186" s="171">
        <f t="shared" si="46"/>
        <v>-8.8000000000000007</v>
      </c>
      <c r="AW186" s="171">
        <f t="shared" si="46"/>
        <v>-6.6</v>
      </c>
      <c r="AX186" s="171">
        <f t="shared" si="46"/>
        <v>-8.8000000000000007</v>
      </c>
      <c r="AY186" s="171">
        <f t="shared" si="46"/>
        <v>-6.6</v>
      </c>
      <c r="AZ186" s="171">
        <f t="shared" si="46"/>
        <v>-11</v>
      </c>
      <c r="BA186" s="171">
        <f t="shared" si="46"/>
        <v>-8.8000000000000007</v>
      </c>
      <c r="BB186" s="171">
        <f t="shared" si="46"/>
        <v>-8.8000000000000007</v>
      </c>
      <c r="BC186" s="171">
        <f t="shared" si="46"/>
        <v>-11</v>
      </c>
      <c r="BD186" s="171">
        <f t="shared" si="46"/>
        <v>-8.8000000000000007</v>
      </c>
      <c r="BE186" s="171">
        <f t="shared" si="46"/>
        <v>-8.8000000000000007</v>
      </c>
      <c r="BF186" s="171">
        <f t="shared" si="46"/>
        <v>-6.6</v>
      </c>
      <c r="BG186" s="171">
        <f t="shared" si="46"/>
        <v>-11</v>
      </c>
      <c r="BH186" s="171">
        <f t="shared" si="46"/>
        <v>-8.8000000000000007</v>
      </c>
      <c r="BI186" s="171">
        <f t="shared" si="46"/>
        <v>-8.8000000000000007</v>
      </c>
      <c r="BJ186" s="171">
        <f t="shared" si="46"/>
        <v>-6.6</v>
      </c>
    </row>
    <row r="187" spans="18:64" x14ac:dyDescent="0.25">
      <c r="S187" s="180" t="s">
        <v>409</v>
      </c>
      <c r="X187" s="171">
        <f>-$V$184*X184</f>
        <v>-1.9</v>
      </c>
      <c r="Y187" s="171">
        <f t="shared" ref="Y187:BJ187" si="47">-$V184*Y184</f>
        <v>-1.9</v>
      </c>
      <c r="Z187" s="171">
        <f t="shared" si="47"/>
        <v>-1.9</v>
      </c>
      <c r="AA187" s="171">
        <f t="shared" si="47"/>
        <v>-1.9</v>
      </c>
      <c r="AB187" s="171">
        <f t="shared" si="47"/>
        <v>-1.9</v>
      </c>
      <c r="AC187" s="171">
        <f t="shared" si="47"/>
        <v>-1.9</v>
      </c>
      <c r="AD187" s="171">
        <f t="shared" si="47"/>
        <v>-1.9</v>
      </c>
      <c r="AE187" s="171">
        <f t="shared" si="47"/>
        <v>-1.9</v>
      </c>
      <c r="AF187" s="171">
        <f t="shared" si="47"/>
        <v>-1.9</v>
      </c>
      <c r="AG187" s="171">
        <f t="shared" si="47"/>
        <v>-1.9</v>
      </c>
      <c r="AH187" s="171">
        <f t="shared" si="47"/>
        <v>-1.9</v>
      </c>
      <c r="AI187" s="171">
        <f t="shared" si="47"/>
        <v>-1.9</v>
      </c>
      <c r="AJ187" s="171">
        <f t="shared" si="47"/>
        <v>-1.9</v>
      </c>
      <c r="AK187" s="171">
        <f t="shared" si="47"/>
        <v>-1.9</v>
      </c>
      <c r="AL187" s="171">
        <f t="shared" si="47"/>
        <v>-1.9</v>
      </c>
      <c r="AM187" s="171">
        <f t="shared" si="47"/>
        <v>-1.9</v>
      </c>
      <c r="AN187" s="171">
        <f t="shared" si="47"/>
        <v>-1.9</v>
      </c>
      <c r="AO187" s="171">
        <f t="shared" si="47"/>
        <v>-1.9</v>
      </c>
      <c r="AP187" s="171">
        <f t="shared" si="47"/>
        <v>-1.9</v>
      </c>
      <c r="AQ187" s="171">
        <f t="shared" si="47"/>
        <v>-1.9</v>
      </c>
      <c r="AR187" s="171">
        <f t="shared" si="47"/>
        <v>-1.9</v>
      </c>
      <c r="AS187" s="171">
        <f t="shared" si="47"/>
        <v>-1.9</v>
      </c>
      <c r="AT187" s="171">
        <f t="shared" si="47"/>
        <v>-1.9</v>
      </c>
      <c r="AU187" s="171">
        <f t="shared" si="47"/>
        <v>-1.9</v>
      </c>
      <c r="AV187" s="171">
        <f t="shared" si="47"/>
        <v>-1.9</v>
      </c>
      <c r="AW187" s="171">
        <f t="shared" si="47"/>
        <v>-1.9</v>
      </c>
      <c r="AX187" s="171">
        <f t="shared" si="47"/>
        <v>-1.9</v>
      </c>
      <c r="AY187" s="171">
        <f t="shared" si="47"/>
        <v>-1.9</v>
      </c>
      <c r="AZ187" s="171">
        <f t="shared" si="47"/>
        <v>-1.9</v>
      </c>
      <c r="BA187" s="171">
        <f t="shared" si="47"/>
        <v>-1.9</v>
      </c>
      <c r="BB187" s="171">
        <f t="shared" si="47"/>
        <v>-1.9</v>
      </c>
      <c r="BC187" s="171">
        <f t="shared" si="47"/>
        <v>-1.9</v>
      </c>
      <c r="BD187" s="171">
        <f t="shared" si="47"/>
        <v>-1.9</v>
      </c>
      <c r="BE187" s="171">
        <f t="shared" si="47"/>
        <v>-1.9</v>
      </c>
      <c r="BF187" s="171">
        <f t="shared" si="47"/>
        <v>-1.9</v>
      </c>
      <c r="BG187" s="171">
        <f t="shared" si="47"/>
        <v>-1.9</v>
      </c>
      <c r="BH187" s="171">
        <f t="shared" si="47"/>
        <v>-1.9</v>
      </c>
      <c r="BI187" s="171">
        <f t="shared" si="47"/>
        <v>-1.9</v>
      </c>
      <c r="BJ187" s="171">
        <f t="shared" si="47"/>
        <v>-1.9</v>
      </c>
    </row>
    <row r="188" spans="18:64" x14ac:dyDescent="0.25">
      <c r="S188" s="180" t="s">
        <v>408</v>
      </c>
      <c r="V188" s="173">
        <f>D61</f>
        <v>1.6392500000000003</v>
      </c>
      <c r="X188" s="181">
        <f t="shared" ref="X188:BJ188" si="48">-$V$188*X179</f>
        <v>-70.355347129718353</v>
      </c>
      <c r="Y188" s="181">
        <f t="shared" si="48"/>
        <v>-68.307107896996314</v>
      </c>
      <c r="Z188" s="181">
        <f t="shared" si="48"/>
        <v>-83.155738476225437</v>
      </c>
      <c r="AA188" s="181">
        <f t="shared" si="48"/>
        <v>-57.940596246378298</v>
      </c>
      <c r="AB188" s="181">
        <f t="shared" si="48"/>
        <v>-76.435539744704258</v>
      </c>
      <c r="AC188" s="181">
        <f t="shared" si="48"/>
        <v>-39.894848880269969</v>
      </c>
      <c r="AD188" s="181">
        <f t="shared" si="48"/>
        <v>-52.249383790190997</v>
      </c>
      <c r="AE188" s="181">
        <f t="shared" si="48"/>
        <v>-75.576672837063782</v>
      </c>
      <c r="AF188" s="181">
        <f t="shared" si="48"/>
        <v>-69.099667422962938</v>
      </c>
      <c r="AG188" s="181">
        <f t="shared" si="48"/>
        <v>-57.060903979153828</v>
      </c>
      <c r="AH188" s="181">
        <f t="shared" si="48"/>
        <v>-23.315919569584867</v>
      </c>
      <c r="AI188" s="181">
        <f t="shared" si="48"/>
        <v>-28.743031517587536</v>
      </c>
      <c r="AJ188" s="181">
        <f t="shared" si="48"/>
        <v>-80.418382054684457</v>
      </c>
      <c r="AK188" s="181">
        <f t="shared" si="48"/>
        <v>-68.731082840305987</v>
      </c>
      <c r="AL188" s="181">
        <f t="shared" si="48"/>
        <v>-80.518460584471427</v>
      </c>
      <c r="AM188" s="181">
        <f t="shared" si="48"/>
        <v>-51.191459490452196</v>
      </c>
      <c r="AN188" s="181">
        <f t="shared" si="48"/>
        <v>-58.681578794483329</v>
      </c>
      <c r="AO188" s="181">
        <f t="shared" si="48"/>
        <v>-43.562398348628399</v>
      </c>
      <c r="AP188" s="181">
        <f t="shared" si="48"/>
        <v>-21.735385663597121</v>
      </c>
      <c r="AQ188" s="181">
        <f t="shared" si="48"/>
        <v>-32.854622513580523</v>
      </c>
      <c r="AR188" s="181">
        <f t="shared" si="48"/>
        <v>-80.889181636449891</v>
      </c>
      <c r="AS188" s="181">
        <f t="shared" si="48"/>
        <v>-59.44857980653763</v>
      </c>
      <c r="AT188" s="181">
        <f t="shared" si="48"/>
        <v>-35.819652460269282</v>
      </c>
      <c r="AU188" s="181">
        <f t="shared" si="48"/>
        <v>-82.917118745792564</v>
      </c>
      <c r="AV188" s="181">
        <f t="shared" si="48"/>
        <v>-74.973953693022892</v>
      </c>
      <c r="AW188" s="181">
        <f t="shared" si="48"/>
        <v>-60.06272760770279</v>
      </c>
      <c r="AX188" s="181">
        <f t="shared" si="48"/>
        <v>-65.253869598674271</v>
      </c>
      <c r="AY188" s="181">
        <f t="shared" si="48"/>
        <v>-49.670082340731724</v>
      </c>
      <c r="AZ188" s="181">
        <f t="shared" si="48"/>
        <v>-85.636403638983424</v>
      </c>
      <c r="BA188" s="181">
        <f t="shared" si="48"/>
        <v>-72.796785238047292</v>
      </c>
      <c r="BB188" s="181">
        <f t="shared" si="48"/>
        <v>-64.235884707092097</v>
      </c>
      <c r="BC188" s="181">
        <f t="shared" si="48"/>
        <v>-84.70301083328981</v>
      </c>
      <c r="BD188" s="181">
        <f t="shared" si="48"/>
        <v>-71.507303997730403</v>
      </c>
      <c r="BE188" s="181">
        <f t="shared" si="48"/>
        <v>-74.715539057969863</v>
      </c>
      <c r="BF188" s="181">
        <f t="shared" si="48"/>
        <v>-59.238958118895724</v>
      </c>
      <c r="BG188" s="181">
        <f t="shared" si="48"/>
        <v>-81.434179187660263</v>
      </c>
      <c r="BH188" s="181">
        <f t="shared" si="48"/>
        <v>-63.20483186359548</v>
      </c>
      <c r="BI188" s="181">
        <f t="shared" si="48"/>
        <v>-79.368684984855477</v>
      </c>
      <c r="BJ188" s="181">
        <f t="shared" si="48"/>
        <v>-59.148954489788196</v>
      </c>
    </row>
    <row r="189" spans="18:64" x14ac:dyDescent="0.25">
      <c r="S189" s="180" t="s">
        <v>416</v>
      </c>
      <c r="X189" s="171">
        <f t="shared" ref="X189:BJ189" si="49">SUM(X186:X188)</f>
        <v>-81.055347129718356</v>
      </c>
      <c r="Y189" s="171">
        <f t="shared" si="49"/>
        <v>-79.007107896996317</v>
      </c>
      <c r="Z189" s="171">
        <f t="shared" si="49"/>
        <v>-96.055738476225443</v>
      </c>
      <c r="AA189" s="171">
        <f t="shared" si="49"/>
        <v>-66.440596246378306</v>
      </c>
      <c r="AB189" s="171">
        <f t="shared" si="49"/>
        <v>-87.135539744704261</v>
      </c>
      <c r="AC189" s="171">
        <f t="shared" si="49"/>
        <v>-46.194848880269973</v>
      </c>
      <c r="AD189" s="171">
        <f t="shared" si="49"/>
        <v>-60.749383790190997</v>
      </c>
      <c r="AE189" s="171">
        <f t="shared" si="49"/>
        <v>-86.276672837063785</v>
      </c>
      <c r="AF189" s="171">
        <f t="shared" si="49"/>
        <v>-79.799667422962941</v>
      </c>
      <c r="AG189" s="171">
        <f t="shared" si="49"/>
        <v>-65.560903979153835</v>
      </c>
      <c r="AH189" s="171">
        <f t="shared" si="49"/>
        <v>-29.615919569584868</v>
      </c>
      <c r="AI189" s="171">
        <f t="shared" si="49"/>
        <v>-35.043031517587536</v>
      </c>
      <c r="AJ189" s="171">
        <f t="shared" si="49"/>
        <v>-91.11838205468446</v>
      </c>
      <c r="AK189" s="171">
        <f t="shared" si="49"/>
        <v>-79.43108284030599</v>
      </c>
      <c r="AL189" s="171">
        <f t="shared" si="49"/>
        <v>-91.21846058447143</v>
      </c>
      <c r="AM189" s="171">
        <f t="shared" si="49"/>
        <v>-59.691459490452196</v>
      </c>
      <c r="AN189" s="171">
        <f t="shared" si="49"/>
        <v>-67.181578794483329</v>
      </c>
      <c r="AO189" s="171">
        <f t="shared" si="49"/>
        <v>-52.062398348628399</v>
      </c>
      <c r="AP189" s="171">
        <f t="shared" si="49"/>
        <v>-28.035385663597122</v>
      </c>
      <c r="AQ189" s="171">
        <f t="shared" si="49"/>
        <v>-39.15462251358052</v>
      </c>
      <c r="AR189" s="171">
        <f t="shared" si="49"/>
        <v>-91.589181636449894</v>
      </c>
      <c r="AS189" s="171">
        <f t="shared" si="49"/>
        <v>-67.948579806537623</v>
      </c>
      <c r="AT189" s="171">
        <f t="shared" si="49"/>
        <v>-42.119652460269279</v>
      </c>
      <c r="AU189" s="171">
        <f t="shared" si="49"/>
        <v>-95.81711874579257</v>
      </c>
      <c r="AV189" s="171">
        <f t="shared" si="49"/>
        <v>-85.673953693022895</v>
      </c>
      <c r="AW189" s="171">
        <f t="shared" si="49"/>
        <v>-68.562727607702783</v>
      </c>
      <c r="AX189" s="171">
        <f t="shared" si="49"/>
        <v>-75.953869598674274</v>
      </c>
      <c r="AY189" s="171">
        <f t="shared" si="49"/>
        <v>-58.170082340731724</v>
      </c>
      <c r="AZ189" s="171">
        <f t="shared" si="49"/>
        <v>-98.53640363898343</v>
      </c>
      <c r="BA189" s="171">
        <f t="shared" si="49"/>
        <v>-83.496785238047295</v>
      </c>
      <c r="BB189" s="171">
        <f t="shared" si="49"/>
        <v>-74.9358847070921</v>
      </c>
      <c r="BC189" s="171">
        <f t="shared" si="49"/>
        <v>-97.603010833289815</v>
      </c>
      <c r="BD189" s="171">
        <f t="shared" si="49"/>
        <v>-82.207303997730406</v>
      </c>
      <c r="BE189" s="171">
        <f t="shared" si="49"/>
        <v>-85.415539057969866</v>
      </c>
      <c r="BF189" s="171">
        <f t="shared" si="49"/>
        <v>-67.738958118895724</v>
      </c>
      <c r="BG189" s="171">
        <f t="shared" si="49"/>
        <v>-94.334179187660268</v>
      </c>
      <c r="BH189" s="171">
        <f t="shared" si="49"/>
        <v>-73.904831863595476</v>
      </c>
      <c r="BI189" s="171">
        <f t="shared" si="49"/>
        <v>-90.06868498485548</v>
      </c>
      <c r="BJ189" s="171">
        <f t="shared" si="49"/>
        <v>-67.648954489788196</v>
      </c>
    </row>
    <row r="190" spans="18:64" x14ac:dyDescent="0.25">
      <c r="S190" s="180" t="s">
        <v>415</v>
      </c>
      <c r="X190" s="171">
        <f t="shared" ref="X190:BJ190" si="50">X189+$D$46</f>
        <v>-289.464864691608</v>
      </c>
      <c r="Y190" s="171">
        <f t="shared" si="50"/>
        <v>-287.41662545888596</v>
      </c>
      <c r="Z190" s="171">
        <f t="shared" si="50"/>
        <v>-304.46525603811506</v>
      </c>
      <c r="AA190" s="171">
        <f t="shared" si="50"/>
        <v>-274.85011380826791</v>
      </c>
      <c r="AB190" s="171">
        <f t="shared" si="50"/>
        <v>-295.54505730659389</v>
      </c>
      <c r="AC190" s="171">
        <f t="shared" si="50"/>
        <v>-254.6043664421596</v>
      </c>
      <c r="AD190" s="171">
        <f t="shared" si="50"/>
        <v>-269.15890135208065</v>
      </c>
      <c r="AE190" s="171">
        <f t="shared" si="50"/>
        <v>-294.68619039895339</v>
      </c>
      <c r="AF190" s="171">
        <f t="shared" si="50"/>
        <v>-288.20918498485258</v>
      </c>
      <c r="AG190" s="171">
        <f t="shared" si="50"/>
        <v>-273.97042154104349</v>
      </c>
      <c r="AH190" s="171">
        <f t="shared" si="50"/>
        <v>-238.02543713147449</v>
      </c>
      <c r="AI190" s="171">
        <f t="shared" si="50"/>
        <v>-243.45254907947717</v>
      </c>
      <c r="AJ190" s="171">
        <f t="shared" si="50"/>
        <v>-299.52789961657408</v>
      </c>
      <c r="AK190" s="171">
        <f t="shared" si="50"/>
        <v>-287.84060040219561</v>
      </c>
      <c r="AL190" s="171">
        <f t="shared" si="50"/>
        <v>-299.62797814636104</v>
      </c>
      <c r="AM190" s="171">
        <f t="shared" si="50"/>
        <v>-268.10097705234182</v>
      </c>
      <c r="AN190" s="171">
        <f t="shared" si="50"/>
        <v>-275.59109635637299</v>
      </c>
      <c r="AO190" s="171">
        <f t="shared" si="50"/>
        <v>-260.47191591051802</v>
      </c>
      <c r="AP190" s="171">
        <f t="shared" si="50"/>
        <v>-236.44490322548674</v>
      </c>
      <c r="AQ190" s="171">
        <f t="shared" si="50"/>
        <v>-247.56414007547016</v>
      </c>
      <c r="AR190" s="171">
        <f t="shared" si="50"/>
        <v>-299.99869919833952</v>
      </c>
      <c r="AS190" s="171">
        <f t="shared" si="50"/>
        <v>-276.35809736842725</v>
      </c>
      <c r="AT190" s="171">
        <f t="shared" si="50"/>
        <v>-250.52917002215889</v>
      </c>
      <c r="AU190" s="171">
        <f t="shared" si="50"/>
        <v>-304.22663630768221</v>
      </c>
      <c r="AV190" s="171">
        <f t="shared" si="50"/>
        <v>-294.08347125491252</v>
      </c>
      <c r="AW190" s="171">
        <f t="shared" si="50"/>
        <v>-276.97224516959238</v>
      </c>
      <c r="AX190" s="171">
        <f t="shared" si="50"/>
        <v>-284.36338716056389</v>
      </c>
      <c r="AY190" s="171">
        <f t="shared" si="50"/>
        <v>-266.57959990262134</v>
      </c>
      <c r="AZ190" s="171">
        <f t="shared" si="50"/>
        <v>-306.94592120087304</v>
      </c>
      <c r="BA190" s="171">
        <f t="shared" si="50"/>
        <v>-291.90630279993695</v>
      </c>
      <c r="BB190" s="171">
        <f t="shared" si="50"/>
        <v>-283.34540226898173</v>
      </c>
      <c r="BC190" s="171">
        <f t="shared" si="50"/>
        <v>-306.01252839517946</v>
      </c>
      <c r="BD190" s="171">
        <f t="shared" si="50"/>
        <v>-290.61682155962001</v>
      </c>
      <c r="BE190" s="171">
        <f t="shared" si="50"/>
        <v>-293.82505661985948</v>
      </c>
      <c r="BF190" s="171">
        <f t="shared" si="50"/>
        <v>-276.14847568078534</v>
      </c>
      <c r="BG190" s="171">
        <f t="shared" si="50"/>
        <v>-302.74369674954988</v>
      </c>
      <c r="BH190" s="171">
        <f t="shared" si="50"/>
        <v>-282.31434942548509</v>
      </c>
      <c r="BI190" s="171">
        <f t="shared" si="50"/>
        <v>-298.47820254674514</v>
      </c>
      <c r="BJ190" s="171">
        <f t="shared" si="50"/>
        <v>-276.05847205167782</v>
      </c>
    </row>
    <row r="191" spans="18:64" x14ac:dyDescent="0.25">
      <c r="S191" s="180"/>
      <c r="X191" s="171"/>
      <c r="Y191" s="171"/>
      <c r="Z191" s="171"/>
      <c r="AA191" s="171"/>
      <c r="AB191" s="171"/>
      <c r="AC191" s="171"/>
      <c r="AD191" s="171"/>
      <c r="AE191" s="171"/>
      <c r="AF191" s="171"/>
      <c r="AG191" s="171"/>
      <c r="AH191" s="171"/>
      <c r="AI191" s="171"/>
      <c r="AJ191" s="171"/>
      <c r="AK191" s="171"/>
      <c r="AL191" s="171"/>
      <c r="AM191" s="171"/>
      <c r="AN191" s="171"/>
      <c r="AO191" s="171"/>
      <c r="AP191" s="171"/>
      <c r="AQ191" s="171"/>
      <c r="AR191" s="171"/>
      <c r="AS191" s="171"/>
      <c r="AT191" s="171"/>
      <c r="AU191" s="171"/>
      <c r="AV191" s="171"/>
      <c r="AW191" s="171"/>
      <c r="AX191" s="171"/>
      <c r="AY191" s="171"/>
      <c r="AZ191" s="171"/>
      <c r="BA191" s="171"/>
      <c r="BB191" s="171"/>
      <c r="BC191" s="171"/>
      <c r="BD191" s="171"/>
      <c r="BE191" s="171"/>
      <c r="BF191" s="171"/>
      <c r="BG191" s="171"/>
    </row>
    <row r="192" spans="18:64" x14ac:dyDescent="0.25">
      <c r="R192" t="s">
        <v>419</v>
      </c>
      <c r="S192" s="184" t="s">
        <v>418</v>
      </c>
      <c r="X192" s="171"/>
      <c r="Y192" s="171"/>
      <c r="Z192" s="171"/>
      <c r="AA192" s="171"/>
      <c r="AB192" s="171"/>
      <c r="AC192" s="171"/>
      <c r="AD192" s="171"/>
      <c r="AE192" s="171"/>
      <c r="AF192" s="171"/>
      <c r="AG192" s="171"/>
      <c r="AH192" s="171"/>
      <c r="AI192" s="171"/>
      <c r="AJ192" s="171"/>
      <c r="AK192" s="171"/>
      <c r="AL192" s="171"/>
      <c r="AM192" s="171"/>
      <c r="AN192" s="171"/>
      <c r="AO192" s="171"/>
      <c r="AP192" s="171"/>
      <c r="AQ192" s="171"/>
      <c r="AR192" s="171"/>
      <c r="AS192" s="171"/>
      <c r="AT192" s="171"/>
      <c r="AU192" s="171"/>
      <c r="AV192" s="171"/>
      <c r="AW192" s="171"/>
      <c r="AX192" s="171"/>
      <c r="AY192" s="171"/>
      <c r="AZ192" s="171"/>
      <c r="BA192" s="171"/>
      <c r="BB192" s="171"/>
      <c r="BC192" s="171"/>
      <c r="BD192" s="171"/>
      <c r="BE192" s="171"/>
      <c r="BF192" s="171"/>
      <c r="BG192" s="171"/>
    </row>
    <row r="193" spans="18:62" x14ac:dyDescent="0.25">
      <c r="S193" t="s">
        <v>91</v>
      </c>
      <c r="X193" s="183">
        <f t="shared" ref="X193:BJ193" si="51">X179*$C$67</f>
        <v>28.755883835236411</v>
      </c>
      <c r="Y193" s="183">
        <f t="shared" si="51"/>
        <v>27.918720323921015</v>
      </c>
      <c r="Z193" s="183">
        <f t="shared" si="51"/>
        <v>33.987704608248308</v>
      </c>
      <c r="AA193" s="183">
        <f t="shared" si="51"/>
        <v>23.681683382689311</v>
      </c>
      <c r="AB193" s="183">
        <f t="shared" si="51"/>
        <v>31.241001451244074</v>
      </c>
      <c r="AC193" s="183">
        <f t="shared" si="51"/>
        <v>16.30596233020032</v>
      </c>
      <c r="AD193" s="183">
        <f t="shared" si="51"/>
        <v>21.355551099239264</v>
      </c>
      <c r="AE193" s="183">
        <f t="shared" si="51"/>
        <v>30.889962361343738</v>
      </c>
      <c r="AF193" s="183">
        <f t="shared" si="51"/>
        <v>28.242658028601596</v>
      </c>
      <c r="AG193" s="183">
        <f t="shared" si="51"/>
        <v>23.322132478897704</v>
      </c>
      <c r="AH193" s="183">
        <f t="shared" si="51"/>
        <v>9.5297642895359829</v>
      </c>
      <c r="AI193" s="183">
        <f t="shared" si="51"/>
        <v>11.747952488506114</v>
      </c>
      <c r="AJ193" s="183">
        <f t="shared" si="51"/>
        <v>32.868882706505161</v>
      </c>
      <c r="AK193" s="183">
        <f t="shared" si="51"/>
        <v>28.092008847341777</v>
      </c>
      <c r="AL193" s="183">
        <f t="shared" si="51"/>
        <v>32.909787153634802</v>
      </c>
      <c r="AM193" s="183">
        <f t="shared" si="51"/>
        <v>20.923152575020875</v>
      </c>
      <c r="AN193" s="183">
        <f t="shared" si="51"/>
        <v>23.984540364376286</v>
      </c>
      <c r="AO193" s="183">
        <f t="shared" si="51"/>
        <v>17.804975991203918</v>
      </c>
      <c r="AP193" s="183">
        <f t="shared" si="51"/>
        <v>8.8837629370810252</v>
      </c>
      <c r="AQ193" s="183">
        <f t="shared" si="51"/>
        <v>13.428456357540917</v>
      </c>
      <c r="AR193" s="183">
        <f t="shared" si="51"/>
        <v>33.061309560116769</v>
      </c>
      <c r="AS193" s="183">
        <f t="shared" si="51"/>
        <v>24.298031703754891</v>
      </c>
      <c r="AT193" s="183">
        <f t="shared" si="51"/>
        <v>14.640333779704386</v>
      </c>
      <c r="AU193" s="183">
        <f t="shared" si="51"/>
        <v>33.890175116474616</v>
      </c>
      <c r="AV193" s="183">
        <f t="shared" si="51"/>
        <v>30.643616882309185</v>
      </c>
      <c r="AW193" s="183">
        <f t="shared" si="51"/>
        <v>24.549048343547881</v>
      </c>
      <c r="AX193" s="183">
        <f t="shared" si="51"/>
        <v>26.670790075407506</v>
      </c>
      <c r="AY193" s="183">
        <f t="shared" si="51"/>
        <v>20.301329979130852</v>
      </c>
      <c r="AZ193" s="183">
        <f t="shared" si="51"/>
        <v>35.001610759871213</v>
      </c>
      <c r="BA193" s="183">
        <f t="shared" si="51"/>
        <v>29.753756967815576</v>
      </c>
      <c r="BB193" s="183">
        <f t="shared" si="51"/>
        <v>26.254715725942781</v>
      </c>
      <c r="BC193" s="183">
        <f t="shared" si="51"/>
        <v>34.62011118395862</v>
      </c>
      <c r="BD193" s="183">
        <f t="shared" si="51"/>
        <v>29.226715680024014</v>
      </c>
      <c r="BE193" s="183">
        <f t="shared" si="51"/>
        <v>30.537996747805277</v>
      </c>
      <c r="BF193" s="183">
        <f t="shared" si="51"/>
        <v>24.212354393570312</v>
      </c>
      <c r="BG193" s="183">
        <f t="shared" si="51"/>
        <v>33.284062867611631</v>
      </c>
      <c r="BH193" s="183">
        <f t="shared" si="51"/>
        <v>25.833300197412822</v>
      </c>
      <c r="BI193" s="183">
        <f t="shared" si="51"/>
        <v>32.43984684450399</v>
      </c>
      <c r="BJ193" s="183">
        <f t="shared" si="51"/>
        <v>24.17556779512465</v>
      </c>
    </row>
    <row r="194" spans="18:62" x14ac:dyDescent="0.25">
      <c r="S194" s="178" t="s">
        <v>417</v>
      </c>
      <c r="X194" s="171">
        <f t="shared" ref="X194:BJ194" si="52">$C$65*X193</f>
        <v>287.55883835236409</v>
      </c>
      <c r="Y194" s="171">
        <f t="shared" si="52"/>
        <v>279.18720323921013</v>
      </c>
      <c r="Z194" s="171">
        <f t="shared" si="52"/>
        <v>339.87704608248305</v>
      </c>
      <c r="AA194" s="171">
        <f t="shared" si="52"/>
        <v>236.81683382689312</v>
      </c>
      <c r="AB194" s="171">
        <f t="shared" si="52"/>
        <v>312.41001451244074</v>
      </c>
      <c r="AC194" s="171">
        <f t="shared" si="52"/>
        <v>163.05962330200319</v>
      </c>
      <c r="AD194" s="171">
        <f t="shared" si="52"/>
        <v>213.55551099239264</v>
      </c>
      <c r="AE194" s="171">
        <f t="shared" si="52"/>
        <v>308.89962361343737</v>
      </c>
      <c r="AF194" s="171">
        <f t="shared" si="52"/>
        <v>282.42658028601596</v>
      </c>
      <c r="AG194" s="171">
        <f t="shared" si="52"/>
        <v>233.22132478897703</v>
      </c>
      <c r="AH194" s="171">
        <f t="shared" si="52"/>
        <v>95.297642895359829</v>
      </c>
      <c r="AI194" s="171">
        <f t="shared" si="52"/>
        <v>117.47952488506114</v>
      </c>
      <c r="AJ194" s="171">
        <f t="shared" si="52"/>
        <v>328.68882706505161</v>
      </c>
      <c r="AK194" s="171">
        <f t="shared" si="52"/>
        <v>280.92008847341776</v>
      </c>
      <c r="AL194" s="171">
        <f t="shared" si="52"/>
        <v>329.09787153634801</v>
      </c>
      <c r="AM194" s="171">
        <f t="shared" si="52"/>
        <v>209.23152575020876</v>
      </c>
      <c r="AN194" s="171">
        <f t="shared" si="52"/>
        <v>239.84540364376286</v>
      </c>
      <c r="AO194" s="171">
        <f t="shared" si="52"/>
        <v>178.04975991203918</v>
      </c>
      <c r="AP194" s="171">
        <f t="shared" si="52"/>
        <v>88.837629370810248</v>
      </c>
      <c r="AQ194" s="171">
        <f t="shared" si="52"/>
        <v>134.28456357540915</v>
      </c>
      <c r="AR194" s="171">
        <f t="shared" si="52"/>
        <v>330.61309560116769</v>
      </c>
      <c r="AS194" s="171">
        <f t="shared" si="52"/>
        <v>242.9803170375489</v>
      </c>
      <c r="AT194" s="171">
        <f t="shared" si="52"/>
        <v>146.40333779704386</v>
      </c>
      <c r="AU194" s="171">
        <f t="shared" si="52"/>
        <v>338.90175116474614</v>
      </c>
      <c r="AV194" s="171">
        <f t="shared" si="52"/>
        <v>306.43616882309186</v>
      </c>
      <c r="AW194" s="171">
        <f t="shared" si="52"/>
        <v>245.49048343547881</v>
      </c>
      <c r="AX194" s="171">
        <f t="shared" si="52"/>
        <v>266.70790075407507</v>
      </c>
      <c r="AY194" s="171">
        <f t="shared" si="52"/>
        <v>203.01329979130853</v>
      </c>
      <c r="AZ194" s="171">
        <f t="shared" si="52"/>
        <v>350.0161075987121</v>
      </c>
      <c r="BA194" s="171">
        <f t="shared" si="52"/>
        <v>297.53756967815576</v>
      </c>
      <c r="BB194" s="171">
        <f t="shared" si="52"/>
        <v>262.54715725942782</v>
      </c>
      <c r="BC194" s="171">
        <f t="shared" si="52"/>
        <v>346.20111183958619</v>
      </c>
      <c r="BD194" s="171">
        <f t="shared" si="52"/>
        <v>292.26715680024017</v>
      </c>
      <c r="BE194" s="171">
        <f t="shared" si="52"/>
        <v>305.37996747805278</v>
      </c>
      <c r="BF194" s="171">
        <f t="shared" si="52"/>
        <v>242.12354393570311</v>
      </c>
      <c r="BG194" s="171">
        <f t="shared" si="52"/>
        <v>332.8406286761163</v>
      </c>
      <c r="BH194" s="171">
        <f t="shared" si="52"/>
        <v>258.33300197412819</v>
      </c>
      <c r="BI194" s="171">
        <f t="shared" si="52"/>
        <v>324.3984684450399</v>
      </c>
      <c r="BJ194" s="171">
        <f t="shared" si="52"/>
        <v>241.7556779512465</v>
      </c>
    </row>
    <row r="196" spans="18:62" x14ac:dyDescent="0.25">
      <c r="S196" s="180" t="s">
        <v>413</v>
      </c>
      <c r="X196" s="182"/>
      <c r="Y196" s="182"/>
      <c r="Z196" s="182"/>
      <c r="AA196" s="182"/>
      <c r="AB196" s="182"/>
      <c r="AC196" s="182"/>
      <c r="AD196" s="182"/>
      <c r="AE196" s="182"/>
      <c r="AF196" s="182"/>
      <c r="AG196" s="182"/>
      <c r="AH196" s="182"/>
      <c r="AI196" s="182"/>
      <c r="AJ196" s="182"/>
      <c r="AK196" s="182"/>
      <c r="AL196" s="182"/>
      <c r="AM196" s="182"/>
      <c r="AN196" s="182"/>
      <c r="AO196" s="182"/>
      <c r="AP196" s="182"/>
      <c r="AQ196" s="182"/>
      <c r="AR196" s="182"/>
      <c r="AS196" s="182"/>
      <c r="AT196" s="182"/>
      <c r="AU196" s="182"/>
      <c r="AV196" s="182"/>
      <c r="AW196" s="182"/>
      <c r="AX196" s="182"/>
      <c r="AY196" s="182"/>
      <c r="AZ196" s="182"/>
      <c r="BA196" s="182"/>
      <c r="BB196" s="182"/>
      <c r="BC196" s="182"/>
      <c r="BD196" s="182"/>
      <c r="BE196" s="182"/>
      <c r="BF196" s="182"/>
      <c r="BG196" s="182"/>
    </row>
    <row r="197" spans="18:62" x14ac:dyDescent="0.25">
      <c r="S197" s="180" t="s">
        <v>410</v>
      </c>
      <c r="X197" s="99">
        <f t="shared" ref="X197:BJ197" si="53">ROUNDUP((MAX(($K$93-$L$93*X$107),0)*X193)*X$109+MAX(($M$93-$N$93*X$108),0)*X193*(1-X$109)*2,-1)/2</f>
        <v>15</v>
      </c>
      <c r="Y197" s="99">
        <f t="shared" si="53"/>
        <v>15</v>
      </c>
      <c r="Z197" s="99">
        <f t="shared" si="53"/>
        <v>15</v>
      </c>
      <c r="AA197" s="99">
        <f t="shared" si="53"/>
        <v>10</v>
      </c>
      <c r="AB197" s="99">
        <f t="shared" si="53"/>
        <v>15</v>
      </c>
      <c r="AC197" s="99">
        <f t="shared" si="53"/>
        <v>10</v>
      </c>
      <c r="AD197" s="99">
        <f t="shared" si="53"/>
        <v>10</v>
      </c>
      <c r="AE197" s="99">
        <f t="shared" si="53"/>
        <v>15</v>
      </c>
      <c r="AF197" s="99">
        <f t="shared" si="53"/>
        <v>15</v>
      </c>
      <c r="AG197" s="99">
        <f t="shared" si="53"/>
        <v>10</v>
      </c>
      <c r="AH197" s="99">
        <f t="shared" si="53"/>
        <v>5</v>
      </c>
      <c r="AI197" s="99">
        <f t="shared" si="53"/>
        <v>5</v>
      </c>
      <c r="AJ197" s="99">
        <f t="shared" si="53"/>
        <v>15</v>
      </c>
      <c r="AK197" s="99">
        <f t="shared" si="53"/>
        <v>15</v>
      </c>
      <c r="AL197" s="99">
        <f t="shared" si="53"/>
        <v>15</v>
      </c>
      <c r="AM197" s="99">
        <f t="shared" si="53"/>
        <v>10</v>
      </c>
      <c r="AN197" s="99">
        <f t="shared" si="53"/>
        <v>10</v>
      </c>
      <c r="AO197" s="99">
        <f t="shared" si="53"/>
        <v>10</v>
      </c>
      <c r="AP197" s="99">
        <f t="shared" si="53"/>
        <v>5</v>
      </c>
      <c r="AQ197" s="99">
        <f t="shared" si="53"/>
        <v>10</v>
      </c>
      <c r="AR197" s="99">
        <f t="shared" si="53"/>
        <v>15</v>
      </c>
      <c r="AS197" s="99">
        <f t="shared" si="53"/>
        <v>10</v>
      </c>
      <c r="AT197" s="99">
        <f t="shared" si="53"/>
        <v>10</v>
      </c>
      <c r="AU197" s="99">
        <f t="shared" si="53"/>
        <v>15</v>
      </c>
      <c r="AV197" s="99">
        <f t="shared" si="53"/>
        <v>15</v>
      </c>
      <c r="AW197" s="99">
        <f t="shared" si="53"/>
        <v>10</v>
      </c>
      <c r="AX197" s="99">
        <f t="shared" si="53"/>
        <v>15</v>
      </c>
      <c r="AY197" s="99">
        <f t="shared" si="53"/>
        <v>10</v>
      </c>
      <c r="AZ197" s="99">
        <f t="shared" si="53"/>
        <v>15</v>
      </c>
      <c r="BA197" s="99">
        <f t="shared" si="53"/>
        <v>15</v>
      </c>
      <c r="BB197" s="99">
        <f t="shared" si="53"/>
        <v>15</v>
      </c>
      <c r="BC197" s="99">
        <f t="shared" si="53"/>
        <v>15</v>
      </c>
      <c r="BD197" s="99">
        <f t="shared" si="53"/>
        <v>15</v>
      </c>
      <c r="BE197" s="99">
        <f t="shared" si="53"/>
        <v>15</v>
      </c>
      <c r="BF197" s="99">
        <f t="shared" si="53"/>
        <v>10</v>
      </c>
      <c r="BG197" s="99">
        <f t="shared" si="53"/>
        <v>15</v>
      </c>
      <c r="BH197" s="99">
        <f t="shared" si="53"/>
        <v>15</v>
      </c>
      <c r="BI197" s="99">
        <f t="shared" si="53"/>
        <v>15</v>
      </c>
      <c r="BJ197" s="99">
        <f t="shared" si="53"/>
        <v>10</v>
      </c>
    </row>
    <row r="198" spans="18:62" x14ac:dyDescent="0.25">
      <c r="S198" s="180" t="s">
        <v>409</v>
      </c>
      <c r="X198" s="99">
        <f t="shared" ref="X198:BJ198" si="54">ROUNDUP(MAX(($O$93-$P$93*X$110)*X193,0)*2,-1)/2</f>
        <v>5</v>
      </c>
      <c r="Y198" s="99">
        <f t="shared" si="54"/>
        <v>5</v>
      </c>
      <c r="Z198" s="99">
        <f t="shared" si="54"/>
        <v>5</v>
      </c>
      <c r="AA198" s="99">
        <f t="shared" si="54"/>
        <v>5</v>
      </c>
      <c r="AB198" s="99">
        <f t="shared" si="54"/>
        <v>5</v>
      </c>
      <c r="AC198" s="99">
        <f t="shared" si="54"/>
        <v>5</v>
      </c>
      <c r="AD198" s="99">
        <f t="shared" si="54"/>
        <v>5</v>
      </c>
      <c r="AE198" s="99">
        <f t="shared" si="54"/>
        <v>5</v>
      </c>
      <c r="AF198" s="99">
        <f t="shared" si="54"/>
        <v>5</v>
      </c>
      <c r="AG198" s="99">
        <f t="shared" si="54"/>
        <v>5</v>
      </c>
      <c r="AH198" s="99">
        <f t="shared" si="54"/>
        <v>5</v>
      </c>
      <c r="AI198" s="99">
        <f t="shared" si="54"/>
        <v>5</v>
      </c>
      <c r="AJ198" s="99">
        <f t="shared" si="54"/>
        <v>5</v>
      </c>
      <c r="AK198" s="99">
        <f t="shared" si="54"/>
        <v>5</v>
      </c>
      <c r="AL198" s="99">
        <f t="shared" si="54"/>
        <v>5</v>
      </c>
      <c r="AM198" s="99">
        <f t="shared" si="54"/>
        <v>5</v>
      </c>
      <c r="AN198" s="99">
        <f t="shared" si="54"/>
        <v>5</v>
      </c>
      <c r="AO198" s="99">
        <f t="shared" si="54"/>
        <v>5</v>
      </c>
      <c r="AP198" s="99">
        <f t="shared" si="54"/>
        <v>5</v>
      </c>
      <c r="AQ198" s="99">
        <f t="shared" si="54"/>
        <v>5</v>
      </c>
      <c r="AR198" s="99">
        <f t="shared" si="54"/>
        <v>5</v>
      </c>
      <c r="AS198" s="99">
        <f t="shared" si="54"/>
        <v>5</v>
      </c>
      <c r="AT198" s="99">
        <f t="shared" si="54"/>
        <v>5</v>
      </c>
      <c r="AU198" s="99">
        <f t="shared" si="54"/>
        <v>5</v>
      </c>
      <c r="AV198" s="99">
        <f t="shared" si="54"/>
        <v>5</v>
      </c>
      <c r="AW198" s="99">
        <f t="shared" si="54"/>
        <v>5</v>
      </c>
      <c r="AX198" s="99">
        <f t="shared" si="54"/>
        <v>5</v>
      </c>
      <c r="AY198" s="99">
        <f t="shared" si="54"/>
        <v>5</v>
      </c>
      <c r="AZ198" s="99">
        <f t="shared" si="54"/>
        <v>5</v>
      </c>
      <c r="BA198" s="99">
        <f t="shared" si="54"/>
        <v>5</v>
      </c>
      <c r="BB198" s="99">
        <f t="shared" si="54"/>
        <v>5</v>
      </c>
      <c r="BC198" s="99">
        <f t="shared" si="54"/>
        <v>5</v>
      </c>
      <c r="BD198" s="99">
        <f t="shared" si="54"/>
        <v>5</v>
      </c>
      <c r="BE198" s="99">
        <f t="shared" si="54"/>
        <v>5</v>
      </c>
      <c r="BF198" s="99">
        <f t="shared" si="54"/>
        <v>5</v>
      </c>
      <c r="BG198" s="99">
        <f t="shared" si="54"/>
        <v>5</v>
      </c>
      <c r="BH198" s="99">
        <f t="shared" si="54"/>
        <v>5</v>
      </c>
      <c r="BI198" s="99">
        <f t="shared" si="54"/>
        <v>5</v>
      </c>
      <c r="BJ198" s="99">
        <f t="shared" si="54"/>
        <v>5</v>
      </c>
    </row>
    <row r="199" spans="18:62" x14ac:dyDescent="0.25">
      <c r="S199" s="180" t="s">
        <v>412</v>
      </c>
      <c r="X199" s="182"/>
      <c r="Y199" s="182"/>
      <c r="Z199" s="182"/>
      <c r="AA199" s="182"/>
      <c r="AB199" s="182"/>
      <c r="AC199" s="182"/>
      <c r="AD199" s="182"/>
      <c r="AE199" s="182"/>
      <c r="AF199" s="182"/>
      <c r="AG199" s="182"/>
      <c r="AH199" s="182"/>
      <c r="AI199" s="182"/>
      <c r="AJ199" s="182"/>
      <c r="AK199" s="182"/>
      <c r="AL199" s="182"/>
      <c r="AM199" s="182"/>
      <c r="AN199" s="182"/>
      <c r="AO199" s="182"/>
      <c r="AP199" s="182"/>
      <c r="AQ199" s="182"/>
      <c r="AR199" s="182"/>
      <c r="AS199" s="182"/>
      <c r="AT199" s="182"/>
      <c r="AU199" s="182"/>
      <c r="AV199" s="182"/>
      <c r="AW199" s="182"/>
      <c r="AX199" s="182"/>
      <c r="AY199" s="182"/>
      <c r="AZ199" s="182"/>
      <c r="BA199" s="182"/>
      <c r="BB199" s="182"/>
      <c r="BC199" s="182"/>
      <c r="BD199" s="182"/>
      <c r="BE199" s="182"/>
      <c r="BF199" s="182"/>
      <c r="BG199" s="182"/>
    </row>
    <row r="200" spans="18:62" x14ac:dyDescent="0.25">
      <c r="S200" s="180" t="s">
        <v>410</v>
      </c>
      <c r="X200" s="171">
        <f t="shared" ref="X200:BJ200" si="55">-$V$183*X197</f>
        <v>-6.6</v>
      </c>
      <c r="Y200" s="171">
        <f t="shared" si="55"/>
        <v>-6.6</v>
      </c>
      <c r="Z200" s="171">
        <f t="shared" si="55"/>
        <v>-6.6</v>
      </c>
      <c r="AA200" s="171">
        <f t="shared" si="55"/>
        <v>-4.4000000000000004</v>
      </c>
      <c r="AB200" s="171">
        <f t="shared" si="55"/>
        <v>-6.6</v>
      </c>
      <c r="AC200" s="171">
        <f t="shared" si="55"/>
        <v>-4.4000000000000004</v>
      </c>
      <c r="AD200" s="171">
        <f t="shared" si="55"/>
        <v>-4.4000000000000004</v>
      </c>
      <c r="AE200" s="171">
        <f t="shared" si="55"/>
        <v>-6.6</v>
      </c>
      <c r="AF200" s="171">
        <f t="shared" si="55"/>
        <v>-6.6</v>
      </c>
      <c r="AG200" s="171">
        <f t="shared" si="55"/>
        <v>-4.4000000000000004</v>
      </c>
      <c r="AH200" s="171">
        <f t="shared" si="55"/>
        <v>-2.2000000000000002</v>
      </c>
      <c r="AI200" s="171">
        <f t="shared" si="55"/>
        <v>-2.2000000000000002</v>
      </c>
      <c r="AJ200" s="171">
        <f t="shared" si="55"/>
        <v>-6.6</v>
      </c>
      <c r="AK200" s="171">
        <f t="shared" si="55"/>
        <v>-6.6</v>
      </c>
      <c r="AL200" s="171">
        <f t="shared" si="55"/>
        <v>-6.6</v>
      </c>
      <c r="AM200" s="171">
        <f t="shared" si="55"/>
        <v>-4.4000000000000004</v>
      </c>
      <c r="AN200" s="171">
        <f t="shared" si="55"/>
        <v>-4.4000000000000004</v>
      </c>
      <c r="AO200" s="171">
        <f t="shared" si="55"/>
        <v>-4.4000000000000004</v>
      </c>
      <c r="AP200" s="171">
        <f t="shared" si="55"/>
        <v>-2.2000000000000002</v>
      </c>
      <c r="AQ200" s="171">
        <f t="shared" si="55"/>
        <v>-4.4000000000000004</v>
      </c>
      <c r="AR200" s="171">
        <f t="shared" si="55"/>
        <v>-6.6</v>
      </c>
      <c r="AS200" s="171">
        <f t="shared" si="55"/>
        <v>-4.4000000000000004</v>
      </c>
      <c r="AT200" s="171">
        <f t="shared" si="55"/>
        <v>-4.4000000000000004</v>
      </c>
      <c r="AU200" s="171">
        <f t="shared" si="55"/>
        <v>-6.6</v>
      </c>
      <c r="AV200" s="171">
        <f t="shared" si="55"/>
        <v>-6.6</v>
      </c>
      <c r="AW200" s="171">
        <f t="shared" si="55"/>
        <v>-4.4000000000000004</v>
      </c>
      <c r="AX200" s="171">
        <f t="shared" si="55"/>
        <v>-6.6</v>
      </c>
      <c r="AY200" s="171">
        <f t="shared" si="55"/>
        <v>-4.4000000000000004</v>
      </c>
      <c r="AZ200" s="171">
        <f t="shared" si="55"/>
        <v>-6.6</v>
      </c>
      <c r="BA200" s="171">
        <f t="shared" si="55"/>
        <v>-6.6</v>
      </c>
      <c r="BB200" s="171">
        <f t="shared" si="55"/>
        <v>-6.6</v>
      </c>
      <c r="BC200" s="171">
        <f t="shared" si="55"/>
        <v>-6.6</v>
      </c>
      <c r="BD200" s="171">
        <f t="shared" si="55"/>
        <v>-6.6</v>
      </c>
      <c r="BE200" s="171">
        <f t="shared" si="55"/>
        <v>-6.6</v>
      </c>
      <c r="BF200" s="171">
        <f t="shared" si="55"/>
        <v>-4.4000000000000004</v>
      </c>
      <c r="BG200" s="171">
        <f t="shared" si="55"/>
        <v>-6.6</v>
      </c>
      <c r="BH200" s="171">
        <f t="shared" si="55"/>
        <v>-6.6</v>
      </c>
      <c r="BI200" s="171">
        <f t="shared" si="55"/>
        <v>-6.6</v>
      </c>
      <c r="BJ200" s="171">
        <f t="shared" si="55"/>
        <v>-4.4000000000000004</v>
      </c>
    </row>
    <row r="201" spans="18:62" x14ac:dyDescent="0.25">
      <c r="S201" s="180" t="s">
        <v>409</v>
      </c>
      <c r="X201" s="171">
        <f t="shared" ref="X201:BJ201" si="56">-$V$184*X198</f>
        <v>-1.9</v>
      </c>
      <c r="Y201" s="171">
        <f t="shared" si="56"/>
        <v>-1.9</v>
      </c>
      <c r="Z201" s="171">
        <f t="shared" si="56"/>
        <v>-1.9</v>
      </c>
      <c r="AA201" s="171">
        <f t="shared" si="56"/>
        <v>-1.9</v>
      </c>
      <c r="AB201" s="171">
        <f t="shared" si="56"/>
        <v>-1.9</v>
      </c>
      <c r="AC201" s="171">
        <f t="shared" si="56"/>
        <v>-1.9</v>
      </c>
      <c r="AD201" s="171">
        <f t="shared" si="56"/>
        <v>-1.9</v>
      </c>
      <c r="AE201" s="171">
        <f t="shared" si="56"/>
        <v>-1.9</v>
      </c>
      <c r="AF201" s="171">
        <f t="shared" si="56"/>
        <v>-1.9</v>
      </c>
      <c r="AG201" s="171">
        <f t="shared" si="56"/>
        <v>-1.9</v>
      </c>
      <c r="AH201" s="171">
        <f t="shared" si="56"/>
        <v>-1.9</v>
      </c>
      <c r="AI201" s="171">
        <f t="shared" si="56"/>
        <v>-1.9</v>
      </c>
      <c r="AJ201" s="171">
        <f t="shared" si="56"/>
        <v>-1.9</v>
      </c>
      <c r="AK201" s="171">
        <f t="shared" si="56"/>
        <v>-1.9</v>
      </c>
      <c r="AL201" s="171">
        <f t="shared" si="56"/>
        <v>-1.9</v>
      </c>
      <c r="AM201" s="171">
        <f t="shared" si="56"/>
        <v>-1.9</v>
      </c>
      <c r="AN201" s="171">
        <f t="shared" si="56"/>
        <v>-1.9</v>
      </c>
      <c r="AO201" s="171">
        <f t="shared" si="56"/>
        <v>-1.9</v>
      </c>
      <c r="AP201" s="171">
        <f t="shared" si="56"/>
        <v>-1.9</v>
      </c>
      <c r="AQ201" s="171">
        <f t="shared" si="56"/>
        <v>-1.9</v>
      </c>
      <c r="AR201" s="171">
        <f t="shared" si="56"/>
        <v>-1.9</v>
      </c>
      <c r="AS201" s="171">
        <f t="shared" si="56"/>
        <v>-1.9</v>
      </c>
      <c r="AT201" s="171">
        <f t="shared" si="56"/>
        <v>-1.9</v>
      </c>
      <c r="AU201" s="171">
        <f t="shared" si="56"/>
        <v>-1.9</v>
      </c>
      <c r="AV201" s="171">
        <f t="shared" si="56"/>
        <v>-1.9</v>
      </c>
      <c r="AW201" s="171">
        <f t="shared" si="56"/>
        <v>-1.9</v>
      </c>
      <c r="AX201" s="171">
        <f t="shared" si="56"/>
        <v>-1.9</v>
      </c>
      <c r="AY201" s="171">
        <f t="shared" si="56"/>
        <v>-1.9</v>
      </c>
      <c r="AZ201" s="171">
        <f t="shared" si="56"/>
        <v>-1.9</v>
      </c>
      <c r="BA201" s="171">
        <f t="shared" si="56"/>
        <v>-1.9</v>
      </c>
      <c r="BB201" s="171">
        <f t="shared" si="56"/>
        <v>-1.9</v>
      </c>
      <c r="BC201" s="171">
        <f t="shared" si="56"/>
        <v>-1.9</v>
      </c>
      <c r="BD201" s="171">
        <f t="shared" si="56"/>
        <v>-1.9</v>
      </c>
      <c r="BE201" s="171">
        <f t="shared" si="56"/>
        <v>-1.9</v>
      </c>
      <c r="BF201" s="171">
        <f t="shared" si="56"/>
        <v>-1.9</v>
      </c>
      <c r="BG201" s="171">
        <f t="shared" si="56"/>
        <v>-1.9</v>
      </c>
      <c r="BH201" s="171">
        <f t="shared" si="56"/>
        <v>-1.9</v>
      </c>
      <c r="BI201" s="171">
        <f t="shared" si="56"/>
        <v>-1.9</v>
      </c>
      <c r="BJ201" s="171">
        <f t="shared" si="56"/>
        <v>-1.9</v>
      </c>
    </row>
    <row r="202" spans="18:62" x14ac:dyDescent="0.25">
      <c r="S202" s="180" t="s">
        <v>408</v>
      </c>
      <c r="X202" s="181">
        <f t="shared" ref="X202:BJ202" si="57">-$V$188*X193</f>
        <v>-47.138082576911295</v>
      </c>
      <c r="Y202" s="181">
        <f t="shared" si="57"/>
        <v>-45.765762290987531</v>
      </c>
      <c r="Z202" s="181">
        <f t="shared" si="57"/>
        <v>-55.714344779071048</v>
      </c>
      <c r="AA202" s="181">
        <f t="shared" si="57"/>
        <v>-38.820199485073459</v>
      </c>
      <c r="AB202" s="181">
        <f t="shared" si="57"/>
        <v>-51.211811628951857</v>
      </c>
      <c r="AC202" s="181">
        <f t="shared" si="57"/>
        <v>-26.729548749780879</v>
      </c>
      <c r="AD202" s="181">
        <f t="shared" si="57"/>
        <v>-35.007087139427973</v>
      </c>
      <c r="AE202" s="181">
        <f t="shared" si="57"/>
        <v>-50.636370800832729</v>
      </c>
      <c r="AF202" s="181">
        <f t="shared" si="57"/>
        <v>-46.296777173385173</v>
      </c>
      <c r="AG202" s="181">
        <f t="shared" si="57"/>
        <v>-38.230805666033071</v>
      </c>
      <c r="AH202" s="181">
        <f t="shared" si="57"/>
        <v>-15.621666111621863</v>
      </c>
      <c r="AI202" s="181">
        <f t="shared" si="57"/>
        <v>-19.257831116783649</v>
      </c>
      <c r="AJ202" s="181">
        <f t="shared" si="57"/>
        <v>-53.880315976638599</v>
      </c>
      <c r="AK202" s="181">
        <f t="shared" si="57"/>
        <v>-46.049825503005017</v>
      </c>
      <c r="AL202" s="181">
        <f t="shared" si="57"/>
        <v>-53.947368591595861</v>
      </c>
      <c r="AM202" s="181">
        <f t="shared" si="57"/>
        <v>-34.29827785860298</v>
      </c>
      <c r="AN202" s="181">
        <f t="shared" si="57"/>
        <v>-39.316657792303836</v>
      </c>
      <c r="AO202" s="181">
        <f t="shared" si="57"/>
        <v>-29.186806893581029</v>
      </c>
      <c r="AP202" s="181">
        <f t="shared" si="57"/>
        <v>-14.562708394610073</v>
      </c>
      <c r="AQ202" s="181">
        <f t="shared" si="57"/>
        <v>-22.012597084098953</v>
      </c>
      <c r="AR202" s="181">
        <f t="shared" si="57"/>
        <v>-54.195751696421425</v>
      </c>
      <c r="AS202" s="181">
        <f t="shared" si="57"/>
        <v>-39.830548470380215</v>
      </c>
      <c r="AT202" s="181">
        <f t="shared" si="57"/>
        <v>-23.999167148380419</v>
      </c>
      <c r="AU202" s="181">
        <f t="shared" si="57"/>
        <v>-55.554469559681024</v>
      </c>
      <c r="AV202" s="181">
        <f t="shared" si="57"/>
        <v>-50.23254897432534</v>
      </c>
      <c r="AW202" s="181">
        <f t="shared" si="57"/>
        <v>-40.242027497160869</v>
      </c>
      <c r="AX202" s="181">
        <f t="shared" si="57"/>
        <v>-43.720092631111761</v>
      </c>
      <c r="AY202" s="181">
        <f t="shared" si="57"/>
        <v>-33.278955168290253</v>
      </c>
      <c r="AZ202" s="181">
        <f t="shared" si="57"/>
        <v>-57.376390438118896</v>
      </c>
      <c r="BA202" s="181">
        <f t="shared" si="57"/>
        <v>-48.773846109491693</v>
      </c>
      <c r="BB202" s="181">
        <f t="shared" si="57"/>
        <v>-43.038042753751711</v>
      </c>
      <c r="BC202" s="181">
        <f t="shared" si="57"/>
        <v>-56.751017258304181</v>
      </c>
      <c r="BD202" s="181">
        <f t="shared" si="57"/>
        <v>-47.909893678479378</v>
      </c>
      <c r="BE202" s="181">
        <f t="shared" si="57"/>
        <v>-50.059411168839809</v>
      </c>
      <c r="BF202" s="181">
        <f t="shared" si="57"/>
        <v>-39.690101939660138</v>
      </c>
      <c r="BG202" s="181">
        <f t="shared" si="57"/>
        <v>-54.560900055732375</v>
      </c>
      <c r="BH202" s="181">
        <f t="shared" si="57"/>
        <v>-42.347237348608978</v>
      </c>
      <c r="BI202" s="181">
        <f t="shared" si="57"/>
        <v>-53.177018939853177</v>
      </c>
      <c r="BJ202" s="181">
        <f t="shared" si="57"/>
        <v>-39.629799508158086</v>
      </c>
    </row>
    <row r="203" spans="18:62" x14ac:dyDescent="0.25">
      <c r="S203" s="180" t="s">
        <v>416</v>
      </c>
      <c r="X203" s="171">
        <f t="shared" ref="X203:BJ203" si="58">SUM(X200:X202)</f>
        <v>-55.638082576911295</v>
      </c>
      <c r="Y203" s="171">
        <f t="shared" si="58"/>
        <v>-54.265762290987531</v>
      </c>
      <c r="Z203" s="171">
        <f t="shared" si="58"/>
        <v>-64.214344779071041</v>
      </c>
      <c r="AA203" s="171">
        <f t="shared" si="58"/>
        <v>-45.120199485073456</v>
      </c>
      <c r="AB203" s="171">
        <f t="shared" si="58"/>
        <v>-59.711811628951857</v>
      </c>
      <c r="AC203" s="171">
        <f t="shared" si="58"/>
        <v>-33.029548749780879</v>
      </c>
      <c r="AD203" s="171">
        <f t="shared" si="58"/>
        <v>-41.307087139427978</v>
      </c>
      <c r="AE203" s="171">
        <f t="shared" si="58"/>
        <v>-59.136370800832729</v>
      </c>
      <c r="AF203" s="171">
        <f t="shared" si="58"/>
        <v>-54.796777173385173</v>
      </c>
      <c r="AG203" s="171">
        <f t="shared" si="58"/>
        <v>-44.530805666033075</v>
      </c>
      <c r="AH203" s="171">
        <f t="shared" si="58"/>
        <v>-19.721666111621865</v>
      </c>
      <c r="AI203" s="171">
        <f t="shared" si="58"/>
        <v>-23.35783111678365</v>
      </c>
      <c r="AJ203" s="171">
        <f t="shared" si="58"/>
        <v>-62.380315976638599</v>
      </c>
      <c r="AK203" s="171">
        <f t="shared" si="58"/>
        <v>-54.549825503005017</v>
      </c>
      <c r="AL203" s="171">
        <f t="shared" si="58"/>
        <v>-62.447368591595861</v>
      </c>
      <c r="AM203" s="171">
        <f t="shared" si="58"/>
        <v>-40.598277858602984</v>
      </c>
      <c r="AN203" s="171">
        <f t="shared" si="58"/>
        <v>-45.61665779230384</v>
      </c>
      <c r="AO203" s="171">
        <f t="shared" si="58"/>
        <v>-35.486806893581033</v>
      </c>
      <c r="AP203" s="171">
        <f t="shared" si="58"/>
        <v>-18.662708394610071</v>
      </c>
      <c r="AQ203" s="171">
        <f t="shared" si="58"/>
        <v>-28.312597084098954</v>
      </c>
      <c r="AR203" s="171">
        <f t="shared" si="58"/>
        <v>-62.695751696421425</v>
      </c>
      <c r="AS203" s="171">
        <f t="shared" si="58"/>
        <v>-46.130548470380219</v>
      </c>
      <c r="AT203" s="171">
        <f t="shared" si="58"/>
        <v>-30.29916714838042</v>
      </c>
      <c r="AU203" s="171">
        <f t="shared" si="58"/>
        <v>-64.054469559681024</v>
      </c>
      <c r="AV203" s="171">
        <f t="shared" si="58"/>
        <v>-58.73254897432534</v>
      </c>
      <c r="AW203" s="171">
        <f t="shared" si="58"/>
        <v>-46.542027497160873</v>
      </c>
      <c r="AX203" s="171">
        <f t="shared" si="58"/>
        <v>-52.220092631111761</v>
      </c>
      <c r="AY203" s="171">
        <f t="shared" si="58"/>
        <v>-39.57895516829025</v>
      </c>
      <c r="AZ203" s="171">
        <f t="shared" si="58"/>
        <v>-65.876390438118904</v>
      </c>
      <c r="BA203" s="171">
        <f t="shared" si="58"/>
        <v>-57.273846109491693</v>
      </c>
      <c r="BB203" s="171">
        <f t="shared" si="58"/>
        <v>-51.538042753751711</v>
      </c>
      <c r="BC203" s="171">
        <f t="shared" si="58"/>
        <v>-65.251017258304188</v>
      </c>
      <c r="BD203" s="171">
        <f t="shared" si="58"/>
        <v>-56.409893678479378</v>
      </c>
      <c r="BE203" s="171">
        <f t="shared" si="58"/>
        <v>-58.559411168839809</v>
      </c>
      <c r="BF203" s="171">
        <f t="shared" si="58"/>
        <v>-45.990101939660136</v>
      </c>
      <c r="BG203" s="171">
        <f t="shared" si="58"/>
        <v>-63.060900055732375</v>
      </c>
      <c r="BH203" s="171">
        <f t="shared" si="58"/>
        <v>-50.847237348608978</v>
      </c>
      <c r="BI203" s="171">
        <f t="shared" si="58"/>
        <v>-61.677018939853177</v>
      </c>
      <c r="BJ203" s="171">
        <f t="shared" si="58"/>
        <v>-45.929799508158084</v>
      </c>
    </row>
    <row r="204" spans="18:62" x14ac:dyDescent="0.25">
      <c r="S204" s="180" t="s">
        <v>415</v>
      </c>
      <c r="X204" s="171">
        <f t="shared" ref="X204:BJ204" si="59">X203+$D$46</f>
        <v>-264.04760013880093</v>
      </c>
      <c r="Y204" s="171">
        <f t="shared" si="59"/>
        <v>-262.67527985287717</v>
      </c>
      <c r="Z204" s="171">
        <f t="shared" si="59"/>
        <v>-272.62386234096067</v>
      </c>
      <c r="AA204" s="171">
        <f t="shared" si="59"/>
        <v>-253.52971704696307</v>
      </c>
      <c r="AB204" s="171">
        <f t="shared" si="59"/>
        <v>-268.12132919084149</v>
      </c>
      <c r="AC204" s="171">
        <f t="shared" si="59"/>
        <v>-241.4390663116705</v>
      </c>
      <c r="AD204" s="171">
        <f t="shared" si="59"/>
        <v>-249.71660470131761</v>
      </c>
      <c r="AE204" s="171">
        <f t="shared" si="59"/>
        <v>-267.54588836272234</v>
      </c>
      <c r="AF204" s="171">
        <f t="shared" si="59"/>
        <v>-263.20629473527481</v>
      </c>
      <c r="AG204" s="171">
        <f t="shared" si="59"/>
        <v>-252.9403232279227</v>
      </c>
      <c r="AH204" s="171">
        <f t="shared" si="59"/>
        <v>-228.13118367351149</v>
      </c>
      <c r="AI204" s="171">
        <f t="shared" si="59"/>
        <v>-231.76734867867327</v>
      </c>
      <c r="AJ204" s="171">
        <f t="shared" si="59"/>
        <v>-270.78983353852823</v>
      </c>
      <c r="AK204" s="171">
        <f t="shared" si="59"/>
        <v>-262.95934306489465</v>
      </c>
      <c r="AL204" s="171">
        <f t="shared" si="59"/>
        <v>-270.8568861534855</v>
      </c>
      <c r="AM204" s="171">
        <f t="shared" si="59"/>
        <v>-249.00779542049261</v>
      </c>
      <c r="AN204" s="171">
        <f t="shared" si="59"/>
        <v>-254.02617535419347</v>
      </c>
      <c r="AO204" s="171">
        <f t="shared" si="59"/>
        <v>-243.89632445547068</v>
      </c>
      <c r="AP204" s="171">
        <f t="shared" si="59"/>
        <v>-227.07222595649969</v>
      </c>
      <c r="AQ204" s="171">
        <f t="shared" si="59"/>
        <v>-236.7221146459886</v>
      </c>
      <c r="AR204" s="171">
        <f t="shared" si="59"/>
        <v>-271.10526925831107</v>
      </c>
      <c r="AS204" s="171">
        <f t="shared" si="59"/>
        <v>-254.54006603226986</v>
      </c>
      <c r="AT204" s="171">
        <f t="shared" si="59"/>
        <v>-238.70868471027006</v>
      </c>
      <c r="AU204" s="171">
        <f t="shared" si="59"/>
        <v>-272.46398712157065</v>
      </c>
      <c r="AV204" s="171">
        <f t="shared" si="59"/>
        <v>-267.142066536215</v>
      </c>
      <c r="AW204" s="171">
        <f t="shared" si="59"/>
        <v>-254.95154505905049</v>
      </c>
      <c r="AX204" s="171">
        <f t="shared" si="59"/>
        <v>-260.62961019300138</v>
      </c>
      <c r="AY204" s="171">
        <f t="shared" si="59"/>
        <v>-247.98847273017986</v>
      </c>
      <c r="AZ204" s="171">
        <f t="shared" si="59"/>
        <v>-274.28590800000853</v>
      </c>
      <c r="BA204" s="171">
        <f t="shared" si="59"/>
        <v>-265.6833636713813</v>
      </c>
      <c r="BB204" s="171">
        <f t="shared" si="59"/>
        <v>-259.94756031564134</v>
      </c>
      <c r="BC204" s="171">
        <f t="shared" si="59"/>
        <v>-273.66053482019379</v>
      </c>
      <c r="BD204" s="171">
        <f t="shared" si="59"/>
        <v>-264.81941124036899</v>
      </c>
      <c r="BE204" s="171">
        <f t="shared" si="59"/>
        <v>-266.96892873072943</v>
      </c>
      <c r="BF204" s="171">
        <f t="shared" si="59"/>
        <v>-254.39961950154975</v>
      </c>
      <c r="BG204" s="171">
        <f t="shared" si="59"/>
        <v>-271.47041761762199</v>
      </c>
      <c r="BH204" s="171">
        <f t="shared" si="59"/>
        <v>-259.25675491049861</v>
      </c>
      <c r="BI204" s="171">
        <f t="shared" si="59"/>
        <v>-270.08653650174278</v>
      </c>
      <c r="BJ204" s="171">
        <f t="shared" si="59"/>
        <v>-254.33931707004771</v>
      </c>
    </row>
    <row r="206" spans="18:62" x14ac:dyDescent="0.25">
      <c r="R206" s="179" t="s">
        <v>414</v>
      </c>
    </row>
    <row r="207" spans="18:62" x14ac:dyDescent="0.25">
      <c r="S207" s="180" t="s">
        <v>413</v>
      </c>
    </row>
    <row r="208" spans="18:62" x14ac:dyDescent="0.25">
      <c r="S208" t="s">
        <v>411</v>
      </c>
    </row>
    <row r="209" spans="18:62" x14ac:dyDescent="0.25">
      <c r="S209" s="180" t="s">
        <v>410</v>
      </c>
    </row>
    <row r="210" spans="18:62" x14ac:dyDescent="0.25">
      <c r="S210" s="180" t="s">
        <v>409</v>
      </c>
    </row>
    <row r="211" spans="18:62" x14ac:dyDescent="0.25">
      <c r="S211" s="180" t="s">
        <v>412</v>
      </c>
    </row>
    <row r="212" spans="18:62" x14ac:dyDescent="0.25">
      <c r="S212" t="s">
        <v>411</v>
      </c>
      <c r="X212" s="171">
        <f t="shared" ref="X212:BJ212" si="60">-$E$7*$C$73</f>
        <v>-32.199999999999996</v>
      </c>
      <c r="Y212" s="171">
        <f t="shared" si="60"/>
        <v>-32.199999999999996</v>
      </c>
      <c r="Z212" s="171">
        <f t="shared" si="60"/>
        <v>-32.199999999999996</v>
      </c>
      <c r="AA212" s="171">
        <f t="shared" si="60"/>
        <v>-32.199999999999996</v>
      </c>
      <c r="AB212" s="171">
        <f t="shared" si="60"/>
        <v>-32.199999999999996</v>
      </c>
      <c r="AC212" s="171">
        <f t="shared" si="60"/>
        <v>-32.199999999999996</v>
      </c>
      <c r="AD212" s="171">
        <f t="shared" si="60"/>
        <v>-32.199999999999996</v>
      </c>
      <c r="AE212" s="171">
        <f t="shared" si="60"/>
        <v>-32.199999999999996</v>
      </c>
      <c r="AF212" s="171">
        <f t="shared" si="60"/>
        <v>-32.199999999999996</v>
      </c>
      <c r="AG212" s="171">
        <f t="shared" si="60"/>
        <v>-32.199999999999996</v>
      </c>
      <c r="AH212" s="171">
        <f t="shared" si="60"/>
        <v>-32.199999999999996</v>
      </c>
      <c r="AI212" s="171">
        <f t="shared" si="60"/>
        <v>-32.199999999999996</v>
      </c>
      <c r="AJ212" s="171">
        <f t="shared" si="60"/>
        <v>-32.199999999999996</v>
      </c>
      <c r="AK212" s="171">
        <f t="shared" si="60"/>
        <v>-32.199999999999996</v>
      </c>
      <c r="AL212" s="171">
        <f t="shared" si="60"/>
        <v>-32.199999999999996</v>
      </c>
      <c r="AM212" s="171">
        <f t="shared" si="60"/>
        <v>-32.199999999999996</v>
      </c>
      <c r="AN212" s="171">
        <f t="shared" si="60"/>
        <v>-32.199999999999996</v>
      </c>
      <c r="AO212" s="171">
        <f t="shared" si="60"/>
        <v>-32.199999999999996</v>
      </c>
      <c r="AP212" s="171">
        <f t="shared" si="60"/>
        <v>-32.199999999999996</v>
      </c>
      <c r="AQ212" s="171">
        <f t="shared" si="60"/>
        <v>-32.199999999999996</v>
      </c>
      <c r="AR212" s="171">
        <f t="shared" si="60"/>
        <v>-32.199999999999996</v>
      </c>
      <c r="AS212" s="171">
        <f t="shared" si="60"/>
        <v>-32.199999999999996</v>
      </c>
      <c r="AT212" s="171">
        <f t="shared" si="60"/>
        <v>-32.199999999999996</v>
      </c>
      <c r="AU212" s="171">
        <f t="shared" si="60"/>
        <v>-32.199999999999996</v>
      </c>
      <c r="AV212" s="171">
        <f t="shared" si="60"/>
        <v>-32.199999999999996</v>
      </c>
      <c r="AW212" s="171">
        <f t="shared" si="60"/>
        <v>-32.199999999999996</v>
      </c>
      <c r="AX212" s="171">
        <f t="shared" si="60"/>
        <v>-32.199999999999996</v>
      </c>
      <c r="AY212" s="171">
        <f t="shared" si="60"/>
        <v>-32.199999999999996</v>
      </c>
      <c r="AZ212" s="171">
        <f t="shared" si="60"/>
        <v>-32.199999999999996</v>
      </c>
      <c r="BA212" s="171">
        <f t="shared" si="60"/>
        <v>-32.199999999999996</v>
      </c>
      <c r="BB212" s="171">
        <f t="shared" si="60"/>
        <v>-32.199999999999996</v>
      </c>
      <c r="BC212" s="171">
        <f t="shared" si="60"/>
        <v>-32.199999999999996</v>
      </c>
      <c r="BD212" s="171">
        <f t="shared" si="60"/>
        <v>-32.199999999999996</v>
      </c>
      <c r="BE212" s="171">
        <f t="shared" si="60"/>
        <v>-32.199999999999996</v>
      </c>
      <c r="BF212" s="171">
        <f t="shared" si="60"/>
        <v>-32.199999999999996</v>
      </c>
      <c r="BG212" s="171">
        <f t="shared" si="60"/>
        <v>-32.199999999999996</v>
      </c>
      <c r="BH212" s="171">
        <f t="shared" si="60"/>
        <v>-32.199999999999996</v>
      </c>
      <c r="BI212" s="171">
        <f t="shared" si="60"/>
        <v>-32.199999999999996</v>
      </c>
      <c r="BJ212" s="171">
        <f t="shared" si="60"/>
        <v>-32.199999999999996</v>
      </c>
    </row>
    <row r="213" spans="18:62" x14ac:dyDescent="0.25">
      <c r="S213" s="180" t="s">
        <v>410</v>
      </c>
      <c r="X213" s="171">
        <f t="shared" ref="X213:BJ213" si="61">-$E$8*$C$74</f>
        <v>-8.8000000000000007</v>
      </c>
      <c r="Y213" s="171">
        <f t="shared" si="61"/>
        <v>-8.8000000000000007</v>
      </c>
      <c r="Z213" s="171">
        <f t="shared" si="61"/>
        <v>-8.8000000000000007</v>
      </c>
      <c r="AA213" s="171">
        <f t="shared" si="61"/>
        <v>-8.8000000000000007</v>
      </c>
      <c r="AB213" s="171">
        <f t="shared" si="61"/>
        <v>-8.8000000000000007</v>
      </c>
      <c r="AC213" s="171">
        <f t="shared" si="61"/>
        <v>-8.8000000000000007</v>
      </c>
      <c r="AD213" s="171">
        <f t="shared" si="61"/>
        <v>-8.8000000000000007</v>
      </c>
      <c r="AE213" s="171">
        <f t="shared" si="61"/>
        <v>-8.8000000000000007</v>
      </c>
      <c r="AF213" s="171">
        <f t="shared" si="61"/>
        <v>-8.8000000000000007</v>
      </c>
      <c r="AG213" s="171">
        <f t="shared" si="61"/>
        <v>-8.8000000000000007</v>
      </c>
      <c r="AH213" s="171">
        <f t="shared" si="61"/>
        <v>-8.8000000000000007</v>
      </c>
      <c r="AI213" s="171">
        <f t="shared" si="61"/>
        <v>-8.8000000000000007</v>
      </c>
      <c r="AJ213" s="171">
        <f t="shared" si="61"/>
        <v>-8.8000000000000007</v>
      </c>
      <c r="AK213" s="171">
        <f t="shared" si="61"/>
        <v>-8.8000000000000007</v>
      </c>
      <c r="AL213" s="171">
        <f t="shared" si="61"/>
        <v>-8.8000000000000007</v>
      </c>
      <c r="AM213" s="171">
        <f t="shared" si="61"/>
        <v>-8.8000000000000007</v>
      </c>
      <c r="AN213" s="171">
        <f t="shared" si="61"/>
        <v>-8.8000000000000007</v>
      </c>
      <c r="AO213" s="171">
        <f t="shared" si="61"/>
        <v>-8.8000000000000007</v>
      </c>
      <c r="AP213" s="171">
        <f t="shared" si="61"/>
        <v>-8.8000000000000007</v>
      </c>
      <c r="AQ213" s="171">
        <f t="shared" si="61"/>
        <v>-8.8000000000000007</v>
      </c>
      <c r="AR213" s="171">
        <f t="shared" si="61"/>
        <v>-8.8000000000000007</v>
      </c>
      <c r="AS213" s="171">
        <f t="shared" si="61"/>
        <v>-8.8000000000000007</v>
      </c>
      <c r="AT213" s="171">
        <f t="shared" si="61"/>
        <v>-8.8000000000000007</v>
      </c>
      <c r="AU213" s="171">
        <f t="shared" si="61"/>
        <v>-8.8000000000000007</v>
      </c>
      <c r="AV213" s="171">
        <f t="shared" si="61"/>
        <v>-8.8000000000000007</v>
      </c>
      <c r="AW213" s="171">
        <f t="shared" si="61"/>
        <v>-8.8000000000000007</v>
      </c>
      <c r="AX213" s="171">
        <f t="shared" si="61"/>
        <v>-8.8000000000000007</v>
      </c>
      <c r="AY213" s="171">
        <f t="shared" si="61"/>
        <v>-8.8000000000000007</v>
      </c>
      <c r="AZ213" s="171">
        <f t="shared" si="61"/>
        <v>-8.8000000000000007</v>
      </c>
      <c r="BA213" s="171">
        <f t="shared" si="61"/>
        <v>-8.8000000000000007</v>
      </c>
      <c r="BB213" s="171">
        <f t="shared" si="61"/>
        <v>-8.8000000000000007</v>
      </c>
      <c r="BC213" s="171">
        <f t="shared" si="61"/>
        <v>-8.8000000000000007</v>
      </c>
      <c r="BD213" s="171">
        <f t="shared" si="61"/>
        <v>-8.8000000000000007</v>
      </c>
      <c r="BE213" s="171">
        <f t="shared" si="61"/>
        <v>-8.8000000000000007</v>
      </c>
      <c r="BF213" s="171">
        <f t="shared" si="61"/>
        <v>-8.8000000000000007</v>
      </c>
      <c r="BG213" s="171">
        <f t="shared" si="61"/>
        <v>-8.8000000000000007</v>
      </c>
      <c r="BH213" s="171">
        <f t="shared" si="61"/>
        <v>-8.8000000000000007</v>
      </c>
      <c r="BI213" s="171">
        <f t="shared" si="61"/>
        <v>-8.8000000000000007</v>
      </c>
      <c r="BJ213" s="171">
        <f t="shared" si="61"/>
        <v>-8.8000000000000007</v>
      </c>
    </row>
    <row r="214" spans="18:62" x14ac:dyDescent="0.25">
      <c r="S214" s="180" t="s">
        <v>409</v>
      </c>
      <c r="X214" s="171">
        <f t="shared" ref="X214:BJ214" si="62">-$E$9*$C$74</f>
        <v>-19.8</v>
      </c>
      <c r="Y214" s="171">
        <f t="shared" si="62"/>
        <v>-19.8</v>
      </c>
      <c r="Z214" s="171">
        <f t="shared" si="62"/>
        <v>-19.8</v>
      </c>
      <c r="AA214" s="171">
        <f t="shared" si="62"/>
        <v>-19.8</v>
      </c>
      <c r="AB214" s="171">
        <f t="shared" si="62"/>
        <v>-19.8</v>
      </c>
      <c r="AC214" s="171">
        <f t="shared" si="62"/>
        <v>-19.8</v>
      </c>
      <c r="AD214" s="171">
        <f t="shared" si="62"/>
        <v>-19.8</v>
      </c>
      <c r="AE214" s="171">
        <f t="shared" si="62"/>
        <v>-19.8</v>
      </c>
      <c r="AF214" s="171">
        <f t="shared" si="62"/>
        <v>-19.8</v>
      </c>
      <c r="AG214" s="171">
        <f t="shared" si="62"/>
        <v>-19.8</v>
      </c>
      <c r="AH214" s="171">
        <f t="shared" si="62"/>
        <v>-19.8</v>
      </c>
      <c r="AI214" s="171">
        <f t="shared" si="62"/>
        <v>-19.8</v>
      </c>
      <c r="AJ214" s="171">
        <f t="shared" si="62"/>
        <v>-19.8</v>
      </c>
      <c r="AK214" s="171">
        <f t="shared" si="62"/>
        <v>-19.8</v>
      </c>
      <c r="AL214" s="171">
        <f t="shared" si="62"/>
        <v>-19.8</v>
      </c>
      <c r="AM214" s="171">
        <f t="shared" si="62"/>
        <v>-19.8</v>
      </c>
      <c r="AN214" s="171">
        <f t="shared" si="62"/>
        <v>-19.8</v>
      </c>
      <c r="AO214" s="171">
        <f t="shared" si="62"/>
        <v>-19.8</v>
      </c>
      <c r="AP214" s="171">
        <f t="shared" si="62"/>
        <v>-19.8</v>
      </c>
      <c r="AQ214" s="171">
        <f t="shared" si="62"/>
        <v>-19.8</v>
      </c>
      <c r="AR214" s="171">
        <f t="shared" si="62"/>
        <v>-19.8</v>
      </c>
      <c r="AS214" s="171">
        <f t="shared" si="62"/>
        <v>-19.8</v>
      </c>
      <c r="AT214" s="171">
        <f t="shared" si="62"/>
        <v>-19.8</v>
      </c>
      <c r="AU214" s="171">
        <f t="shared" si="62"/>
        <v>-19.8</v>
      </c>
      <c r="AV214" s="171">
        <f t="shared" si="62"/>
        <v>-19.8</v>
      </c>
      <c r="AW214" s="171">
        <f t="shared" si="62"/>
        <v>-19.8</v>
      </c>
      <c r="AX214" s="171">
        <f t="shared" si="62"/>
        <v>-19.8</v>
      </c>
      <c r="AY214" s="171">
        <f t="shared" si="62"/>
        <v>-19.8</v>
      </c>
      <c r="AZ214" s="171">
        <f t="shared" si="62"/>
        <v>-19.8</v>
      </c>
      <c r="BA214" s="171">
        <f t="shared" si="62"/>
        <v>-19.8</v>
      </c>
      <c r="BB214" s="171">
        <f t="shared" si="62"/>
        <v>-19.8</v>
      </c>
      <c r="BC214" s="171">
        <f t="shared" si="62"/>
        <v>-19.8</v>
      </c>
      <c r="BD214" s="171">
        <f t="shared" si="62"/>
        <v>-19.8</v>
      </c>
      <c r="BE214" s="171">
        <f t="shared" si="62"/>
        <v>-19.8</v>
      </c>
      <c r="BF214" s="171">
        <f t="shared" si="62"/>
        <v>-19.8</v>
      </c>
      <c r="BG214" s="171">
        <f t="shared" si="62"/>
        <v>-19.8</v>
      </c>
      <c r="BH214" s="171">
        <f t="shared" si="62"/>
        <v>-19.8</v>
      </c>
      <c r="BI214" s="171">
        <f t="shared" si="62"/>
        <v>-19.8</v>
      </c>
      <c r="BJ214" s="171">
        <f t="shared" si="62"/>
        <v>-19.8</v>
      </c>
    </row>
    <row r="215" spans="18:62" x14ac:dyDescent="0.25">
      <c r="S215" s="180" t="s">
        <v>408</v>
      </c>
      <c r="X215" s="171">
        <f t="shared" ref="X215:BJ215" si="63">-$C$77*$E$61</f>
        <v>-49.42</v>
      </c>
      <c r="Y215" s="171">
        <f t="shared" si="63"/>
        <v>-49.42</v>
      </c>
      <c r="Z215" s="171">
        <f t="shared" si="63"/>
        <v>-49.42</v>
      </c>
      <c r="AA215" s="171">
        <f t="shared" si="63"/>
        <v>-49.42</v>
      </c>
      <c r="AB215" s="171">
        <f t="shared" si="63"/>
        <v>-49.42</v>
      </c>
      <c r="AC215" s="171">
        <f t="shared" si="63"/>
        <v>-49.42</v>
      </c>
      <c r="AD215" s="171">
        <f t="shared" si="63"/>
        <v>-49.42</v>
      </c>
      <c r="AE215" s="171">
        <f t="shared" si="63"/>
        <v>-49.42</v>
      </c>
      <c r="AF215" s="171">
        <f t="shared" si="63"/>
        <v>-49.42</v>
      </c>
      <c r="AG215" s="171">
        <f t="shared" si="63"/>
        <v>-49.42</v>
      </c>
      <c r="AH215" s="171">
        <f t="shared" si="63"/>
        <v>-49.42</v>
      </c>
      <c r="AI215" s="171">
        <f t="shared" si="63"/>
        <v>-49.42</v>
      </c>
      <c r="AJ215" s="171">
        <f t="shared" si="63"/>
        <v>-49.42</v>
      </c>
      <c r="AK215" s="171">
        <f t="shared" si="63"/>
        <v>-49.42</v>
      </c>
      <c r="AL215" s="171">
        <f t="shared" si="63"/>
        <v>-49.42</v>
      </c>
      <c r="AM215" s="171">
        <f t="shared" si="63"/>
        <v>-49.42</v>
      </c>
      <c r="AN215" s="171">
        <f t="shared" si="63"/>
        <v>-49.42</v>
      </c>
      <c r="AO215" s="171">
        <f t="shared" si="63"/>
        <v>-49.42</v>
      </c>
      <c r="AP215" s="171">
        <f t="shared" si="63"/>
        <v>-49.42</v>
      </c>
      <c r="AQ215" s="171">
        <f t="shared" si="63"/>
        <v>-49.42</v>
      </c>
      <c r="AR215" s="171">
        <f t="shared" si="63"/>
        <v>-49.42</v>
      </c>
      <c r="AS215" s="171">
        <f t="shared" si="63"/>
        <v>-49.42</v>
      </c>
      <c r="AT215" s="171">
        <f t="shared" si="63"/>
        <v>-49.42</v>
      </c>
      <c r="AU215" s="171">
        <f t="shared" si="63"/>
        <v>-49.42</v>
      </c>
      <c r="AV215" s="171">
        <f t="shared" si="63"/>
        <v>-49.42</v>
      </c>
      <c r="AW215" s="171">
        <f t="shared" si="63"/>
        <v>-49.42</v>
      </c>
      <c r="AX215" s="171">
        <f t="shared" si="63"/>
        <v>-49.42</v>
      </c>
      <c r="AY215" s="171">
        <f t="shared" si="63"/>
        <v>-49.42</v>
      </c>
      <c r="AZ215" s="171">
        <f t="shared" si="63"/>
        <v>-49.42</v>
      </c>
      <c r="BA215" s="171">
        <f t="shared" si="63"/>
        <v>-49.42</v>
      </c>
      <c r="BB215" s="171">
        <f t="shared" si="63"/>
        <v>-49.42</v>
      </c>
      <c r="BC215" s="171">
        <f t="shared" si="63"/>
        <v>-49.42</v>
      </c>
      <c r="BD215" s="171">
        <f t="shared" si="63"/>
        <v>-49.42</v>
      </c>
      <c r="BE215" s="171">
        <f t="shared" si="63"/>
        <v>-49.42</v>
      </c>
      <c r="BF215" s="171">
        <f t="shared" si="63"/>
        <v>-49.42</v>
      </c>
      <c r="BG215" s="171">
        <f t="shared" si="63"/>
        <v>-49.42</v>
      </c>
      <c r="BH215" s="171">
        <f t="shared" si="63"/>
        <v>-49.42</v>
      </c>
      <c r="BI215" s="171">
        <f t="shared" si="63"/>
        <v>-49.42</v>
      </c>
      <c r="BJ215" s="171">
        <f t="shared" si="63"/>
        <v>-49.42</v>
      </c>
    </row>
    <row r="216" spans="18:62" x14ac:dyDescent="0.25">
      <c r="S216" s="180" t="s">
        <v>407</v>
      </c>
      <c r="X216" s="171">
        <f t="shared" ref="X216:BJ216" si="64">$E$46+SUM(X212:X215)</f>
        <v>-153.11538000000002</v>
      </c>
      <c r="Y216" s="171">
        <f t="shared" si="64"/>
        <v>-153.11538000000002</v>
      </c>
      <c r="Z216" s="171">
        <f t="shared" si="64"/>
        <v>-153.11538000000002</v>
      </c>
      <c r="AA216" s="171">
        <f t="shared" si="64"/>
        <v>-153.11538000000002</v>
      </c>
      <c r="AB216" s="171">
        <f t="shared" si="64"/>
        <v>-153.11538000000002</v>
      </c>
      <c r="AC216" s="171">
        <f t="shared" si="64"/>
        <v>-153.11538000000002</v>
      </c>
      <c r="AD216" s="171">
        <f t="shared" si="64"/>
        <v>-153.11538000000002</v>
      </c>
      <c r="AE216" s="171">
        <f t="shared" si="64"/>
        <v>-153.11538000000002</v>
      </c>
      <c r="AF216" s="171">
        <f t="shared" si="64"/>
        <v>-153.11538000000002</v>
      </c>
      <c r="AG216" s="171">
        <f t="shared" si="64"/>
        <v>-153.11538000000002</v>
      </c>
      <c r="AH216" s="171">
        <f t="shared" si="64"/>
        <v>-153.11538000000002</v>
      </c>
      <c r="AI216" s="171">
        <f t="shared" si="64"/>
        <v>-153.11538000000002</v>
      </c>
      <c r="AJ216" s="171">
        <f t="shared" si="64"/>
        <v>-153.11538000000002</v>
      </c>
      <c r="AK216" s="171">
        <f t="shared" si="64"/>
        <v>-153.11538000000002</v>
      </c>
      <c r="AL216" s="171">
        <f t="shared" si="64"/>
        <v>-153.11538000000002</v>
      </c>
      <c r="AM216" s="171">
        <f t="shared" si="64"/>
        <v>-153.11538000000002</v>
      </c>
      <c r="AN216" s="171">
        <f t="shared" si="64"/>
        <v>-153.11538000000002</v>
      </c>
      <c r="AO216" s="171">
        <f t="shared" si="64"/>
        <v>-153.11538000000002</v>
      </c>
      <c r="AP216" s="171">
        <f t="shared" si="64"/>
        <v>-153.11538000000002</v>
      </c>
      <c r="AQ216" s="171">
        <f t="shared" si="64"/>
        <v>-153.11538000000002</v>
      </c>
      <c r="AR216" s="171">
        <f t="shared" si="64"/>
        <v>-153.11538000000002</v>
      </c>
      <c r="AS216" s="171">
        <f t="shared" si="64"/>
        <v>-153.11538000000002</v>
      </c>
      <c r="AT216" s="171">
        <f t="shared" si="64"/>
        <v>-153.11538000000002</v>
      </c>
      <c r="AU216" s="171">
        <f t="shared" si="64"/>
        <v>-153.11538000000002</v>
      </c>
      <c r="AV216" s="171">
        <f t="shared" si="64"/>
        <v>-153.11538000000002</v>
      </c>
      <c r="AW216" s="171">
        <f t="shared" si="64"/>
        <v>-153.11538000000002</v>
      </c>
      <c r="AX216" s="171">
        <f t="shared" si="64"/>
        <v>-153.11538000000002</v>
      </c>
      <c r="AY216" s="171">
        <f t="shared" si="64"/>
        <v>-153.11538000000002</v>
      </c>
      <c r="AZ216" s="171">
        <f t="shared" si="64"/>
        <v>-153.11538000000002</v>
      </c>
      <c r="BA216" s="171">
        <f t="shared" si="64"/>
        <v>-153.11538000000002</v>
      </c>
      <c r="BB216" s="171">
        <f t="shared" si="64"/>
        <v>-153.11538000000002</v>
      </c>
      <c r="BC216" s="171">
        <f t="shared" si="64"/>
        <v>-153.11538000000002</v>
      </c>
      <c r="BD216" s="171">
        <f t="shared" si="64"/>
        <v>-153.11538000000002</v>
      </c>
      <c r="BE216" s="171">
        <f t="shared" si="64"/>
        <v>-153.11538000000002</v>
      </c>
      <c r="BF216" s="171">
        <f t="shared" si="64"/>
        <v>-153.11538000000002</v>
      </c>
      <c r="BG216" s="171">
        <f t="shared" si="64"/>
        <v>-153.11538000000002</v>
      </c>
      <c r="BH216" s="171">
        <f t="shared" si="64"/>
        <v>-153.11538000000002</v>
      </c>
      <c r="BI216" s="171">
        <f t="shared" si="64"/>
        <v>-153.11538000000002</v>
      </c>
      <c r="BJ216" s="171">
        <f t="shared" si="64"/>
        <v>-153.11538000000002</v>
      </c>
    </row>
    <row r="217" spans="18:62" x14ac:dyDescent="0.25">
      <c r="S217" s="180"/>
    </row>
    <row r="218" spans="18:62" x14ac:dyDescent="0.25">
      <c r="R218" s="179" t="s">
        <v>406</v>
      </c>
      <c r="S218" s="178"/>
    </row>
    <row r="219" spans="18:62" x14ac:dyDescent="0.25">
      <c r="R219" t="s">
        <v>405</v>
      </c>
      <c r="S219" t="s">
        <v>193</v>
      </c>
      <c r="U219" s="112"/>
      <c r="V219" s="112"/>
      <c r="X219" s="137">
        <f>X124*(1-Watersheds!B7/Watersheds!B12)+X140*Watersheds!B7/Watersheds!B12</f>
        <v>-429.45503235829165</v>
      </c>
      <c r="Y219" s="137">
        <f>Y124*(1-Watersheds!C7/Watersheds!C12)+Y140*Watersheds!C7/Watersheds!C12</f>
        <v>-408.22370487052257</v>
      </c>
      <c r="Z219" s="137">
        <f>Z124*(1-Watersheds!D7/Watersheds!D12)+Z140*Watersheds!D7/Watersheds!D12</f>
        <v>-468.17286330511774</v>
      </c>
      <c r="AA219" s="137">
        <f>AA124*(1-Watersheds!E7/Watersheds!E12)+AA140*Watersheds!E7/Watersheds!E12</f>
        <v>-416.39773488152787</v>
      </c>
      <c r="AB219" s="137">
        <f>AB124*(1-Watersheds!F7/Watersheds!F12)+AB140*Watersheds!F7/Watersheds!F12</f>
        <v>-460.22120645254233</v>
      </c>
      <c r="AC219" s="137">
        <f>AC124*(1-Watersheds!G7/Watersheds!G12)+AC140*Watersheds!G7/Watersheds!G12</f>
        <v>-391.45272216947279</v>
      </c>
      <c r="AD219" s="137">
        <f>AD124*(1-Watersheds!H7/Watersheds!H12)+AD140*Watersheds!H7/Watersheds!H12</f>
        <v>-404.53094596442469</v>
      </c>
      <c r="AE219" s="137">
        <f>AE124*(1-Watersheds!I7/Watersheds!I12)+AE140*Watersheds!I7/Watersheds!I12</f>
        <v>-460.16689303046473</v>
      </c>
      <c r="AF219" s="137">
        <f>AF124*(1-Watersheds!J7/Watersheds!J12)+AF140*Watersheds!J7/Watersheds!J12</f>
        <v>-455.3300617752576</v>
      </c>
      <c r="AG219" s="137">
        <f>AG124*(1-Watersheds!K7/Watersheds!K12)+AG140*Watersheds!K7/Watersheds!K12</f>
        <v>-429.36995911192429</v>
      </c>
      <c r="AH219" s="137">
        <f>AH124*(1-Watersheds!L7/Watersheds!L12)+AH140*Watersheds!L7/Watersheds!L12</f>
        <v>-349.62714438261651</v>
      </c>
      <c r="AI219" s="137">
        <f>AI124*(1-Watersheds!M7/Watersheds!M12)+AI140*Watersheds!M7/Watersheds!M12</f>
        <v>-387.37606322130642</v>
      </c>
      <c r="AJ219" s="137">
        <f>AJ124*(1-Watersheds!N7/Watersheds!N12)+AJ140*Watersheds!N7/Watersheds!N12</f>
        <v>-461.10391226304432</v>
      </c>
      <c r="AK219" s="137">
        <f>AK124*(1-Watersheds!O7/Watersheds!O12)+AK140*Watersheds!O7/Watersheds!O12</f>
        <v>-427.20239256626144</v>
      </c>
      <c r="AL219" s="137">
        <f>AL124*(1-Watersheds!P7/Watersheds!P12)+AL140*Watersheds!P7/Watersheds!P12</f>
        <v>-468.49656578609859</v>
      </c>
      <c r="AM219" s="137">
        <f>AM124*(1-Watersheds!Q7/Watersheds!Q12)+AM140*Watersheds!Q7/Watersheds!Q12</f>
        <v>-417.02006827628372</v>
      </c>
      <c r="AN219" s="137">
        <f>AN124*(1-Watersheds!R7/Watersheds!R12)+AN140*Watersheds!R7/Watersheds!R12</f>
        <v>-422.23998186093968</v>
      </c>
      <c r="AO219" s="137">
        <f>AO124*(1-Watersheds!S7/Watersheds!S12)+AO140*Watersheds!S7/Watersheds!S12</f>
        <v>-399.90249746030406</v>
      </c>
      <c r="AP219" s="137">
        <f>AP124*(1-Watersheds!T7/Watersheds!T12)+AP140*Watersheds!T7/Watersheds!T12</f>
        <v>-358.926054848886</v>
      </c>
      <c r="AQ219" s="137">
        <f>AQ124*(1-Watersheds!U7/Watersheds!U12)+AQ140*Watersheds!U7/Watersheds!U12</f>
        <v>-337.05927552460173</v>
      </c>
      <c r="AR219" s="137">
        <f>AR124*(1-Watersheds!V7/Watersheds!V12)+AR140*Watersheds!V7/Watersheds!V12</f>
        <v>-465.74516410889237</v>
      </c>
      <c r="AS219" s="137">
        <f>AS124*(1-Watersheds!W7/Watersheds!W12)+AS140*Watersheds!W7/Watersheds!W12</f>
        <v>-438.38540720539004</v>
      </c>
      <c r="AT219" s="137">
        <f>AT124*(1-Watersheds!X7/Watersheds!X12)+AT140*Watersheds!X7/Watersheds!X12</f>
        <v>-342.75178043277032</v>
      </c>
      <c r="AU219" s="137">
        <f>AU124*(1-Watersheds!Y7/Watersheds!Y12)+AU140*Watersheds!Y7/Watersheds!Y12</f>
        <v>-469.25362387466561</v>
      </c>
      <c r="AV219" s="137">
        <f>AV124*(1-Watersheds!Z7/Watersheds!Z12)+AV140*Watersheds!Z7/Watersheds!Z12</f>
        <v>-455.38967970895078</v>
      </c>
      <c r="AW219" s="137">
        <f>AW124*(1-Watersheds!AA7/Watersheds!AA12)+AW140*Watersheds!AA7/Watersheds!AA12</f>
        <v>-392.44949457876004</v>
      </c>
      <c r="AX219" s="137">
        <f>AX124*(1-Watersheds!AB7/Watersheds!AB12)+AX140*Watersheds!AB7/Watersheds!AB12</f>
        <v>-435.25931669111344</v>
      </c>
      <c r="AY219" s="137">
        <f>AY124*(1-Watersheds!AC7/Watersheds!AC12)+AY140*Watersheds!AC7/Watersheds!AC12</f>
        <v>-391.52634167021256</v>
      </c>
      <c r="AZ219" s="137">
        <f>AZ124*(1-Watersheds!AD7/Watersheds!AD12)+AZ140*Watersheds!AD7/Watersheds!AD12</f>
        <v>-469.64168464809495</v>
      </c>
      <c r="BA219" s="137">
        <f>BA124*(1-Watersheds!AE7/Watersheds!AE12)+BA140*Watersheds!AE7/Watersheds!AE12</f>
        <v>-449.87336690251948</v>
      </c>
      <c r="BB219" s="137">
        <f>BB124*(1-Watersheds!AF7/Watersheds!AF12)+BB140*Watersheds!AF7/Watersheds!AF12</f>
        <v>-434.43062398129047</v>
      </c>
      <c r="BC219" s="137">
        <f>BC124*(1-Watersheds!AG7/Watersheds!AG12)+BC140*Watersheds!AG7/Watersheds!AG12</f>
        <v>-467.43498163552431</v>
      </c>
      <c r="BD219" s="137">
        <f>BD124*(1-Watersheds!AH7/Watersheds!AH12)+BD140*Watersheds!AH7/Watersheds!AH12</f>
        <v>-455.90266768342855</v>
      </c>
      <c r="BE219" s="137">
        <f>BE124*(1-Watersheds!AI7/Watersheds!AI12)+BE140*Watersheds!AI7/Watersheds!AI12</f>
        <v>-454.79101345550208</v>
      </c>
      <c r="BF219" s="137">
        <f>BF124*(1-Watersheds!AJ7/Watersheds!AJ12)+BF140*Watersheds!AJ7/Watersheds!AJ12</f>
        <v>-430.38148198947169</v>
      </c>
      <c r="BG219" s="137">
        <f>BG124*(1-Watersheds!AK7/Watersheds!AK12)+BG140*Watersheds!AK7/Watersheds!AK12</f>
        <v>-467.10784811205747</v>
      </c>
      <c r="BH219" s="137">
        <f>BH124*(1-Watersheds!AL7/Watersheds!AL12)+BH140*Watersheds!AL7/Watersheds!AL12</f>
        <v>-434.42369488199557</v>
      </c>
      <c r="BI219" s="137">
        <f>BI124*(1-Watersheds!AM7/Watersheds!AM12)+BI140*Watersheds!AM7/Watersheds!AM12</f>
        <v>-466.61814144000078</v>
      </c>
      <c r="BJ219" s="137">
        <f>BJ124*(1-Watersheds!AN7/Watersheds!AN12)+BJ140*Watersheds!AN7/Watersheds!AN12</f>
        <v>-429.13943602301111</v>
      </c>
    </row>
    <row r="220" spans="18:62" x14ac:dyDescent="0.25">
      <c r="S220" t="s">
        <v>91</v>
      </c>
      <c r="U220" s="112"/>
      <c r="V220" s="112"/>
      <c r="X220" s="137">
        <f>(X180+X190)*(1-Watersheds!B7/Watersheds!B12)+(X194+X204)*Watersheds!B7/Watersheds!B12</f>
        <v>71.683101271619435</v>
      </c>
      <c r="Y220" s="137">
        <f>(Y180+Y190)*(1-Watersheds!C7/Watersheds!C12)+(Y194+Y204)*Watersheds!C7/Watersheds!C12</f>
        <v>23.274632458331389</v>
      </c>
      <c r="Z220" s="137">
        <f>(Z180+Z190)*(1-Watersheds!D7/Watersheds!D12)+(Z194+Z204)*Watersheds!D7/Watersheds!D12</f>
        <v>192.09097159937383</v>
      </c>
      <c r="AA220" s="137">
        <f>(AA180+AA190)*(1-Watersheds!E7/Watersheds!E12)+(AA194+AA204)*Watersheds!E7/Watersheds!E12</f>
        <v>64.035784779612413</v>
      </c>
      <c r="AB220" s="137">
        <f>(AB180+AB190)*(1-Watersheds!F7/Watersheds!F12)+(AB194+AB204)*Watersheds!F7/Watersheds!F12</f>
        <v>166.3820099895874</v>
      </c>
      <c r="AC220" s="137">
        <f>(AC180+AC190)*(1-Watersheds!G7/Watersheds!G12)+(AC194+AC204)*Watersheds!G7/Watersheds!G12</f>
        <v>-11.390910697878203</v>
      </c>
      <c r="AD220" s="137">
        <f>(AD180+AD190)*(1-Watersheds!H7/Watersheds!H12)+(AD194+AD204)*Watersheds!H7/Watersheds!H12</f>
        <v>31.398015328861259</v>
      </c>
      <c r="AE220" s="137">
        <f>(AE180+AE190)*(1-Watersheds!I7/Watersheds!I12)+(AE194+AE204)*Watersheds!I7/Watersheds!I12</f>
        <v>162.33346117966224</v>
      </c>
      <c r="AF220" s="137">
        <f>(AF180+AF190)*(1-Watersheds!J7/Watersheds!J12)+(AF194+AF204)*Watersheds!J7/Watersheds!J12</f>
        <v>128.13303986391853</v>
      </c>
      <c r="AG220" s="137">
        <f>(AG180+AG190)*(1-Watersheds!K7/Watersheds!K12)+(AG194+AG204)*Watersheds!K7/Watersheds!K12</f>
        <v>68.920148896878999</v>
      </c>
      <c r="AH220" s="137">
        <f>(AH180+AH190)*(1-Watersheds!L7/Watersheds!L12)+(AH194+AH204)*Watersheds!L7/Watersheds!L12</f>
        <v>-104.01297870558099</v>
      </c>
      <c r="AI220" s="137">
        <f>(AI180+AI190)*(1-Watersheds!M7/Watersheds!M12)+(AI194+AI204)*Watersheds!M7/Watersheds!M12</f>
        <v>-71.347591061810917</v>
      </c>
      <c r="AJ220" s="137">
        <f>(AJ180+AJ190)*(1-Watersheds!N7/Watersheds!N12)+(AJ194+AJ204)*Watersheds!N7/Watersheds!N12</f>
        <v>184.72625391236892</v>
      </c>
      <c r="AK220" s="137">
        <f>(AK180+AK190)*(1-Watersheds!O7/Watersheds!O12)+(AK194+AK204)*Watersheds!O7/Watersheds!O12</f>
        <v>74.562786636445111</v>
      </c>
      <c r="AL220" s="137">
        <f>(AL180+AL190)*(1-Watersheds!P7/Watersheds!P12)+(AL194+AL204)*Watersheds!P7/Watersheds!P12</f>
        <v>189.42725305441468</v>
      </c>
      <c r="AM220" s="137">
        <f>(AM180+AM190)*(1-Watersheds!Q7/Watersheds!Q12)+(AM194+AM204)*Watersheds!Q7/Watersheds!Q12</f>
        <v>41.154552610401758</v>
      </c>
      <c r="AN220" s="137">
        <f>(AN180+AN190)*(1-Watersheds!R7/Watersheds!R12)+(AN194+AN204)*Watersheds!R7/Watersheds!R12</f>
        <v>77.09041047682274</v>
      </c>
      <c r="AO220" s="137">
        <f>(AO180+AO190)*(1-Watersheds!S7/Watersheds!S12)+(AO194+AO204)*Watersheds!S7/Watersheds!S12</f>
        <v>-1.2185343185867286</v>
      </c>
      <c r="AP220" s="137">
        <f>(AP180+AP190)*(1-Watersheds!T7/Watersheds!T12)+(AP194+AP204)*Watersheds!T7/Watersheds!T12</f>
        <v>-106.76387487130945</v>
      </c>
      <c r="AQ220" s="137">
        <f>(AQ180+AQ190)*(1-Watersheds!U7/Watersheds!U12)+(AQ194+AQ204)*Watersheds!U7/Watersheds!U12</f>
        <v>-64.770059495009761</v>
      </c>
      <c r="AR220" s="137">
        <f>(AR180+AR190)*(1-Watersheds!V7/Watersheds!V12)+(AR194+AR204)*Watersheds!V7/Watersheds!V12</f>
        <v>189.56888163365628</v>
      </c>
      <c r="AS220" s="137">
        <f>(AS180+AS190)*(1-Watersheds!W7/Watersheds!W12)+(AS194+AS204)*Watersheds!W7/Watersheds!W12</f>
        <v>80.111576109966691</v>
      </c>
      <c r="AT220" s="137">
        <f>(AT180+AT190)*(1-Watersheds!X7/Watersheds!X12)+(AT194+AT204)*Watersheds!X7/Watersheds!X12</f>
        <v>-49.392210453877659</v>
      </c>
      <c r="AU220" s="137">
        <f>(AU180+AU190)*(1-Watersheds!Y7/Watersheds!Y12)+(AU194+AU204)*Watersheds!Y7/Watersheds!Y12</f>
        <v>192.60440058623141</v>
      </c>
      <c r="AV220" s="137">
        <f>(AV180+AV190)*(1-Watersheds!Z7/Watersheds!Z12)+(AV194+AV204)*Watersheds!Z7/Watersheds!Z12</f>
        <v>155.06678198221357</v>
      </c>
      <c r="AW220" s="137">
        <f>(AW180+AW190)*(1-Watersheds!AA7/Watersheds!AA12)+(AW194+AW204)*Watersheds!AA7/Watersheds!AA12</f>
        <v>14.378225822092787</v>
      </c>
      <c r="AX220" s="137">
        <f>(AX180+AX190)*(1-Watersheds!AB7/Watersheds!AB12)+(AX194+AX204)*Watersheds!AB7/Watersheds!AB12</f>
        <v>87.274635046883702</v>
      </c>
      <c r="AY220" s="137">
        <f>(AY180+AY190)*(1-Watersheds!AC7/Watersheds!AC12)+(AY194+AY204)*Watersheds!AC7/Watersheds!AC12</f>
        <v>31.87237956103052</v>
      </c>
      <c r="AZ220" s="137">
        <f>(AZ180+AZ190)*(1-Watersheds!AD7/Watersheds!AD12)+(AZ194+AZ204)*Watersheds!AD7/Watersheds!AD12</f>
        <v>193.15478532650548</v>
      </c>
      <c r="BA220" s="137">
        <f>(BA180+BA190)*(1-Watersheds!AE7/Watersheds!AE12)+(BA194+BA204)*Watersheds!AE7/Watersheds!AE12</f>
        <v>133.48454685584963</v>
      </c>
      <c r="BB220" s="137">
        <f>(BB180+BB190)*(1-Watersheds!AF7/Watersheds!AF12)+(BB194+BB204)*Watersheds!AF7/Watersheds!AF12</f>
        <v>89.443290757210036</v>
      </c>
      <c r="BC220" s="137">
        <f>(BC180+BC190)*(1-Watersheds!AG7/Watersheds!AG12)+(BC194+BC204)*Watersheds!AG7/Watersheds!AG12</f>
        <v>191.07844581401233</v>
      </c>
      <c r="BD220" s="137">
        <f>(BD180+BD190)*(1-Watersheds!AH7/Watersheds!AH12)+(BD194+BD204)*Watersheds!AH7/Watersheds!AH12</f>
        <v>142.91272054614322</v>
      </c>
      <c r="BE220" s="137">
        <f>(BE180+BE190)*(1-Watersheds!AI7/Watersheds!AI12)+(BE194+BE204)*Watersheds!AI7/Watersheds!AI12</f>
        <v>140.01361909420848</v>
      </c>
      <c r="BF220" s="137">
        <f>(BF180+BF190)*(1-Watersheds!AJ7/Watersheds!AJ12)+(BF194+BF204)*Watersheds!AJ7/Watersheds!AJ12</f>
        <v>84.297755363460482</v>
      </c>
      <c r="BG220" s="137">
        <f>(BG180+BG190)*(1-Watersheds!AK7/Watersheds!AK12)+(BG194+BG204)*Watersheds!AK7/Watersheds!AK12</f>
        <v>187.93595805987806</v>
      </c>
      <c r="BH220" s="137">
        <f>(BH180+BH190)*(1-Watersheds!AL7/Watersheds!AL12)+(BH194+BH204)*Watersheds!AL7/Watersheds!AL12</f>
        <v>91.731069599851338</v>
      </c>
      <c r="BI220" s="137">
        <f>(BI180+BI190)*(1-Watersheds!AM7/Watersheds!AM12)+(BI194+BI204)*Watersheds!AM7/Watersheds!AM12</f>
        <v>181.95159465499145</v>
      </c>
      <c r="BJ220" s="137">
        <f>(BJ180+BJ190)*(1-Watersheds!AN7/Watersheds!AN12)+(BJ194+BJ204)*Watersheds!AN7/Watersheds!AN12</f>
        <v>83.75056972894744</v>
      </c>
    </row>
    <row r="221" spans="18:62" x14ac:dyDescent="0.25">
      <c r="S221" t="s">
        <v>186</v>
      </c>
      <c r="U221" s="112"/>
      <c r="V221" s="112"/>
      <c r="X221" s="176">
        <v>-85.950104170312997</v>
      </c>
      <c r="Y221" s="176">
        <v>-101.69243735568649</v>
      </c>
      <c r="Z221" s="176">
        <v>-240.96655395679608</v>
      </c>
      <c r="AA221" s="176">
        <v>-25.288115374955638</v>
      </c>
      <c r="AB221" s="176">
        <v>-62.669375480465064</v>
      </c>
      <c r="AC221" s="176">
        <v>-111.17648794596484</v>
      </c>
      <c r="AD221" s="176">
        <v>-129.49417025886851</v>
      </c>
      <c r="AE221" s="176">
        <v>20.954331730769113</v>
      </c>
      <c r="AF221" s="176">
        <v>70.864387795451634</v>
      </c>
      <c r="AG221" s="176">
        <v>51.355023576233165</v>
      </c>
      <c r="AH221" s="176"/>
      <c r="AI221" s="176">
        <v>-129.02925760911705</v>
      </c>
      <c r="AJ221" s="176">
        <v>-132.64061337373346</v>
      </c>
      <c r="AK221" s="176">
        <v>-3.897865525269836</v>
      </c>
      <c r="AL221" s="176">
        <v>-240.36700132327866</v>
      </c>
      <c r="AM221" s="176">
        <v>45.573840906306245</v>
      </c>
      <c r="AN221" s="176"/>
      <c r="AO221" s="176">
        <v>-79.06748504569147</v>
      </c>
      <c r="AP221" s="176"/>
      <c r="AQ221" s="176">
        <v>-39.444592122429114</v>
      </c>
      <c r="AR221" s="176">
        <v>-243.37180055893839</v>
      </c>
      <c r="AS221" s="176">
        <v>30.633965175221689</v>
      </c>
      <c r="AT221" s="176">
        <v>3.3857457636731141</v>
      </c>
      <c r="AU221" s="176">
        <v>-243.25446341361072</v>
      </c>
      <c r="AV221" s="176">
        <v>-27.49326899284894</v>
      </c>
      <c r="AW221" s="176">
        <v>-106.02317937451913</v>
      </c>
      <c r="AX221" s="176">
        <v>32.373587441133608</v>
      </c>
      <c r="AY221" s="176">
        <v>-175.10466207035415</v>
      </c>
      <c r="AZ221" s="176">
        <v>-68.115099950762826</v>
      </c>
      <c r="BA221" s="176">
        <v>19.511128734072244</v>
      </c>
      <c r="BB221" s="176">
        <v>-119.06778664021216</v>
      </c>
      <c r="BC221" s="176">
        <v>-240.96655395679608</v>
      </c>
      <c r="BD221" s="176">
        <v>52.65619183332079</v>
      </c>
      <c r="BE221" s="176">
        <v>73.543904444266772</v>
      </c>
      <c r="BF221" s="176">
        <v>-11.516376968469004</v>
      </c>
      <c r="BG221" s="176">
        <v>-227.57289322519551</v>
      </c>
      <c r="BH221" s="176">
        <v>-30.459160090984525</v>
      </c>
      <c r="BI221" s="176">
        <v>2.7923249157280878</v>
      </c>
      <c r="BJ221" s="176">
        <v>-90.965727652711422</v>
      </c>
    </row>
    <row r="222" spans="18:62" x14ac:dyDescent="0.25">
      <c r="S222" t="s">
        <v>366</v>
      </c>
      <c r="U222" s="112"/>
      <c r="V222" s="112"/>
      <c r="X222" s="176">
        <v>-154.33098860104127</v>
      </c>
      <c r="Y222" s="176">
        <v>-196.77236528039884</v>
      </c>
      <c r="Z222" s="176">
        <v>-27.569864850652536</v>
      </c>
      <c r="AA222" s="176">
        <v>-87.950989480172879</v>
      </c>
      <c r="AB222" s="176">
        <v>-219.73097694397808</v>
      </c>
      <c r="AC222" s="176">
        <v>-221.61228827889386</v>
      </c>
      <c r="AD222" s="176">
        <v>-129.58054442800398</v>
      </c>
      <c r="AE222" s="176">
        <v>-210.58799077415097</v>
      </c>
      <c r="AF222" s="176">
        <v>-223.7641240661502</v>
      </c>
      <c r="AG222" s="176">
        <v>-61.304173073205945</v>
      </c>
      <c r="AH222" s="176"/>
      <c r="AI222" s="176">
        <v>-166.39985565740221</v>
      </c>
      <c r="AJ222" s="176">
        <v>-141.50775679731544</v>
      </c>
      <c r="AK222" s="176">
        <v>-32.367253550659981</v>
      </c>
      <c r="AL222" s="176">
        <v>-204.25075553831465</v>
      </c>
      <c r="AM222" s="176">
        <v>9.6128096451347318</v>
      </c>
      <c r="AN222" s="176"/>
      <c r="AO222" s="176">
        <v>-174.29798291230389</v>
      </c>
      <c r="AP222" s="176"/>
      <c r="AQ222" s="176">
        <v>-146.84443547356426</v>
      </c>
      <c r="AR222" s="176">
        <v>-221.61228827889386</v>
      </c>
      <c r="AS222" s="176">
        <v>-97.884382501784572</v>
      </c>
      <c r="AT222" s="176">
        <v>-109.66998592641583</v>
      </c>
      <c r="AU222" s="176">
        <v>2.7787039089263743</v>
      </c>
      <c r="AV222" s="176">
        <v>-191.44529450535651</v>
      </c>
      <c r="AW222" s="176">
        <v>-172.50442624054023</v>
      </c>
      <c r="AX222" s="176">
        <v>-44.607931753304044</v>
      </c>
      <c r="AY222" s="176">
        <v>-208.26525726872984</v>
      </c>
      <c r="AZ222" s="176">
        <v>-196.93363497279148</v>
      </c>
      <c r="BA222" s="176">
        <v>-221.61228827889386</v>
      </c>
      <c r="BB222" s="176">
        <v>-219.57689186586492</v>
      </c>
      <c r="BC222" s="176">
        <v>-12.802680806408674</v>
      </c>
      <c r="BD222" s="176">
        <v>-213.8189079695743</v>
      </c>
      <c r="BE222" s="176">
        <v>-221.61228827889386</v>
      </c>
      <c r="BF222" s="176">
        <v>-42.021994566708869</v>
      </c>
      <c r="BG222" s="176">
        <v>-137.86196893102186</v>
      </c>
      <c r="BH222" s="176">
        <v>-73.050504903170705</v>
      </c>
      <c r="BI222" s="176">
        <v>-141.05288162050607</v>
      </c>
      <c r="BJ222" s="176">
        <v>-214.97948775182067</v>
      </c>
    </row>
    <row r="223" spans="18:62" x14ac:dyDescent="0.25">
      <c r="S223" t="s">
        <v>365</v>
      </c>
      <c r="U223" s="112"/>
      <c r="V223" s="112"/>
      <c r="X223" s="176">
        <v>9.0694334005331569</v>
      </c>
      <c r="Y223" s="176">
        <v>-35.225703396934151</v>
      </c>
      <c r="Z223" s="176">
        <v>53.040451440955209</v>
      </c>
      <c r="AA223" s="176">
        <v>10.424895424922042</v>
      </c>
      <c r="AB223" s="176">
        <v>91.18700931436932</v>
      </c>
      <c r="AC223" s="176">
        <v>-48.228384039885341</v>
      </c>
      <c r="AD223" s="176">
        <v>3.6949024778608504</v>
      </c>
      <c r="AE223" s="176">
        <v>67.34126014682731</v>
      </c>
      <c r="AF223" s="176">
        <v>-95.337417274634177</v>
      </c>
      <c r="AG223" s="176">
        <v>-17.59503037317846</v>
      </c>
      <c r="AH223" s="176"/>
      <c r="AI223" s="176">
        <v>-7.6569959867575648</v>
      </c>
      <c r="AJ223" s="176">
        <v>101.58312342945912</v>
      </c>
      <c r="AK223" s="176">
        <v>31.993317304390573</v>
      </c>
      <c r="AL223" s="176">
        <v>71.861529727875947</v>
      </c>
      <c r="AM223" s="176">
        <v>23.209487932999153</v>
      </c>
      <c r="AN223" s="176"/>
      <c r="AO223" s="176">
        <v>-2.8607509586469604</v>
      </c>
      <c r="AP223" s="176"/>
      <c r="AQ223" s="176">
        <v>3.8999925055693865</v>
      </c>
      <c r="AR223" s="176">
        <v>49.411777468794739</v>
      </c>
      <c r="AS223" s="176">
        <v>-117.93144647705954</v>
      </c>
      <c r="AT223" s="176">
        <v>-4.667216806050547</v>
      </c>
      <c r="AU223" s="176">
        <v>56.722021271790297</v>
      </c>
      <c r="AV223" s="176">
        <v>45.51390377881107</v>
      </c>
      <c r="AW223" s="176">
        <v>9.7323029801990089</v>
      </c>
      <c r="AX223" s="176">
        <v>25.032000965488876</v>
      </c>
      <c r="AY223" s="176">
        <v>-6.3923851969595518</v>
      </c>
      <c r="AZ223" s="176">
        <v>53.028413228844144</v>
      </c>
      <c r="BA223" s="176">
        <v>23.488105914239284</v>
      </c>
      <c r="BB223" s="176">
        <v>-18.983072361711734</v>
      </c>
      <c r="BC223" s="176">
        <v>54.51634075742264</v>
      </c>
      <c r="BD223" s="176">
        <v>11.523365336652134</v>
      </c>
      <c r="BE223" s="176">
        <v>37.257768191082093</v>
      </c>
      <c r="BF223" s="176">
        <v>31.510874098525321</v>
      </c>
      <c r="BG223" s="176">
        <v>68.644503885347078</v>
      </c>
      <c r="BH223" s="176">
        <v>32.318574888004619</v>
      </c>
      <c r="BI223" s="176">
        <v>34.717589539626616</v>
      </c>
      <c r="BJ223" s="176">
        <v>29.706870099356493</v>
      </c>
    </row>
    <row r="224" spans="18:62" x14ac:dyDescent="0.25">
      <c r="S224" t="s">
        <v>357</v>
      </c>
      <c r="U224" s="112"/>
      <c r="V224" s="112"/>
      <c r="X224" s="176">
        <v>0</v>
      </c>
      <c r="Y224" s="176">
        <v>0</v>
      </c>
      <c r="Z224" s="176">
        <v>0</v>
      </c>
      <c r="AA224" s="176">
        <v>0</v>
      </c>
      <c r="AB224" s="176">
        <v>0</v>
      </c>
      <c r="AC224" s="176">
        <v>0</v>
      </c>
      <c r="AD224" s="176">
        <v>0</v>
      </c>
      <c r="AE224" s="176">
        <v>0</v>
      </c>
      <c r="AF224" s="176">
        <v>0</v>
      </c>
      <c r="AG224" s="176">
        <v>0</v>
      </c>
      <c r="AH224" s="176"/>
      <c r="AI224" s="176">
        <v>0</v>
      </c>
      <c r="AJ224" s="176">
        <v>0</v>
      </c>
      <c r="AK224" s="176">
        <v>0</v>
      </c>
      <c r="AL224" s="176">
        <v>0</v>
      </c>
      <c r="AM224" s="176">
        <v>0</v>
      </c>
      <c r="AN224" s="176"/>
      <c r="AO224" s="176">
        <v>0</v>
      </c>
      <c r="AP224" s="176"/>
      <c r="AQ224" s="176">
        <v>0</v>
      </c>
      <c r="AR224" s="176">
        <v>0</v>
      </c>
      <c r="AS224" s="176">
        <v>0</v>
      </c>
      <c r="AT224" s="176">
        <v>0</v>
      </c>
      <c r="AU224" s="176">
        <v>0</v>
      </c>
      <c r="AV224" s="176">
        <v>0</v>
      </c>
      <c r="AW224" s="176">
        <v>0</v>
      </c>
      <c r="AX224" s="176">
        <v>0</v>
      </c>
      <c r="AY224" s="176">
        <v>0</v>
      </c>
      <c r="AZ224" s="176">
        <v>0</v>
      </c>
      <c r="BA224" s="176">
        <v>0</v>
      </c>
      <c r="BB224" s="176">
        <v>0</v>
      </c>
      <c r="BC224" s="176">
        <v>0</v>
      </c>
      <c r="BD224" s="176">
        <v>0</v>
      </c>
      <c r="BE224" s="176">
        <v>0</v>
      </c>
      <c r="BF224" s="176">
        <v>0</v>
      </c>
      <c r="BG224" s="176">
        <v>0</v>
      </c>
      <c r="BH224" s="176">
        <v>0</v>
      </c>
      <c r="BI224" s="176">
        <v>0</v>
      </c>
      <c r="BJ224" s="176">
        <v>0</v>
      </c>
    </row>
    <row r="225" spans="18:62" x14ac:dyDescent="0.25">
      <c r="S225" t="s">
        <v>364</v>
      </c>
      <c r="U225" s="112"/>
      <c r="V225" s="112"/>
      <c r="X225" s="176">
        <v>0</v>
      </c>
      <c r="Y225" s="176">
        <v>0</v>
      </c>
      <c r="Z225" s="176">
        <v>0</v>
      </c>
      <c r="AA225" s="176">
        <v>0</v>
      </c>
      <c r="AB225" s="176">
        <v>0</v>
      </c>
      <c r="AC225" s="176">
        <v>0</v>
      </c>
      <c r="AD225" s="176">
        <v>0</v>
      </c>
      <c r="AE225" s="176">
        <v>0</v>
      </c>
      <c r="AF225" s="176">
        <v>0</v>
      </c>
      <c r="AG225" s="176">
        <v>0</v>
      </c>
      <c r="AH225" s="176"/>
      <c r="AI225" s="176">
        <v>0</v>
      </c>
      <c r="AJ225" s="176">
        <v>0</v>
      </c>
      <c r="AK225" s="176">
        <v>0</v>
      </c>
      <c r="AL225" s="176">
        <v>0</v>
      </c>
      <c r="AM225" s="176">
        <v>0</v>
      </c>
      <c r="AN225" s="176"/>
      <c r="AO225" s="176">
        <v>0</v>
      </c>
      <c r="AP225" s="176"/>
      <c r="AQ225" s="176">
        <v>0</v>
      </c>
      <c r="AR225" s="176">
        <v>0</v>
      </c>
      <c r="AS225" s="176">
        <v>0</v>
      </c>
      <c r="AT225" s="176">
        <v>0</v>
      </c>
      <c r="AU225" s="176">
        <v>0</v>
      </c>
      <c r="AV225" s="176">
        <v>0</v>
      </c>
      <c r="AW225" s="176">
        <v>0</v>
      </c>
      <c r="AX225" s="176">
        <v>0</v>
      </c>
      <c r="AY225" s="176">
        <v>0</v>
      </c>
      <c r="AZ225" s="176">
        <v>0</v>
      </c>
      <c r="BA225" s="176">
        <v>0</v>
      </c>
      <c r="BB225" s="176">
        <v>0</v>
      </c>
      <c r="BC225" s="176">
        <v>0</v>
      </c>
      <c r="BD225" s="176">
        <v>0</v>
      </c>
      <c r="BE225" s="176">
        <v>0</v>
      </c>
      <c r="BF225" s="176">
        <v>0</v>
      </c>
      <c r="BG225" s="176">
        <v>0</v>
      </c>
      <c r="BH225" s="176">
        <v>0</v>
      </c>
      <c r="BI225" s="176">
        <v>0</v>
      </c>
      <c r="BJ225" s="176">
        <v>0</v>
      </c>
    </row>
    <row r="226" spans="18:62" x14ac:dyDescent="0.25">
      <c r="S226" t="s">
        <v>363</v>
      </c>
      <c r="U226" s="112"/>
      <c r="V226" s="112"/>
      <c r="X226" s="176">
        <v>177.18799907897713</v>
      </c>
      <c r="Y226" s="176">
        <v>141.42574383469352</v>
      </c>
      <c r="Z226" s="176">
        <v>322.34897824437905</v>
      </c>
      <c r="AA226" s="176">
        <v>155.39212971436584</v>
      </c>
      <c r="AB226" s="176">
        <v>289.3172881938558</v>
      </c>
      <c r="AC226" s="176">
        <v>84.86072121028289</v>
      </c>
      <c r="AD226" s="176">
        <v>130.23031798315745</v>
      </c>
      <c r="AE226" s="176">
        <v>288.24408254085211</v>
      </c>
      <c r="AF226" s="176">
        <v>240.82780293346289</v>
      </c>
      <c r="AG226" s="176">
        <v>176.32650921730036</v>
      </c>
      <c r="AH226" s="176"/>
      <c r="AI226" s="176">
        <v>83.871733362841525</v>
      </c>
      <c r="AJ226" s="176">
        <v>308.30511781506414</v>
      </c>
      <c r="AK226" s="176">
        <v>184.61353546705195</v>
      </c>
      <c r="AL226" s="176">
        <v>308.445614138623</v>
      </c>
      <c r="AM226" s="176">
        <v>126.53890420275118</v>
      </c>
      <c r="AN226" s="176"/>
      <c r="AO226" s="176">
        <v>123.52614651410929</v>
      </c>
      <c r="AP226" s="176"/>
      <c r="AQ226" s="176">
        <v>77.747830565978433</v>
      </c>
      <c r="AR226" s="176">
        <v>251.64593416282301</v>
      </c>
      <c r="AS226" s="176">
        <v>226.46295370903684</v>
      </c>
      <c r="AT226" s="176">
        <v>94.808419225439508</v>
      </c>
      <c r="AU226" s="176">
        <v>318.22321999164024</v>
      </c>
      <c r="AV226" s="176">
        <v>258.05017254882603</v>
      </c>
      <c r="AW226" s="176">
        <v>120.01136855403959</v>
      </c>
      <c r="AX226" s="176">
        <v>202.51576102194323</v>
      </c>
      <c r="AY226" s="176">
        <v>87.1318879935653</v>
      </c>
      <c r="AZ226" s="176">
        <v>306.47826565754815</v>
      </c>
      <c r="BA226" s="176">
        <v>277.02874495039521</v>
      </c>
      <c r="BB226" s="176">
        <v>160.28630401251147</v>
      </c>
      <c r="BC226" s="176">
        <v>321.82715924214563</v>
      </c>
      <c r="BD226" s="176">
        <v>279.06774141484198</v>
      </c>
      <c r="BE226" s="176">
        <v>275.64435051170562</v>
      </c>
      <c r="BF226" s="176">
        <v>184.75314619025889</v>
      </c>
      <c r="BG226" s="176">
        <v>297.06832582496065</v>
      </c>
      <c r="BH226" s="176">
        <v>213.14480214063857</v>
      </c>
      <c r="BI226" s="176">
        <v>314.0258150180025</v>
      </c>
      <c r="BJ226" s="176">
        <v>234.82882702155396</v>
      </c>
    </row>
    <row r="227" spans="18:62" x14ac:dyDescent="0.25">
      <c r="S227" t="s">
        <v>362</v>
      </c>
      <c r="U227" s="112"/>
      <c r="V227" s="112"/>
      <c r="X227" s="176">
        <v>-46.045073132594013</v>
      </c>
      <c r="Y227" s="176">
        <v>-16.976916301073402</v>
      </c>
      <c r="Z227" s="176">
        <v>-113.86300985255545</v>
      </c>
      <c r="AA227" s="176">
        <v>-1.3305164965073004</v>
      </c>
      <c r="AB227" s="176">
        <v>-106.12022387283696</v>
      </c>
      <c r="AC227" s="176">
        <v>-80.413877764762645</v>
      </c>
      <c r="AD227" s="176">
        <v>-7.4628038318795689</v>
      </c>
      <c r="AE227" s="176">
        <v>-104.7559418615148</v>
      </c>
      <c r="AF227" s="176">
        <v>-113.78699143858915</v>
      </c>
      <c r="AG227" s="176">
        <v>-66.284023365215091</v>
      </c>
      <c r="AH227" s="176"/>
      <c r="AI227" s="176">
        <v>-26.160830867172479</v>
      </c>
      <c r="AJ227" s="176">
        <v>-89.75924811902982</v>
      </c>
      <c r="AK227" s="176">
        <v>-88.502784662462005</v>
      </c>
      <c r="AL227" s="176">
        <v>-134.68768417161149</v>
      </c>
      <c r="AM227" s="176">
        <v>-39.137883892051775</v>
      </c>
      <c r="AN227" s="176"/>
      <c r="AO227" s="176">
        <v>-30.449008836903658</v>
      </c>
      <c r="AP227" s="176"/>
      <c r="AQ227" s="176">
        <v>-33.722177866080386</v>
      </c>
      <c r="AR227" s="176">
        <v>-132.6923017896903</v>
      </c>
      <c r="AS227" s="176">
        <v>-62.579478423685345</v>
      </c>
      <c r="AT227" s="176">
        <v>-20.563470912894701</v>
      </c>
      <c r="AU227" s="176">
        <v>-108.91727158701858</v>
      </c>
      <c r="AV227" s="176">
        <v>-106.74576861078424</v>
      </c>
      <c r="AW227" s="176">
        <v>-27.975416787359279</v>
      </c>
      <c r="AX227" s="176">
        <v>-43.506105186271839</v>
      </c>
      <c r="AY227" s="176">
        <v>-14.121116037333422</v>
      </c>
      <c r="AZ227" s="176">
        <v>-132.6923017896903</v>
      </c>
      <c r="BA227" s="176">
        <v>-93.545345295883493</v>
      </c>
      <c r="BB227" s="176">
        <v>-46.201315490235658</v>
      </c>
      <c r="BC227" s="176">
        <v>-98.753009141220787</v>
      </c>
      <c r="BD227" s="176">
        <v>-109.39014979432383</v>
      </c>
      <c r="BE227" s="176">
        <v>-110.68184961755688</v>
      </c>
      <c r="BF227" s="176">
        <v>-91.152300520899956</v>
      </c>
      <c r="BG227" s="176">
        <v>-125.34661244453002</v>
      </c>
      <c r="BH227" s="176">
        <v>-96.076021954534525</v>
      </c>
      <c r="BI227" s="176">
        <v>-130.64427876052429</v>
      </c>
      <c r="BJ227" s="176">
        <v>-88.392455916593036</v>
      </c>
    </row>
    <row r="228" spans="18:62" x14ac:dyDescent="0.25">
      <c r="S228" s="177" t="s">
        <v>404</v>
      </c>
      <c r="U228" s="112"/>
      <c r="V228" s="112"/>
      <c r="X228" s="176">
        <v>0</v>
      </c>
      <c r="Y228" s="176">
        <v>0</v>
      </c>
      <c r="Z228" s="176">
        <v>0</v>
      </c>
      <c r="AA228" s="176">
        <v>0</v>
      </c>
      <c r="AB228" s="176">
        <v>0</v>
      </c>
      <c r="AC228" s="176">
        <v>0</v>
      </c>
      <c r="AD228" s="176">
        <v>0</v>
      </c>
      <c r="AE228" s="176">
        <v>0</v>
      </c>
      <c r="AF228" s="176">
        <v>0</v>
      </c>
      <c r="AG228" s="176">
        <v>0</v>
      </c>
      <c r="AH228" s="176"/>
      <c r="AI228" s="176">
        <v>0</v>
      </c>
      <c r="AJ228" s="176">
        <v>0</v>
      </c>
      <c r="AK228" s="176">
        <v>0</v>
      </c>
      <c r="AL228" s="176">
        <v>0</v>
      </c>
      <c r="AM228" s="176">
        <v>0</v>
      </c>
      <c r="AN228" s="176"/>
      <c r="AO228" s="176">
        <v>0</v>
      </c>
      <c r="AP228" s="176"/>
      <c r="AQ228" s="176">
        <v>0</v>
      </c>
      <c r="AR228" s="176">
        <v>0</v>
      </c>
      <c r="AS228" s="176">
        <v>0</v>
      </c>
      <c r="AT228" s="176">
        <v>0</v>
      </c>
      <c r="AU228" s="176">
        <v>0</v>
      </c>
      <c r="AV228" s="176">
        <v>0</v>
      </c>
      <c r="AW228" s="176">
        <v>0</v>
      </c>
      <c r="AX228" s="176">
        <v>0</v>
      </c>
      <c r="AY228" s="176">
        <v>0</v>
      </c>
      <c r="AZ228" s="176">
        <v>0</v>
      </c>
      <c r="BA228" s="176">
        <v>0</v>
      </c>
      <c r="BB228" s="176">
        <v>0</v>
      </c>
      <c r="BC228" s="176">
        <v>0</v>
      </c>
      <c r="BD228" s="176">
        <v>0</v>
      </c>
      <c r="BE228" s="176">
        <v>0</v>
      </c>
      <c r="BF228" s="176">
        <v>0</v>
      </c>
      <c r="BG228" s="176">
        <v>0</v>
      </c>
      <c r="BH228" s="176">
        <v>0</v>
      </c>
      <c r="BI228" s="176">
        <v>0</v>
      </c>
      <c r="BJ228" s="176">
        <v>0</v>
      </c>
    </row>
    <row r="229" spans="18:62" x14ac:dyDescent="0.25">
      <c r="R229" t="s">
        <v>397</v>
      </c>
      <c r="S229" t="s">
        <v>399</v>
      </c>
      <c r="T229" s="92"/>
      <c r="U229" s="112"/>
      <c r="V229" s="112"/>
      <c r="X229" s="137">
        <f>IF(Main!$C$40&gt;0,MAX(X231,X232),IF(Main!$C$40=0,X232,"err"))</f>
        <v>-42.895380000000003</v>
      </c>
      <c r="Y229" s="137">
        <f>IF(Main!$C$40&gt;0,MAX(Y231,Y232),IF(Main!$C$40=0,Y232,"err"))</f>
        <v>-42.895380000000003</v>
      </c>
      <c r="Z229" s="137">
        <f>IF(Main!$C$40&gt;0,MAX(Z231,Z232),IF(Main!$C$40=0,Z232,"err"))</f>
        <v>-42.895380000000003</v>
      </c>
      <c r="AA229" s="137">
        <f>IF(Main!$C$40&gt;0,MAX(AA231,AA232),IF(Main!$C$40=0,AA232,"err"))</f>
        <v>-42.895380000000003</v>
      </c>
      <c r="AB229" s="137">
        <f>IF(Main!$C$40&gt;0,MAX(AB231,AB232),IF(Main!$C$40=0,AB232,"err"))</f>
        <v>-42.895380000000003</v>
      </c>
      <c r="AC229" s="137">
        <f>IF(Main!$C$40&gt;0,MAX(AC231,AC232),IF(Main!$C$40=0,AC232,"err"))</f>
        <v>-42.895380000000003</v>
      </c>
      <c r="AD229" s="137">
        <f>IF(Main!$C$40&gt;0,MAX(AD231,AD232),IF(Main!$C$40=0,AD232,"err"))</f>
        <v>-42.895380000000003</v>
      </c>
      <c r="AE229" s="137">
        <f>IF(Main!$C$40&gt;0,MAX(AE231,AE232),IF(Main!$C$40=0,AE232,"err"))</f>
        <v>-42.895380000000003</v>
      </c>
      <c r="AF229" s="137">
        <f>IF(Main!$C$40&gt;0,MAX(AF231,AF232),IF(Main!$C$40=0,AF232,"err"))</f>
        <v>-42.895380000000003</v>
      </c>
      <c r="AG229" s="137">
        <f>IF(Main!$C$40&gt;0,MAX(AG231,AG232),IF(Main!$C$40=0,AG232,"err"))</f>
        <v>-42.895380000000003</v>
      </c>
      <c r="AH229" s="137">
        <f>IF(Main!$C$40&gt;0,MAX(AH231,AH232),IF(Main!$C$40=0,AH232,"err"))</f>
        <v>-42.895380000000003</v>
      </c>
      <c r="AI229" s="137">
        <f>IF(Main!$C$40&gt;0,MAX(AI231,AI232),IF(Main!$C$40=0,AI232,"err"))</f>
        <v>-42.895380000000003</v>
      </c>
      <c r="AJ229" s="137">
        <f>IF(Main!$C$40&gt;0,MAX(AJ231,AJ232),IF(Main!$C$40=0,AJ232,"err"))</f>
        <v>-42.895380000000003</v>
      </c>
      <c r="AK229" s="137">
        <f>IF(Main!$C$40&gt;0,MAX(AK231,AK232),IF(Main!$C$40=0,AK232,"err"))</f>
        <v>-42.895380000000003</v>
      </c>
      <c r="AL229" s="137">
        <f>IF(Main!$C$40&gt;0,MAX(AL231,AL232),IF(Main!$C$40=0,AL232,"err"))</f>
        <v>-42.895380000000003</v>
      </c>
      <c r="AM229" s="137">
        <f>IF(Main!$C$40&gt;0,MAX(AM231,AM232),IF(Main!$C$40=0,AM232,"err"))</f>
        <v>-42.895380000000003</v>
      </c>
      <c r="AN229" s="137">
        <f>IF(Main!$C$40&gt;0,MAX(AN231,AN232),IF(Main!$C$40=0,AN232,"err"))</f>
        <v>-42.895380000000003</v>
      </c>
      <c r="AO229" s="137">
        <f>IF(Main!$C$40&gt;0,MAX(AO231,AO232),IF(Main!$C$40=0,AO232,"err"))</f>
        <v>-42.895380000000003</v>
      </c>
      <c r="AP229" s="137">
        <f>IF(Main!$C$40&gt;0,MAX(AP231,AP232),IF(Main!$C$40=0,AP232,"err"))</f>
        <v>-42.895380000000003</v>
      </c>
      <c r="AQ229" s="137">
        <f>IF(Main!$C$40&gt;0,MAX(AQ231,AQ232),IF(Main!$C$40=0,AQ232,"err"))</f>
        <v>-42.895380000000003</v>
      </c>
      <c r="AR229" s="137">
        <f>IF(Main!$C$40&gt;0,MAX(AR231,AR232),IF(Main!$C$40=0,AR232,"err"))</f>
        <v>-42.895380000000003</v>
      </c>
      <c r="AS229" s="137">
        <f>IF(Main!$C$40&gt;0,MAX(AS231,AS232),IF(Main!$C$40=0,AS232,"err"))</f>
        <v>-42.895380000000003</v>
      </c>
      <c r="AT229" s="137">
        <f>IF(Main!$C$40&gt;0,MAX(AT231,AT232),IF(Main!$C$40=0,AT232,"err"))</f>
        <v>-42.895380000000003</v>
      </c>
      <c r="AU229" s="137">
        <f>IF(Main!$C$40&gt;0,MAX(AU231,AU232),IF(Main!$C$40=0,AU232,"err"))</f>
        <v>-42.895380000000003</v>
      </c>
      <c r="AV229" s="137">
        <f>IF(Main!$C$40&gt;0,MAX(AV231,AV232),IF(Main!$C$40=0,AV232,"err"))</f>
        <v>-42.895380000000003</v>
      </c>
      <c r="AW229" s="137">
        <f>IF(Main!$C$40&gt;0,MAX(AW231,AW232),IF(Main!$C$40=0,AW232,"err"))</f>
        <v>-42.895380000000003</v>
      </c>
      <c r="AX229" s="137">
        <f>IF(Main!$C$40&gt;0,MAX(AX231,AX232),IF(Main!$C$40=0,AX232,"err"))</f>
        <v>-42.895380000000003</v>
      </c>
      <c r="AY229" s="137">
        <f>IF(Main!$C$40&gt;0,MAX(AY231,AY232),IF(Main!$C$40=0,AY232,"err"))</f>
        <v>-42.895380000000003</v>
      </c>
      <c r="AZ229" s="137">
        <f>IF(Main!$C$40&gt;0,MAX(AZ231,AZ232),IF(Main!$C$40=0,AZ232,"err"))</f>
        <v>-42.895380000000003</v>
      </c>
      <c r="BA229" s="137">
        <f>IF(Main!$C$40&gt;0,MAX(BA231,BA232),IF(Main!$C$40=0,BA232,"err"))</f>
        <v>-42.895380000000003</v>
      </c>
      <c r="BB229" s="137">
        <f>IF(Main!$C$40&gt;0,MAX(BB231,BB232),IF(Main!$C$40=0,BB232,"err"))</f>
        <v>-42.895380000000003</v>
      </c>
      <c r="BC229" s="137">
        <f>IF(Main!$C$40&gt;0,MAX(BC231,BC232),IF(Main!$C$40=0,BC232,"err"))</f>
        <v>-42.895380000000003</v>
      </c>
      <c r="BD229" s="137">
        <f>IF(Main!$C$40&gt;0,MAX(BD231,BD232),IF(Main!$C$40=0,BD232,"err"))</f>
        <v>-42.895380000000003</v>
      </c>
      <c r="BE229" s="137">
        <f>IF(Main!$C$40&gt;0,MAX(BE231,BE232),IF(Main!$C$40=0,BE232,"err"))</f>
        <v>-42.895380000000003</v>
      </c>
      <c r="BF229" s="137">
        <f>IF(Main!$C$40&gt;0,MAX(BF231,BF232),IF(Main!$C$40=0,BF232,"err"))</f>
        <v>-42.895380000000003</v>
      </c>
      <c r="BG229" s="137">
        <f>IF(Main!$C$40&gt;0,MAX(BG231,BG232),IF(Main!$C$40=0,BG232,"err"))</f>
        <v>-42.895380000000003</v>
      </c>
      <c r="BH229" s="137">
        <f>IF(Main!$C$40&gt;0,MAX(BH231,BH232),IF(Main!$C$40=0,BH232,"err"))</f>
        <v>-42.895380000000003</v>
      </c>
      <c r="BI229" s="137">
        <f>IF(Main!$C$40&gt;0,MAX(BI231,BI232),IF(Main!$C$40=0,BI232,"err"))</f>
        <v>-42.895380000000003</v>
      </c>
      <c r="BJ229" s="137">
        <f>IF(Main!$C$40&gt;0,MAX(BJ231,BJ232),IF(Main!$C$40=0,BJ232,"err"))</f>
        <v>-42.895380000000003</v>
      </c>
    </row>
    <row r="230" spans="18:62" x14ac:dyDescent="0.25">
      <c r="S230" t="s">
        <v>398</v>
      </c>
      <c r="T230" s="173"/>
      <c r="U230" s="92"/>
      <c r="V230" s="112"/>
      <c r="X230" s="175">
        <f t="shared" ref="X230:BJ230" si="65">$E$46</f>
        <v>-42.895380000000003</v>
      </c>
      <c r="Y230" s="175">
        <f t="shared" si="65"/>
        <v>-42.895380000000003</v>
      </c>
      <c r="Z230" s="175">
        <f t="shared" si="65"/>
        <v>-42.895380000000003</v>
      </c>
      <c r="AA230" s="175">
        <f t="shared" si="65"/>
        <v>-42.895380000000003</v>
      </c>
      <c r="AB230" s="175">
        <f t="shared" si="65"/>
        <v>-42.895380000000003</v>
      </c>
      <c r="AC230" s="175">
        <f t="shared" si="65"/>
        <v>-42.895380000000003</v>
      </c>
      <c r="AD230" s="175">
        <f t="shared" si="65"/>
        <v>-42.895380000000003</v>
      </c>
      <c r="AE230" s="175">
        <f t="shared" si="65"/>
        <v>-42.895380000000003</v>
      </c>
      <c r="AF230" s="175">
        <f t="shared" si="65"/>
        <v>-42.895380000000003</v>
      </c>
      <c r="AG230" s="175">
        <f t="shared" si="65"/>
        <v>-42.895380000000003</v>
      </c>
      <c r="AH230" s="175">
        <f t="shared" si="65"/>
        <v>-42.895380000000003</v>
      </c>
      <c r="AI230" s="175">
        <f t="shared" si="65"/>
        <v>-42.895380000000003</v>
      </c>
      <c r="AJ230" s="175">
        <f t="shared" si="65"/>
        <v>-42.895380000000003</v>
      </c>
      <c r="AK230" s="175">
        <f t="shared" si="65"/>
        <v>-42.895380000000003</v>
      </c>
      <c r="AL230" s="175">
        <f t="shared" si="65"/>
        <v>-42.895380000000003</v>
      </c>
      <c r="AM230" s="175">
        <f t="shared" si="65"/>
        <v>-42.895380000000003</v>
      </c>
      <c r="AN230" s="175">
        <f t="shared" si="65"/>
        <v>-42.895380000000003</v>
      </c>
      <c r="AO230" s="175">
        <f t="shared" si="65"/>
        <v>-42.895380000000003</v>
      </c>
      <c r="AP230" s="175">
        <f t="shared" si="65"/>
        <v>-42.895380000000003</v>
      </c>
      <c r="AQ230" s="175">
        <f t="shared" si="65"/>
        <v>-42.895380000000003</v>
      </c>
      <c r="AR230" s="175">
        <f t="shared" si="65"/>
        <v>-42.895380000000003</v>
      </c>
      <c r="AS230" s="175">
        <f t="shared" si="65"/>
        <v>-42.895380000000003</v>
      </c>
      <c r="AT230" s="175">
        <f t="shared" si="65"/>
        <v>-42.895380000000003</v>
      </c>
      <c r="AU230" s="175">
        <f t="shared" si="65"/>
        <v>-42.895380000000003</v>
      </c>
      <c r="AV230" s="175">
        <f t="shared" si="65"/>
        <v>-42.895380000000003</v>
      </c>
      <c r="AW230" s="175">
        <f t="shared" si="65"/>
        <v>-42.895380000000003</v>
      </c>
      <c r="AX230" s="175">
        <f t="shared" si="65"/>
        <v>-42.895380000000003</v>
      </c>
      <c r="AY230" s="175">
        <f t="shared" si="65"/>
        <v>-42.895380000000003</v>
      </c>
      <c r="AZ230" s="175">
        <f t="shared" si="65"/>
        <v>-42.895380000000003</v>
      </c>
      <c r="BA230" s="175">
        <f t="shared" si="65"/>
        <v>-42.895380000000003</v>
      </c>
      <c r="BB230" s="175">
        <f t="shared" si="65"/>
        <v>-42.895380000000003</v>
      </c>
      <c r="BC230" s="175">
        <f t="shared" si="65"/>
        <v>-42.895380000000003</v>
      </c>
      <c r="BD230" s="175">
        <f t="shared" si="65"/>
        <v>-42.895380000000003</v>
      </c>
      <c r="BE230" s="175">
        <f t="shared" si="65"/>
        <v>-42.895380000000003</v>
      </c>
      <c r="BF230" s="175">
        <f t="shared" si="65"/>
        <v>-42.895380000000003</v>
      </c>
      <c r="BG230" s="175">
        <f t="shared" si="65"/>
        <v>-42.895380000000003</v>
      </c>
      <c r="BH230" s="175">
        <f t="shared" si="65"/>
        <v>-42.895380000000003</v>
      </c>
      <c r="BI230" s="175">
        <f t="shared" si="65"/>
        <v>-42.895380000000003</v>
      </c>
      <c r="BJ230" s="175">
        <f t="shared" si="65"/>
        <v>-42.895380000000003</v>
      </c>
    </row>
    <row r="231" spans="18:62" x14ac:dyDescent="0.25">
      <c r="R231" t="s">
        <v>397</v>
      </c>
      <c r="S231" t="s">
        <v>396</v>
      </c>
      <c r="T231" s="173">
        <f>Main!C40</f>
        <v>0</v>
      </c>
      <c r="U231" s="92" t="s">
        <v>403</v>
      </c>
      <c r="X231" s="174">
        <f t="shared" ref="X231:BJ231" si="66">X216+$C$77*$T$231</f>
        <v>-153.11538000000002</v>
      </c>
      <c r="Y231" s="174">
        <f t="shared" si="66"/>
        <v>-153.11538000000002</v>
      </c>
      <c r="Z231" s="174">
        <f t="shared" si="66"/>
        <v>-153.11538000000002</v>
      </c>
      <c r="AA231" s="174">
        <f t="shared" si="66"/>
        <v>-153.11538000000002</v>
      </c>
      <c r="AB231" s="174">
        <f t="shared" si="66"/>
        <v>-153.11538000000002</v>
      </c>
      <c r="AC231" s="174">
        <f t="shared" si="66"/>
        <v>-153.11538000000002</v>
      </c>
      <c r="AD231" s="174">
        <f t="shared" si="66"/>
        <v>-153.11538000000002</v>
      </c>
      <c r="AE231" s="174">
        <f t="shared" si="66"/>
        <v>-153.11538000000002</v>
      </c>
      <c r="AF231" s="174">
        <f t="shared" si="66"/>
        <v>-153.11538000000002</v>
      </c>
      <c r="AG231" s="174">
        <f t="shared" si="66"/>
        <v>-153.11538000000002</v>
      </c>
      <c r="AH231" s="174">
        <f t="shared" si="66"/>
        <v>-153.11538000000002</v>
      </c>
      <c r="AI231" s="174">
        <f t="shared" si="66"/>
        <v>-153.11538000000002</v>
      </c>
      <c r="AJ231" s="174">
        <f t="shared" si="66"/>
        <v>-153.11538000000002</v>
      </c>
      <c r="AK231" s="174">
        <f t="shared" si="66"/>
        <v>-153.11538000000002</v>
      </c>
      <c r="AL231" s="174">
        <f t="shared" si="66"/>
        <v>-153.11538000000002</v>
      </c>
      <c r="AM231" s="174">
        <f t="shared" si="66"/>
        <v>-153.11538000000002</v>
      </c>
      <c r="AN231" s="174">
        <f t="shared" si="66"/>
        <v>-153.11538000000002</v>
      </c>
      <c r="AO231" s="174">
        <f t="shared" si="66"/>
        <v>-153.11538000000002</v>
      </c>
      <c r="AP231" s="174">
        <f t="shared" si="66"/>
        <v>-153.11538000000002</v>
      </c>
      <c r="AQ231" s="174">
        <f t="shared" si="66"/>
        <v>-153.11538000000002</v>
      </c>
      <c r="AR231" s="174">
        <f t="shared" si="66"/>
        <v>-153.11538000000002</v>
      </c>
      <c r="AS231" s="174">
        <f t="shared" si="66"/>
        <v>-153.11538000000002</v>
      </c>
      <c r="AT231" s="174">
        <f t="shared" si="66"/>
        <v>-153.11538000000002</v>
      </c>
      <c r="AU231" s="174">
        <f t="shared" si="66"/>
        <v>-153.11538000000002</v>
      </c>
      <c r="AV231" s="174">
        <f t="shared" si="66"/>
        <v>-153.11538000000002</v>
      </c>
      <c r="AW231" s="174">
        <f t="shared" si="66"/>
        <v>-153.11538000000002</v>
      </c>
      <c r="AX231" s="174">
        <f t="shared" si="66"/>
        <v>-153.11538000000002</v>
      </c>
      <c r="AY231" s="174">
        <f t="shared" si="66"/>
        <v>-153.11538000000002</v>
      </c>
      <c r="AZ231" s="174">
        <f t="shared" si="66"/>
        <v>-153.11538000000002</v>
      </c>
      <c r="BA231" s="174">
        <f t="shared" si="66"/>
        <v>-153.11538000000002</v>
      </c>
      <c r="BB231" s="174">
        <f t="shared" si="66"/>
        <v>-153.11538000000002</v>
      </c>
      <c r="BC231" s="174">
        <f t="shared" si="66"/>
        <v>-153.11538000000002</v>
      </c>
      <c r="BD231" s="174">
        <f t="shared" si="66"/>
        <v>-153.11538000000002</v>
      </c>
      <c r="BE231" s="174">
        <f t="shared" si="66"/>
        <v>-153.11538000000002</v>
      </c>
      <c r="BF231" s="174">
        <f t="shared" si="66"/>
        <v>-153.11538000000002</v>
      </c>
      <c r="BG231" s="174">
        <f t="shared" si="66"/>
        <v>-153.11538000000002</v>
      </c>
      <c r="BH231" s="174">
        <f t="shared" si="66"/>
        <v>-153.11538000000002</v>
      </c>
      <c r="BI231" s="174">
        <f t="shared" si="66"/>
        <v>-153.11538000000002</v>
      </c>
      <c r="BJ231" s="174">
        <f t="shared" si="66"/>
        <v>-153.11538000000002</v>
      </c>
    </row>
    <row r="232" spans="18:62" x14ac:dyDescent="0.25">
      <c r="R232" t="s">
        <v>397</v>
      </c>
      <c r="S232" t="s">
        <v>396</v>
      </c>
      <c r="T232" s="173">
        <v>0</v>
      </c>
      <c r="U232" s="92" t="s">
        <v>403</v>
      </c>
      <c r="V232" s="112"/>
      <c r="X232" s="172">
        <f t="shared" ref="X232:BJ232" si="67">$E$46</f>
        <v>-42.895380000000003</v>
      </c>
      <c r="Y232" s="172">
        <f t="shared" si="67"/>
        <v>-42.895380000000003</v>
      </c>
      <c r="Z232" s="172">
        <f t="shared" si="67"/>
        <v>-42.895380000000003</v>
      </c>
      <c r="AA232" s="172">
        <f t="shared" si="67"/>
        <v>-42.895380000000003</v>
      </c>
      <c r="AB232" s="172">
        <f t="shared" si="67"/>
        <v>-42.895380000000003</v>
      </c>
      <c r="AC232" s="172">
        <f t="shared" si="67"/>
        <v>-42.895380000000003</v>
      </c>
      <c r="AD232" s="172">
        <f t="shared" si="67"/>
        <v>-42.895380000000003</v>
      </c>
      <c r="AE232" s="172">
        <f t="shared" si="67"/>
        <v>-42.895380000000003</v>
      </c>
      <c r="AF232" s="172">
        <f t="shared" si="67"/>
        <v>-42.895380000000003</v>
      </c>
      <c r="AG232" s="172">
        <f t="shared" si="67"/>
        <v>-42.895380000000003</v>
      </c>
      <c r="AH232" s="172">
        <f t="shared" si="67"/>
        <v>-42.895380000000003</v>
      </c>
      <c r="AI232" s="172">
        <f t="shared" si="67"/>
        <v>-42.895380000000003</v>
      </c>
      <c r="AJ232" s="172">
        <f t="shared" si="67"/>
        <v>-42.895380000000003</v>
      </c>
      <c r="AK232" s="172">
        <f t="shared" si="67"/>
        <v>-42.895380000000003</v>
      </c>
      <c r="AL232" s="172">
        <f t="shared" si="67"/>
        <v>-42.895380000000003</v>
      </c>
      <c r="AM232" s="172">
        <f t="shared" si="67"/>
        <v>-42.895380000000003</v>
      </c>
      <c r="AN232" s="172">
        <f t="shared" si="67"/>
        <v>-42.895380000000003</v>
      </c>
      <c r="AO232" s="172">
        <f t="shared" si="67"/>
        <v>-42.895380000000003</v>
      </c>
      <c r="AP232" s="172">
        <f t="shared" si="67"/>
        <v>-42.895380000000003</v>
      </c>
      <c r="AQ232" s="172">
        <f t="shared" si="67"/>
        <v>-42.895380000000003</v>
      </c>
      <c r="AR232" s="172">
        <f t="shared" si="67"/>
        <v>-42.895380000000003</v>
      </c>
      <c r="AS232" s="172">
        <f t="shared" si="67"/>
        <v>-42.895380000000003</v>
      </c>
      <c r="AT232" s="172">
        <f t="shared" si="67"/>
        <v>-42.895380000000003</v>
      </c>
      <c r="AU232" s="172">
        <f t="shared" si="67"/>
        <v>-42.895380000000003</v>
      </c>
      <c r="AV232" s="172">
        <f t="shared" si="67"/>
        <v>-42.895380000000003</v>
      </c>
      <c r="AW232" s="172">
        <f t="shared" si="67"/>
        <v>-42.895380000000003</v>
      </c>
      <c r="AX232" s="172">
        <f t="shared" si="67"/>
        <v>-42.895380000000003</v>
      </c>
      <c r="AY232" s="172">
        <f t="shared" si="67"/>
        <v>-42.895380000000003</v>
      </c>
      <c r="AZ232" s="172">
        <f t="shared" si="67"/>
        <v>-42.895380000000003</v>
      </c>
      <c r="BA232" s="172">
        <f t="shared" si="67"/>
        <v>-42.895380000000003</v>
      </c>
      <c r="BB232" s="172">
        <f t="shared" si="67"/>
        <v>-42.895380000000003</v>
      </c>
      <c r="BC232" s="172">
        <f t="shared" si="67"/>
        <v>-42.895380000000003</v>
      </c>
      <c r="BD232" s="172">
        <f t="shared" si="67"/>
        <v>-42.895380000000003</v>
      </c>
      <c r="BE232" s="172">
        <f t="shared" si="67"/>
        <v>-42.895380000000003</v>
      </c>
      <c r="BF232" s="172">
        <f t="shared" si="67"/>
        <v>-42.895380000000003</v>
      </c>
      <c r="BG232" s="172">
        <f t="shared" si="67"/>
        <v>-42.895380000000003</v>
      </c>
      <c r="BH232" s="172">
        <f t="shared" si="67"/>
        <v>-42.895380000000003</v>
      </c>
      <c r="BI232" s="172">
        <f t="shared" si="67"/>
        <v>-42.895380000000003</v>
      </c>
      <c r="BJ232" s="172">
        <f t="shared" si="67"/>
        <v>-42.895380000000003</v>
      </c>
    </row>
    <row r="234" spans="18:62" x14ac:dyDescent="0.25">
      <c r="R234" t="s">
        <v>402</v>
      </c>
      <c r="S234" t="s">
        <v>1182</v>
      </c>
      <c r="X234" s="171">
        <f>(X126*Watersheds!B13+Returns_Per_A!X156*Watersheds!B14)/(Watersheds!B13+Watersheds!B14)</f>
        <v>-499.98360395079959</v>
      </c>
      <c r="Y234" s="171">
        <f>(Y126*Watersheds!C13+Returns_Per_A!Y156*Watersheds!C14)/(Watersheds!C13+Watersheds!C14)</f>
        <v>-498.53989835378962</v>
      </c>
      <c r="Z234" s="171">
        <f>(Z126*Watersheds!D13+Returns_Per_A!Z156*Watersheds!D14)/(Watersheds!D13+Watersheds!D14)</f>
        <v>-505.77477672103208</v>
      </c>
      <c r="AA234" s="171">
        <f>(AA126*Watersheds!E13+Returns_Per_A!AA156*Watersheds!E14)/(Watersheds!E13+Watersheds!E14)</f>
        <v>-455.67427428614161</v>
      </c>
      <c r="AB234" s="171">
        <f>(AB126*Watersheds!F13+Returns_Per_A!AB156*Watersheds!F14)/(Watersheds!F13+Watersheds!F14)</f>
        <v>-505.41082168772931</v>
      </c>
      <c r="AC234" s="171">
        <f>(AC126*Watersheds!G13+Returns_Per_A!AC156*Watersheds!G14)/(Watersheds!G13+Watersheds!G14)</f>
        <v>-446.68688777891992</v>
      </c>
      <c r="AD234" s="171">
        <f>(AD126*Watersheds!H13+Returns_Per_A!AD156*Watersheds!H14)/(Watersheds!H13+Watersheds!H14)</f>
        <v>-433.05599522636612</v>
      </c>
      <c r="AE234" s="171">
        <f>(AE126*Watersheds!I13+Returns_Per_A!AE156*Watersheds!I14)/(Watersheds!I13+Watersheds!I14)</f>
        <v>-509.76858909907003</v>
      </c>
      <c r="AF234" s="171">
        <f>(AF126*Watersheds!J13+Returns_Per_A!AF156*Watersheds!J14)/(Watersheds!J13+Watersheds!J14)</f>
        <v>-512.97422934747237</v>
      </c>
      <c r="AG234" s="171">
        <f>(AG126*Watersheds!K13+Returns_Per_A!AG156*Watersheds!K14)/(Watersheds!K13+Watersheds!K14)</f>
        <v>-485.47468861461164</v>
      </c>
      <c r="AH234" s="171">
        <f>(AH126*Watersheds!L13+Returns_Per_A!AH156*Watersheds!L14)/(Watersheds!L13+Watersheds!L14)</f>
        <v>-402.73001800371577</v>
      </c>
      <c r="AI234" s="171">
        <f>(AI126*Watersheds!M13+Returns_Per_A!AI156*Watersheds!M14)/(Watersheds!M13+Watersheds!M14)</f>
        <v>-377.24439265513377</v>
      </c>
      <c r="AJ234" s="171">
        <f>(AJ126*Watersheds!N13+Returns_Per_A!AJ156*Watersheds!N14)/(Watersheds!N13+Watersheds!N14)</f>
        <v>-494.44119510626393</v>
      </c>
      <c r="AK234" s="171">
        <f>(AK126*Watersheds!O13+Returns_Per_A!AK156*Watersheds!O14)/(Watersheds!O13+Watersheds!O14)</f>
        <v>-499.14827794793024</v>
      </c>
      <c r="AL234" s="171">
        <f>(AL126*Watersheds!P13+Returns_Per_A!AL156*Watersheds!P14)/(Watersheds!P13+Watersheds!P14)</f>
        <v>-514.60358905491489</v>
      </c>
      <c r="AM234" s="171">
        <f>(AM126*Watersheds!Q13+Returns_Per_A!AM156*Watersheds!Q14)/(Watersheds!Q13+Watersheds!Q14)</f>
        <v>-470.88221575846131</v>
      </c>
      <c r="AN234" s="171">
        <f>(AN126*Watersheds!R13+Returns_Per_A!AN156*Watersheds!R14)/(Watersheds!R13+Watersheds!R14)</f>
        <v>-475.2697597291646</v>
      </c>
      <c r="AO234" s="171">
        <f>(AO126*Watersheds!S13+Returns_Per_A!AO156*Watersheds!S14)/(Watersheds!S13+Watersheds!S14)</f>
        <v>-406.84866095501781</v>
      </c>
      <c r="AP234" s="171">
        <f>(AP126*Watersheds!T13+Returns_Per_A!AP156*Watersheds!T14)/(Watersheds!T13+Watersheds!T14)</f>
        <v>-413.78654476553709</v>
      </c>
      <c r="AQ234" s="171">
        <f>(AQ126*Watersheds!U13+Returns_Per_A!AQ156*Watersheds!U14)/(Watersheds!U13+Watersheds!U14)</f>
        <v>-329.88725039063388</v>
      </c>
      <c r="AR234" s="171">
        <f>(AR126*Watersheds!V13+Returns_Per_A!AR156*Watersheds!V14)/(Watersheds!V13+Watersheds!V14)</f>
        <v>-518.84736415863915</v>
      </c>
      <c r="AS234" s="171">
        <f>(AS126*Watersheds!W13+Returns_Per_A!AS156*Watersheds!W14)/(Watersheds!W13+Watersheds!W14)</f>
        <v>-507.18910025552617</v>
      </c>
      <c r="AT234" s="171">
        <f>(AT126*Watersheds!X13+Returns_Per_A!AT156*Watersheds!X14)/(Watersheds!X13+Watersheds!X14)</f>
        <v>-359.89155606668152</v>
      </c>
      <c r="AU234" s="171">
        <f>(AU126*Watersheds!Y13+Returns_Per_A!AU156*Watersheds!Y14)/(Watersheds!Y13+Watersheds!Y14)</f>
        <v>-516.18129427176575</v>
      </c>
      <c r="AV234" s="171">
        <f>(AV126*Watersheds!Z13+Returns_Per_A!AV156*Watersheds!Z14)/(Watersheds!Z13+Watersheds!Z14)</f>
        <v>-507.85951143190528</v>
      </c>
      <c r="AW234" s="171">
        <f>(AW126*Watersheds!AA13+Returns_Per_A!AW156*Watersheds!AA14)/(Watersheds!AA13+Watersheds!AA14)</f>
        <v>-421.28660344154537</v>
      </c>
      <c r="AX234" s="171">
        <f>(AX126*Watersheds!AB13+Returns_Per_A!AX156*Watersheds!AB14)/(Watersheds!AB13+Watersheds!AB14)</f>
        <v>-481.6054154299693</v>
      </c>
      <c r="AY234" s="171">
        <f>(AY126*Watersheds!AC13+Returns_Per_A!AY156*Watersheds!AC14)/(Watersheds!AC13+Watersheds!AC14)</f>
        <v>-404.12435759060946</v>
      </c>
      <c r="AZ234" s="171">
        <f>(AZ126*Watersheds!AD13+Returns_Per_A!AZ156*Watersheds!AD14)/(Watersheds!AD13+Watersheds!AD14)</f>
        <v>-522.7819552234015</v>
      </c>
      <c r="BA234" s="171">
        <f>(BA126*Watersheds!AE13+Returns_Per_A!BA156*Watersheds!AE14)/(Watersheds!AE13+Watersheds!AE14)</f>
        <v>-506.35148701222346</v>
      </c>
      <c r="BB234" s="171">
        <f>(BB126*Watersheds!AF13+Returns_Per_A!BB156*Watersheds!AF14)/(Watersheds!AF13+Watersheds!AF14)</f>
        <v>-490.12107076286418</v>
      </c>
      <c r="BC234" s="171">
        <f>(BC126*Watersheds!AG13+Returns_Per_A!BC156*Watersheds!AG14)/(Watersheds!AG13+Watersheds!AG14)</f>
        <v>-515.14559069895313</v>
      </c>
      <c r="BD234" s="171">
        <f>(BD126*Watersheds!AH13+Returns_Per_A!BD156*Watersheds!AH14)/(Watersheds!AH13+Watersheds!AH14)</f>
        <v>-505.74302980946601</v>
      </c>
      <c r="BE234" s="171">
        <f>(BE126*Watersheds!AI13+Returns_Per_A!BE156*Watersheds!AI14)/(Watersheds!AI13+Watersheds!AI14)</f>
        <v>-505.15314258911627</v>
      </c>
      <c r="BF234" s="171">
        <f>(BF126*Watersheds!AJ13+Returns_Per_A!BF156*Watersheds!AJ14)/(Watersheds!AJ13+Watersheds!AJ14)</f>
        <v>-483.74740673402357</v>
      </c>
      <c r="BG234" s="171">
        <f>(BG126*Watersheds!AK13+Returns_Per_A!BG156*Watersheds!AK14)/(Watersheds!AK13+Watersheds!AK14)</f>
        <v>-518.57360636301075</v>
      </c>
      <c r="BH234" s="171">
        <f>(BH126*Watersheds!AL13+Returns_Per_A!BH156*Watersheds!AL14)/(Watersheds!AL13+Watersheds!AL14)</f>
        <v>-492.73368650731123</v>
      </c>
      <c r="BI234" s="171">
        <f>(BI126*Watersheds!AM13+Returns_Per_A!BI156*Watersheds!AM14)/(Watersheds!AM13+Watersheds!AM14)</f>
        <v>-507.89653803592472</v>
      </c>
      <c r="BJ234" s="171">
        <f>(BJ126*Watersheds!AN13+Returns_Per_A!BJ156*Watersheds!AN14)/(Watersheds!AN13+Watersheds!AN14)</f>
        <v>-477.51163561067511</v>
      </c>
    </row>
    <row r="235" spans="18:62" x14ac:dyDescent="0.25">
      <c r="S235" t="s">
        <v>91</v>
      </c>
      <c r="X235" s="171">
        <f t="shared" ref="X235:BJ235" si="68">X180+X190</f>
        <v>139.72743135669663</v>
      </c>
      <c r="Y235" s="171">
        <f t="shared" si="68"/>
        <v>129.28069280859182</v>
      </c>
      <c r="Z235" s="171">
        <f t="shared" si="68"/>
        <v>202.81391721932232</v>
      </c>
      <c r="AA235" s="171">
        <f t="shared" si="68"/>
        <v>78.607847127393484</v>
      </c>
      <c r="AB235" s="171">
        <f t="shared" si="68"/>
        <v>170.73854644331766</v>
      </c>
      <c r="AC235" s="171">
        <f t="shared" si="68"/>
        <v>-11.23179434961753</v>
      </c>
      <c r="AD235" s="171">
        <f t="shared" si="68"/>
        <v>49.580667293281522</v>
      </c>
      <c r="AE235" s="171">
        <f t="shared" si="68"/>
        <v>166.35802394946063</v>
      </c>
      <c r="AF235" s="171">
        <f t="shared" si="68"/>
        <v>133.32302439726078</v>
      </c>
      <c r="AG235" s="171">
        <f t="shared" si="68"/>
        <v>74.121107994743113</v>
      </c>
      <c r="AH235" s="171">
        <f t="shared" si="68"/>
        <v>-95.790149227952355</v>
      </c>
      <c r="AI235" s="171">
        <f t="shared" si="68"/>
        <v>-68.109974624162049</v>
      </c>
      <c r="AJ235" s="171">
        <f t="shared" si="68"/>
        <v>191.05243928648798</v>
      </c>
      <c r="AK235" s="171">
        <f t="shared" si="68"/>
        <v>131.44311373723389</v>
      </c>
      <c r="AL235" s="171">
        <f t="shared" si="68"/>
        <v>191.56287489296432</v>
      </c>
      <c r="AM235" s="171">
        <f t="shared" si="68"/>
        <v>44.184882276327926</v>
      </c>
      <c r="AN235" s="171">
        <f t="shared" si="68"/>
        <v>82.387118037302912</v>
      </c>
      <c r="AO235" s="171">
        <f t="shared" si="68"/>
        <v>5.2739944059583763</v>
      </c>
      <c r="AP235" s="171">
        <f t="shared" si="68"/>
        <v>-103.85142655263564</v>
      </c>
      <c r="AQ235" s="171">
        <f t="shared" si="68"/>
        <v>-47.139418321128147</v>
      </c>
      <c r="AR235" s="171">
        <f t="shared" si="68"/>
        <v>193.45368229594061</v>
      </c>
      <c r="AS235" s="171">
        <f t="shared" si="68"/>
        <v>86.299092239854701</v>
      </c>
      <c r="AT235" s="171">
        <f t="shared" si="68"/>
        <v>-32.01672554895913</v>
      </c>
      <c r="AU235" s="171">
        <f t="shared" si="68"/>
        <v>201.5968728934314</v>
      </c>
      <c r="AV235" s="171">
        <f t="shared" si="68"/>
        <v>163.28394489895589</v>
      </c>
      <c r="AW235" s="171">
        <f t="shared" si="68"/>
        <v>89.431461450525262</v>
      </c>
      <c r="AX235" s="171">
        <f t="shared" si="68"/>
        <v>113.70810650223473</v>
      </c>
      <c r="AY235" s="171">
        <f t="shared" si="68"/>
        <v>36.42532515903315</v>
      </c>
      <c r="AZ235" s="171">
        <f t="shared" si="68"/>
        <v>215.46617969272711</v>
      </c>
      <c r="BA235" s="171">
        <f t="shared" si="68"/>
        <v>152.1796220928328</v>
      </c>
      <c r="BB235" s="171">
        <f t="shared" si="68"/>
        <v>108.5160264764329</v>
      </c>
      <c r="BC235" s="171">
        <f t="shared" si="68"/>
        <v>210.70554897733729</v>
      </c>
      <c r="BD235" s="171">
        <f t="shared" si="68"/>
        <v>145.6028154556638</v>
      </c>
      <c r="BE235" s="171">
        <f t="shared" si="68"/>
        <v>161.96593961604015</v>
      </c>
      <c r="BF235" s="171">
        <f t="shared" si="68"/>
        <v>85.229948103846141</v>
      </c>
      <c r="BG235" s="171">
        <f t="shared" si="68"/>
        <v>194.03336097599686</v>
      </c>
      <c r="BH235" s="171">
        <f t="shared" si="68"/>
        <v>103.25729531201966</v>
      </c>
      <c r="BI235" s="171">
        <f t="shared" si="68"/>
        <v>185.69861602794123</v>
      </c>
      <c r="BJ235" s="171">
        <f t="shared" si="68"/>
        <v>84.770898024809469</v>
      </c>
    </row>
    <row r="236" spans="18:62" x14ac:dyDescent="0.25">
      <c r="R236" t="s">
        <v>401</v>
      </c>
      <c r="S236" t="s">
        <v>1182</v>
      </c>
      <c r="X236" s="171">
        <f>(X142*Watersheds!B13+X167*Watersheds!B14)/(Watersheds!B13+Watersheds!B14)</f>
        <v>-453.43794301793349</v>
      </c>
      <c r="Y236" s="171">
        <f>(Y142*Watersheds!C13+Y167*Watersheds!C14)/(Watersheds!C13+Watersheds!C14)</f>
        <v>-458.11812073989518</v>
      </c>
      <c r="Z236" s="171">
        <f>(Z142*Watersheds!D13+Z167*Watersheds!D14)/(Watersheds!D13+Watersheds!D14)</f>
        <v>-455.77391947244422</v>
      </c>
      <c r="AA236" s="171">
        <f>(AA142*Watersheds!E13+AA167*Watersheds!E14)/(Watersheds!E13+Watersheds!E14)</f>
        <v>-423.56190044161434</v>
      </c>
      <c r="AB236" s="171">
        <f>(AB142*Watersheds!F13+AB167*Watersheds!F14)/(Watersheds!F13+Watersheds!F14)</f>
        <v>-461.11731718170336</v>
      </c>
      <c r="AC236" s="171">
        <f>(AC142*Watersheds!G13+AC167*Watersheds!G14)/(Watersheds!G13+Watersheds!G14)</f>
        <v>-423.61625910310403</v>
      </c>
      <c r="AD236" s="171">
        <f>(AD142*Watersheds!H13+AD167*Watersheds!H14)/(Watersheds!H13+Watersheds!H14)</f>
        <v>-405.37575668327321</v>
      </c>
      <c r="AE236" s="171">
        <f>(AE142*Watersheds!I13+AE167*Watersheds!I14)/(Watersheds!I13+Watersheds!I14)</f>
        <v>-465.52363106387133</v>
      </c>
      <c r="AF236" s="171">
        <f>(AF142*Watersheds!J13+AF167*Watersheds!J14)/(Watersheds!J13+Watersheds!J14)</f>
        <v>-466.03178865230035</v>
      </c>
      <c r="AG236" s="171">
        <f>(AG142*Watersheds!K13+AG167*Watersheds!K14)/(Watersheds!K13+Watersheds!K14)</f>
        <v>-448.52523586944915</v>
      </c>
      <c r="AH236" s="171">
        <f>(AH142*Watersheds!L13+AH167*Watersheds!L14)/(Watersheds!L13+Watersheds!L14)</f>
        <v>-393.60085456281104</v>
      </c>
      <c r="AI236" s="171">
        <f>(AI142*Watersheds!M13+AI167*Watersheds!M14)/(Watersheds!M13+Watersheds!M14)</f>
        <v>-356.2792986175175</v>
      </c>
      <c r="AJ236" s="171">
        <f>(AJ142*Watersheds!N13+AJ167*Watersheds!N14)/(Watersheds!N13+Watersheds!N14)</f>
        <v>-449.64506974356777</v>
      </c>
      <c r="AK236" s="171">
        <f>(AK142*Watersheds!O13+AK167*Watersheds!O14)/(Watersheds!O13+Watersheds!O14)</f>
        <v>-458.21027325895409</v>
      </c>
      <c r="AL236" s="171">
        <f>(AL142*Watersheds!P13+AL167*Watersheds!P14)/(Watersheds!P13+Watersheds!P14)</f>
        <v>-466.63215687341318</v>
      </c>
      <c r="AM236" s="171">
        <f>(AM142*Watersheds!Q13+AM167*Watersheds!Q14)/(Watersheds!Q13+Watersheds!Q14)</f>
        <v>-437.65058575613352</v>
      </c>
      <c r="AN236" s="171">
        <f>(AN142*Watersheds!R13+AN167*Watersheds!R14)/(Watersheds!R13+Watersheds!R14)</f>
        <v>-441.96046603877431</v>
      </c>
      <c r="AO236" s="171">
        <f>(AO142*Watersheds!S13+AO167*Watersheds!S14)/(Watersheds!S13+Watersheds!S14)</f>
        <v>-379.77194870139937</v>
      </c>
      <c r="AP236" s="171">
        <f>(AP142*Watersheds!T13+AP167*Watersheds!T14)/(Watersheds!T13+Watersheds!T14)</f>
        <v>-400.38617860896881</v>
      </c>
      <c r="AQ236" s="171">
        <f>(AQ142*Watersheds!U13+AQ167*Watersheds!U14)/(Watersheds!U13+Watersheds!U14)</f>
        <v>-323.95999839373337</v>
      </c>
      <c r="AR236" s="171">
        <f>(AR142*Watersheds!V13+AR167*Watersheds!V14)/(Watersheds!V13+Watersheds!V14)</f>
        <v>-471.49102709616614</v>
      </c>
      <c r="AS236" s="171">
        <f>(AS142*Watersheds!W13+AS167*Watersheds!W14)/(Watersheds!W13+Watersheds!W14)</f>
        <v>-468.43638793228826</v>
      </c>
      <c r="AT236" s="171">
        <f>(AT142*Watersheds!X13+AT167*Watersheds!X14)/(Watersheds!X13+Watersheds!X14)</f>
        <v>-352.20676181297779</v>
      </c>
      <c r="AU236" s="171">
        <f>(AU142*Watersheds!Y13+AU167*Watersheds!Y14)/(Watersheds!Y13+Watersheds!Y14)</f>
        <v>-465.74811381193422</v>
      </c>
      <c r="AV236" s="171">
        <f>(AV142*Watersheds!Z13+AV167*Watersheds!Z14)/(Watersheds!Z13+Watersheds!Z14)</f>
        <v>-460.54228003405768</v>
      </c>
      <c r="AW236" s="171">
        <f>(AW142*Watersheds!AA13+AW167*Watersheds!AA14)/(Watersheds!AA13+Watersheds!AA14)</f>
        <v>-388.89611128740546</v>
      </c>
      <c r="AX236" s="171">
        <f>(AX142*Watersheds!AB13+AX167*Watersheds!AB14)/(Watersheds!AB13+Watersheds!AB14)</f>
        <v>-441.72104938407267</v>
      </c>
      <c r="AY236" s="171">
        <f>(AY142*Watersheds!AC13+AY167*Watersheds!AC14)/(Watersheds!AC13+Watersheds!AC14)</f>
        <v>-381.76143522992714</v>
      </c>
      <c r="AZ236" s="171">
        <f>(AZ142*Watersheds!AD13+AZ167*Watersheds!AD14)/(Watersheds!AD13+Watersheds!AD14)</f>
        <v>-472.39495753802885</v>
      </c>
      <c r="BA236" s="171">
        <f>(BA142*Watersheds!AE13+BA167*Watersheds!AE14)/(Watersheds!AE13+Watersheds!AE14)</f>
        <v>-459.56023373986773</v>
      </c>
      <c r="BB236" s="171">
        <f>(BB142*Watersheds!AF13+BB167*Watersheds!AF14)/(Watersheds!AF13+Watersheds!AF14)</f>
        <v>-451.33065559927365</v>
      </c>
      <c r="BC236" s="171">
        <f>(BC142*Watersheds!AG13+BC167*Watersheds!AG14)/(Watersheds!AG13+Watersheds!AG14)</f>
        <v>-464.33366256114715</v>
      </c>
      <c r="BD236" s="171">
        <f>(BD142*Watersheds!AH13+BD167*Watersheds!AH14)/(Watersheds!AH13+Watersheds!AH14)</f>
        <v>-458.94374279625856</v>
      </c>
      <c r="BE236" s="171">
        <f>(BE142*Watersheds!AI13+BE167*Watersheds!AI14)/(Watersheds!AI13+Watersheds!AI14)</f>
        <v>-460.53476432164297</v>
      </c>
      <c r="BF236" s="171">
        <f>(BF142*Watersheds!AJ13+BF167*Watersheds!AJ14)/(Watersheds!AJ13+Watersheds!AJ14)</f>
        <v>-447.04581408964793</v>
      </c>
      <c r="BG236" s="171">
        <f>(BG142*Watersheds!AK13+BG167*Watersheds!AK14)/(Watersheds!AK13+Watersheds!AK14)</f>
        <v>-470.61949378066168</v>
      </c>
      <c r="BH236" s="171">
        <f>(BH142*Watersheds!AL13+BH167*Watersheds!AL14)/(Watersheds!AL13+Watersheds!AL14)</f>
        <v>-456.08125100615933</v>
      </c>
      <c r="BI236" s="171">
        <f>(BI142*Watersheds!AM13+BI167*Watersheds!AM14)/(Watersheds!AM13+Watersheds!AM14)</f>
        <v>-460.30315317071762</v>
      </c>
      <c r="BJ236" s="171">
        <f>(BJ142*Watersheds!AN13+BJ167*Watersheds!AN14)/(Watersheds!AN13+Watersheds!AN14)</f>
        <v>-441.13511762701336</v>
      </c>
    </row>
    <row r="237" spans="18:62" x14ac:dyDescent="0.25">
      <c r="S237" t="s">
        <v>91</v>
      </c>
      <c r="X237" s="171">
        <f t="shared" ref="X237:BJ237" si="69">X194+X204</f>
        <v>23.511238213563161</v>
      </c>
      <c r="Y237" s="171">
        <f t="shared" si="69"/>
        <v>16.511923386332967</v>
      </c>
      <c r="Z237" s="171">
        <f t="shared" si="69"/>
        <v>67.253183741522378</v>
      </c>
      <c r="AA237" s="171">
        <f t="shared" si="69"/>
        <v>-16.712883220069955</v>
      </c>
      <c r="AB237" s="171">
        <f t="shared" si="69"/>
        <v>44.288685321599246</v>
      </c>
      <c r="AC237" s="171">
        <f t="shared" si="69"/>
        <v>-78.379443009667312</v>
      </c>
      <c r="AD237" s="171">
        <f t="shared" si="69"/>
        <v>-36.161093708924966</v>
      </c>
      <c r="AE237" s="171">
        <f t="shared" si="69"/>
        <v>41.353735250715033</v>
      </c>
      <c r="AF237" s="171">
        <f t="shared" si="69"/>
        <v>19.220285550741153</v>
      </c>
      <c r="AG237" s="171">
        <f t="shared" si="69"/>
        <v>-19.718998438945675</v>
      </c>
      <c r="AH237" s="171">
        <f t="shared" si="69"/>
        <v>-132.83354077815164</v>
      </c>
      <c r="AI237" s="171">
        <f t="shared" si="69"/>
        <v>-114.28782379361213</v>
      </c>
      <c r="AJ237" s="171">
        <f t="shared" si="69"/>
        <v>57.898993526523384</v>
      </c>
      <c r="AK237" s="171">
        <f t="shared" si="69"/>
        <v>17.96074540852311</v>
      </c>
      <c r="AL237" s="171">
        <f t="shared" si="69"/>
        <v>58.240985382862505</v>
      </c>
      <c r="AM237" s="171">
        <f t="shared" si="69"/>
        <v>-39.776269670283853</v>
      </c>
      <c r="AN237" s="171">
        <f t="shared" si="69"/>
        <v>-14.180771710430605</v>
      </c>
      <c r="AO237" s="171">
        <f t="shared" si="69"/>
        <v>-65.846564543431498</v>
      </c>
      <c r="AP237" s="171">
        <f t="shared" si="69"/>
        <v>-138.23459658568945</v>
      </c>
      <c r="AQ237" s="171">
        <f t="shared" si="69"/>
        <v>-102.43755107057945</v>
      </c>
      <c r="AR237" s="171">
        <f t="shared" si="69"/>
        <v>59.507826342856617</v>
      </c>
      <c r="AS237" s="171">
        <f t="shared" si="69"/>
        <v>-11.559748994720962</v>
      </c>
      <c r="AT237" s="171">
        <f t="shared" si="69"/>
        <v>-92.305346913226202</v>
      </c>
      <c r="AU237" s="171">
        <f t="shared" si="69"/>
        <v>66.437764043175491</v>
      </c>
      <c r="AV237" s="171">
        <f t="shared" si="69"/>
        <v>39.294102286876864</v>
      </c>
      <c r="AW237" s="171">
        <f t="shared" si="69"/>
        <v>-9.4610616235716805</v>
      </c>
      <c r="AX237" s="171">
        <f t="shared" si="69"/>
        <v>6.0782905610736861</v>
      </c>
      <c r="AY237" s="171">
        <f t="shared" si="69"/>
        <v>-44.975172938871339</v>
      </c>
      <c r="AZ237" s="171">
        <f t="shared" si="69"/>
        <v>75.730199598703564</v>
      </c>
      <c r="BA237" s="171">
        <f t="shared" si="69"/>
        <v>31.854206006774461</v>
      </c>
      <c r="BB237" s="171">
        <f t="shared" si="69"/>
        <v>2.5995969437864801</v>
      </c>
      <c r="BC237" s="171">
        <f t="shared" si="69"/>
        <v>72.540577019392401</v>
      </c>
      <c r="BD237" s="171">
        <f t="shared" si="69"/>
        <v>27.44774555987118</v>
      </c>
      <c r="BE237" s="171">
        <f t="shared" si="69"/>
        <v>38.411038747323346</v>
      </c>
      <c r="BF237" s="171">
        <f t="shared" si="69"/>
        <v>-12.276075565846639</v>
      </c>
      <c r="BG237" s="171">
        <f t="shared" si="69"/>
        <v>61.370211058494306</v>
      </c>
      <c r="BH237" s="171">
        <f t="shared" si="69"/>
        <v>-0.92375293637041977</v>
      </c>
      <c r="BI237" s="171">
        <f t="shared" si="69"/>
        <v>54.311931943297111</v>
      </c>
      <c r="BJ237" s="171">
        <f t="shared" si="69"/>
        <v>-12.583639118801216</v>
      </c>
    </row>
    <row r="238" spans="18:62" x14ac:dyDescent="0.25">
      <c r="R238" t="s">
        <v>400</v>
      </c>
      <c r="S238" t="s">
        <v>186</v>
      </c>
      <c r="X238" s="137">
        <f t="shared" ref="X238:BJ238" si="70">X221</f>
        <v>-85.950104170312997</v>
      </c>
      <c r="Y238" s="137">
        <f t="shared" si="70"/>
        <v>-101.69243735568649</v>
      </c>
      <c r="Z238" s="137">
        <f t="shared" si="70"/>
        <v>-240.96655395679608</v>
      </c>
      <c r="AA238" s="137">
        <f t="shared" si="70"/>
        <v>-25.288115374955638</v>
      </c>
      <c r="AB238" s="137">
        <f t="shared" si="70"/>
        <v>-62.669375480465064</v>
      </c>
      <c r="AC238" s="137">
        <f t="shared" si="70"/>
        <v>-111.17648794596484</v>
      </c>
      <c r="AD238" s="137">
        <f t="shared" si="70"/>
        <v>-129.49417025886851</v>
      </c>
      <c r="AE238" s="137">
        <f t="shared" si="70"/>
        <v>20.954331730769113</v>
      </c>
      <c r="AF238" s="137">
        <f t="shared" si="70"/>
        <v>70.864387795451634</v>
      </c>
      <c r="AG238" s="137">
        <f t="shared" si="70"/>
        <v>51.355023576233165</v>
      </c>
      <c r="AH238" s="137">
        <f t="shared" si="70"/>
        <v>0</v>
      </c>
      <c r="AI238" s="137">
        <f t="shared" si="70"/>
        <v>-129.02925760911705</v>
      </c>
      <c r="AJ238" s="137">
        <f t="shared" si="70"/>
        <v>-132.64061337373346</v>
      </c>
      <c r="AK238" s="137">
        <f t="shared" si="70"/>
        <v>-3.897865525269836</v>
      </c>
      <c r="AL238" s="137">
        <f t="shared" si="70"/>
        <v>-240.36700132327866</v>
      </c>
      <c r="AM238" s="137">
        <f t="shared" si="70"/>
        <v>45.573840906306245</v>
      </c>
      <c r="AN238" s="137">
        <f t="shared" si="70"/>
        <v>0</v>
      </c>
      <c r="AO238" s="137">
        <f t="shared" si="70"/>
        <v>-79.06748504569147</v>
      </c>
      <c r="AP238" s="137">
        <f t="shared" si="70"/>
        <v>0</v>
      </c>
      <c r="AQ238" s="137">
        <f t="shared" si="70"/>
        <v>-39.444592122429114</v>
      </c>
      <c r="AR238" s="137">
        <f t="shared" si="70"/>
        <v>-243.37180055893839</v>
      </c>
      <c r="AS238" s="137">
        <f t="shared" si="70"/>
        <v>30.633965175221689</v>
      </c>
      <c r="AT238" s="137">
        <f t="shared" si="70"/>
        <v>3.3857457636731141</v>
      </c>
      <c r="AU238" s="137">
        <f t="shared" si="70"/>
        <v>-243.25446341361072</v>
      </c>
      <c r="AV238" s="137">
        <f t="shared" si="70"/>
        <v>-27.49326899284894</v>
      </c>
      <c r="AW238" s="137">
        <f t="shared" si="70"/>
        <v>-106.02317937451913</v>
      </c>
      <c r="AX238" s="137">
        <f t="shared" si="70"/>
        <v>32.373587441133608</v>
      </c>
      <c r="AY238" s="137">
        <f t="shared" si="70"/>
        <v>-175.10466207035415</v>
      </c>
      <c r="AZ238" s="137">
        <f t="shared" si="70"/>
        <v>-68.115099950762826</v>
      </c>
      <c r="BA238" s="137">
        <f t="shared" si="70"/>
        <v>19.511128734072244</v>
      </c>
      <c r="BB238" s="137">
        <f t="shared" si="70"/>
        <v>-119.06778664021216</v>
      </c>
      <c r="BC238" s="137">
        <f t="shared" si="70"/>
        <v>-240.96655395679608</v>
      </c>
      <c r="BD238" s="137">
        <f t="shared" si="70"/>
        <v>52.65619183332079</v>
      </c>
      <c r="BE238" s="137">
        <f t="shared" si="70"/>
        <v>73.543904444266772</v>
      </c>
      <c r="BF238" s="137">
        <f t="shared" si="70"/>
        <v>-11.516376968469004</v>
      </c>
      <c r="BG238" s="137">
        <f t="shared" si="70"/>
        <v>-227.57289322519551</v>
      </c>
      <c r="BH238" s="137">
        <f t="shared" si="70"/>
        <v>-30.459160090984525</v>
      </c>
      <c r="BI238" s="137">
        <f t="shared" si="70"/>
        <v>2.7923249157280878</v>
      </c>
      <c r="BJ238" s="137">
        <f t="shared" si="70"/>
        <v>-90.965727652711422</v>
      </c>
    </row>
    <row r="239" spans="18:62" x14ac:dyDescent="0.25">
      <c r="S239" t="s">
        <v>366</v>
      </c>
      <c r="X239" s="137">
        <f t="shared" ref="X239:BJ239" si="71">X222</f>
        <v>-154.33098860104127</v>
      </c>
      <c r="Y239" s="137">
        <f t="shared" si="71"/>
        <v>-196.77236528039884</v>
      </c>
      <c r="Z239" s="137">
        <f t="shared" si="71"/>
        <v>-27.569864850652536</v>
      </c>
      <c r="AA239" s="137">
        <f t="shared" si="71"/>
        <v>-87.950989480172879</v>
      </c>
      <c r="AB239" s="137">
        <f t="shared" si="71"/>
        <v>-219.73097694397808</v>
      </c>
      <c r="AC239" s="137">
        <f t="shared" si="71"/>
        <v>-221.61228827889386</v>
      </c>
      <c r="AD239" s="137">
        <f t="shared" si="71"/>
        <v>-129.58054442800398</v>
      </c>
      <c r="AE239" s="137">
        <f t="shared" si="71"/>
        <v>-210.58799077415097</v>
      </c>
      <c r="AF239" s="137">
        <f t="shared" si="71"/>
        <v>-223.7641240661502</v>
      </c>
      <c r="AG239" s="137">
        <f t="shared" si="71"/>
        <v>-61.304173073205945</v>
      </c>
      <c r="AH239" s="137">
        <f t="shared" si="71"/>
        <v>0</v>
      </c>
      <c r="AI239" s="137">
        <f t="shared" si="71"/>
        <v>-166.39985565740221</v>
      </c>
      <c r="AJ239" s="137">
        <f t="shared" si="71"/>
        <v>-141.50775679731544</v>
      </c>
      <c r="AK239" s="137">
        <f t="shared" si="71"/>
        <v>-32.367253550659981</v>
      </c>
      <c r="AL239" s="137">
        <f t="shared" si="71"/>
        <v>-204.25075553831465</v>
      </c>
      <c r="AM239" s="137">
        <f t="shared" si="71"/>
        <v>9.6128096451347318</v>
      </c>
      <c r="AN239" s="137">
        <f t="shared" si="71"/>
        <v>0</v>
      </c>
      <c r="AO239" s="137">
        <f t="shared" si="71"/>
        <v>-174.29798291230389</v>
      </c>
      <c r="AP239" s="137">
        <f t="shared" si="71"/>
        <v>0</v>
      </c>
      <c r="AQ239" s="137">
        <f t="shared" si="71"/>
        <v>-146.84443547356426</v>
      </c>
      <c r="AR239" s="137">
        <f t="shared" si="71"/>
        <v>-221.61228827889386</v>
      </c>
      <c r="AS239" s="137">
        <f t="shared" si="71"/>
        <v>-97.884382501784572</v>
      </c>
      <c r="AT239" s="137">
        <f t="shared" si="71"/>
        <v>-109.66998592641583</v>
      </c>
      <c r="AU239" s="137">
        <f t="shared" si="71"/>
        <v>2.7787039089263743</v>
      </c>
      <c r="AV239" s="137">
        <f t="shared" si="71"/>
        <v>-191.44529450535651</v>
      </c>
      <c r="AW239" s="137">
        <f t="shared" si="71"/>
        <v>-172.50442624054023</v>
      </c>
      <c r="AX239" s="137">
        <f t="shared" si="71"/>
        <v>-44.607931753304044</v>
      </c>
      <c r="AY239" s="137">
        <f t="shared" si="71"/>
        <v>-208.26525726872984</v>
      </c>
      <c r="AZ239" s="137">
        <f t="shared" si="71"/>
        <v>-196.93363497279148</v>
      </c>
      <c r="BA239" s="137">
        <f t="shared" si="71"/>
        <v>-221.61228827889386</v>
      </c>
      <c r="BB239" s="137">
        <f t="shared" si="71"/>
        <v>-219.57689186586492</v>
      </c>
      <c r="BC239" s="137">
        <f t="shared" si="71"/>
        <v>-12.802680806408674</v>
      </c>
      <c r="BD239" s="137">
        <f t="shared" si="71"/>
        <v>-213.8189079695743</v>
      </c>
      <c r="BE239" s="137">
        <f t="shared" si="71"/>
        <v>-221.61228827889386</v>
      </c>
      <c r="BF239" s="137">
        <f t="shared" si="71"/>
        <v>-42.021994566708869</v>
      </c>
      <c r="BG239" s="137">
        <f t="shared" si="71"/>
        <v>-137.86196893102186</v>
      </c>
      <c r="BH239" s="137">
        <f t="shared" si="71"/>
        <v>-73.050504903170705</v>
      </c>
      <c r="BI239" s="137">
        <f t="shared" si="71"/>
        <v>-141.05288162050607</v>
      </c>
      <c r="BJ239" s="137">
        <f t="shared" si="71"/>
        <v>-214.97948775182067</v>
      </c>
    </row>
    <row r="240" spans="18:62" x14ac:dyDescent="0.25">
      <c r="S240" t="s">
        <v>365</v>
      </c>
      <c r="X240" s="137">
        <f t="shared" ref="X240:BJ240" si="72">X223</f>
        <v>9.0694334005331569</v>
      </c>
      <c r="Y240" s="137">
        <f t="shared" si="72"/>
        <v>-35.225703396934151</v>
      </c>
      <c r="Z240" s="137">
        <f t="shared" si="72"/>
        <v>53.040451440955209</v>
      </c>
      <c r="AA240" s="137">
        <f t="shared" si="72"/>
        <v>10.424895424922042</v>
      </c>
      <c r="AB240" s="137">
        <f t="shared" si="72"/>
        <v>91.18700931436932</v>
      </c>
      <c r="AC240" s="137">
        <f t="shared" si="72"/>
        <v>-48.228384039885341</v>
      </c>
      <c r="AD240" s="137">
        <f t="shared" si="72"/>
        <v>3.6949024778608504</v>
      </c>
      <c r="AE240" s="137">
        <f t="shared" si="72"/>
        <v>67.34126014682731</v>
      </c>
      <c r="AF240" s="137">
        <f t="shared" si="72"/>
        <v>-95.337417274634177</v>
      </c>
      <c r="AG240" s="137">
        <f t="shared" si="72"/>
        <v>-17.59503037317846</v>
      </c>
      <c r="AH240" s="137">
        <f t="shared" si="72"/>
        <v>0</v>
      </c>
      <c r="AI240" s="137">
        <f t="shared" si="72"/>
        <v>-7.6569959867575648</v>
      </c>
      <c r="AJ240" s="137">
        <f t="shared" si="72"/>
        <v>101.58312342945912</v>
      </c>
      <c r="AK240" s="137">
        <f t="shared" si="72"/>
        <v>31.993317304390573</v>
      </c>
      <c r="AL240" s="137">
        <f t="shared" si="72"/>
        <v>71.861529727875947</v>
      </c>
      <c r="AM240" s="137">
        <f t="shared" si="72"/>
        <v>23.209487932999153</v>
      </c>
      <c r="AN240" s="137">
        <f t="shared" si="72"/>
        <v>0</v>
      </c>
      <c r="AO240" s="137">
        <f t="shared" si="72"/>
        <v>-2.8607509586469604</v>
      </c>
      <c r="AP240" s="137">
        <f t="shared" si="72"/>
        <v>0</v>
      </c>
      <c r="AQ240" s="137">
        <f t="shared" si="72"/>
        <v>3.8999925055693865</v>
      </c>
      <c r="AR240" s="137">
        <f t="shared" si="72"/>
        <v>49.411777468794739</v>
      </c>
      <c r="AS240" s="137">
        <f t="shared" si="72"/>
        <v>-117.93144647705954</v>
      </c>
      <c r="AT240" s="137">
        <f t="shared" si="72"/>
        <v>-4.667216806050547</v>
      </c>
      <c r="AU240" s="137">
        <f t="shared" si="72"/>
        <v>56.722021271790297</v>
      </c>
      <c r="AV240" s="137">
        <f t="shared" si="72"/>
        <v>45.51390377881107</v>
      </c>
      <c r="AW240" s="137">
        <f t="shared" si="72"/>
        <v>9.7323029801990089</v>
      </c>
      <c r="AX240" s="137">
        <f t="shared" si="72"/>
        <v>25.032000965488876</v>
      </c>
      <c r="AY240" s="137">
        <f t="shared" si="72"/>
        <v>-6.3923851969595518</v>
      </c>
      <c r="AZ240" s="137">
        <f t="shared" si="72"/>
        <v>53.028413228844144</v>
      </c>
      <c r="BA240" s="137">
        <f t="shared" si="72"/>
        <v>23.488105914239284</v>
      </c>
      <c r="BB240" s="137">
        <f t="shared" si="72"/>
        <v>-18.983072361711734</v>
      </c>
      <c r="BC240" s="137">
        <f t="shared" si="72"/>
        <v>54.51634075742264</v>
      </c>
      <c r="BD240" s="137">
        <f t="shared" si="72"/>
        <v>11.523365336652134</v>
      </c>
      <c r="BE240" s="137">
        <f t="shared" si="72"/>
        <v>37.257768191082093</v>
      </c>
      <c r="BF240" s="137">
        <f t="shared" si="72"/>
        <v>31.510874098525321</v>
      </c>
      <c r="BG240" s="137">
        <f t="shared" si="72"/>
        <v>68.644503885347078</v>
      </c>
      <c r="BH240" s="137">
        <f t="shared" si="72"/>
        <v>32.318574888004619</v>
      </c>
      <c r="BI240" s="137">
        <f t="shared" si="72"/>
        <v>34.717589539626616</v>
      </c>
      <c r="BJ240" s="137">
        <f t="shared" si="72"/>
        <v>29.706870099356493</v>
      </c>
    </row>
    <row r="241" spans="18:62" x14ac:dyDescent="0.25">
      <c r="S241" t="s">
        <v>357</v>
      </c>
      <c r="X241" s="137">
        <f t="shared" ref="X241:BJ241" si="73">X224</f>
        <v>0</v>
      </c>
      <c r="Y241" s="137">
        <f t="shared" si="73"/>
        <v>0</v>
      </c>
      <c r="Z241" s="137">
        <f t="shared" si="73"/>
        <v>0</v>
      </c>
      <c r="AA241" s="137">
        <f t="shared" si="73"/>
        <v>0</v>
      </c>
      <c r="AB241" s="137">
        <f t="shared" si="73"/>
        <v>0</v>
      </c>
      <c r="AC241" s="137">
        <f t="shared" si="73"/>
        <v>0</v>
      </c>
      <c r="AD241" s="137">
        <f t="shared" si="73"/>
        <v>0</v>
      </c>
      <c r="AE241" s="137">
        <f t="shared" si="73"/>
        <v>0</v>
      </c>
      <c r="AF241" s="137">
        <f t="shared" si="73"/>
        <v>0</v>
      </c>
      <c r="AG241" s="137">
        <f t="shared" si="73"/>
        <v>0</v>
      </c>
      <c r="AH241" s="137">
        <f t="shared" si="73"/>
        <v>0</v>
      </c>
      <c r="AI241" s="137">
        <f t="shared" si="73"/>
        <v>0</v>
      </c>
      <c r="AJ241" s="137">
        <f t="shared" si="73"/>
        <v>0</v>
      </c>
      <c r="AK241" s="137">
        <f t="shared" si="73"/>
        <v>0</v>
      </c>
      <c r="AL241" s="137">
        <f t="shared" si="73"/>
        <v>0</v>
      </c>
      <c r="AM241" s="137">
        <f t="shared" si="73"/>
        <v>0</v>
      </c>
      <c r="AN241" s="137">
        <f t="shared" si="73"/>
        <v>0</v>
      </c>
      <c r="AO241" s="137">
        <f t="shared" si="73"/>
        <v>0</v>
      </c>
      <c r="AP241" s="137">
        <f t="shared" si="73"/>
        <v>0</v>
      </c>
      <c r="AQ241" s="137">
        <f t="shared" si="73"/>
        <v>0</v>
      </c>
      <c r="AR241" s="137">
        <f t="shared" si="73"/>
        <v>0</v>
      </c>
      <c r="AS241" s="137">
        <f t="shared" si="73"/>
        <v>0</v>
      </c>
      <c r="AT241" s="137">
        <f t="shared" si="73"/>
        <v>0</v>
      </c>
      <c r="AU241" s="137">
        <f t="shared" si="73"/>
        <v>0</v>
      </c>
      <c r="AV241" s="137">
        <f t="shared" si="73"/>
        <v>0</v>
      </c>
      <c r="AW241" s="137">
        <f t="shared" si="73"/>
        <v>0</v>
      </c>
      <c r="AX241" s="137">
        <f t="shared" si="73"/>
        <v>0</v>
      </c>
      <c r="AY241" s="137">
        <f t="shared" si="73"/>
        <v>0</v>
      </c>
      <c r="AZ241" s="137">
        <f t="shared" si="73"/>
        <v>0</v>
      </c>
      <c r="BA241" s="137">
        <f t="shared" si="73"/>
        <v>0</v>
      </c>
      <c r="BB241" s="137">
        <f t="shared" si="73"/>
        <v>0</v>
      </c>
      <c r="BC241" s="137">
        <f t="shared" si="73"/>
        <v>0</v>
      </c>
      <c r="BD241" s="137">
        <f t="shared" si="73"/>
        <v>0</v>
      </c>
      <c r="BE241" s="137">
        <f t="shared" si="73"/>
        <v>0</v>
      </c>
      <c r="BF241" s="137">
        <f t="shared" si="73"/>
        <v>0</v>
      </c>
      <c r="BG241" s="137">
        <f t="shared" si="73"/>
        <v>0</v>
      </c>
      <c r="BH241" s="137">
        <f t="shared" si="73"/>
        <v>0</v>
      </c>
      <c r="BI241" s="137">
        <f t="shared" si="73"/>
        <v>0</v>
      </c>
      <c r="BJ241" s="137">
        <f t="shared" si="73"/>
        <v>0</v>
      </c>
    </row>
    <row r="242" spans="18:62" x14ac:dyDescent="0.25">
      <c r="S242" t="s">
        <v>364</v>
      </c>
      <c r="X242" s="137">
        <f t="shared" ref="X242:BJ242" si="74">X225</f>
        <v>0</v>
      </c>
      <c r="Y242" s="137">
        <f t="shared" si="74"/>
        <v>0</v>
      </c>
      <c r="Z242" s="137">
        <f t="shared" si="74"/>
        <v>0</v>
      </c>
      <c r="AA242" s="137">
        <f t="shared" si="74"/>
        <v>0</v>
      </c>
      <c r="AB242" s="137">
        <f t="shared" si="74"/>
        <v>0</v>
      </c>
      <c r="AC242" s="137">
        <f t="shared" si="74"/>
        <v>0</v>
      </c>
      <c r="AD242" s="137">
        <f t="shared" si="74"/>
        <v>0</v>
      </c>
      <c r="AE242" s="137">
        <f t="shared" si="74"/>
        <v>0</v>
      </c>
      <c r="AF242" s="137">
        <f t="shared" si="74"/>
        <v>0</v>
      </c>
      <c r="AG242" s="137">
        <f t="shared" si="74"/>
        <v>0</v>
      </c>
      <c r="AH242" s="137">
        <f t="shared" si="74"/>
        <v>0</v>
      </c>
      <c r="AI242" s="137">
        <f t="shared" si="74"/>
        <v>0</v>
      </c>
      <c r="AJ242" s="137">
        <f t="shared" si="74"/>
        <v>0</v>
      </c>
      <c r="AK242" s="137">
        <f t="shared" si="74"/>
        <v>0</v>
      </c>
      <c r="AL242" s="137">
        <f t="shared" si="74"/>
        <v>0</v>
      </c>
      <c r="AM242" s="137">
        <f t="shared" si="74"/>
        <v>0</v>
      </c>
      <c r="AN242" s="137">
        <f t="shared" si="74"/>
        <v>0</v>
      </c>
      <c r="AO242" s="137">
        <f t="shared" si="74"/>
        <v>0</v>
      </c>
      <c r="AP242" s="137">
        <f t="shared" si="74"/>
        <v>0</v>
      </c>
      <c r="AQ242" s="137">
        <f t="shared" si="74"/>
        <v>0</v>
      </c>
      <c r="AR242" s="137">
        <f t="shared" si="74"/>
        <v>0</v>
      </c>
      <c r="AS242" s="137">
        <f t="shared" si="74"/>
        <v>0</v>
      </c>
      <c r="AT242" s="137">
        <f t="shared" si="74"/>
        <v>0</v>
      </c>
      <c r="AU242" s="137">
        <f t="shared" si="74"/>
        <v>0</v>
      </c>
      <c r="AV242" s="137">
        <f t="shared" si="74"/>
        <v>0</v>
      </c>
      <c r="AW242" s="137">
        <f t="shared" si="74"/>
        <v>0</v>
      </c>
      <c r="AX242" s="137">
        <f t="shared" si="74"/>
        <v>0</v>
      </c>
      <c r="AY242" s="137">
        <f t="shared" si="74"/>
        <v>0</v>
      </c>
      <c r="AZ242" s="137">
        <f t="shared" si="74"/>
        <v>0</v>
      </c>
      <c r="BA242" s="137">
        <f t="shared" si="74"/>
        <v>0</v>
      </c>
      <c r="BB242" s="137">
        <f t="shared" si="74"/>
        <v>0</v>
      </c>
      <c r="BC242" s="137">
        <f t="shared" si="74"/>
        <v>0</v>
      </c>
      <c r="BD242" s="137">
        <f t="shared" si="74"/>
        <v>0</v>
      </c>
      <c r="BE242" s="137">
        <f t="shared" si="74"/>
        <v>0</v>
      </c>
      <c r="BF242" s="137">
        <f t="shared" si="74"/>
        <v>0</v>
      </c>
      <c r="BG242" s="137">
        <f t="shared" si="74"/>
        <v>0</v>
      </c>
      <c r="BH242" s="137">
        <f t="shared" si="74"/>
        <v>0</v>
      </c>
      <c r="BI242" s="137">
        <f t="shared" si="74"/>
        <v>0</v>
      </c>
      <c r="BJ242" s="137">
        <f t="shared" si="74"/>
        <v>0</v>
      </c>
    </row>
    <row r="243" spans="18:62" x14ac:dyDescent="0.25">
      <c r="S243" t="s">
        <v>363</v>
      </c>
      <c r="X243" s="137">
        <f t="shared" ref="X243:BJ243" si="75">X226</f>
        <v>177.18799907897713</v>
      </c>
      <c r="Y243" s="137">
        <f t="shared" si="75"/>
        <v>141.42574383469352</v>
      </c>
      <c r="Z243" s="137">
        <f t="shared" si="75"/>
        <v>322.34897824437905</v>
      </c>
      <c r="AA243" s="137">
        <f t="shared" si="75"/>
        <v>155.39212971436584</v>
      </c>
      <c r="AB243" s="137">
        <f t="shared" si="75"/>
        <v>289.3172881938558</v>
      </c>
      <c r="AC243" s="137">
        <f t="shared" si="75"/>
        <v>84.86072121028289</v>
      </c>
      <c r="AD243" s="137">
        <f t="shared" si="75"/>
        <v>130.23031798315745</v>
      </c>
      <c r="AE243" s="137">
        <f t="shared" si="75"/>
        <v>288.24408254085211</v>
      </c>
      <c r="AF243" s="137">
        <f t="shared" si="75"/>
        <v>240.82780293346289</v>
      </c>
      <c r="AG243" s="137">
        <f t="shared" si="75"/>
        <v>176.32650921730036</v>
      </c>
      <c r="AH243" s="137">
        <f t="shared" si="75"/>
        <v>0</v>
      </c>
      <c r="AI243" s="137">
        <f t="shared" si="75"/>
        <v>83.871733362841525</v>
      </c>
      <c r="AJ243" s="137">
        <f t="shared" si="75"/>
        <v>308.30511781506414</v>
      </c>
      <c r="AK243" s="137">
        <f t="shared" si="75"/>
        <v>184.61353546705195</v>
      </c>
      <c r="AL243" s="137">
        <f t="shared" si="75"/>
        <v>308.445614138623</v>
      </c>
      <c r="AM243" s="137">
        <f t="shared" si="75"/>
        <v>126.53890420275118</v>
      </c>
      <c r="AN243" s="137">
        <f t="shared" si="75"/>
        <v>0</v>
      </c>
      <c r="AO243" s="137">
        <f t="shared" si="75"/>
        <v>123.52614651410929</v>
      </c>
      <c r="AP243" s="137">
        <f t="shared" si="75"/>
        <v>0</v>
      </c>
      <c r="AQ243" s="137">
        <f t="shared" si="75"/>
        <v>77.747830565978433</v>
      </c>
      <c r="AR243" s="137">
        <f t="shared" si="75"/>
        <v>251.64593416282301</v>
      </c>
      <c r="AS243" s="137">
        <f t="shared" si="75"/>
        <v>226.46295370903684</v>
      </c>
      <c r="AT243" s="137">
        <f t="shared" si="75"/>
        <v>94.808419225439508</v>
      </c>
      <c r="AU243" s="137">
        <f t="shared" si="75"/>
        <v>318.22321999164024</v>
      </c>
      <c r="AV243" s="137">
        <f t="shared" si="75"/>
        <v>258.05017254882603</v>
      </c>
      <c r="AW243" s="137">
        <f t="shared" si="75"/>
        <v>120.01136855403959</v>
      </c>
      <c r="AX243" s="137">
        <f t="shared" si="75"/>
        <v>202.51576102194323</v>
      </c>
      <c r="AY243" s="137">
        <f t="shared" si="75"/>
        <v>87.1318879935653</v>
      </c>
      <c r="AZ243" s="137">
        <f t="shared" si="75"/>
        <v>306.47826565754815</v>
      </c>
      <c r="BA243" s="137">
        <f t="shared" si="75"/>
        <v>277.02874495039521</v>
      </c>
      <c r="BB243" s="137">
        <f t="shared" si="75"/>
        <v>160.28630401251147</v>
      </c>
      <c r="BC243" s="137">
        <f t="shared" si="75"/>
        <v>321.82715924214563</v>
      </c>
      <c r="BD243" s="137">
        <f t="shared" si="75"/>
        <v>279.06774141484198</v>
      </c>
      <c r="BE243" s="137">
        <f t="shared" si="75"/>
        <v>275.64435051170562</v>
      </c>
      <c r="BF243" s="137">
        <f t="shared" si="75"/>
        <v>184.75314619025889</v>
      </c>
      <c r="BG243" s="137">
        <f t="shared" si="75"/>
        <v>297.06832582496065</v>
      </c>
      <c r="BH243" s="137">
        <f t="shared" si="75"/>
        <v>213.14480214063857</v>
      </c>
      <c r="BI243" s="137">
        <f t="shared" si="75"/>
        <v>314.0258150180025</v>
      </c>
      <c r="BJ243" s="137">
        <f t="shared" si="75"/>
        <v>234.82882702155396</v>
      </c>
    </row>
    <row r="244" spans="18:62" x14ac:dyDescent="0.25">
      <c r="S244" t="s">
        <v>362</v>
      </c>
      <c r="X244" s="137">
        <f t="shared" ref="X244:BJ244" si="76">X227</f>
        <v>-46.045073132594013</v>
      </c>
      <c r="Y244" s="137">
        <f t="shared" si="76"/>
        <v>-16.976916301073402</v>
      </c>
      <c r="Z244" s="137">
        <f t="shared" si="76"/>
        <v>-113.86300985255545</v>
      </c>
      <c r="AA244" s="137">
        <f t="shared" si="76"/>
        <v>-1.3305164965073004</v>
      </c>
      <c r="AB244" s="137">
        <f t="shared" si="76"/>
        <v>-106.12022387283696</v>
      </c>
      <c r="AC244" s="137">
        <f t="shared" si="76"/>
        <v>-80.413877764762645</v>
      </c>
      <c r="AD244" s="137">
        <f t="shared" si="76"/>
        <v>-7.4628038318795689</v>
      </c>
      <c r="AE244" s="137">
        <f t="shared" si="76"/>
        <v>-104.7559418615148</v>
      </c>
      <c r="AF244" s="137">
        <f t="shared" si="76"/>
        <v>-113.78699143858915</v>
      </c>
      <c r="AG244" s="137">
        <f t="shared" si="76"/>
        <v>-66.284023365215091</v>
      </c>
      <c r="AH244" s="137">
        <f t="shared" si="76"/>
        <v>0</v>
      </c>
      <c r="AI244" s="137">
        <f t="shared" si="76"/>
        <v>-26.160830867172479</v>
      </c>
      <c r="AJ244" s="137">
        <f t="shared" si="76"/>
        <v>-89.75924811902982</v>
      </c>
      <c r="AK244" s="137">
        <f t="shared" si="76"/>
        <v>-88.502784662462005</v>
      </c>
      <c r="AL244" s="137">
        <f t="shared" si="76"/>
        <v>-134.68768417161149</v>
      </c>
      <c r="AM244" s="137">
        <f t="shared" si="76"/>
        <v>-39.137883892051775</v>
      </c>
      <c r="AN244" s="137">
        <f t="shared" si="76"/>
        <v>0</v>
      </c>
      <c r="AO244" s="137">
        <f t="shared" si="76"/>
        <v>-30.449008836903658</v>
      </c>
      <c r="AP244" s="137">
        <f t="shared" si="76"/>
        <v>0</v>
      </c>
      <c r="AQ244" s="137">
        <f t="shared" si="76"/>
        <v>-33.722177866080386</v>
      </c>
      <c r="AR244" s="137">
        <f t="shared" si="76"/>
        <v>-132.6923017896903</v>
      </c>
      <c r="AS244" s="137">
        <f t="shared" si="76"/>
        <v>-62.579478423685345</v>
      </c>
      <c r="AT244" s="137">
        <f t="shared" si="76"/>
        <v>-20.563470912894701</v>
      </c>
      <c r="AU244" s="137">
        <f t="shared" si="76"/>
        <v>-108.91727158701858</v>
      </c>
      <c r="AV244" s="137">
        <f t="shared" si="76"/>
        <v>-106.74576861078424</v>
      </c>
      <c r="AW244" s="137">
        <f t="shared" si="76"/>
        <v>-27.975416787359279</v>
      </c>
      <c r="AX244" s="137">
        <f t="shared" si="76"/>
        <v>-43.506105186271839</v>
      </c>
      <c r="AY244" s="137">
        <f t="shared" si="76"/>
        <v>-14.121116037333422</v>
      </c>
      <c r="AZ244" s="137">
        <f t="shared" si="76"/>
        <v>-132.6923017896903</v>
      </c>
      <c r="BA244" s="137">
        <f t="shared" si="76"/>
        <v>-93.545345295883493</v>
      </c>
      <c r="BB244" s="137">
        <f t="shared" si="76"/>
        <v>-46.201315490235658</v>
      </c>
      <c r="BC244" s="137">
        <f t="shared" si="76"/>
        <v>-98.753009141220787</v>
      </c>
      <c r="BD244" s="137">
        <f t="shared" si="76"/>
        <v>-109.39014979432383</v>
      </c>
      <c r="BE244" s="137">
        <f t="shared" si="76"/>
        <v>-110.68184961755688</v>
      </c>
      <c r="BF244" s="137">
        <f t="shared" si="76"/>
        <v>-91.152300520899956</v>
      </c>
      <c r="BG244" s="137">
        <f t="shared" si="76"/>
        <v>-125.34661244453002</v>
      </c>
      <c r="BH244" s="137">
        <f t="shared" si="76"/>
        <v>-96.076021954534525</v>
      </c>
      <c r="BI244" s="137">
        <f t="shared" si="76"/>
        <v>-130.64427876052429</v>
      </c>
      <c r="BJ244" s="137">
        <f t="shared" si="76"/>
        <v>-88.392455916593036</v>
      </c>
    </row>
    <row r="245" spans="18:62" x14ac:dyDescent="0.25">
      <c r="S245" s="177" t="s">
        <v>404</v>
      </c>
      <c r="X245" s="137">
        <f>X228</f>
        <v>0</v>
      </c>
      <c r="Y245" s="137">
        <f t="shared" ref="Y245:BJ245" si="77">Y228</f>
        <v>0</v>
      </c>
      <c r="Z245" s="137">
        <f t="shared" si="77"/>
        <v>0</v>
      </c>
      <c r="AA245" s="137">
        <f t="shared" si="77"/>
        <v>0</v>
      </c>
      <c r="AB245" s="137">
        <f t="shared" si="77"/>
        <v>0</v>
      </c>
      <c r="AC245" s="137">
        <f t="shared" si="77"/>
        <v>0</v>
      </c>
      <c r="AD245" s="137">
        <f t="shared" si="77"/>
        <v>0</v>
      </c>
      <c r="AE245" s="137">
        <f t="shared" si="77"/>
        <v>0</v>
      </c>
      <c r="AF245" s="137">
        <f t="shared" si="77"/>
        <v>0</v>
      </c>
      <c r="AG245" s="137">
        <f t="shared" si="77"/>
        <v>0</v>
      </c>
      <c r="AH245" s="137">
        <f t="shared" si="77"/>
        <v>0</v>
      </c>
      <c r="AI245" s="137">
        <f t="shared" si="77"/>
        <v>0</v>
      </c>
      <c r="AJ245" s="137">
        <f t="shared" si="77"/>
        <v>0</v>
      </c>
      <c r="AK245" s="137">
        <f t="shared" si="77"/>
        <v>0</v>
      </c>
      <c r="AL245" s="137">
        <f t="shared" si="77"/>
        <v>0</v>
      </c>
      <c r="AM245" s="137">
        <f t="shared" si="77"/>
        <v>0</v>
      </c>
      <c r="AN245" s="137">
        <f t="shared" si="77"/>
        <v>0</v>
      </c>
      <c r="AO245" s="137">
        <f t="shared" si="77"/>
        <v>0</v>
      </c>
      <c r="AP245" s="137">
        <f t="shared" si="77"/>
        <v>0</v>
      </c>
      <c r="AQ245" s="137">
        <f t="shared" si="77"/>
        <v>0</v>
      </c>
      <c r="AR245" s="137">
        <f t="shared" si="77"/>
        <v>0</v>
      </c>
      <c r="AS245" s="137">
        <f t="shared" si="77"/>
        <v>0</v>
      </c>
      <c r="AT245" s="137">
        <f t="shared" si="77"/>
        <v>0</v>
      </c>
      <c r="AU245" s="137">
        <f t="shared" si="77"/>
        <v>0</v>
      </c>
      <c r="AV245" s="137">
        <f t="shared" si="77"/>
        <v>0</v>
      </c>
      <c r="AW245" s="137">
        <f t="shared" si="77"/>
        <v>0</v>
      </c>
      <c r="AX245" s="137">
        <f t="shared" si="77"/>
        <v>0</v>
      </c>
      <c r="AY245" s="137">
        <f t="shared" si="77"/>
        <v>0</v>
      </c>
      <c r="AZ245" s="137">
        <f t="shared" si="77"/>
        <v>0</v>
      </c>
      <c r="BA245" s="137">
        <f t="shared" si="77"/>
        <v>0</v>
      </c>
      <c r="BB245" s="137">
        <f t="shared" si="77"/>
        <v>0</v>
      </c>
      <c r="BC245" s="137">
        <f t="shared" si="77"/>
        <v>0</v>
      </c>
      <c r="BD245" s="137">
        <f t="shared" si="77"/>
        <v>0</v>
      </c>
      <c r="BE245" s="137">
        <f t="shared" si="77"/>
        <v>0</v>
      </c>
      <c r="BF245" s="137">
        <f t="shared" si="77"/>
        <v>0</v>
      </c>
      <c r="BG245" s="137">
        <f t="shared" si="77"/>
        <v>0</v>
      </c>
      <c r="BH245" s="137">
        <f t="shared" si="77"/>
        <v>0</v>
      </c>
      <c r="BI245" s="137">
        <f t="shared" si="77"/>
        <v>0</v>
      </c>
      <c r="BJ245" s="137">
        <f t="shared" si="77"/>
        <v>0</v>
      </c>
    </row>
    <row r="246" spans="18:62" x14ac:dyDescent="0.25">
      <c r="R246" t="s">
        <v>397</v>
      </c>
      <c r="S246" t="s">
        <v>399</v>
      </c>
      <c r="X246" s="137">
        <f t="shared" ref="X246:BJ246" si="78">X229</f>
        <v>-42.895380000000003</v>
      </c>
      <c r="Y246" s="137">
        <f t="shared" si="78"/>
        <v>-42.895380000000003</v>
      </c>
      <c r="Z246" s="137">
        <f t="shared" si="78"/>
        <v>-42.895380000000003</v>
      </c>
      <c r="AA246" s="137">
        <f t="shared" si="78"/>
        <v>-42.895380000000003</v>
      </c>
      <c r="AB246" s="137">
        <f t="shared" si="78"/>
        <v>-42.895380000000003</v>
      </c>
      <c r="AC246" s="137">
        <f t="shared" si="78"/>
        <v>-42.895380000000003</v>
      </c>
      <c r="AD246" s="137">
        <f t="shared" si="78"/>
        <v>-42.895380000000003</v>
      </c>
      <c r="AE246" s="137">
        <f t="shared" si="78"/>
        <v>-42.895380000000003</v>
      </c>
      <c r="AF246" s="137">
        <f t="shared" si="78"/>
        <v>-42.895380000000003</v>
      </c>
      <c r="AG246" s="137">
        <f t="shared" si="78"/>
        <v>-42.895380000000003</v>
      </c>
      <c r="AH246" s="137">
        <f t="shared" si="78"/>
        <v>-42.895380000000003</v>
      </c>
      <c r="AI246" s="137">
        <f t="shared" si="78"/>
        <v>-42.895380000000003</v>
      </c>
      <c r="AJ246" s="137">
        <f t="shared" si="78"/>
        <v>-42.895380000000003</v>
      </c>
      <c r="AK246" s="137">
        <f t="shared" si="78"/>
        <v>-42.895380000000003</v>
      </c>
      <c r="AL246" s="137">
        <f t="shared" si="78"/>
        <v>-42.895380000000003</v>
      </c>
      <c r="AM246" s="137">
        <f t="shared" si="78"/>
        <v>-42.895380000000003</v>
      </c>
      <c r="AN246" s="137">
        <f t="shared" si="78"/>
        <v>-42.895380000000003</v>
      </c>
      <c r="AO246" s="137">
        <f t="shared" si="78"/>
        <v>-42.895380000000003</v>
      </c>
      <c r="AP246" s="137">
        <f t="shared" si="78"/>
        <v>-42.895380000000003</v>
      </c>
      <c r="AQ246" s="137">
        <f t="shared" si="78"/>
        <v>-42.895380000000003</v>
      </c>
      <c r="AR246" s="137">
        <f t="shared" si="78"/>
        <v>-42.895380000000003</v>
      </c>
      <c r="AS246" s="137">
        <f t="shared" si="78"/>
        <v>-42.895380000000003</v>
      </c>
      <c r="AT246" s="137">
        <f t="shared" si="78"/>
        <v>-42.895380000000003</v>
      </c>
      <c r="AU246" s="137">
        <f t="shared" si="78"/>
        <v>-42.895380000000003</v>
      </c>
      <c r="AV246" s="137">
        <f t="shared" si="78"/>
        <v>-42.895380000000003</v>
      </c>
      <c r="AW246" s="137">
        <f t="shared" si="78"/>
        <v>-42.895380000000003</v>
      </c>
      <c r="AX246" s="137">
        <f t="shared" si="78"/>
        <v>-42.895380000000003</v>
      </c>
      <c r="AY246" s="137">
        <f t="shared" si="78"/>
        <v>-42.895380000000003</v>
      </c>
      <c r="AZ246" s="137">
        <f t="shared" si="78"/>
        <v>-42.895380000000003</v>
      </c>
      <c r="BA246" s="137">
        <f t="shared" si="78"/>
        <v>-42.895380000000003</v>
      </c>
      <c r="BB246" s="137">
        <f t="shared" si="78"/>
        <v>-42.895380000000003</v>
      </c>
      <c r="BC246" s="137">
        <f t="shared" si="78"/>
        <v>-42.895380000000003</v>
      </c>
      <c r="BD246" s="137">
        <f t="shared" si="78"/>
        <v>-42.895380000000003</v>
      </c>
      <c r="BE246" s="137">
        <f t="shared" si="78"/>
        <v>-42.895380000000003</v>
      </c>
      <c r="BF246" s="137">
        <f t="shared" si="78"/>
        <v>-42.895380000000003</v>
      </c>
      <c r="BG246" s="137">
        <f t="shared" si="78"/>
        <v>-42.895380000000003</v>
      </c>
      <c r="BH246" s="137">
        <f t="shared" si="78"/>
        <v>-42.895380000000003</v>
      </c>
      <c r="BI246" s="137">
        <f t="shared" si="78"/>
        <v>-42.895380000000003</v>
      </c>
      <c r="BJ246" s="137">
        <f t="shared" si="78"/>
        <v>-42.895380000000003</v>
      </c>
    </row>
    <row r="247" spans="18:62" x14ac:dyDescent="0.25">
      <c r="S247" t="s">
        <v>398</v>
      </c>
      <c r="X247" s="137">
        <f t="shared" ref="X247:BJ247" si="79">X230</f>
        <v>-42.895380000000003</v>
      </c>
      <c r="Y247" s="137">
        <f t="shared" si="79"/>
        <v>-42.895380000000003</v>
      </c>
      <c r="Z247" s="137">
        <f t="shared" si="79"/>
        <v>-42.895380000000003</v>
      </c>
      <c r="AA247" s="137">
        <f t="shared" si="79"/>
        <v>-42.895380000000003</v>
      </c>
      <c r="AB247" s="137">
        <f t="shared" si="79"/>
        <v>-42.895380000000003</v>
      </c>
      <c r="AC247" s="137">
        <f t="shared" si="79"/>
        <v>-42.895380000000003</v>
      </c>
      <c r="AD247" s="137">
        <f t="shared" si="79"/>
        <v>-42.895380000000003</v>
      </c>
      <c r="AE247" s="137">
        <f t="shared" si="79"/>
        <v>-42.895380000000003</v>
      </c>
      <c r="AF247" s="137">
        <f t="shared" si="79"/>
        <v>-42.895380000000003</v>
      </c>
      <c r="AG247" s="137">
        <f t="shared" si="79"/>
        <v>-42.895380000000003</v>
      </c>
      <c r="AH247" s="137">
        <f t="shared" si="79"/>
        <v>-42.895380000000003</v>
      </c>
      <c r="AI247" s="137">
        <f t="shared" si="79"/>
        <v>-42.895380000000003</v>
      </c>
      <c r="AJ247" s="137">
        <f t="shared" si="79"/>
        <v>-42.895380000000003</v>
      </c>
      <c r="AK247" s="137">
        <f t="shared" si="79"/>
        <v>-42.895380000000003</v>
      </c>
      <c r="AL247" s="137">
        <f t="shared" si="79"/>
        <v>-42.895380000000003</v>
      </c>
      <c r="AM247" s="137">
        <f t="shared" si="79"/>
        <v>-42.895380000000003</v>
      </c>
      <c r="AN247" s="137">
        <f t="shared" si="79"/>
        <v>-42.895380000000003</v>
      </c>
      <c r="AO247" s="137">
        <f t="shared" si="79"/>
        <v>-42.895380000000003</v>
      </c>
      <c r="AP247" s="137">
        <f t="shared" si="79"/>
        <v>-42.895380000000003</v>
      </c>
      <c r="AQ247" s="137">
        <f t="shared" si="79"/>
        <v>-42.895380000000003</v>
      </c>
      <c r="AR247" s="137">
        <f t="shared" si="79"/>
        <v>-42.895380000000003</v>
      </c>
      <c r="AS247" s="137">
        <f t="shared" si="79"/>
        <v>-42.895380000000003</v>
      </c>
      <c r="AT247" s="137">
        <f t="shared" si="79"/>
        <v>-42.895380000000003</v>
      </c>
      <c r="AU247" s="137">
        <f t="shared" si="79"/>
        <v>-42.895380000000003</v>
      </c>
      <c r="AV247" s="137">
        <f t="shared" si="79"/>
        <v>-42.895380000000003</v>
      </c>
      <c r="AW247" s="137">
        <f t="shared" si="79"/>
        <v>-42.895380000000003</v>
      </c>
      <c r="AX247" s="137">
        <f t="shared" si="79"/>
        <v>-42.895380000000003</v>
      </c>
      <c r="AY247" s="137">
        <f t="shared" si="79"/>
        <v>-42.895380000000003</v>
      </c>
      <c r="AZ247" s="137">
        <f t="shared" si="79"/>
        <v>-42.895380000000003</v>
      </c>
      <c r="BA247" s="137">
        <f t="shared" si="79"/>
        <v>-42.895380000000003</v>
      </c>
      <c r="BB247" s="137">
        <f t="shared" si="79"/>
        <v>-42.895380000000003</v>
      </c>
      <c r="BC247" s="137">
        <f t="shared" si="79"/>
        <v>-42.895380000000003</v>
      </c>
      <c r="BD247" s="137">
        <f t="shared" si="79"/>
        <v>-42.895380000000003</v>
      </c>
      <c r="BE247" s="137">
        <f t="shared" si="79"/>
        <v>-42.895380000000003</v>
      </c>
      <c r="BF247" s="137">
        <f t="shared" si="79"/>
        <v>-42.895380000000003</v>
      </c>
      <c r="BG247" s="137">
        <f t="shared" si="79"/>
        <v>-42.895380000000003</v>
      </c>
      <c r="BH247" s="137">
        <f t="shared" si="79"/>
        <v>-42.895380000000003</v>
      </c>
      <c r="BI247" s="137">
        <f t="shared" si="79"/>
        <v>-42.895380000000003</v>
      </c>
      <c r="BJ247" s="137">
        <f t="shared" si="79"/>
        <v>-42.895380000000003</v>
      </c>
    </row>
    <row r="248" spans="18:62" x14ac:dyDescent="0.25">
      <c r="R248" t="s">
        <v>397</v>
      </c>
      <c r="S248" t="s">
        <v>396</v>
      </c>
      <c r="X248" s="137">
        <f t="shared" ref="X248:BJ248" si="80">X231</f>
        <v>-153.11538000000002</v>
      </c>
      <c r="Y248" s="137">
        <f t="shared" si="80"/>
        <v>-153.11538000000002</v>
      </c>
      <c r="Z248" s="137">
        <f t="shared" si="80"/>
        <v>-153.11538000000002</v>
      </c>
      <c r="AA248" s="137">
        <f t="shared" si="80"/>
        <v>-153.11538000000002</v>
      </c>
      <c r="AB248" s="137">
        <f t="shared" si="80"/>
        <v>-153.11538000000002</v>
      </c>
      <c r="AC248" s="137">
        <f t="shared" si="80"/>
        <v>-153.11538000000002</v>
      </c>
      <c r="AD248" s="137">
        <f t="shared" si="80"/>
        <v>-153.11538000000002</v>
      </c>
      <c r="AE248" s="137">
        <f t="shared" si="80"/>
        <v>-153.11538000000002</v>
      </c>
      <c r="AF248" s="137">
        <f t="shared" si="80"/>
        <v>-153.11538000000002</v>
      </c>
      <c r="AG248" s="137">
        <f t="shared" si="80"/>
        <v>-153.11538000000002</v>
      </c>
      <c r="AH248" s="137">
        <f t="shared" si="80"/>
        <v>-153.11538000000002</v>
      </c>
      <c r="AI248" s="137">
        <f t="shared" si="80"/>
        <v>-153.11538000000002</v>
      </c>
      <c r="AJ248" s="137">
        <f t="shared" si="80"/>
        <v>-153.11538000000002</v>
      </c>
      <c r="AK248" s="137">
        <f t="shared" si="80"/>
        <v>-153.11538000000002</v>
      </c>
      <c r="AL248" s="137">
        <f t="shared" si="80"/>
        <v>-153.11538000000002</v>
      </c>
      <c r="AM248" s="137">
        <f t="shared" si="80"/>
        <v>-153.11538000000002</v>
      </c>
      <c r="AN248" s="137">
        <f t="shared" si="80"/>
        <v>-153.11538000000002</v>
      </c>
      <c r="AO248" s="137">
        <f t="shared" si="80"/>
        <v>-153.11538000000002</v>
      </c>
      <c r="AP248" s="137">
        <f t="shared" si="80"/>
        <v>-153.11538000000002</v>
      </c>
      <c r="AQ248" s="137">
        <f t="shared" si="80"/>
        <v>-153.11538000000002</v>
      </c>
      <c r="AR248" s="137">
        <f t="shared" si="80"/>
        <v>-153.11538000000002</v>
      </c>
      <c r="AS248" s="137">
        <f t="shared" si="80"/>
        <v>-153.11538000000002</v>
      </c>
      <c r="AT248" s="137">
        <f t="shared" si="80"/>
        <v>-153.11538000000002</v>
      </c>
      <c r="AU248" s="137">
        <f t="shared" si="80"/>
        <v>-153.11538000000002</v>
      </c>
      <c r="AV248" s="137">
        <f t="shared" si="80"/>
        <v>-153.11538000000002</v>
      </c>
      <c r="AW248" s="137">
        <f t="shared" si="80"/>
        <v>-153.11538000000002</v>
      </c>
      <c r="AX248" s="137">
        <f t="shared" si="80"/>
        <v>-153.11538000000002</v>
      </c>
      <c r="AY248" s="137">
        <f t="shared" si="80"/>
        <v>-153.11538000000002</v>
      </c>
      <c r="AZ248" s="137">
        <f t="shared" si="80"/>
        <v>-153.11538000000002</v>
      </c>
      <c r="BA248" s="137">
        <f t="shared" si="80"/>
        <v>-153.11538000000002</v>
      </c>
      <c r="BB248" s="137">
        <f t="shared" si="80"/>
        <v>-153.11538000000002</v>
      </c>
      <c r="BC248" s="137">
        <f t="shared" si="80"/>
        <v>-153.11538000000002</v>
      </c>
      <c r="BD248" s="137">
        <f t="shared" si="80"/>
        <v>-153.11538000000002</v>
      </c>
      <c r="BE248" s="137">
        <f t="shared" si="80"/>
        <v>-153.11538000000002</v>
      </c>
      <c r="BF248" s="137">
        <f t="shared" si="80"/>
        <v>-153.11538000000002</v>
      </c>
      <c r="BG248" s="137">
        <f t="shared" si="80"/>
        <v>-153.11538000000002</v>
      </c>
      <c r="BH248" s="137">
        <f t="shared" si="80"/>
        <v>-153.11538000000002</v>
      </c>
      <c r="BI248" s="137">
        <f t="shared" si="80"/>
        <v>-153.11538000000002</v>
      </c>
      <c r="BJ248" s="137">
        <f t="shared" si="80"/>
        <v>-153.11538000000002</v>
      </c>
    </row>
    <row r="249" spans="18:62" x14ac:dyDescent="0.25">
      <c r="R249" t="s">
        <v>397</v>
      </c>
      <c r="S249" t="s">
        <v>396</v>
      </c>
      <c r="X249" s="137">
        <f t="shared" ref="X249:BJ249" si="81">X232</f>
        <v>-42.895380000000003</v>
      </c>
      <c r="Y249" s="137">
        <f t="shared" si="81"/>
        <v>-42.895380000000003</v>
      </c>
      <c r="Z249" s="137">
        <f t="shared" si="81"/>
        <v>-42.895380000000003</v>
      </c>
      <c r="AA249" s="137">
        <f t="shared" si="81"/>
        <v>-42.895380000000003</v>
      </c>
      <c r="AB249" s="137">
        <f t="shared" si="81"/>
        <v>-42.895380000000003</v>
      </c>
      <c r="AC249" s="137">
        <f t="shared" si="81"/>
        <v>-42.895380000000003</v>
      </c>
      <c r="AD249" s="137">
        <f t="shared" si="81"/>
        <v>-42.895380000000003</v>
      </c>
      <c r="AE249" s="137">
        <f t="shared" si="81"/>
        <v>-42.895380000000003</v>
      </c>
      <c r="AF249" s="137">
        <f t="shared" si="81"/>
        <v>-42.895380000000003</v>
      </c>
      <c r="AG249" s="137">
        <f t="shared" si="81"/>
        <v>-42.895380000000003</v>
      </c>
      <c r="AH249" s="137">
        <f t="shared" si="81"/>
        <v>-42.895380000000003</v>
      </c>
      <c r="AI249" s="137">
        <f t="shared" si="81"/>
        <v>-42.895380000000003</v>
      </c>
      <c r="AJ249" s="137">
        <f t="shared" si="81"/>
        <v>-42.895380000000003</v>
      </c>
      <c r="AK249" s="137">
        <f t="shared" si="81"/>
        <v>-42.895380000000003</v>
      </c>
      <c r="AL249" s="137">
        <f t="shared" si="81"/>
        <v>-42.895380000000003</v>
      </c>
      <c r="AM249" s="137">
        <f t="shared" si="81"/>
        <v>-42.895380000000003</v>
      </c>
      <c r="AN249" s="137">
        <f t="shared" si="81"/>
        <v>-42.895380000000003</v>
      </c>
      <c r="AO249" s="137">
        <f t="shared" si="81"/>
        <v>-42.895380000000003</v>
      </c>
      <c r="AP249" s="137">
        <f t="shared" si="81"/>
        <v>-42.895380000000003</v>
      </c>
      <c r="AQ249" s="137">
        <f t="shared" si="81"/>
        <v>-42.895380000000003</v>
      </c>
      <c r="AR249" s="137">
        <f t="shared" si="81"/>
        <v>-42.895380000000003</v>
      </c>
      <c r="AS249" s="137">
        <f t="shared" si="81"/>
        <v>-42.895380000000003</v>
      </c>
      <c r="AT249" s="137">
        <f t="shared" si="81"/>
        <v>-42.895380000000003</v>
      </c>
      <c r="AU249" s="137">
        <f t="shared" si="81"/>
        <v>-42.895380000000003</v>
      </c>
      <c r="AV249" s="137">
        <f t="shared" si="81"/>
        <v>-42.895380000000003</v>
      </c>
      <c r="AW249" s="137">
        <f t="shared" si="81"/>
        <v>-42.895380000000003</v>
      </c>
      <c r="AX249" s="137">
        <f t="shared" si="81"/>
        <v>-42.895380000000003</v>
      </c>
      <c r="AY249" s="137">
        <f t="shared" si="81"/>
        <v>-42.895380000000003</v>
      </c>
      <c r="AZ249" s="137">
        <f t="shared" si="81"/>
        <v>-42.895380000000003</v>
      </c>
      <c r="BA249" s="137">
        <f t="shared" si="81"/>
        <v>-42.895380000000003</v>
      </c>
      <c r="BB249" s="137">
        <f t="shared" si="81"/>
        <v>-42.895380000000003</v>
      </c>
      <c r="BC249" s="137">
        <f t="shared" si="81"/>
        <v>-42.895380000000003</v>
      </c>
      <c r="BD249" s="137">
        <f t="shared" si="81"/>
        <v>-42.895380000000003</v>
      </c>
      <c r="BE249" s="137">
        <f t="shared" si="81"/>
        <v>-42.895380000000003</v>
      </c>
      <c r="BF249" s="137">
        <f t="shared" si="81"/>
        <v>-42.895380000000003</v>
      </c>
      <c r="BG249" s="137">
        <f t="shared" si="81"/>
        <v>-42.895380000000003</v>
      </c>
      <c r="BH249" s="137">
        <f t="shared" si="81"/>
        <v>-42.895380000000003</v>
      </c>
      <c r="BI249" s="137">
        <f t="shared" si="81"/>
        <v>-42.895380000000003</v>
      </c>
      <c r="BJ249" s="137">
        <f t="shared" si="81"/>
        <v>-42.895380000000003</v>
      </c>
    </row>
    <row r="252" spans="18:62" x14ac:dyDescent="0.25">
      <c r="X252" s="182"/>
    </row>
  </sheetData>
  <sheetProtection algorithmName="SHA-512" hashValue="YeUM0o+iviR6rWq6cguJumX3K+7ab4yrkKpWUDuUZIT9wyS35WC3398/Dj8nXgvxDvM2D/gilQavwBHf65p3Iw==" saltValue="6ayfiIPG8yazZiO9pOGfSg==" spinCount="100000" sheet="1" objects="1" scenarios="1"/>
  <mergeCells count="2">
    <mergeCell ref="B20:D20"/>
    <mergeCell ref="B8:D9"/>
  </mergeCells>
  <conditionalFormatting sqref="BL103">
    <cfRule type="expression" dxfId="77" priority="1">
      <formula>$C94=0</formula>
    </cfRule>
  </conditionalFormatting>
  <dataValidations count="1">
    <dataValidation type="whole" allowBlank="1" showInputMessage="1" showErrorMessage="1" error="Limited to a range of 50-300 feet" sqref="C85:C87">
      <formula1>30</formula1>
      <formula2>300</formula2>
    </dataValidation>
  </dataValidations>
  <hyperlinks>
    <hyperlink ref="A28" r:id="rId1" display="Click here to download the &quot;Machinery Cost Estimates&quot; extension publication with more details on the machinery costs and a larger list of machines."/>
    <hyperlink ref="G10" location="Returns_per_A!AD101" display="Click to scroll to the fertilizer and yield calculations"/>
    <hyperlink ref="R95" location="Returns_per_A!A1" display="Return to the main cost and return calculations"/>
  </hyperlinks>
  <pageMargins left="0.7" right="0.7" top="0.75" bottom="0.75" header="0.3" footer="0.3"/>
  <pageSetup orientation="portrait" horizontalDpi="1200" verticalDpi="1200" r:id="rId2"/>
  <drawing r:id="rId3"/>
  <legacyDrawing r:id="rId4"/>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5"/>
  <dimension ref="A2:CR65"/>
  <sheetViews>
    <sheetView workbookViewId="0"/>
  </sheetViews>
  <sheetFormatPr defaultRowHeight="15" x14ac:dyDescent="0.25"/>
  <cols>
    <col min="1" max="1" width="34.28515625" customWidth="1"/>
    <col min="3" max="3" width="15.140625" customWidth="1"/>
    <col min="4" max="5" width="11.140625" customWidth="1"/>
    <col min="6" max="6" width="11.42578125" customWidth="1"/>
    <col min="7" max="7" width="11.140625" customWidth="1"/>
    <col min="11" max="11" width="22.28515625" customWidth="1"/>
    <col min="15" max="15" width="35.140625" customWidth="1"/>
    <col min="16" max="16" width="9.7109375" bestFit="1" customWidth="1"/>
  </cols>
  <sheetData>
    <row r="2" spans="1:17" ht="15.75" x14ac:dyDescent="0.25">
      <c r="A2" t="s">
        <v>1065</v>
      </c>
      <c r="B2" s="92"/>
      <c r="C2" s="601" t="s">
        <v>355</v>
      </c>
      <c r="E2" t="s">
        <v>1066</v>
      </c>
      <c r="J2" s="601" t="str">
        <f>INDEX(watershed_list,B7-1)</f>
        <v>Statewide</v>
      </c>
      <c r="Q2">
        <v>256</v>
      </c>
    </row>
    <row r="3" spans="1:17" x14ac:dyDescent="0.25">
      <c r="A3" s="196" t="s">
        <v>1067</v>
      </c>
      <c r="C3" s="602">
        <f>INDEX(Watersheds!AP38:'Watersheds'!AP117,MATCH(optwatshd,watershed_list,0))/1000000</f>
        <v>19.647267033658867</v>
      </c>
      <c r="E3" s="196" t="s">
        <v>1067</v>
      </c>
      <c r="J3" s="602">
        <f>Main!$E$7</f>
        <v>19.647267033658867</v>
      </c>
    </row>
    <row r="5" spans="1:17" ht="60" x14ac:dyDescent="0.25">
      <c r="C5" s="511" t="s">
        <v>1057</v>
      </c>
      <c r="D5" s="600" t="s">
        <v>914</v>
      </c>
      <c r="E5" s="511" t="s">
        <v>1058</v>
      </c>
      <c r="F5" s="511" t="s">
        <v>1059</v>
      </c>
      <c r="G5" s="600" t="s">
        <v>1060</v>
      </c>
      <c r="H5" s="600" t="s">
        <v>1061</v>
      </c>
      <c r="I5" s="600" t="s">
        <v>1062</v>
      </c>
      <c r="J5" s="511" t="s">
        <v>1063</v>
      </c>
      <c r="K5" s="511" t="s">
        <v>1064</v>
      </c>
    </row>
    <row r="6" spans="1:17" x14ac:dyDescent="0.25">
      <c r="A6" t="str">
        <f>Main!A10</f>
        <v>Adopt BMP P2O5 rate</v>
      </c>
      <c r="B6">
        <v>1</v>
      </c>
      <c r="C6" s="2">
        <f>$C$3*D6*1000000</f>
        <v>17471846.073321346</v>
      </c>
      <c r="D6" s="12">
        <f>Main!C10</f>
        <v>0.88927615445900521</v>
      </c>
      <c r="E6" s="13">
        <f>-Main!K10</f>
        <v>12.100658886849592</v>
      </c>
      <c r="F6">
        <v>9.9411704011685273</v>
      </c>
      <c r="G6" s="2">
        <f>C6*J6/($C$3*1000000)</f>
        <v>0.71142092356720432</v>
      </c>
      <c r="H6" s="191">
        <v>0</v>
      </c>
      <c r="I6" s="613">
        <v>0.8</v>
      </c>
      <c r="J6" s="1">
        <v>0.8</v>
      </c>
      <c r="K6" s="5">
        <f>C6*F6*J6</f>
        <v>138952479.2302998</v>
      </c>
    </row>
    <row r="7" spans="1:17" x14ac:dyDescent="0.25">
      <c r="A7" t="str">
        <f>Main!A11</f>
        <v>Fall corn&amp;wheat fert to preplant/starter</v>
      </c>
      <c r="B7">
        <v>2</v>
      </c>
      <c r="C7" s="2">
        <f t="shared" ref="C7:C15" si="0">$C$3*D7*1000000</f>
        <v>1512179.2353480977</v>
      </c>
      <c r="D7" s="12">
        <f>Main!C11</f>
        <v>7.6966390936586568E-2</v>
      </c>
      <c r="E7" s="13">
        <f>-Main!K11</f>
        <v>-39.136039464960518</v>
      </c>
      <c r="F7">
        <v>-66.948538806865713</v>
      </c>
      <c r="G7" s="2">
        <f t="shared" ref="G7:G15" si="1">C7*J7/($C$3*1000000)</f>
        <v>6.1573112749269243E-2</v>
      </c>
      <c r="H7" s="191">
        <v>0</v>
      </c>
      <c r="I7" s="476">
        <v>0.8</v>
      </c>
      <c r="J7" s="1">
        <v>0.79999999999999993</v>
      </c>
      <c r="K7" s="5">
        <f t="shared" ref="K7:K15" si="2">C7*F7*J7</f>
        <v>-80990552.176510915</v>
      </c>
    </row>
    <row r="8" spans="1:17" x14ac:dyDescent="0.25">
      <c r="A8" t="str">
        <f>Main!A12</f>
        <v>Use reduced tillage on corn, soy &amp; small gr &gt;2% slopes</v>
      </c>
      <c r="B8">
        <v>3</v>
      </c>
      <c r="C8" s="2">
        <f t="shared" si="0"/>
        <v>6253579.7658580849</v>
      </c>
      <c r="D8" s="12">
        <f>Main!C12</f>
        <v>0.31829260299382689</v>
      </c>
      <c r="E8" s="13">
        <f>-Main!K12</f>
        <v>14.976451913947145</v>
      </c>
      <c r="F8">
        <v>11155.47878873552</v>
      </c>
      <c r="G8" s="2">
        <f t="shared" si="1"/>
        <v>0</v>
      </c>
      <c r="H8" s="191">
        <v>0</v>
      </c>
      <c r="I8" s="613">
        <v>0.4</v>
      </c>
      <c r="J8" s="1">
        <v>0</v>
      </c>
      <c r="K8" s="5">
        <f t="shared" si="2"/>
        <v>0</v>
      </c>
    </row>
    <row r="9" spans="1:17" x14ac:dyDescent="0.25">
      <c r="A9" t="str">
        <f>Main!A13</f>
        <v>50 ft buffers, perm&amp;intermit streams, 100 ft treated</v>
      </c>
      <c r="B9">
        <v>4</v>
      </c>
      <c r="C9" s="2">
        <f t="shared" si="0"/>
        <v>647906.12438377424</v>
      </c>
      <c r="D9" s="12">
        <f>Main!C13</f>
        <v>3.2976908354419417E-2</v>
      </c>
      <c r="E9" s="13">
        <f>-Main!K13</f>
        <v>-63.427196961284487</v>
      </c>
      <c r="F9">
        <v>-102.33308305695147</v>
      </c>
      <c r="G9" s="2">
        <f t="shared" si="1"/>
        <v>8.2442270886048542E-3</v>
      </c>
      <c r="H9" s="191">
        <v>0</v>
      </c>
      <c r="I9" s="613">
        <v>0.25</v>
      </c>
      <c r="J9" s="1">
        <v>0.25</v>
      </c>
      <c r="K9" s="5">
        <f t="shared" si="2"/>
        <v>-16575557.809918074</v>
      </c>
    </row>
    <row r="10" spans="1:17" x14ac:dyDescent="0.25">
      <c r="A10" t="str">
        <f>Main!A14</f>
        <v>Perennial crop % of marginal corn&amp;soy land</v>
      </c>
      <c r="B10">
        <v>5</v>
      </c>
      <c r="C10" s="2">
        <f t="shared" si="0"/>
        <v>1642331.5993581517</v>
      </c>
      <c r="D10" s="12">
        <f>Main!C14</f>
        <v>8.3590842255290704E-2</v>
      </c>
      <c r="E10" s="13">
        <f>-Main!K14</f>
        <v>-20.161984592909988</v>
      </c>
      <c r="F10">
        <v>627.86868550626343</v>
      </c>
      <c r="G10" s="2">
        <f t="shared" si="1"/>
        <v>2.5077252676587211E-2</v>
      </c>
      <c r="H10" s="191">
        <v>0</v>
      </c>
      <c r="I10" s="613">
        <v>0.3</v>
      </c>
      <c r="J10" s="1">
        <v>0.3</v>
      </c>
      <c r="K10" s="5">
        <f t="shared" si="2"/>
        <v>309350574.73632056</v>
      </c>
    </row>
    <row r="11" spans="1:17" x14ac:dyDescent="0.25">
      <c r="A11" t="str">
        <f>Main!A15</f>
        <v>Corn grain &amp; soybean acres w/cereal rye cover crop</v>
      </c>
      <c r="B11">
        <v>6</v>
      </c>
      <c r="C11" s="2">
        <f t="shared" si="0"/>
        <v>14695757.274854667</v>
      </c>
      <c r="D11" s="12">
        <f>Main!C15</f>
        <v>0.74797971899493798</v>
      </c>
      <c r="E11" s="13">
        <f>-Main!K15</f>
        <v>-66.414999999999992</v>
      </c>
      <c r="F11">
        <v>-53.859863598518409</v>
      </c>
      <c r="G11" s="2">
        <f t="shared" si="1"/>
        <v>7.4797971899493804E-2</v>
      </c>
      <c r="H11" s="191">
        <v>0</v>
      </c>
      <c r="I11" s="613">
        <v>0.1</v>
      </c>
      <c r="J11" s="1">
        <v>0.1</v>
      </c>
      <c r="K11" s="5">
        <f t="shared" si="2"/>
        <v>-79151148.230060697</v>
      </c>
    </row>
    <row r="12" spans="1:17" x14ac:dyDescent="0.25">
      <c r="A12" t="str">
        <f>Main!A16</f>
        <v>Short season crops planted to a rye cover crop</v>
      </c>
      <c r="B12">
        <v>7</v>
      </c>
      <c r="C12" s="2">
        <f t="shared" si="0"/>
        <v>2776088.7984666768</v>
      </c>
      <c r="D12" s="12">
        <f>Main!C16</f>
        <v>0.14129643546406728</v>
      </c>
      <c r="E12" s="13">
        <f>-Main!K16</f>
        <v>-66.004999999999981</v>
      </c>
      <c r="F12">
        <v>-44.325533142731828</v>
      </c>
      <c r="G12" s="2">
        <f t="shared" si="1"/>
        <v>7.0648217732033655E-2</v>
      </c>
      <c r="H12" s="191">
        <v>0</v>
      </c>
      <c r="I12" s="613">
        <v>0.5</v>
      </c>
      <c r="J12" s="1">
        <v>0.5</v>
      </c>
      <c r="K12" s="5">
        <f t="shared" si="2"/>
        <v>-61525808.02180063</v>
      </c>
    </row>
    <row r="13" spans="1:17" x14ac:dyDescent="0.25">
      <c r="A13" t="str">
        <f>Main!A17</f>
        <v>Controlled drainage</v>
      </c>
      <c r="B13">
        <v>8</v>
      </c>
      <c r="C13" s="2">
        <f t="shared" si="0"/>
        <v>1995284.1281850005</v>
      </c>
      <c r="D13" s="12">
        <f>Main!C17</f>
        <v>0.10155530154737369</v>
      </c>
      <c r="E13" s="13">
        <f>-Main!K17</f>
        <v>-10.365843299646096</v>
      </c>
      <c r="F13">
        <v>-4.9839875629321718E-2</v>
      </c>
      <c r="G13" s="2">
        <f t="shared" si="1"/>
        <v>0</v>
      </c>
      <c r="H13" s="191">
        <v>0</v>
      </c>
      <c r="I13" s="613">
        <v>0.2</v>
      </c>
      <c r="J13" s="1">
        <v>0</v>
      </c>
      <c r="K13" s="5">
        <f t="shared" si="2"/>
        <v>0</v>
      </c>
    </row>
    <row r="14" spans="1:17" x14ac:dyDescent="0.25">
      <c r="A14" t="str">
        <f>Main!A18</f>
        <v>Alternative tile intakes</v>
      </c>
      <c r="B14">
        <v>9</v>
      </c>
      <c r="C14" s="2">
        <f t="shared" si="0"/>
        <v>1022086.1264024908</v>
      </c>
      <c r="D14" s="12">
        <f>Main!C18</f>
        <v>5.2021796448915567E-2</v>
      </c>
      <c r="E14" s="13">
        <f ca="1">-Main!K18</f>
        <v>-0.69749293593805639</v>
      </c>
      <c r="F14">
        <v>0</v>
      </c>
      <c r="G14" s="2">
        <f t="shared" si="1"/>
        <v>0</v>
      </c>
      <c r="H14" s="191">
        <v>0</v>
      </c>
      <c r="I14" s="613">
        <v>0.2</v>
      </c>
      <c r="J14" s="1">
        <v>0</v>
      </c>
      <c r="K14" s="5">
        <f t="shared" si="2"/>
        <v>0</v>
      </c>
    </row>
    <row r="15" spans="1:17" x14ac:dyDescent="0.25">
      <c r="A15" t="str">
        <f>Main!A19</f>
        <v>Inject or incorp manure</v>
      </c>
      <c r="B15">
        <v>10</v>
      </c>
      <c r="C15" s="2">
        <f t="shared" si="0"/>
        <v>947077.66001494997</v>
      </c>
      <c r="D15" s="12">
        <f>Main!C19</f>
        <v>4.8204040714286446E-2</v>
      </c>
      <c r="E15" s="13">
        <f>-Main!K19</f>
        <v>-14.996734396640042</v>
      </c>
      <c r="F15">
        <v>-66.94966623401703</v>
      </c>
      <c r="G15" s="2">
        <f t="shared" si="1"/>
        <v>2.4102020357143226E-2</v>
      </c>
      <c r="H15" s="191">
        <v>0</v>
      </c>
      <c r="I15" s="476">
        <v>0.5</v>
      </c>
      <c r="J15" s="1">
        <v>0.5</v>
      </c>
      <c r="K15" s="5">
        <f t="shared" si="2"/>
        <v>-31703266.617847379</v>
      </c>
    </row>
    <row r="17" spans="10:18" x14ac:dyDescent="0.25">
      <c r="J17" s="150" t="s">
        <v>1068</v>
      </c>
      <c r="K17" s="603">
        <f>SUM(K6:K15)</f>
        <v>178356721.11048263</v>
      </c>
    </row>
    <row r="18" spans="10:18" x14ac:dyDescent="0.25">
      <c r="J18" s="150" t="s">
        <v>1069</v>
      </c>
      <c r="K18" s="603">
        <v>-939405.91688442626</v>
      </c>
    </row>
    <row r="19" spans="10:18" x14ac:dyDescent="0.25">
      <c r="J19" s="604" t="s">
        <v>1070</v>
      </c>
      <c r="K19" s="605">
        <v>2.4112027806115311E-2</v>
      </c>
    </row>
    <row r="20" spans="10:18" x14ac:dyDescent="0.25">
      <c r="J20" s="150" t="s">
        <v>1071</v>
      </c>
      <c r="K20" s="606">
        <f>K19/(loadac*watershed_acre)</f>
        <v>3.4248398155757418E-3</v>
      </c>
      <c r="R20" s="1">
        <v>0</v>
      </c>
    </row>
    <row r="21" spans="10:18" x14ac:dyDescent="0.25">
      <c r="J21" s="198" t="s">
        <v>1072</v>
      </c>
      <c r="K21" s="191">
        <v>0.4</v>
      </c>
    </row>
    <row r="27" spans="10:18" x14ac:dyDescent="0.25">
      <c r="J27" s="150" t="s">
        <v>1073</v>
      </c>
      <c r="K27" s="472">
        <v>1400000000</v>
      </c>
    </row>
    <row r="43" spans="15:16" x14ac:dyDescent="0.25">
      <c r="O43" t="s">
        <v>1045</v>
      </c>
      <c r="P43" s="213">
        <v>1</v>
      </c>
    </row>
    <row r="44" spans="15:16" x14ac:dyDescent="0.25">
      <c r="O44" t="s">
        <v>1046</v>
      </c>
      <c r="P44" s="591">
        <v>4</v>
      </c>
    </row>
    <row r="45" spans="15:16" x14ac:dyDescent="0.25">
      <c r="O45" t="s">
        <v>1074</v>
      </c>
      <c r="P45" s="607"/>
    </row>
    <row r="46" spans="15:16" x14ac:dyDescent="0.25">
      <c r="P46" s="608"/>
    </row>
    <row r="47" spans="15:16" x14ac:dyDescent="0.25">
      <c r="P47" s="608"/>
    </row>
    <row r="48" spans="15:16" x14ac:dyDescent="0.25">
      <c r="P48" t="s">
        <v>1047</v>
      </c>
    </row>
    <row r="49" spans="15:96" ht="77.25" x14ac:dyDescent="0.25">
      <c r="P49" t="str">
        <f>optwatshd</f>
        <v>Statewide</v>
      </c>
      <c r="Q49" t="s">
        <v>355</v>
      </c>
      <c r="R49" s="598" t="s">
        <v>355</v>
      </c>
      <c r="S49" s="598" t="s">
        <v>355</v>
      </c>
      <c r="T49" s="598" t="s">
        <v>355</v>
      </c>
      <c r="U49" s="116" t="s">
        <v>351</v>
      </c>
      <c r="V49" s="116" t="s">
        <v>350</v>
      </c>
      <c r="W49" s="116" t="s">
        <v>349</v>
      </c>
      <c r="X49" s="116" t="s">
        <v>348</v>
      </c>
      <c r="Y49" s="116" t="s">
        <v>347</v>
      </c>
      <c r="Z49" s="116" t="s">
        <v>346</v>
      </c>
      <c r="AA49" s="116" t="s">
        <v>345</v>
      </c>
      <c r="AB49" s="116" t="s">
        <v>344</v>
      </c>
      <c r="AC49" s="116" t="s">
        <v>343</v>
      </c>
      <c r="AD49" s="116" t="s">
        <v>342</v>
      </c>
      <c r="AE49" s="116" t="s">
        <v>341</v>
      </c>
      <c r="AF49" s="116" t="s">
        <v>340</v>
      </c>
      <c r="AG49" s="116" t="s">
        <v>339</v>
      </c>
      <c r="AH49" s="116" t="s">
        <v>338</v>
      </c>
      <c r="AI49" s="116" t="s">
        <v>337</v>
      </c>
      <c r="AJ49" s="116" t="s">
        <v>336</v>
      </c>
      <c r="AK49" s="116" t="s">
        <v>335</v>
      </c>
      <c r="AL49" s="116" t="s">
        <v>334</v>
      </c>
      <c r="AM49" s="116" t="s">
        <v>333</v>
      </c>
      <c r="AN49" s="116" t="s">
        <v>332</v>
      </c>
      <c r="AO49" s="116" t="s">
        <v>331</v>
      </c>
      <c r="AP49" s="116" t="s">
        <v>330</v>
      </c>
      <c r="AQ49" s="116" t="s">
        <v>329</v>
      </c>
      <c r="AR49" s="116" t="s">
        <v>328</v>
      </c>
      <c r="AS49" s="116" t="s">
        <v>327</v>
      </c>
      <c r="AT49" s="116" t="s">
        <v>326</v>
      </c>
      <c r="AU49" s="116" t="s">
        <v>325</v>
      </c>
      <c r="AV49" s="116" t="s">
        <v>324</v>
      </c>
      <c r="AW49" s="116" t="s">
        <v>323</v>
      </c>
      <c r="AX49" s="116" t="s">
        <v>322</v>
      </c>
      <c r="AY49" s="116" t="s">
        <v>321</v>
      </c>
      <c r="AZ49" s="116" t="s">
        <v>320</v>
      </c>
      <c r="BA49" s="116" t="s">
        <v>319</v>
      </c>
      <c r="BB49" s="116" t="s">
        <v>318</v>
      </c>
      <c r="BC49" s="116" t="s">
        <v>317</v>
      </c>
      <c r="BD49" s="116" t="s">
        <v>316</v>
      </c>
      <c r="BE49" s="116" t="s">
        <v>315</v>
      </c>
      <c r="BF49" s="116" t="s">
        <v>314</v>
      </c>
      <c r="BG49" s="116" t="s">
        <v>313</v>
      </c>
      <c r="BH49" s="116" t="s">
        <v>312</v>
      </c>
      <c r="BI49" s="116" t="s">
        <v>311</v>
      </c>
      <c r="BJ49" s="116" t="s">
        <v>310</v>
      </c>
      <c r="BK49" s="116" t="s">
        <v>309</v>
      </c>
      <c r="BL49" s="116" t="s">
        <v>308</v>
      </c>
      <c r="BM49" s="116" t="s">
        <v>307</v>
      </c>
      <c r="BN49" s="116" t="s">
        <v>306</v>
      </c>
      <c r="BO49" s="116" t="s">
        <v>305</v>
      </c>
      <c r="BP49" s="116" t="s">
        <v>304</v>
      </c>
      <c r="BQ49" s="116" t="s">
        <v>303</v>
      </c>
      <c r="BR49" s="116" t="s">
        <v>302</v>
      </c>
      <c r="BS49" s="116" t="s">
        <v>301</v>
      </c>
      <c r="BT49" s="116" t="s">
        <v>300</v>
      </c>
      <c r="BU49" s="116" t="s">
        <v>300</v>
      </c>
      <c r="BV49" s="116" t="s">
        <v>299</v>
      </c>
      <c r="BW49" s="116" t="s">
        <v>298</v>
      </c>
      <c r="BX49" s="116" t="s">
        <v>297</v>
      </c>
      <c r="BY49" s="116" t="s">
        <v>296</v>
      </c>
      <c r="BZ49" s="116" t="s">
        <v>295</v>
      </c>
      <c r="CA49" s="116" t="s">
        <v>294</v>
      </c>
      <c r="CB49" s="116" t="s">
        <v>293</v>
      </c>
      <c r="CC49" s="116" t="s">
        <v>292</v>
      </c>
      <c r="CD49" s="116" t="s">
        <v>291</v>
      </c>
      <c r="CE49" s="116" t="s">
        <v>290</v>
      </c>
      <c r="CF49" s="116" t="s">
        <v>289</v>
      </c>
      <c r="CG49" s="116" t="s">
        <v>288</v>
      </c>
      <c r="CH49" s="119" t="s">
        <v>287</v>
      </c>
      <c r="CI49" s="117" t="s">
        <v>286</v>
      </c>
      <c r="CJ49" s="116" t="s">
        <v>285</v>
      </c>
      <c r="CK49" s="116" t="s">
        <v>284</v>
      </c>
      <c r="CL49" s="116" t="s">
        <v>283</v>
      </c>
      <c r="CM49" s="115" t="s">
        <v>282</v>
      </c>
      <c r="CN49" s="115" t="s">
        <v>281</v>
      </c>
      <c r="CO49" s="115" t="s">
        <v>280</v>
      </c>
      <c r="CP49" s="115" t="s">
        <v>279</v>
      </c>
      <c r="CQ49" s="115" t="s">
        <v>278</v>
      </c>
      <c r="CR49" s="115" t="s">
        <v>277</v>
      </c>
    </row>
    <row r="50" spans="15:96" x14ac:dyDescent="0.25">
      <c r="O50" t="s">
        <v>1049</v>
      </c>
      <c r="P50" s="13">
        <f>K18/1000000</f>
        <v>-0.93940591688442621</v>
      </c>
      <c r="Q50">
        <v>-102.59508668497756</v>
      </c>
      <c r="R50">
        <v>-0.6360556517815199</v>
      </c>
      <c r="S50">
        <v>-0.94003910909911503</v>
      </c>
      <c r="T50">
        <v>-0.93940591688442621</v>
      </c>
    </row>
    <row r="51" spans="15:96" x14ac:dyDescent="0.25">
      <c r="O51" t="s">
        <v>1055</v>
      </c>
      <c r="P51" s="13">
        <f ca="1">P50+P52</f>
        <v>-177.53784224558467</v>
      </c>
      <c r="Q51">
        <v>-102.59508668497756</v>
      </c>
      <c r="R51">
        <v>-0.6360556517815199</v>
      </c>
      <c r="S51">
        <v>-0.94003910909911503</v>
      </c>
      <c r="T51">
        <v>-0.93940591688442621</v>
      </c>
    </row>
    <row r="52" spans="15:96" x14ac:dyDescent="0.25">
      <c r="O52" t="s">
        <v>1056</v>
      </c>
      <c r="P52">
        <f ca="1">Scenarios!C13</f>
        <v>-176.59843632870025</v>
      </c>
      <c r="Q52" s="139">
        <v>0</v>
      </c>
      <c r="R52">
        <v>0</v>
      </c>
      <c r="S52">
        <v>0</v>
      </c>
      <c r="T52">
        <v>0</v>
      </c>
    </row>
    <row r="53" spans="15:96" x14ac:dyDescent="0.25">
      <c r="O53" t="s">
        <v>1050</v>
      </c>
      <c r="P53" s="13">
        <f>Scenarios!C14</f>
        <v>2.4411004032835648</v>
      </c>
      <c r="Q53">
        <v>0</v>
      </c>
      <c r="R53">
        <v>0</v>
      </c>
      <c r="S53">
        <v>0</v>
      </c>
      <c r="T53">
        <v>0</v>
      </c>
    </row>
    <row r="54" spans="15:96" x14ac:dyDescent="0.25">
      <c r="O54" t="s">
        <v>937</v>
      </c>
      <c r="P54" s="13">
        <f ca="1">Scenarios!C15</f>
        <v>33.649504669306104</v>
      </c>
      <c r="Q54">
        <v>82.684059101076684</v>
      </c>
      <c r="R54">
        <v>15.722759141722706</v>
      </c>
      <c r="S54">
        <v>51.813491142646349</v>
      </c>
      <c r="T54">
        <v>38.960054477300055</v>
      </c>
    </row>
    <row r="55" spans="15:96" x14ac:dyDescent="0.25">
      <c r="O55" t="s">
        <v>1052</v>
      </c>
      <c r="P55" s="96">
        <f>K20</f>
        <v>3.4248398155757418E-3</v>
      </c>
      <c r="Q55">
        <v>0.1636594778170965</v>
      </c>
      <c r="R55">
        <v>0.14685478753145978</v>
      </c>
      <c r="S55">
        <v>0.23606384885050982</v>
      </c>
      <c r="T55">
        <v>0.21489075894973264</v>
      </c>
    </row>
    <row r="56" spans="15:96" x14ac:dyDescent="0.25">
      <c r="O56" t="s">
        <v>1044</v>
      </c>
      <c r="P56" s="12">
        <f>watadopt1</f>
        <v>0.8</v>
      </c>
      <c r="Q56">
        <v>0.8</v>
      </c>
      <c r="R56">
        <v>0.8</v>
      </c>
      <c r="S56">
        <v>0.8</v>
      </c>
      <c r="T56">
        <v>0.8</v>
      </c>
    </row>
    <row r="57" spans="15:96" x14ac:dyDescent="0.25">
      <c r="O57" t="s">
        <v>789</v>
      </c>
      <c r="P57" s="12">
        <f>Main!D11</f>
        <v>0.5</v>
      </c>
      <c r="Q57">
        <v>0.8</v>
      </c>
      <c r="R57">
        <v>0.8</v>
      </c>
      <c r="S57">
        <v>0.8</v>
      </c>
      <c r="T57">
        <v>0.79999999999999993</v>
      </c>
    </row>
    <row r="58" spans="15:96" x14ac:dyDescent="0.25">
      <c r="O58" t="s">
        <v>764</v>
      </c>
      <c r="P58" s="12">
        <f>Main!D12</f>
        <v>0.4</v>
      </c>
      <c r="Q58">
        <v>0</v>
      </c>
      <c r="R58">
        <v>0</v>
      </c>
      <c r="S58">
        <v>0</v>
      </c>
      <c r="T58">
        <v>0</v>
      </c>
    </row>
    <row r="59" spans="15:96" x14ac:dyDescent="0.25">
      <c r="O59" t="s">
        <v>4</v>
      </c>
      <c r="P59" s="12">
        <f>Main!D13</f>
        <v>0.25</v>
      </c>
      <c r="Q59">
        <v>0.25</v>
      </c>
      <c r="R59">
        <v>0.25</v>
      </c>
      <c r="S59">
        <v>0.25</v>
      </c>
      <c r="T59">
        <v>0.25</v>
      </c>
    </row>
    <row r="60" spans="15:96" x14ac:dyDescent="0.25">
      <c r="O60" t="s">
        <v>834</v>
      </c>
      <c r="P60" s="12">
        <f>Main!D14</f>
        <v>0.3</v>
      </c>
      <c r="Q60">
        <v>0.3</v>
      </c>
      <c r="R60">
        <v>0.3</v>
      </c>
      <c r="S60">
        <v>0.3</v>
      </c>
      <c r="T60">
        <v>0.3</v>
      </c>
    </row>
    <row r="61" spans="15:96" x14ac:dyDescent="0.25">
      <c r="O61" t="s">
        <v>840</v>
      </c>
      <c r="P61" s="12">
        <f>Main!D15</f>
        <v>0.1</v>
      </c>
      <c r="Q61">
        <v>0.1</v>
      </c>
      <c r="R61">
        <v>0.1</v>
      </c>
      <c r="S61">
        <v>0.1</v>
      </c>
      <c r="T61">
        <v>0.1</v>
      </c>
    </row>
    <row r="62" spans="15:96" x14ac:dyDescent="0.25">
      <c r="O62" t="s">
        <v>841</v>
      </c>
      <c r="P62" s="12">
        <f>Main!D16</f>
        <v>0.5</v>
      </c>
      <c r="Q62">
        <v>0.5</v>
      </c>
      <c r="R62">
        <v>0.5</v>
      </c>
      <c r="S62">
        <v>0.5</v>
      </c>
      <c r="T62">
        <v>0.5</v>
      </c>
    </row>
    <row r="63" spans="15:96" x14ac:dyDescent="0.25">
      <c r="O63" t="s">
        <v>1018</v>
      </c>
      <c r="P63" s="12">
        <f>Main!D17</f>
        <v>0.2</v>
      </c>
      <c r="Q63">
        <v>0.2</v>
      </c>
      <c r="R63">
        <v>0</v>
      </c>
      <c r="S63">
        <v>0</v>
      </c>
      <c r="T63">
        <v>0</v>
      </c>
    </row>
    <row r="64" spans="15:96" x14ac:dyDescent="0.25">
      <c r="O64" t="s">
        <v>2</v>
      </c>
      <c r="P64" s="12">
        <f>Main!D18</f>
        <v>0.8</v>
      </c>
      <c r="Q64">
        <v>0.2</v>
      </c>
      <c r="R64">
        <v>0</v>
      </c>
      <c r="S64">
        <v>0</v>
      </c>
      <c r="T64">
        <v>0</v>
      </c>
    </row>
    <row r="65" spans="15:20" x14ac:dyDescent="0.25">
      <c r="O65" t="s">
        <v>766</v>
      </c>
      <c r="P65" s="12">
        <f>Main!D19</f>
        <v>0.5</v>
      </c>
      <c r="Q65">
        <v>0.5</v>
      </c>
      <c r="R65">
        <v>0.5</v>
      </c>
      <c r="S65">
        <v>0.5</v>
      </c>
      <c r="T65">
        <v>0.5</v>
      </c>
    </row>
  </sheetData>
  <sheetProtection algorithmName="SHA-512" hashValue="oJcpKtCgNFtRUlsqZzeyc3myvPfvvw8B+qfOq9HNaE2Ty0c7LGFNijoIESxz6pUULrhpuBWy1HjcOE7D4s7ciw==" saltValue="MJbQnB2i29V6qmXbFiWYAQ==" spinCount="100000" sheet="1" objects="1" scenarios="1"/>
  <conditionalFormatting sqref="J20:K20">
    <cfRule type="expression" dxfId="76" priority="1">
      <formula>$C$2&lt;&gt;$J$2</formula>
    </cfRule>
  </conditionalFormatting>
  <dataValidations count="2">
    <dataValidation type="whole" allowBlank="1" showInputMessage="1" showErrorMessage="1" promptTitle="Maximum" prompt="This number should be zero, or else at least as large as the first row, and not larger than the largest number in column H." sqref="P44">
      <formula1>#REF!</formula1>
      <formula2>T36</formula2>
    </dataValidation>
    <dataValidation type="whole" allowBlank="1" showInputMessage="1" showErrorMessage="1" errorTitle="Maximum" error="This number may not be greater than the largest number in column H." promptTitle="Maximum" prompt="This number must not be larger than the largest number in column H." sqref="P43">
      <formula1>#REF!</formula1>
      <formula2>T36</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7217" r:id="rId3" name="Button 1">
              <controlPr defaultSize="0" print="0" autoFill="0" autoPict="0" macro="[0]!optimizecost">
                <anchor moveWithCells="1" sizeWithCells="1">
                  <from>
                    <xdr:col>7</xdr:col>
                    <xdr:colOff>247650</xdr:colOff>
                    <xdr:row>21</xdr:row>
                    <xdr:rowOff>66675</xdr:rowOff>
                  </from>
                  <to>
                    <xdr:col>11</xdr:col>
                    <xdr:colOff>9525</xdr:colOff>
                    <xdr:row>24</xdr:row>
                    <xdr:rowOff>0</xdr:rowOff>
                  </to>
                </anchor>
              </controlPr>
            </control>
          </mc:Choice>
        </mc:AlternateContent>
        <mc:AlternateContent xmlns:mc="http://schemas.openxmlformats.org/markup-compatibility/2006">
          <mc:Choice Requires="x14">
            <control shapeId="137218" r:id="rId4" name="Button 2">
              <controlPr defaultSize="0" print="0" autoFill="0" autoPict="0" macro="[0]!optimize">
                <anchor moveWithCells="1" sizeWithCells="1">
                  <from>
                    <xdr:col>7</xdr:col>
                    <xdr:colOff>238125</xdr:colOff>
                    <xdr:row>27</xdr:row>
                    <xdr:rowOff>95250</xdr:rowOff>
                  </from>
                  <to>
                    <xdr:col>11</xdr:col>
                    <xdr:colOff>0</xdr:colOff>
                    <xdr:row>30</xdr:row>
                    <xdr:rowOff>28575</xdr:rowOff>
                  </to>
                </anchor>
              </controlPr>
            </control>
          </mc:Choice>
        </mc:AlternateContent>
        <mc:AlternateContent xmlns:mc="http://schemas.openxmlformats.org/markup-compatibility/2006">
          <mc:Choice Requires="x14">
            <control shapeId="137219" r:id="rId5" name="Button 3">
              <controlPr defaultSize="0" print="0" autoFill="0" autoPict="0" macro="[0]!optimizecostmulti">
                <anchor moveWithCells="1" sizeWithCells="1">
                  <from>
                    <xdr:col>14</xdr:col>
                    <xdr:colOff>47625</xdr:colOff>
                    <xdr:row>39</xdr:row>
                    <xdr:rowOff>57150</xdr:rowOff>
                  </from>
                  <to>
                    <xdr:col>15</xdr:col>
                    <xdr:colOff>438150</xdr:colOff>
                    <xdr:row>41</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3"/>
  <dimension ref="A4:CE68"/>
  <sheetViews>
    <sheetView workbookViewId="0"/>
  </sheetViews>
  <sheetFormatPr defaultRowHeight="15" x14ac:dyDescent="0.25"/>
  <cols>
    <col min="1" max="1" width="20.7109375" customWidth="1"/>
    <col min="2" max="2" width="32.85546875" customWidth="1"/>
    <col min="4" max="4" width="15" customWidth="1"/>
  </cols>
  <sheetData>
    <row r="4" spans="2:83" x14ac:dyDescent="0.25">
      <c r="B4" t="s">
        <v>1045</v>
      </c>
      <c r="C4" s="213">
        <v>1</v>
      </c>
    </row>
    <row r="5" spans="2:83" x14ac:dyDescent="0.25">
      <c r="B5" t="s">
        <v>1046</v>
      </c>
      <c r="C5" s="591">
        <v>4</v>
      </c>
    </row>
    <row r="8" spans="2:83" x14ac:dyDescent="0.25">
      <c r="B8" s="21"/>
      <c r="C8" s="21" t="s">
        <v>1047</v>
      </c>
      <c r="D8" s="592">
        <v>1</v>
      </c>
      <c r="E8" s="592">
        <v>2</v>
      </c>
      <c r="F8" s="592">
        <v>3</v>
      </c>
      <c r="G8" s="592">
        <v>4</v>
      </c>
      <c r="H8" s="592">
        <v>5</v>
      </c>
      <c r="I8" s="592">
        <v>6</v>
      </c>
      <c r="J8" s="592">
        <v>7</v>
      </c>
      <c r="K8" s="592">
        <v>8</v>
      </c>
      <c r="L8" s="592">
        <v>9</v>
      </c>
      <c r="M8" s="592">
        <v>10</v>
      </c>
      <c r="N8" s="592">
        <v>11</v>
      </c>
      <c r="O8" s="592">
        <v>12</v>
      </c>
      <c r="P8" s="592">
        <v>13</v>
      </c>
      <c r="Q8" s="592">
        <v>14</v>
      </c>
      <c r="R8" s="592">
        <v>15</v>
      </c>
      <c r="S8" s="592">
        <v>16</v>
      </c>
      <c r="T8" s="592">
        <v>17</v>
      </c>
      <c r="U8" s="592">
        <v>18</v>
      </c>
      <c r="V8" s="592">
        <v>19</v>
      </c>
      <c r="W8" s="592">
        <v>20</v>
      </c>
      <c r="X8" s="592">
        <v>21</v>
      </c>
      <c r="Y8" s="592">
        <v>22</v>
      </c>
      <c r="Z8" s="592">
        <v>23</v>
      </c>
      <c r="AA8" s="592">
        <v>24</v>
      </c>
      <c r="AB8" s="592">
        <v>25</v>
      </c>
      <c r="AC8" s="592">
        <v>26</v>
      </c>
      <c r="AD8" s="592">
        <v>27</v>
      </c>
      <c r="AE8" s="592">
        <v>28</v>
      </c>
      <c r="AF8" s="592">
        <v>29</v>
      </c>
      <c r="AG8" s="592">
        <v>30</v>
      </c>
      <c r="AH8" s="592">
        <v>31</v>
      </c>
      <c r="AI8" s="592">
        <v>32</v>
      </c>
      <c r="AJ8" s="592">
        <v>33</v>
      </c>
      <c r="AK8" s="592">
        <v>34</v>
      </c>
      <c r="AL8" s="592">
        <v>35</v>
      </c>
      <c r="AM8" s="592">
        <v>36</v>
      </c>
      <c r="AN8" s="592">
        <v>37</v>
      </c>
      <c r="AO8" s="592">
        <v>38</v>
      </c>
      <c r="AP8" s="592">
        <v>39</v>
      </c>
      <c r="AQ8" s="592">
        <v>40</v>
      </c>
      <c r="AR8" s="592">
        <v>41</v>
      </c>
      <c r="AS8" s="592">
        <v>42</v>
      </c>
      <c r="AT8" s="592">
        <v>43</v>
      </c>
      <c r="AU8" s="592">
        <v>44</v>
      </c>
      <c r="AV8" s="592">
        <v>45</v>
      </c>
      <c r="AW8" s="592">
        <v>46</v>
      </c>
      <c r="AX8" s="592">
        <v>47</v>
      </c>
      <c r="AY8" s="592">
        <v>48</v>
      </c>
      <c r="AZ8" s="592">
        <v>49</v>
      </c>
      <c r="BA8" s="592">
        <v>50</v>
      </c>
      <c r="BB8" s="592">
        <v>51</v>
      </c>
      <c r="BC8" s="592">
        <v>52</v>
      </c>
      <c r="BD8" s="592">
        <v>53</v>
      </c>
      <c r="BE8" s="592">
        <v>54</v>
      </c>
      <c r="BF8" s="592">
        <v>55</v>
      </c>
      <c r="BG8" s="592">
        <v>56</v>
      </c>
      <c r="BH8" s="592">
        <v>57</v>
      </c>
      <c r="BI8" s="592">
        <v>58</v>
      </c>
      <c r="BJ8" s="592">
        <v>59</v>
      </c>
      <c r="BK8" s="592">
        <v>60</v>
      </c>
      <c r="BL8" s="592">
        <v>61</v>
      </c>
      <c r="BM8" s="592">
        <v>62</v>
      </c>
      <c r="BN8" s="592">
        <v>63</v>
      </c>
      <c r="BO8" s="592">
        <v>64</v>
      </c>
      <c r="BP8" s="592">
        <v>65</v>
      </c>
      <c r="BQ8" s="592">
        <v>66</v>
      </c>
      <c r="BR8" s="592">
        <v>67</v>
      </c>
      <c r="BS8" s="592">
        <v>68</v>
      </c>
      <c r="BT8" s="592">
        <v>69</v>
      </c>
      <c r="BU8" s="593">
        <v>70</v>
      </c>
      <c r="BV8" s="594">
        <v>71</v>
      </c>
      <c r="BW8" s="594">
        <v>72</v>
      </c>
      <c r="BX8" s="594">
        <v>73</v>
      </c>
      <c r="BY8" s="594">
        <v>74</v>
      </c>
      <c r="BZ8" s="594">
        <v>75</v>
      </c>
      <c r="CA8" s="594">
        <v>76</v>
      </c>
      <c r="CB8" s="594">
        <v>77</v>
      </c>
      <c r="CC8" s="594">
        <v>78</v>
      </c>
      <c r="CD8" s="594">
        <v>79</v>
      </c>
      <c r="CE8" s="594">
        <v>80</v>
      </c>
    </row>
    <row r="9" spans="2:83" x14ac:dyDescent="0.25">
      <c r="B9" s="21" t="s">
        <v>1048</v>
      </c>
      <c r="C9" s="21"/>
      <c r="D9" s="592"/>
      <c r="BU9" s="593"/>
      <c r="BV9" s="594"/>
      <c r="BW9" s="594"/>
      <c r="BX9" s="594"/>
      <c r="BY9" s="594"/>
      <c r="BZ9" s="594"/>
      <c r="CA9" s="594"/>
      <c r="CB9" s="594"/>
      <c r="CC9" s="594"/>
      <c r="CD9" s="594"/>
      <c r="CE9" s="594"/>
    </row>
    <row r="10" spans="2:83" ht="77.25" x14ac:dyDescent="0.25">
      <c r="B10" s="21"/>
      <c r="C10" s="595"/>
      <c r="D10" s="451" t="s">
        <v>355</v>
      </c>
      <c r="E10" s="598" t="s">
        <v>354</v>
      </c>
      <c r="F10" s="598" t="s">
        <v>353</v>
      </c>
      <c r="G10" s="598" t="s">
        <v>352</v>
      </c>
      <c r="H10" s="116" t="s">
        <v>351</v>
      </c>
      <c r="I10" s="116" t="s">
        <v>350</v>
      </c>
      <c r="J10" s="116" t="s">
        <v>349</v>
      </c>
      <c r="K10" s="116" t="s">
        <v>348</v>
      </c>
      <c r="L10" s="116" t="s">
        <v>347</v>
      </c>
      <c r="M10" s="116" t="s">
        <v>346</v>
      </c>
      <c r="N10" s="116" t="s">
        <v>345</v>
      </c>
      <c r="O10" s="116" t="s">
        <v>344</v>
      </c>
      <c r="P10" s="116" t="s">
        <v>343</v>
      </c>
      <c r="Q10" s="116" t="s">
        <v>342</v>
      </c>
      <c r="R10" s="116" t="s">
        <v>341</v>
      </c>
      <c r="S10" s="116" t="s">
        <v>340</v>
      </c>
      <c r="T10" s="116" t="s">
        <v>339</v>
      </c>
      <c r="U10" s="116" t="s">
        <v>338</v>
      </c>
      <c r="V10" s="116" t="s">
        <v>337</v>
      </c>
      <c r="W10" s="116" t="s">
        <v>336</v>
      </c>
      <c r="X10" s="116" t="s">
        <v>335</v>
      </c>
      <c r="Y10" s="116" t="s">
        <v>334</v>
      </c>
      <c r="Z10" s="116" t="s">
        <v>333</v>
      </c>
      <c r="AA10" s="116" t="s">
        <v>332</v>
      </c>
      <c r="AB10" s="116" t="s">
        <v>331</v>
      </c>
      <c r="AC10" s="116" t="s">
        <v>330</v>
      </c>
      <c r="AD10" s="116" t="s">
        <v>329</v>
      </c>
      <c r="AE10" s="116" t="s">
        <v>328</v>
      </c>
      <c r="AF10" s="116" t="s">
        <v>327</v>
      </c>
      <c r="AG10" s="116" t="s">
        <v>326</v>
      </c>
      <c r="AH10" s="116" t="s">
        <v>325</v>
      </c>
      <c r="AI10" s="116" t="s">
        <v>324</v>
      </c>
      <c r="AJ10" s="116" t="s">
        <v>323</v>
      </c>
      <c r="AK10" s="116" t="s">
        <v>322</v>
      </c>
      <c r="AL10" s="116" t="s">
        <v>321</v>
      </c>
      <c r="AM10" s="116" t="s">
        <v>320</v>
      </c>
      <c r="AN10" s="116" t="s">
        <v>319</v>
      </c>
      <c r="AO10" s="116" t="s">
        <v>318</v>
      </c>
      <c r="AP10" s="116" t="s">
        <v>317</v>
      </c>
      <c r="AQ10" s="116" t="s">
        <v>316</v>
      </c>
      <c r="AR10" s="116" t="s">
        <v>315</v>
      </c>
      <c r="AS10" s="116" t="s">
        <v>314</v>
      </c>
      <c r="AT10" s="116" t="s">
        <v>313</v>
      </c>
      <c r="AU10" s="116" t="s">
        <v>312</v>
      </c>
      <c r="AV10" s="116" t="s">
        <v>311</v>
      </c>
      <c r="AW10" s="116" t="s">
        <v>310</v>
      </c>
      <c r="AX10" s="116" t="s">
        <v>309</v>
      </c>
      <c r="AY10" s="116" t="s">
        <v>308</v>
      </c>
      <c r="AZ10" s="116" t="s">
        <v>307</v>
      </c>
      <c r="BA10" s="116" t="s">
        <v>306</v>
      </c>
      <c r="BB10" s="116" t="s">
        <v>305</v>
      </c>
      <c r="BC10" s="116" t="s">
        <v>304</v>
      </c>
      <c r="BD10" s="116" t="s">
        <v>303</v>
      </c>
      <c r="BE10" s="116" t="s">
        <v>302</v>
      </c>
      <c r="BF10" s="116" t="s">
        <v>301</v>
      </c>
      <c r="BG10" s="116" t="s">
        <v>300</v>
      </c>
      <c r="BH10" s="116" t="s">
        <v>300</v>
      </c>
      <c r="BI10" s="116" t="s">
        <v>299</v>
      </c>
      <c r="BJ10" s="116" t="s">
        <v>298</v>
      </c>
      <c r="BK10" s="116" t="s">
        <v>297</v>
      </c>
      <c r="BL10" s="116" t="s">
        <v>296</v>
      </c>
      <c r="BM10" s="116" t="s">
        <v>295</v>
      </c>
      <c r="BN10" s="116" t="s">
        <v>294</v>
      </c>
      <c r="BO10" s="116" t="s">
        <v>293</v>
      </c>
      <c r="BP10" s="116" t="s">
        <v>292</v>
      </c>
      <c r="BQ10" s="116" t="s">
        <v>291</v>
      </c>
      <c r="BR10" s="116" t="s">
        <v>290</v>
      </c>
      <c r="BS10" s="116" t="s">
        <v>289</v>
      </c>
      <c r="BT10" s="116" t="s">
        <v>288</v>
      </c>
      <c r="BU10" s="119" t="s">
        <v>287</v>
      </c>
      <c r="BV10" s="117" t="s">
        <v>286</v>
      </c>
      <c r="BW10" s="116" t="s">
        <v>285</v>
      </c>
      <c r="BX10" s="116" t="s">
        <v>284</v>
      </c>
      <c r="BY10" s="116" t="s">
        <v>283</v>
      </c>
      <c r="BZ10" s="115" t="s">
        <v>282</v>
      </c>
      <c r="CA10" s="115" t="s">
        <v>281</v>
      </c>
      <c r="CB10" s="115" t="s">
        <v>280</v>
      </c>
      <c r="CC10" s="115" t="s">
        <v>279</v>
      </c>
      <c r="CD10" s="115" t="s">
        <v>278</v>
      </c>
      <c r="CE10" s="115" t="s">
        <v>277</v>
      </c>
    </row>
    <row r="11" spans="2:83" ht="30" x14ac:dyDescent="0.25">
      <c r="B11" s="35" t="s">
        <v>1049</v>
      </c>
      <c r="C11">
        <f>Main!C27</f>
        <v>47.960951479284546</v>
      </c>
      <c r="D11">
        <v>142.30060222929148</v>
      </c>
      <c r="E11">
        <v>-325.10989355283931</v>
      </c>
      <c r="F11">
        <v>-1095.4479028794453</v>
      </c>
      <c r="G11">
        <v>56.506208241932008</v>
      </c>
    </row>
    <row r="12" spans="2:83" ht="30" x14ac:dyDescent="0.25">
      <c r="B12" s="597" t="s">
        <v>1055</v>
      </c>
      <c r="C12">
        <f ca="1">Main!C24</f>
        <v>259.28491360676696</v>
      </c>
      <c r="D12">
        <v>289.2543308251137</v>
      </c>
      <c r="E12">
        <v>-320.35779965007879</v>
      </c>
      <c r="F12">
        <v>-1094.0159807594268</v>
      </c>
      <c r="G12">
        <v>58.798630339791451</v>
      </c>
    </row>
    <row r="13" spans="2:83" x14ac:dyDescent="0.25">
      <c r="B13" s="597" t="s">
        <v>1056</v>
      </c>
      <c r="C13">
        <f ca="1">Main!C25</f>
        <v>-176.59843632870025</v>
      </c>
      <c r="D13">
        <v>-146.95372859582221</v>
      </c>
      <c r="E13">
        <v>-4.7520939027605245</v>
      </c>
      <c r="F13">
        <v>-1.4319221200185837</v>
      </c>
      <c r="G13">
        <v>-2.2924220978594421</v>
      </c>
    </row>
    <row r="14" spans="2:83" x14ac:dyDescent="0.25">
      <c r="B14" s="10" t="s">
        <v>1050</v>
      </c>
      <c r="C14" s="13">
        <f>Main!E68</f>
        <v>2.4411004032835648</v>
      </c>
      <c r="D14">
        <v>7.2427682682537018</v>
      </c>
      <c r="E14">
        <v>-674.51140756782127</v>
      </c>
      <c r="F14">
        <v>-5143.3918848893118</v>
      </c>
      <c r="G14">
        <v>194.68509486000784</v>
      </c>
    </row>
    <row r="15" spans="2:83" x14ac:dyDescent="0.25">
      <c r="B15" s="35" t="s">
        <v>937</v>
      </c>
      <c r="C15">
        <f ca="1">Main!C174</f>
        <v>33.649504669306104</v>
      </c>
      <c r="D15">
        <v>109.18996886821675</v>
      </c>
      <c r="E15">
        <v>-4887.295795910195</v>
      </c>
      <c r="F15">
        <v>-27069.74027811315</v>
      </c>
      <c r="G15">
        <v>1061.368435459724</v>
      </c>
    </row>
    <row r="16" spans="2:83" ht="30" x14ac:dyDescent="0.25">
      <c r="B16" s="35" t="s">
        <v>1051</v>
      </c>
      <c r="C16">
        <f ca="1">Main!C173</f>
        <v>1.4253092861433065</v>
      </c>
      <c r="D16">
        <v>1.260569633610624</v>
      </c>
      <c r="E16">
        <v>6.6669113659468482E-2</v>
      </c>
      <c r="F16">
        <v>4.0486924672108973E-2</v>
      </c>
      <c r="G16">
        <v>5.2736045798666434E-2</v>
      </c>
    </row>
    <row r="17" spans="1:7" x14ac:dyDescent="0.25">
      <c r="B17" s="596" t="s">
        <v>1052</v>
      </c>
      <c r="C17" s="12">
        <f>Main!C23</f>
        <v>0.2024490031259584</v>
      </c>
      <c r="D17">
        <v>0.16162473372171943</v>
      </c>
      <c r="E17">
        <v>0.14506377584764371</v>
      </c>
      <c r="F17">
        <v>0.17701681718403531</v>
      </c>
      <c r="G17">
        <v>0.20146554950104767</v>
      </c>
    </row>
    <row r="18" spans="1:7" x14ac:dyDescent="0.25">
      <c r="A18" t="s">
        <v>1053</v>
      </c>
      <c r="B18" t="str">
        <f>Main!A10</f>
        <v>Adopt BMP P2O5 rate</v>
      </c>
      <c r="C18" s="12">
        <f>Main!C10*Main!$E$7*1000000/Watersheds!$AP$4</f>
        <v>0.88927615445900543</v>
      </c>
      <c r="D18">
        <v>0.86582098076003855</v>
      </c>
      <c r="E18">
        <v>0.62289917957484398</v>
      </c>
      <c r="F18">
        <v>0.59210433332209056</v>
      </c>
      <c r="G18">
        <v>0.41227102355674378</v>
      </c>
    </row>
    <row r="19" spans="1:7" x14ac:dyDescent="0.25">
      <c r="B19" t="str">
        <f>Main!A11</f>
        <v>Fall corn&amp;wheat fert to preplant/starter</v>
      </c>
      <c r="C19" s="12">
        <f>Main!C11*Main!$E$7*1000000/Watersheds!$AP$4</f>
        <v>7.6966390936586568E-2</v>
      </c>
      <c r="D19">
        <v>0.10191037253135785</v>
      </c>
      <c r="E19">
        <v>0.13391761106482328</v>
      </c>
      <c r="F19">
        <v>3.2137045431580143E-2</v>
      </c>
      <c r="G19">
        <v>2.0892728637897762E-2</v>
      </c>
    </row>
    <row r="20" spans="1:7" x14ac:dyDescent="0.25">
      <c r="B20" t="str">
        <f>Main!A12</f>
        <v>Use reduced tillage on corn, soy &amp; small gr &gt;2% slopes</v>
      </c>
      <c r="C20" s="12">
        <f>Main!C12*Main!$E$7*1000000/Watersheds!$AP$4</f>
        <v>0.31829260299382695</v>
      </c>
      <c r="D20">
        <v>0.69556539778222704</v>
      </c>
      <c r="E20">
        <v>0.39172539343442431</v>
      </c>
      <c r="F20">
        <v>0.48160745845457725</v>
      </c>
      <c r="G20">
        <v>0.37402079907341429</v>
      </c>
    </row>
    <row r="21" spans="1:7" x14ac:dyDescent="0.25">
      <c r="B21" t="str">
        <f>Main!A13</f>
        <v>50 ft buffers, perm&amp;intermit streams, 100 ft treated</v>
      </c>
      <c r="C21" s="12">
        <f>Main!C13*Main!$E$7*1000000/Watersheds!$AP$4</f>
        <v>3.2976908354419417E-2</v>
      </c>
      <c r="D21">
        <v>2.0128102488973086E-2</v>
      </c>
      <c r="E21">
        <v>1.6455055185828481E-2</v>
      </c>
      <c r="F21">
        <v>3.7590664511501899E-2</v>
      </c>
      <c r="G21">
        <v>2.2008861795249982E-2</v>
      </c>
    </row>
    <row r="22" spans="1:7" x14ac:dyDescent="0.25">
      <c r="B22" t="str">
        <f>Main!A14</f>
        <v>Perennial crop % of marginal corn&amp;soy land</v>
      </c>
      <c r="C22" s="12">
        <f>Main!C14*Main!$E$7*1000000/Watersheds!$AP$4</f>
        <v>8.3590842255290704E-2</v>
      </c>
      <c r="D22">
        <v>3.5964309199923668E-2</v>
      </c>
      <c r="E22">
        <v>1.2915875816751101E-2</v>
      </c>
      <c r="F22">
        <v>2.242949987950513E-2</v>
      </c>
      <c r="G22">
        <v>1.7330364830182802E-2</v>
      </c>
    </row>
    <row r="23" spans="1:7" x14ac:dyDescent="0.25">
      <c r="B23" t="str">
        <f>Main!A15</f>
        <v>Corn grain &amp; soybean acres w/cereal rye cover crop</v>
      </c>
      <c r="C23" s="12">
        <f>Main!C15*Main!$E$7*1000000/Watersheds!$AP$4</f>
        <v>0.74797971899493798</v>
      </c>
      <c r="D23">
        <v>0.74797971899493776</v>
      </c>
      <c r="E23">
        <v>0.75268005434493523</v>
      </c>
      <c r="F23">
        <v>0.53726859606588628</v>
      </c>
      <c r="G23">
        <v>0.41351001009254157</v>
      </c>
    </row>
    <row r="24" spans="1:7" x14ac:dyDescent="0.25">
      <c r="B24" t="str">
        <f>Main!A16</f>
        <v>Short season crops planted to a rye cover crop</v>
      </c>
      <c r="C24" s="12">
        <f>Main!C16*Main!$E$7*1000000/Watersheds!$AP$4</f>
        <v>0.14129643546406731</v>
      </c>
      <c r="D24">
        <v>0.130883552338806</v>
      </c>
      <c r="E24">
        <v>2.414236257480774E-2</v>
      </c>
      <c r="F24">
        <v>0.21955097988208011</v>
      </c>
      <c r="G24">
        <v>0.20365528423127094</v>
      </c>
    </row>
    <row r="25" spans="1:7" x14ac:dyDescent="0.25">
      <c r="B25" t="str">
        <f>Main!A17</f>
        <v>Controlled drainage</v>
      </c>
      <c r="C25" s="12">
        <f>Main!C17*Main!$E$7*1000000/Watersheds!$AP$4</f>
        <v>0.1015553015473737</v>
      </c>
      <c r="D25">
        <v>0.28943598768077566</v>
      </c>
      <c r="E25">
        <v>0.31635139178595295</v>
      </c>
      <c r="F25">
        <v>7.2035337018696991E-4</v>
      </c>
      <c r="G25">
        <v>2.2899256271934471E-2</v>
      </c>
    </row>
    <row r="26" spans="1:7" x14ac:dyDescent="0.25">
      <c r="B26" t="str">
        <f>Main!A18</f>
        <v>Alternative tile intakes</v>
      </c>
      <c r="C26" s="12">
        <f>Main!C18*Main!$E$7*1000000/Watersheds!$AP$4</f>
        <v>5.2021796448915573E-2</v>
      </c>
      <c r="D26">
        <v>0.44833023909354447</v>
      </c>
      <c r="E26">
        <v>0.35824222411976281</v>
      </c>
      <c r="F26">
        <v>0.35029780874836486</v>
      </c>
      <c r="G26">
        <v>0.29795619076005908</v>
      </c>
    </row>
    <row r="27" spans="1:7" x14ac:dyDescent="0.25">
      <c r="A27" s="150" t="s">
        <v>1054</v>
      </c>
      <c r="B27" t="str">
        <f>Main!A19</f>
        <v>Inject or incorp manure</v>
      </c>
      <c r="C27" s="12">
        <f>Main!C19*Main!$E$7*1000000/Watersheds!$AP$4</f>
        <v>4.8204040714286453E-2</v>
      </c>
      <c r="D27">
        <v>4.8250276192136031E-2</v>
      </c>
      <c r="E27">
        <v>3.7491684258447698E-2</v>
      </c>
      <c r="F27">
        <v>3.5612000963958627E-3</v>
      </c>
      <c r="G27">
        <v>8.1499823584867456E-3</v>
      </c>
    </row>
    <row r="28" spans="1:7" x14ac:dyDescent="0.25">
      <c r="A28" s="12">
        <v>0.8</v>
      </c>
      <c r="B28" t="str">
        <f>B18</f>
        <v>Adopt BMP P2O5 rate</v>
      </c>
      <c r="C28" s="1">
        <f>Main!D10</f>
        <v>0.8</v>
      </c>
      <c r="D28" s="12">
        <f>sceninputs*D18</f>
        <v>0.69265678460803093</v>
      </c>
      <c r="E28" s="12">
        <f>sceninputs*E18</f>
        <v>0.49831934365987518</v>
      </c>
      <c r="F28" s="12">
        <f>sceninputs*F18</f>
        <v>0.47368346665767247</v>
      </c>
    </row>
    <row r="29" spans="1:7" x14ac:dyDescent="0.25">
      <c r="A29" s="12">
        <v>0.5</v>
      </c>
      <c r="B29" t="str">
        <f t="shared" ref="B29:B37" si="0">B19</f>
        <v>Fall corn&amp;wheat fert to preplant/starter</v>
      </c>
      <c r="C29" s="1">
        <f>Main!D11</f>
        <v>0.5</v>
      </c>
      <c r="D29" s="12">
        <f>A29*D19</f>
        <v>5.0955186265678923E-2</v>
      </c>
      <c r="E29" s="12">
        <f>A29*E19</f>
        <v>6.6958805532411639E-2</v>
      </c>
      <c r="F29" s="12">
        <f>A29*F19</f>
        <v>1.6068522715790071E-2</v>
      </c>
    </row>
    <row r="30" spans="1:7" x14ac:dyDescent="0.25">
      <c r="A30" s="12">
        <v>0.4</v>
      </c>
      <c r="B30" t="str">
        <f t="shared" si="0"/>
        <v>Use reduced tillage on corn, soy &amp; small gr &gt;2% slopes</v>
      </c>
      <c r="C30" s="1">
        <f>Main!D12</f>
        <v>0.4</v>
      </c>
      <c r="D30" s="12">
        <f t="shared" ref="D30:D37" si="1">A30*D20</f>
        <v>0.27822615911289084</v>
      </c>
      <c r="E30" s="12">
        <f t="shared" ref="E30:E37" si="2">A30*E20</f>
        <v>0.15669015737376973</v>
      </c>
      <c r="F30" s="12">
        <f t="shared" ref="F30:F37" si="3">A30*F20</f>
        <v>0.19264298338183092</v>
      </c>
    </row>
    <row r="31" spans="1:7" x14ac:dyDescent="0.25">
      <c r="A31" s="12">
        <v>0.25</v>
      </c>
      <c r="B31" t="str">
        <f t="shared" si="0"/>
        <v>50 ft buffers, perm&amp;intermit streams, 100 ft treated</v>
      </c>
      <c r="C31" s="1">
        <f>Main!D13</f>
        <v>0.25</v>
      </c>
      <c r="D31" s="12">
        <f t="shared" si="1"/>
        <v>5.0320256222432715E-3</v>
      </c>
      <c r="E31" s="12">
        <f t="shared" si="2"/>
        <v>4.1137637964571202E-3</v>
      </c>
      <c r="F31" s="12">
        <f t="shared" si="3"/>
        <v>9.3976661278754748E-3</v>
      </c>
    </row>
    <row r="32" spans="1:7" x14ac:dyDescent="0.25">
      <c r="A32" s="12">
        <v>0.3</v>
      </c>
      <c r="B32" t="str">
        <f t="shared" si="0"/>
        <v>Perennial crop % of marginal corn&amp;soy land</v>
      </c>
      <c r="C32" s="1">
        <f>Main!D14</f>
        <v>0.3</v>
      </c>
      <c r="D32" s="12">
        <f t="shared" si="1"/>
        <v>1.0789292759977099E-2</v>
      </c>
      <c r="E32" s="12">
        <f t="shared" si="2"/>
        <v>3.87476274502533E-3</v>
      </c>
      <c r="F32" s="12">
        <f t="shared" si="3"/>
        <v>6.7288499638515388E-3</v>
      </c>
    </row>
    <row r="33" spans="1:83" x14ac:dyDescent="0.25">
      <c r="A33" s="12">
        <v>0.1</v>
      </c>
      <c r="B33" t="str">
        <f t="shared" si="0"/>
        <v>Corn grain &amp; soybean acres w/cereal rye cover crop</v>
      </c>
      <c r="C33" s="1">
        <f>Main!D15</f>
        <v>0.1</v>
      </c>
      <c r="D33" s="12">
        <f t="shared" si="1"/>
        <v>7.4797971899493776E-2</v>
      </c>
      <c r="E33" s="12">
        <f t="shared" si="2"/>
        <v>7.5268005434493523E-2</v>
      </c>
      <c r="F33" s="12">
        <f t="shared" si="3"/>
        <v>5.3726859606588628E-2</v>
      </c>
    </row>
    <row r="34" spans="1:83" x14ac:dyDescent="0.25">
      <c r="A34" s="12">
        <v>0.5</v>
      </c>
      <c r="B34" t="str">
        <f t="shared" si="0"/>
        <v>Short season crops planted to a rye cover crop</v>
      </c>
      <c r="C34" s="1">
        <f>Main!D16</f>
        <v>0.5</v>
      </c>
      <c r="D34" s="12">
        <f t="shared" si="1"/>
        <v>6.5441776169402999E-2</v>
      </c>
      <c r="E34" s="12">
        <f t="shared" si="2"/>
        <v>1.207118128740387E-2</v>
      </c>
      <c r="F34" s="12">
        <f t="shared" si="3"/>
        <v>0.10977548994104006</v>
      </c>
    </row>
    <row r="35" spans="1:83" x14ac:dyDescent="0.25">
      <c r="A35" s="12">
        <v>0.2</v>
      </c>
      <c r="B35" t="str">
        <f t="shared" si="0"/>
        <v>Controlled drainage</v>
      </c>
      <c r="C35" s="1">
        <f>Main!D17</f>
        <v>0.2</v>
      </c>
      <c r="D35" s="12">
        <f t="shared" si="1"/>
        <v>5.7887197536155136E-2</v>
      </c>
      <c r="E35" s="12">
        <f t="shared" si="2"/>
        <v>6.3270278357190596E-2</v>
      </c>
      <c r="F35" s="12">
        <f t="shared" si="3"/>
        <v>1.4407067403739398E-4</v>
      </c>
    </row>
    <row r="36" spans="1:83" x14ac:dyDescent="0.25">
      <c r="A36" s="12">
        <v>0.2</v>
      </c>
      <c r="B36" t="str">
        <f t="shared" si="0"/>
        <v>Alternative tile intakes</v>
      </c>
      <c r="C36" s="1">
        <f>Main!D18</f>
        <v>0.8</v>
      </c>
      <c r="D36" s="12">
        <f t="shared" si="1"/>
        <v>8.9666047818708905E-2</v>
      </c>
      <c r="E36" s="12">
        <f t="shared" si="2"/>
        <v>7.1648444823952565E-2</v>
      </c>
      <c r="F36" s="12">
        <f t="shared" si="3"/>
        <v>7.0059561749672969E-2</v>
      </c>
    </row>
    <row r="37" spans="1:83" x14ac:dyDescent="0.25">
      <c r="A37" s="12">
        <v>0.5</v>
      </c>
      <c r="B37" t="str">
        <f t="shared" si="0"/>
        <v>Inject or incorp manure</v>
      </c>
      <c r="C37" s="1">
        <f>Main!D19</f>
        <v>0.5</v>
      </c>
      <c r="D37" s="12">
        <f t="shared" si="1"/>
        <v>2.4125138096068015E-2</v>
      </c>
      <c r="E37" s="12">
        <f t="shared" si="2"/>
        <v>1.8745842129223849E-2</v>
      </c>
      <c r="F37" s="12">
        <f t="shared" si="3"/>
        <v>1.7806000481979313E-3</v>
      </c>
    </row>
    <row r="39" spans="1:83" x14ac:dyDescent="0.25">
      <c r="D39">
        <v>3</v>
      </c>
      <c r="E39">
        <v>2</v>
      </c>
      <c r="F39">
        <v>1</v>
      </c>
      <c r="G39">
        <v>4</v>
      </c>
      <c r="H39">
        <v>5</v>
      </c>
      <c r="I39">
        <v>6</v>
      </c>
      <c r="J39">
        <v>7</v>
      </c>
      <c r="K39">
        <v>8</v>
      </c>
      <c r="L39">
        <v>9</v>
      </c>
      <c r="M39">
        <v>10</v>
      </c>
      <c r="N39">
        <v>11</v>
      </c>
      <c r="O39">
        <v>12</v>
      </c>
      <c r="P39">
        <v>13</v>
      </c>
      <c r="Q39">
        <v>14</v>
      </c>
      <c r="R39">
        <v>15</v>
      </c>
      <c r="S39">
        <v>16</v>
      </c>
      <c r="T39">
        <v>17</v>
      </c>
      <c r="U39">
        <v>18</v>
      </c>
      <c r="V39">
        <v>19</v>
      </c>
      <c r="W39">
        <v>20</v>
      </c>
      <c r="X39">
        <v>21</v>
      </c>
      <c r="Y39">
        <v>22</v>
      </c>
      <c r="Z39">
        <v>23</v>
      </c>
      <c r="AA39">
        <v>24</v>
      </c>
      <c r="AB39">
        <v>25</v>
      </c>
      <c r="AC39">
        <v>26</v>
      </c>
      <c r="AD39">
        <v>27</v>
      </c>
      <c r="AE39">
        <v>28</v>
      </c>
      <c r="AF39">
        <v>29</v>
      </c>
      <c r="AG39">
        <v>30</v>
      </c>
      <c r="AH39">
        <v>31</v>
      </c>
      <c r="AI39">
        <v>32</v>
      </c>
      <c r="AJ39">
        <v>33</v>
      </c>
      <c r="AK39">
        <v>34</v>
      </c>
      <c r="AL39">
        <v>35</v>
      </c>
      <c r="AM39">
        <v>36</v>
      </c>
      <c r="AN39">
        <v>37</v>
      </c>
      <c r="AO39">
        <v>38</v>
      </c>
      <c r="AP39">
        <v>39</v>
      </c>
      <c r="AQ39">
        <v>40</v>
      </c>
      <c r="AR39">
        <v>41</v>
      </c>
      <c r="AS39">
        <v>42</v>
      </c>
      <c r="AT39">
        <v>43</v>
      </c>
      <c r="AU39">
        <v>44</v>
      </c>
      <c r="AV39">
        <v>45</v>
      </c>
      <c r="AW39">
        <v>46</v>
      </c>
      <c r="AX39">
        <v>47</v>
      </c>
      <c r="AY39">
        <v>48</v>
      </c>
      <c r="AZ39">
        <v>49</v>
      </c>
      <c r="BA39">
        <v>50</v>
      </c>
      <c r="BB39">
        <v>51</v>
      </c>
      <c r="BC39">
        <v>52</v>
      </c>
      <c r="BD39">
        <v>53</v>
      </c>
      <c r="BE39">
        <v>54</v>
      </c>
      <c r="BF39">
        <v>55</v>
      </c>
      <c r="BG39">
        <v>56</v>
      </c>
      <c r="BH39">
        <v>57</v>
      </c>
      <c r="BI39">
        <v>58</v>
      </c>
      <c r="BJ39">
        <v>59</v>
      </c>
      <c r="BK39">
        <v>60</v>
      </c>
      <c r="BL39">
        <v>61</v>
      </c>
      <c r="BM39">
        <v>62</v>
      </c>
      <c r="BN39">
        <v>63</v>
      </c>
      <c r="BO39">
        <v>64</v>
      </c>
      <c r="BP39">
        <v>65</v>
      </c>
      <c r="BQ39">
        <v>66</v>
      </c>
      <c r="BR39">
        <v>67</v>
      </c>
      <c r="BS39">
        <v>68</v>
      </c>
      <c r="BT39">
        <v>69</v>
      </c>
      <c r="BU39">
        <v>70</v>
      </c>
      <c r="BV39">
        <v>71</v>
      </c>
      <c r="BW39">
        <v>72</v>
      </c>
      <c r="BX39">
        <v>73</v>
      </c>
      <c r="BY39">
        <v>74</v>
      </c>
      <c r="BZ39">
        <v>75</v>
      </c>
      <c r="CA39">
        <v>76</v>
      </c>
      <c r="CB39">
        <v>77</v>
      </c>
      <c r="CC39">
        <v>78</v>
      </c>
      <c r="CD39">
        <v>79</v>
      </c>
      <c r="CE39">
        <v>80</v>
      </c>
    </row>
    <row r="41" spans="1:83" x14ac:dyDescent="0.25">
      <c r="D41" t="s">
        <v>353</v>
      </c>
      <c r="E41" t="s">
        <v>354</v>
      </c>
      <c r="F41" t="s">
        <v>355</v>
      </c>
      <c r="G41" t="s">
        <v>352</v>
      </c>
      <c r="H41" t="s">
        <v>351</v>
      </c>
      <c r="I41" t="s">
        <v>350</v>
      </c>
      <c r="J41" t="s">
        <v>349</v>
      </c>
      <c r="K41" t="s">
        <v>348</v>
      </c>
      <c r="L41" t="s">
        <v>347</v>
      </c>
      <c r="M41" t="s">
        <v>346</v>
      </c>
      <c r="N41" t="s">
        <v>345</v>
      </c>
      <c r="O41" t="s">
        <v>344</v>
      </c>
      <c r="P41" t="s">
        <v>343</v>
      </c>
      <c r="Q41" t="s">
        <v>342</v>
      </c>
      <c r="R41" t="s">
        <v>341</v>
      </c>
      <c r="S41" t="s">
        <v>340</v>
      </c>
      <c r="T41" t="s">
        <v>339</v>
      </c>
      <c r="U41" t="s">
        <v>338</v>
      </c>
      <c r="V41" t="s">
        <v>337</v>
      </c>
      <c r="W41" t="s">
        <v>336</v>
      </c>
      <c r="X41" t="s">
        <v>335</v>
      </c>
      <c r="Y41" t="s">
        <v>334</v>
      </c>
      <c r="Z41" t="s">
        <v>333</v>
      </c>
      <c r="AA41" t="s">
        <v>332</v>
      </c>
      <c r="AB41" t="s">
        <v>331</v>
      </c>
      <c r="AC41" t="s">
        <v>330</v>
      </c>
      <c r="AD41" t="s">
        <v>329</v>
      </c>
      <c r="AE41" t="s">
        <v>328</v>
      </c>
      <c r="AF41" t="s">
        <v>327</v>
      </c>
      <c r="AG41" t="s">
        <v>326</v>
      </c>
      <c r="AH41" t="s">
        <v>325</v>
      </c>
      <c r="AI41" t="s">
        <v>324</v>
      </c>
      <c r="AJ41" t="s">
        <v>323</v>
      </c>
      <c r="AK41" t="s">
        <v>322</v>
      </c>
      <c r="AL41" t="s">
        <v>321</v>
      </c>
      <c r="AM41" t="s">
        <v>320</v>
      </c>
      <c r="AN41" t="s">
        <v>319</v>
      </c>
      <c r="AO41" t="s">
        <v>318</v>
      </c>
      <c r="AP41" t="s">
        <v>317</v>
      </c>
      <c r="AQ41" t="s">
        <v>316</v>
      </c>
      <c r="AR41" t="s">
        <v>315</v>
      </c>
      <c r="AS41" t="s">
        <v>314</v>
      </c>
      <c r="AT41" t="s">
        <v>313</v>
      </c>
      <c r="AU41" t="s">
        <v>312</v>
      </c>
      <c r="AV41" t="s">
        <v>311</v>
      </c>
      <c r="AW41" t="s">
        <v>310</v>
      </c>
      <c r="AX41" t="s">
        <v>309</v>
      </c>
      <c r="AY41" t="s">
        <v>308</v>
      </c>
      <c r="AZ41" t="s">
        <v>307</v>
      </c>
      <c r="BA41" t="s">
        <v>306</v>
      </c>
      <c r="BB41" t="s">
        <v>305</v>
      </c>
      <c r="BC41" t="s">
        <v>304</v>
      </c>
      <c r="BD41" t="s">
        <v>303</v>
      </c>
      <c r="BE41" t="s">
        <v>302</v>
      </c>
      <c r="BF41" t="s">
        <v>301</v>
      </c>
      <c r="BG41" t="s">
        <v>300</v>
      </c>
      <c r="BH41" t="s">
        <v>300</v>
      </c>
      <c r="BI41" t="s">
        <v>299</v>
      </c>
      <c r="BJ41" t="s">
        <v>298</v>
      </c>
      <c r="BK41" t="s">
        <v>297</v>
      </c>
      <c r="BL41" t="s">
        <v>296</v>
      </c>
      <c r="BM41" t="s">
        <v>295</v>
      </c>
      <c r="BN41" t="s">
        <v>294</v>
      </c>
      <c r="BO41" t="s">
        <v>293</v>
      </c>
      <c r="BP41" t="s">
        <v>292</v>
      </c>
      <c r="BQ41" t="s">
        <v>291</v>
      </c>
      <c r="BR41" t="s">
        <v>290</v>
      </c>
      <c r="BS41" t="s">
        <v>289</v>
      </c>
      <c r="BT41" t="s">
        <v>288</v>
      </c>
      <c r="BU41" t="s">
        <v>287</v>
      </c>
      <c r="BV41" t="s">
        <v>286</v>
      </c>
      <c r="BW41" t="s">
        <v>285</v>
      </c>
      <c r="BX41" t="s">
        <v>284</v>
      </c>
      <c r="BY41" t="s">
        <v>283</v>
      </c>
      <c r="BZ41" t="s">
        <v>282</v>
      </c>
      <c r="CA41" t="s">
        <v>281</v>
      </c>
      <c r="CB41" t="s">
        <v>280</v>
      </c>
      <c r="CC41" t="s">
        <v>279</v>
      </c>
      <c r="CD41" t="s">
        <v>278</v>
      </c>
      <c r="CE41" t="s">
        <v>277</v>
      </c>
    </row>
    <row r="42" spans="1:83" x14ac:dyDescent="0.25">
      <c r="B42" t="s">
        <v>1049</v>
      </c>
      <c r="D42">
        <v>-1095.4479028794453</v>
      </c>
      <c r="E42">
        <v>-325.10989355283931</v>
      </c>
      <c r="F42">
        <v>142.30060222929148</v>
      </c>
    </row>
    <row r="43" spans="1:83" x14ac:dyDescent="0.25">
      <c r="B43" t="s">
        <v>1055</v>
      </c>
      <c r="D43">
        <v>-1094.0159807594268</v>
      </c>
      <c r="E43">
        <v>-320.35779965007879</v>
      </c>
      <c r="F43">
        <v>289.2543308251137</v>
      </c>
    </row>
    <row r="44" spans="1:83" x14ac:dyDescent="0.25">
      <c r="B44" t="s">
        <v>1056</v>
      </c>
      <c r="D44">
        <v>-1.4319221200185837</v>
      </c>
      <c r="E44">
        <v>-4.7520939027605245</v>
      </c>
      <c r="F44">
        <v>-146.95372859582221</v>
      </c>
    </row>
    <row r="45" spans="1:83" x14ac:dyDescent="0.25">
      <c r="B45" t="s">
        <v>1050</v>
      </c>
      <c r="D45">
        <v>-5143.3918848893118</v>
      </c>
      <c r="E45">
        <v>-674.51140756782127</v>
      </c>
      <c r="F45">
        <v>7.2427682682537018</v>
      </c>
    </row>
    <row r="46" spans="1:83" s="599" customFormat="1" x14ac:dyDescent="0.25">
      <c r="A46"/>
      <c r="B46" s="599" t="s">
        <v>937</v>
      </c>
      <c r="D46" s="599">
        <v>-27069.74027811315</v>
      </c>
      <c r="E46" s="599">
        <v>-4887.295795910195</v>
      </c>
      <c r="F46" s="599">
        <v>109.18996886821675</v>
      </c>
    </row>
    <row r="47" spans="1:83" x14ac:dyDescent="0.25">
      <c r="B47" t="s">
        <v>1051</v>
      </c>
      <c r="D47">
        <v>4.0486924672108973E-2</v>
      </c>
      <c r="E47">
        <v>6.6669113659468482E-2</v>
      </c>
      <c r="F47">
        <v>1.260569633610624</v>
      </c>
    </row>
    <row r="48" spans="1:83" x14ac:dyDescent="0.25">
      <c r="B48" t="s">
        <v>1052</v>
      </c>
      <c r="D48">
        <v>0.17701681718403531</v>
      </c>
      <c r="E48">
        <v>0.14506377584764371</v>
      </c>
      <c r="F48">
        <v>0.16162473372171943</v>
      </c>
    </row>
    <row r="49" spans="2:6" x14ac:dyDescent="0.25">
      <c r="B49" t="s">
        <v>1044</v>
      </c>
      <c r="D49">
        <v>0.59210433332209056</v>
      </c>
      <c r="E49">
        <v>0.62289917957484398</v>
      </c>
      <c r="F49">
        <v>0.86582098076003855</v>
      </c>
    </row>
    <row r="50" spans="2:6" x14ac:dyDescent="0.25">
      <c r="B50" t="s">
        <v>789</v>
      </c>
      <c r="D50">
        <v>3.2137045431580143E-2</v>
      </c>
      <c r="E50">
        <v>0.13391761106482328</v>
      </c>
      <c r="F50">
        <v>0.10191037253135785</v>
      </c>
    </row>
    <row r="51" spans="2:6" x14ac:dyDescent="0.25">
      <c r="B51" t="s">
        <v>764</v>
      </c>
      <c r="D51">
        <v>0.48160745845457725</v>
      </c>
      <c r="E51">
        <v>0.39172539343442431</v>
      </c>
      <c r="F51">
        <v>0.69556539778222704</v>
      </c>
    </row>
    <row r="52" spans="2:6" x14ac:dyDescent="0.25">
      <c r="B52" t="s">
        <v>4</v>
      </c>
      <c r="D52">
        <v>3.7590664511501899E-2</v>
      </c>
      <c r="E52">
        <v>1.6455055185828481E-2</v>
      </c>
      <c r="F52">
        <v>2.0128102488973086E-2</v>
      </c>
    </row>
    <row r="53" spans="2:6" x14ac:dyDescent="0.25">
      <c r="B53" t="s">
        <v>834</v>
      </c>
      <c r="D53">
        <v>2.242949987950513E-2</v>
      </c>
      <c r="E53">
        <v>1.2915875816751101E-2</v>
      </c>
      <c r="F53">
        <v>3.5964309199923668E-2</v>
      </c>
    </row>
    <row r="54" spans="2:6" x14ac:dyDescent="0.25">
      <c r="B54" t="s">
        <v>840</v>
      </c>
      <c r="D54">
        <v>0.53726859606588628</v>
      </c>
      <c r="E54">
        <v>0.75268005434493523</v>
      </c>
      <c r="F54">
        <v>0.74797971899493776</v>
      </c>
    </row>
    <row r="55" spans="2:6" x14ac:dyDescent="0.25">
      <c r="B55" t="s">
        <v>841</v>
      </c>
      <c r="D55">
        <v>0.21955097988208011</v>
      </c>
      <c r="E55">
        <v>2.414236257480774E-2</v>
      </c>
      <c r="F55">
        <v>0.130883552338806</v>
      </c>
    </row>
    <row r="56" spans="2:6" x14ac:dyDescent="0.25">
      <c r="B56" t="s">
        <v>1018</v>
      </c>
      <c r="D56">
        <v>7.2035337018696991E-4</v>
      </c>
      <c r="E56">
        <v>0.31635139178595295</v>
      </c>
      <c r="F56">
        <v>0.28943598768077566</v>
      </c>
    </row>
    <row r="57" spans="2:6" x14ac:dyDescent="0.25">
      <c r="B57" t="s">
        <v>2</v>
      </c>
      <c r="D57">
        <v>0.35029780874836486</v>
      </c>
      <c r="E57">
        <v>0.35824222411976281</v>
      </c>
      <c r="F57">
        <v>0.44833023909354447</v>
      </c>
    </row>
    <row r="58" spans="2:6" x14ac:dyDescent="0.25">
      <c r="B58" t="s">
        <v>766</v>
      </c>
      <c r="D58">
        <v>3.5612000963958627E-3</v>
      </c>
      <c r="E58">
        <v>3.7491684258447698E-2</v>
      </c>
      <c r="F58">
        <v>4.8250276192136031E-2</v>
      </c>
    </row>
    <row r="59" spans="2:6" x14ac:dyDescent="0.25">
      <c r="B59" t="s">
        <v>1044</v>
      </c>
      <c r="D59">
        <v>0.47368346665767247</v>
      </c>
      <c r="E59">
        <v>0.49831934365987518</v>
      </c>
      <c r="F59">
        <v>0.69265678460803093</v>
      </c>
    </row>
    <row r="60" spans="2:6" x14ac:dyDescent="0.25">
      <c r="B60" t="s">
        <v>789</v>
      </c>
      <c r="D60">
        <v>1.6068522715790071E-2</v>
      </c>
      <c r="E60">
        <v>6.6958805532411639E-2</v>
      </c>
      <c r="F60">
        <v>5.0955186265678923E-2</v>
      </c>
    </row>
    <row r="61" spans="2:6" x14ac:dyDescent="0.25">
      <c r="B61" t="s">
        <v>764</v>
      </c>
      <c r="D61">
        <v>0.19264298338183092</v>
      </c>
      <c r="E61">
        <v>0.15669015737376973</v>
      </c>
      <c r="F61">
        <v>0.27822615911289084</v>
      </c>
    </row>
    <row r="62" spans="2:6" x14ac:dyDescent="0.25">
      <c r="B62" t="s">
        <v>4</v>
      </c>
      <c r="D62">
        <v>9.3976661278754748E-3</v>
      </c>
      <c r="E62">
        <v>4.1137637964571202E-3</v>
      </c>
      <c r="F62">
        <v>5.0320256222432715E-3</v>
      </c>
    </row>
    <row r="63" spans="2:6" x14ac:dyDescent="0.25">
      <c r="B63" t="s">
        <v>834</v>
      </c>
      <c r="D63">
        <v>6.7288499638515388E-3</v>
      </c>
      <c r="E63">
        <v>3.87476274502533E-3</v>
      </c>
      <c r="F63">
        <v>1.0789292759977099E-2</v>
      </c>
    </row>
    <row r="64" spans="2:6" x14ac:dyDescent="0.25">
      <c r="B64" t="s">
        <v>840</v>
      </c>
      <c r="D64">
        <v>5.3726859606588628E-2</v>
      </c>
      <c r="E64">
        <v>7.5268005434493523E-2</v>
      </c>
      <c r="F64">
        <v>7.4797971899493776E-2</v>
      </c>
    </row>
    <row r="65" spans="2:6" x14ac:dyDescent="0.25">
      <c r="B65" t="s">
        <v>841</v>
      </c>
      <c r="D65">
        <v>0.10977548994104006</v>
      </c>
      <c r="E65">
        <v>1.207118128740387E-2</v>
      </c>
      <c r="F65">
        <v>6.5441776169402999E-2</v>
      </c>
    </row>
    <row r="66" spans="2:6" x14ac:dyDescent="0.25">
      <c r="B66" t="s">
        <v>1018</v>
      </c>
      <c r="D66">
        <v>1.4407067403739398E-4</v>
      </c>
      <c r="E66">
        <v>6.3270278357190596E-2</v>
      </c>
      <c r="F66">
        <v>5.7887197536155136E-2</v>
      </c>
    </row>
    <row r="67" spans="2:6" x14ac:dyDescent="0.25">
      <c r="B67" t="s">
        <v>2</v>
      </c>
      <c r="D67">
        <v>7.0059561749672969E-2</v>
      </c>
      <c r="E67">
        <v>7.1648444823952565E-2</v>
      </c>
      <c r="F67">
        <v>8.9666047818708905E-2</v>
      </c>
    </row>
    <row r="68" spans="2:6" x14ac:dyDescent="0.25">
      <c r="B68" t="s">
        <v>766</v>
      </c>
      <c r="D68">
        <v>1.7806000481979313E-3</v>
      </c>
      <c r="E68">
        <v>1.8745842129223849E-2</v>
      </c>
      <c r="F68">
        <v>2.4125138096068015E-2</v>
      </c>
    </row>
  </sheetData>
  <sheetProtection algorithmName="SHA-512" hashValue="ArNeVtQNeFBOrzLIdfUrMz3I202/g7A/LrGrElQ2NFIL8pzr29eI+IpGWJ9vDESAO3ttj/8mTuWwWFBZW7CsZw==" saltValue="jlvLPIopa8RktzwBxH/LXw==" spinCount="100000" sheet="1" objects="1" scenarios="1"/>
  <sortState columnSort="1" ref="BV39:CD68">
    <sortCondition ref="BU46:CE46"/>
  </sortState>
  <dataValidations count="2">
    <dataValidation type="whole" allowBlank="1" showInputMessage="1" showErrorMessage="1" errorTitle="Maximum" error="This number may not be greater than the largest number in column H." promptTitle="Maximum" prompt="This number must not be larger than the largest number in column H." sqref="C4">
      <formula1>#REF!</formula1>
      <formula2>G1048573</formula2>
    </dataValidation>
    <dataValidation type="whole" allowBlank="1" showInputMessage="1" showErrorMessage="1" promptTitle="Maximum" prompt="This number should be zero, or else at least as large as the first row, and not larger than the largest number in column H." sqref="C5">
      <formula1>#REF!</formula1>
      <formula2>G1048573</formula2>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8785" r:id="rId3" name="Button 1">
              <controlPr defaultSize="0" print="0" autoFill="0" autoPict="0" macro="[0]!calculatemulti">
                <anchor moveWithCells="1" sizeWithCells="1">
                  <from>
                    <xdr:col>0</xdr:col>
                    <xdr:colOff>1371600</xdr:colOff>
                    <xdr:row>1</xdr:row>
                    <xdr:rowOff>28575</xdr:rowOff>
                  </from>
                  <to>
                    <xdr:col>3</xdr:col>
                    <xdr:colOff>981075</xdr:colOff>
                    <xdr:row>2</xdr:row>
                    <xdr:rowOff>114300</xdr:rowOff>
                  </to>
                </anchor>
              </controlPr>
            </control>
          </mc:Choice>
        </mc:AlternateContent>
        <mc:AlternateContent xmlns:mc="http://schemas.openxmlformats.org/markup-compatibility/2006">
          <mc:Choice Requires="x14">
            <control shapeId="118786" r:id="rId4" name="Button 2">
              <controlPr defaultSize="0" print="0" autoFill="0" autoPict="0" macro="[0]!copyscen">
                <anchor moveWithCells="1" sizeWithCells="1">
                  <from>
                    <xdr:col>0</xdr:col>
                    <xdr:colOff>1371600</xdr:colOff>
                    <xdr:row>38</xdr:row>
                    <xdr:rowOff>0</xdr:rowOff>
                  </from>
                  <to>
                    <xdr:col>1</xdr:col>
                    <xdr:colOff>2000250</xdr:colOff>
                    <xdr:row>39</xdr:row>
                    <xdr:rowOff>171450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dimension ref="A1"/>
  <sheetViews>
    <sheetView workbookViewId="0"/>
  </sheetViews>
  <sheetFormatPr defaultRowHeight="15" x14ac:dyDescent="0.25"/>
  <sheetData>
    <row r="1" spans="1:1" x14ac:dyDescent="0.25">
      <c r="A1" t="s">
        <v>1022</v>
      </c>
    </row>
  </sheetData>
  <sheetProtection algorithmName="SHA-512" hashValue="JR9f9R1yRQHt0eAJ6jrLFfdDxi8wA3rgT59R+KASQ8JnZgPrfszahdmX4j7IzZ3SvVtW4pbpwK+JSlPJcSRh6w==" saltValue="Rpr9SvQUeFxbVGrNWn0jcw==" spinCount="100000" sheet="1" objects="1" scenarios="1"/>
  <pageMargins left="0.7" right="0.7" top="0.75" bottom="0.75" header="0.3" footer="0.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AW154"/>
  <sheetViews>
    <sheetView workbookViewId="0">
      <selection activeCell="B7" sqref="B7"/>
    </sheetView>
  </sheetViews>
  <sheetFormatPr defaultRowHeight="12.75" x14ac:dyDescent="0.2"/>
  <cols>
    <col min="1" max="1" width="46.85546875" style="98" customWidth="1"/>
    <col min="2" max="2" width="14" style="98" customWidth="1"/>
    <col min="3" max="3" width="11.5703125" style="98" bestFit="1" customWidth="1"/>
    <col min="4" max="5" width="13.140625" style="98" bestFit="1" customWidth="1"/>
    <col min="6" max="6" width="13.28515625" style="98" bestFit="1" customWidth="1"/>
    <col min="7" max="8" width="13.140625" style="98" bestFit="1" customWidth="1"/>
    <col min="9" max="9" width="13.28515625" style="98" bestFit="1" customWidth="1"/>
    <col min="10" max="10" width="11.5703125" style="98" bestFit="1" customWidth="1"/>
    <col min="11" max="11" width="13.140625" style="98" bestFit="1" customWidth="1"/>
    <col min="12" max="12" width="12.85546875" style="98" customWidth="1"/>
    <col min="13" max="13" width="13.140625" style="98" bestFit="1" customWidth="1"/>
    <col min="14" max="14" width="11.5703125" style="98" bestFit="1" customWidth="1"/>
    <col min="15" max="15" width="13.28515625" style="98" bestFit="1" customWidth="1"/>
    <col min="16" max="17" width="11.5703125" style="98" bestFit="1" customWidth="1"/>
    <col min="18" max="18" width="11.28515625" style="98" customWidth="1"/>
    <col min="19" max="19" width="13.140625" style="98" bestFit="1" customWidth="1"/>
    <col min="20" max="20" width="12.85546875" style="98" customWidth="1"/>
    <col min="21" max="21" width="13.140625" style="98" bestFit="1" customWidth="1"/>
    <col min="22" max="22" width="10.5703125" style="98" bestFit="1" customWidth="1"/>
    <col min="23" max="25" width="11.5703125" style="98" bestFit="1" customWidth="1"/>
    <col min="26" max="26" width="13.28515625" style="98" bestFit="1" customWidth="1"/>
    <col min="27" max="27" width="13.140625" style="98" bestFit="1" customWidth="1"/>
    <col min="28" max="28" width="13.28515625" style="98" bestFit="1" customWidth="1"/>
    <col min="29" max="29" width="11.5703125" style="98" bestFit="1" customWidth="1"/>
    <col min="30" max="30" width="13.7109375" style="98" bestFit="1" customWidth="1"/>
    <col min="31" max="32" width="11.5703125" style="98" bestFit="1" customWidth="1"/>
    <col min="33" max="33" width="10.5703125" style="98" bestFit="1" customWidth="1"/>
    <col min="34" max="34" width="13.28515625" style="98" bestFit="1" customWidth="1"/>
    <col min="35" max="37" width="11.5703125" style="98" bestFit="1" customWidth="1"/>
    <col min="38" max="38" width="13.28515625" style="98" bestFit="1" customWidth="1"/>
    <col min="39" max="39" width="11.5703125" style="98" bestFit="1" customWidth="1"/>
    <col min="40" max="40" width="13.140625" style="98" bestFit="1" customWidth="1"/>
    <col min="41" max="41" width="9.140625" style="98"/>
    <col min="42" max="42" width="14.42578125" style="98" bestFit="1" customWidth="1"/>
    <col min="43" max="43" width="13.140625" style="98" customWidth="1"/>
    <col min="44" max="45" width="9.140625" style="98"/>
    <col min="46" max="46" width="17.28515625" style="98" customWidth="1"/>
    <col min="47" max="47" width="9.28515625" style="98" bestFit="1" customWidth="1"/>
    <col min="48" max="48" width="9.140625" style="98"/>
    <col min="49" max="49" width="9.28515625" style="98" bestFit="1" customWidth="1"/>
    <col min="50" max="259" width="9.140625" style="98"/>
    <col min="260" max="260" width="46.85546875" style="98" customWidth="1"/>
    <col min="261" max="261" width="12.85546875" style="98" bestFit="1" customWidth="1"/>
    <col min="262" max="262" width="11.28515625" style="98" bestFit="1" customWidth="1"/>
    <col min="263" max="268" width="12.85546875" style="98" bestFit="1" customWidth="1"/>
    <col min="269" max="269" width="11.28515625" style="98" bestFit="1" customWidth="1"/>
    <col min="270" max="271" width="12.85546875" style="98" bestFit="1" customWidth="1"/>
    <col min="272" max="272" width="11.28515625" style="98" bestFit="1" customWidth="1"/>
    <col min="273" max="273" width="12.85546875" style="98" bestFit="1" customWidth="1"/>
    <col min="274" max="275" width="11.28515625" style="98" bestFit="1" customWidth="1"/>
    <col min="276" max="277" width="12.85546875" style="98" bestFit="1" customWidth="1"/>
    <col min="278" max="278" width="10.28515625" style="98" bestFit="1" customWidth="1"/>
    <col min="279" max="281" width="11.28515625" style="98" bestFit="1" customWidth="1"/>
    <col min="282" max="284" width="12.85546875" style="98" bestFit="1" customWidth="1"/>
    <col min="285" max="288" width="11.28515625" style="98" bestFit="1" customWidth="1"/>
    <col min="289" max="289" width="10.28515625" style="98" bestFit="1" customWidth="1"/>
    <col min="290" max="290" width="12.85546875" style="98" bestFit="1" customWidth="1"/>
    <col min="291" max="293" width="11.28515625" style="98" bestFit="1" customWidth="1"/>
    <col min="294" max="294" width="12.85546875" style="98" bestFit="1" customWidth="1"/>
    <col min="295" max="295" width="11.28515625" style="98" bestFit="1" customWidth="1"/>
    <col min="296" max="296" width="12.85546875" style="98" bestFit="1" customWidth="1"/>
    <col min="297" max="297" width="9.140625" style="98"/>
    <col min="298" max="298" width="14" style="98" bestFit="1" customWidth="1"/>
    <col min="299" max="515" width="9.140625" style="98"/>
    <col min="516" max="516" width="46.85546875" style="98" customWidth="1"/>
    <col min="517" max="517" width="12.85546875" style="98" bestFit="1" customWidth="1"/>
    <col min="518" max="518" width="11.28515625" style="98" bestFit="1" customWidth="1"/>
    <col min="519" max="524" width="12.85546875" style="98" bestFit="1" customWidth="1"/>
    <col min="525" max="525" width="11.28515625" style="98" bestFit="1" customWidth="1"/>
    <col min="526" max="527" width="12.85546875" style="98" bestFit="1" customWidth="1"/>
    <col min="528" max="528" width="11.28515625" style="98" bestFit="1" customWidth="1"/>
    <col min="529" max="529" width="12.85546875" style="98" bestFit="1" customWidth="1"/>
    <col min="530" max="531" width="11.28515625" style="98" bestFit="1" customWidth="1"/>
    <col min="532" max="533" width="12.85546875" style="98" bestFit="1" customWidth="1"/>
    <col min="534" max="534" width="10.28515625" style="98" bestFit="1" customWidth="1"/>
    <col min="535" max="537" width="11.28515625" style="98" bestFit="1" customWidth="1"/>
    <col min="538" max="540" width="12.85546875" style="98" bestFit="1" customWidth="1"/>
    <col min="541" max="544" width="11.28515625" style="98" bestFit="1" customWidth="1"/>
    <col min="545" max="545" width="10.28515625" style="98" bestFit="1" customWidth="1"/>
    <col min="546" max="546" width="12.85546875" style="98" bestFit="1" customWidth="1"/>
    <col min="547" max="549" width="11.28515625" style="98" bestFit="1" customWidth="1"/>
    <col min="550" max="550" width="12.85546875" style="98" bestFit="1" customWidth="1"/>
    <col min="551" max="551" width="11.28515625" style="98" bestFit="1" customWidth="1"/>
    <col min="552" max="552" width="12.85546875" style="98" bestFit="1" customWidth="1"/>
    <col min="553" max="553" width="9.140625" style="98"/>
    <col min="554" max="554" width="14" style="98" bestFit="1" customWidth="1"/>
    <col min="555" max="771" width="9.140625" style="98"/>
    <col min="772" max="772" width="46.85546875" style="98" customWidth="1"/>
    <col min="773" max="773" width="12.85546875" style="98" bestFit="1" customWidth="1"/>
    <col min="774" max="774" width="11.28515625" style="98" bestFit="1" customWidth="1"/>
    <col min="775" max="780" width="12.85546875" style="98" bestFit="1" customWidth="1"/>
    <col min="781" max="781" width="11.28515625" style="98" bestFit="1" customWidth="1"/>
    <col min="782" max="783" width="12.85546875" style="98" bestFit="1" customWidth="1"/>
    <col min="784" max="784" width="11.28515625" style="98" bestFit="1" customWidth="1"/>
    <col min="785" max="785" width="12.85546875" style="98" bestFit="1" customWidth="1"/>
    <col min="786" max="787" width="11.28515625" style="98" bestFit="1" customWidth="1"/>
    <col min="788" max="789" width="12.85546875" style="98" bestFit="1" customWidth="1"/>
    <col min="790" max="790" width="10.28515625" style="98" bestFit="1" customWidth="1"/>
    <col min="791" max="793" width="11.28515625" style="98" bestFit="1" customWidth="1"/>
    <col min="794" max="796" width="12.85546875" style="98" bestFit="1" customWidth="1"/>
    <col min="797" max="800" width="11.28515625" style="98" bestFit="1" customWidth="1"/>
    <col min="801" max="801" width="10.28515625" style="98" bestFit="1" customWidth="1"/>
    <col min="802" max="802" width="12.85546875" style="98" bestFit="1" customWidth="1"/>
    <col min="803" max="805" width="11.28515625" style="98" bestFit="1" customWidth="1"/>
    <col min="806" max="806" width="12.85546875" style="98" bestFit="1" customWidth="1"/>
    <col min="807" max="807" width="11.28515625" style="98" bestFit="1" customWidth="1"/>
    <col min="808" max="808" width="12.85546875" style="98" bestFit="1" customWidth="1"/>
    <col min="809" max="809" width="9.140625" style="98"/>
    <col min="810" max="810" width="14" style="98" bestFit="1" customWidth="1"/>
    <col min="811" max="1027" width="9.140625" style="98"/>
    <col min="1028" max="1028" width="46.85546875" style="98" customWidth="1"/>
    <col min="1029" max="1029" width="12.85546875" style="98" bestFit="1" customWidth="1"/>
    <col min="1030" max="1030" width="11.28515625" style="98" bestFit="1" customWidth="1"/>
    <col min="1031" max="1036" width="12.85546875" style="98" bestFit="1" customWidth="1"/>
    <col min="1037" max="1037" width="11.28515625" style="98" bestFit="1" customWidth="1"/>
    <col min="1038" max="1039" width="12.85546875" style="98" bestFit="1" customWidth="1"/>
    <col min="1040" max="1040" width="11.28515625" style="98" bestFit="1" customWidth="1"/>
    <col min="1041" max="1041" width="12.85546875" style="98" bestFit="1" customWidth="1"/>
    <col min="1042" max="1043" width="11.28515625" style="98" bestFit="1" customWidth="1"/>
    <col min="1044" max="1045" width="12.85546875" style="98" bestFit="1" customWidth="1"/>
    <col min="1046" max="1046" width="10.28515625" style="98" bestFit="1" customWidth="1"/>
    <col min="1047" max="1049" width="11.28515625" style="98" bestFit="1" customWidth="1"/>
    <col min="1050" max="1052" width="12.85546875" style="98" bestFit="1" customWidth="1"/>
    <col min="1053" max="1056" width="11.28515625" style="98" bestFit="1" customWidth="1"/>
    <col min="1057" max="1057" width="10.28515625" style="98" bestFit="1" customWidth="1"/>
    <col min="1058" max="1058" width="12.85546875" style="98" bestFit="1" customWidth="1"/>
    <col min="1059" max="1061" width="11.28515625" style="98" bestFit="1" customWidth="1"/>
    <col min="1062" max="1062" width="12.85546875" style="98" bestFit="1" customWidth="1"/>
    <col min="1063" max="1063" width="11.28515625" style="98" bestFit="1" customWidth="1"/>
    <col min="1064" max="1064" width="12.85546875" style="98" bestFit="1" customWidth="1"/>
    <col min="1065" max="1065" width="9.140625" style="98"/>
    <col min="1066" max="1066" width="14" style="98" bestFit="1" customWidth="1"/>
    <col min="1067" max="1283" width="9.140625" style="98"/>
    <col min="1284" max="1284" width="46.85546875" style="98" customWidth="1"/>
    <col min="1285" max="1285" width="12.85546875" style="98" bestFit="1" customWidth="1"/>
    <col min="1286" max="1286" width="11.28515625" style="98" bestFit="1" customWidth="1"/>
    <col min="1287" max="1292" width="12.85546875" style="98" bestFit="1" customWidth="1"/>
    <col min="1293" max="1293" width="11.28515625" style="98" bestFit="1" customWidth="1"/>
    <col min="1294" max="1295" width="12.85546875" style="98" bestFit="1" customWidth="1"/>
    <col min="1296" max="1296" width="11.28515625" style="98" bestFit="1" customWidth="1"/>
    <col min="1297" max="1297" width="12.85546875" style="98" bestFit="1" customWidth="1"/>
    <col min="1298" max="1299" width="11.28515625" style="98" bestFit="1" customWidth="1"/>
    <col min="1300" max="1301" width="12.85546875" style="98" bestFit="1" customWidth="1"/>
    <col min="1302" max="1302" width="10.28515625" style="98" bestFit="1" customWidth="1"/>
    <col min="1303" max="1305" width="11.28515625" style="98" bestFit="1" customWidth="1"/>
    <col min="1306" max="1308" width="12.85546875" style="98" bestFit="1" customWidth="1"/>
    <col min="1309" max="1312" width="11.28515625" style="98" bestFit="1" customWidth="1"/>
    <col min="1313" max="1313" width="10.28515625" style="98" bestFit="1" customWidth="1"/>
    <col min="1314" max="1314" width="12.85546875" style="98" bestFit="1" customWidth="1"/>
    <col min="1315" max="1317" width="11.28515625" style="98" bestFit="1" customWidth="1"/>
    <col min="1318" max="1318" width="12.85546875" style="98" bestFit="1" customWidth="1"/>
    <col min="1319" max="1319" width="11.28515625" style="98" bestFit="1" customWidth="1"/>
    <col min="1320" max="1320" width="12.85546875" style="98" bestFit="1" customWidth="1"/>
    <col min="1321" max="1321" width="9.140625" style="98"/>
    <col min="1322" max="1322" width="14" style="98" bestFit="1" customWidth="1"/>
    <col min="1323" max="1539" width="9.140625" style="98"/>
    <col min="1540" max="1540" width="46.85546875" style="98" customWidth="1"/>
    <col min="1541" max="1541" width="12.85546875" style="98" bestFit="1" customWidth="1"/>
    <col min="1542" max="1542" width="11.28515625" style="98" bestFit="1" customWidth="1"/>
    <col min="1543" max="1548" width="12.85546875" style="98" bestFit="1" customWidth="1"/>
    <col min="1549" max="1549" width="11.28515625" style="98" bestFit="1" customWidth="1"/>
    <col min="1550" max="1551" width="12.85546875" style="98" bestFit="1" customWidth="1"/>
    <col min="1552" max="1552" width="11.28515625" style="98" bestFit="1" customWidth="1"/>
    <col min="1553" max="1553" width="12.85546875" style="98" bestFit="1" customWidth="1"/>
    <col min="1554" max="1555" width="11.28515625" style="98" bestFit="1" customWidth="1"/>
    <col min="1556" max="1557" width="12.85546875" style="98" bestFit="1" customWidth="1"/>
    <col min="1558" max="1558" width="10.28515625" style="98" bestFit="1" customWidth="1"/>
    <col min="1559" max="1561" width="11.28515625" style="98" bestFit="1" customWidth="1"/>
    <col min="1562" max="1564" width="12.85546875" style="98" bestFit="1" customWidth="1"/>
    <col min="1565" max="1568" width="11.28515625" style="98" bestFit="1" customWidth="1"/>
    <col min="1569" max="1569" width="10.28515625" style="98" bestFit="1" customWidth="1"/>
    <col min="1570" max="1570" width="12.85546875" style="98" bestFit="1" customWidth="1"/>
    <col min="1571" max="1573" width="11.28515625" style="98" bestFit="1" customWidth="1"/>
    <col min="1574" max="1574" width="12.85546875" style="98" bestFit="1" customWidth="1"/>
    <col min="1575" max="1575" width="11.28515625" style="98" bestFit="1" customWidth="1"/>
    <col min="1576" max="1576" width="12.85546875" style="98" bestFit="1" customWidth="1"/>
    <col min="1577" max="1577" width="9.140625" style="98"/>
    <col min="1578" max="1578" width="14" style="98" bestFit="1" customWidth="1"/>
    <col min="1579" max="1795" width="9.140625" style="98"/>
    <col min="1796" max="1796" width="46.85546875" style="98" customWidth="1"/>
    <col min="1797" max="1797" width="12.85546875" style="98" bestFit="1" customWidth="1"/>
    <col min="1798" max="1798" width="11.28515625" style="98" bestFit="1" customWidth="1"/>
    <col min="1799" max="1804" width="12.85546875" style="98" bestFit="1" customWidth="1"/>
    <col min="1805" max="1805" width="11.28515625" style="98" bestFit="1" customWidth="1"/>
    <col min="1806" max="1807" width="12.85546875" style="98" bestFit="1" customWidth="1"/>
    <col min="1808" max="1808" width="11.28515625" style="98" bestFit="1" customWidth="1"/>
    <col min="1809" max="1809" width="12.85546875" style="98" bestFit="1" customWidth="1"/>
    <col min="1810" max="1811" width="11.28515625" style="98" bestFit="1" customWidth="1"/>
    <col min="1812" max="1813" width="12.85546875" style="98" bestFit="1" customWidth="1"/>
    <col min="1814" max="1814" width="10.28515625" style="98" bestFit="1" customWidth="1"/>
    <col min="1815" max="1817" width="11.28515625" style="98" bestFit="1" customWidth="1"/>
    <col min="1818" max="1820" width="12.85546875" style="98" bestFit="1" customWidth="1"/>
    <col min="1821" max="1824" width="11.28515625" style="98" bestFit="1" customWidth="1"/>
    <col min="1825" max="1825" width="10.28515625" style="98" bestFit="1" customWidth="1"/>
    <col min="1826" max="1826" width="12.85546875" style="98" bestFit="1" customWidth="1"/>
    <col min="1827" max="1829" width="11.28515625" style="98" bestFit="1" customWidth="1"/>
    <col min="1830" max="1830" width="12.85546875" style="98" bestFit="1" customWidth="1"/>
    <col min="1831" max="1831" width="11.28515625" style="98" bestFit="1" customWidth="1"/>
    <col min="1832" max="1832" width="12.85546875" style="98" bestFit="1" customWidth="1"/>
    <col min="1833" max="1833" width="9.140625" style="98"/>
    <col min="1834" max="1834" width="14" style="98" bestFit="1" customWidth="1"/>
    <col min="1835" max="2051" width="9.140625" style="98"/>
    <col min="2052" max="2052" width="46.85546875" style="98" customWidth="1"/>
    <col min="2053" max="2053" width="12.85546875" style="98" bestFit="1" customWidth="1"/>
    <col min="2054" max="2054" width="11.28515625" style="98" bestFit="1" customWidth="1"/>
    <col min="2055" max="2060" width="12.85546875" style="98" bestFit="1" customWidth="1"/>
    <col min="2061" max="2061" width="11.28515625" style="98" bestFit="1" customWidth="1"/>
    <col min="2062" max="2063" width="12.85546875" style="98" bestFit="1" customWidth="1"/>
    <col min="2064" max="2064" width="11.28515625" style="98" bestFit="1" customWidth="1"/>
    <col min="2065" max="2065" width="12.85546875" style="98" bestFit="1" customWidth="1"/>
    <col min="2066" max="2067" width="11.28515625" style="98" bestFit="1" customWidth="1"/>
    <col min="2068" max="2069" width="12.85546875" style="98" bestFit="1" customWidth="1"/>
    <col min="2070" max="2070" width="10.28515625" style="98" bestFit="1" customWidth="1"/>
    <col min="2071" max="2073" width="11.28515625" style="98" bestFit="1" customWidth="1"/>
    <col min="2074" max="2076" width="12.85546875" style="98" bestFit="1" customWidth="1"/>
    <col min="2077" max="2080" width="11.28515625" style="98" bestFit="1" customWidth="1"/>
    <col min="2081" max="2081" width="10.28515625" style="98" bestFit="1" customWidth="1"/>
    <col min="2082" max="2082" width="12.85546875" style="98" bestFit="1" customWidth="1"/>
    <col min="2083" max="2085" width="11.28515625" style="98" bestFit="1" customWidth="1"/>
    <col min="2086" max="2086" width="12.85546875" style="98" bestFit="1" customWidth="1"/>
    <col min="2087" max="2087" width="11.28515625" style="98" bestFit="1" customWidth="1"/>
    <col min="2088" max="2088" width="12.85546875" style="98" bestFit="1" customWidth="1"/>
    <col min="2089" max="2089" width="9.140625" style="98"/>
    <col min="2090" max="2090" width="14" style="98" bestFit="1" customWidth="1"/>
    <col min="2091" max="2307" width="9.140625" style="98"/>
    <col min="2308" max="2308" width="46.85546875" style="98" customWidth="1"/>
    <col min="2309" max="2309" width="12.85546875" style="98" bestFit="1" customWidth="1"/>
    <col min="2310" max="2310" width="11.28515625" style="98" bestFit="1" customWidth="1"/>
    <col min="2311" max="2316" width="12.85546875" style="98" bestFit="1" customWidth="1"/>
    <col min="2317" max="2317" width="11.28515625" style="98" bestFit="1" customWidth="1"/>
    <col min="2318" max="2319" width="12.85546875" style="98" bestFit="1" customWidth="1"/>
    <col min="2320" max="2320" width="11.28515625" style="98" bestFit="1" customWidth="1"/>
    <col min="2321" max="2321" width="12.85546875" style="98" bestFit="1" customWidth="1"/>
    <col min="2322" max="2323" width="11.28515625" style="98" bestFit="1" customWidth="1"/>
    <col min="2324" max="2325" width="12.85546875" style="98" bestFit="1" customWidth="1"/>
    <col min="2326" max="2326" width="10.28515625" style="98" bestFit="1" customWidth="1"/>
    <col min="2327" max="2329" width="11.28515625" style="98" bestFit="1" customWidth="1"/>
    <col min="2330" max="2332" width="12.85546875" style="98" bestFit="1" customWidth="1"/>
    <col min="2333" max="2336" width="11.28515625" style="98" bestFit="1" customWidth="1"/>
    <col min="2337" max="2337" width="10.28515625" style="98" bestFit="1" customWidth="1"/>
    <col min="2338" max="2338" width="12.85546875" style="98" bestFit="1" customWidth="1"/>
    <col min="2339" max="2341" width="11.28515625" style="98" bestFit="1" customWidth="1"/>
    <col min="2342" max="2342" width="12.85546875" style="98" bestFit="1" customWidth="1"/>
    <col min="2343" max="2343" width="11.28515625" style="98" bestFit="1" customWidth="1"/>
    <col min="2344" max="2344" width="12.85546875" style="98" bestFit="1" customWidth="1"/>
    <col min="2345" max="2345" width="9.140625" style="98"/>
    <col min="2346" max="2346" width="14" style="98" bestFit="1" customWidth="1"/>
    <col min="2347" max="2563" width="9.140625" style="98"/>
    <col min="2564" max="2564" width="46.85546875" style="98" customWidth="1"/>
    <col min="2565" max="2565" width="12.85546875" style="98" bestFit="1" customWidth="1"/>
    <col min="2566" max="2566" width="11.28515625" style="98" bestFit="1" customWidth="1"/>
    <col min="2567" max="2572" width="12.85546875" style="98" bestFit="1" customWidth="1"/>
    <col min="2573" max="2573" width="11.28515625" style="98" bestFit="1" customWidth="1"/>
    <col min="2574" max="2575" width="12.85546875" style="98" bestFit="1" customWidth="1"/>
    <col min="2576" max="2576" width="11.28515625" style="98" bestFit="1" customWidth="1"/>
    <col min="2577" max="2577" width="12.85546875" style="98" bestFit="1" customWidth="1"/>
    <col min="2578" max="2579" width="11.28515625" style="98" bestFit="1" customWidth="1"/>
    <col min="2580" max="2581" width="12.85546875" style="98" bestFit="1" customWidth="1"/>
    <col min="2582" max="2582" width="10.28515625" style="98" bestFit="1" customWidth="1"/>
    <col min="2583" max="2585" width="11.28515625" style="98" bestFit="1" customWidth="1"/>
    <col min="2586" max="2588" width="12.85546875" style="98" bestFit="1" customWidth="1"/>
    <col min="2589" max="2592" width="11.28515625" style="98" bestFit="1" customWidth="1"/>
    <col min="2593" max="2593" width="10.28515625" style="98" bestFit="1" customWidth="1"/>
    <col min="2594" max="2594" width="12.85546875" style="98" bestFit="1" customWidth="1"/>
    <col min="2595" max="2597" width="11.28515625" style="98" bestFit="1" customWidth="1"/>
    <col min="2598" max="2598" width="12.85546875" style="98" bestFit="1" customWidth="1"/>
    <col min="2599" max="2599" width="11.28515625" style="98" bestFit="1" customWidth="1"/>
    <col min="2600" max="2600" width="12.85546875" style="98" bestFit="1" customWidth="1"/>
    <col min="2601" max="2601" width="9.140625" style="98"/>
    <col min="2602" max="2602" width="14" style="98" bestFit="1" customWidth="1"/>
    <col min="2603" max="2819" width="9.140625" style="98"/>
    <col min="2820" max="2820" width="46.85546875" style="98" customWidth="1"/>
    <col min="2821" max="2821" width="12.85546875" style="98" bestFit="1" customWidth="1"/>
    <col min="2822" max="2822" width="11.28515625" style="98" bestFit="1" customWidth="1"/>
    <col min="2823" max="2828" width="12.85546875" style="98" bestFit="1" customWidth="1"/>
    <col min="2829" max="2829" width="11.28515625" style="98" bestFit="1" customWidth="1"/>
    <col min="2830" max="2831" width="12.85546875" style="98" bestFit="1" customWidth="1"/>
    <col min="2832" max="2832" width="11.28515625" style="98" bestFit="1" customWidth="1"/>
    <col min="2833" max="2833" width="12.85546875" style="98" bestFit="1" customWidth="1"/>
    <col min="2834" max="2835" width="11.28515625" style="98" bestFit="1" customWidth="1"/>
    <col min="2836" max="2837" width="12.85546875" style="98" bestFit="1" customWidth="1"/>
    <col min="2838" max="2838" width="10.28515625" style="98" bestFit="1" customWidth="1"/>
    <col min="2839" max="2841" width="11.28515625" style="98" bestFit="1" customWidth="1"/>
    <col min="2842" max="2844" width="12.85546875" style="98" bestFit="1" customWidth="1"/>
    <col min="2845" max="2848" width="11.28515625" style="98" bestFit="1" customWidth="1"/>
    <col min="2849" max="2849" width="10.28515625" style="98" bestFit="1" customWidth="1"/>
    <col min="2850" max="2850" width="12.85546875" style="98" bestFit="1" customWidth="1"/>
    <col min="2851" max="2853" width="11.28515625" style="98" bestFit="1" customWidth="1"/>
    <col min="2854" max="2854" width="12.85546875" style="98" bestFit="1" customWidth="1"/>
    <col min="2855" max="2855" width="11.28515625" style="98" bestFit="1" customWidth="1"/>
    <col min="2856" max="2856" width="12.85546875" style="98" bestFit="1" customWidth="1"/>
    <col min="2857" max="2857" width="9.140625" style="98"/>
    <col min="2858" max="2858" width="14" style="98" bestFit="1" customWidth="1"/>
    <col min="2859" max="3075" width="9.140625" style="98"/>
    <col min="3076" max="3076" width="46.85546875" style="98" customWidth="1"/>
    <col min="3077" max="3077" width="12.85546875" style="98" bestFit="1" customWidth="1"/>
    <col min="3078" max="3078" width="11.28515625" style="98" bestFit="1" customWidth="1"/>
    <col min="3079" max="3084" width="12.85546875" style="98" bestFit="1" customWidth="1"/>
    <col min="3085" max="3085" width="11.28515625" style="98" bestFit="1" customWidth="1"/>
    <col min="3086" max="3087" width="12.85546875" style="98" bestFit="1" customWidth="1"/>
    <col min="3088" max="3088" width="11.28515625" style="98" bestFit="1" customWidth="1"/>
    <col min="3089" max="3089" width="12.85546875" style="98" bestFit="1" customWidth="1"/>
    <col min="3090" max="3091" width="11.28515625" style="98" bestFit="1" customWidth="1"/>
    <col min="3092" max="3093" width="12.85546875" style="98" bestFit="1" customWidth="1"/>
    <col min="3094" max="3094" width="10.28515625" style="98" bestFit="1" customWidth="1"/>
    <col min="3095" max="3097" width="11.28515625" style="98" bestFit="1" customWidth="1"/>
    <col min="3098" max="3100" width="12.85546875" style="98" bestFit="1" customWidth="1"/>
    <col min="3101" max="3104" width="11.28515625" style="98" bestFit="1" customWidth="1"/>
    <col min="3105" max="3105" width="10.28515625" style="98" bestFit="1" customWidth="1"/>
    <col min="3106" max="3106" width="12.85546875" style="98" bestFit="1" customWidth="1"/>
    <col min="3107" max="3109" width="11.28515625" style="98" bestFit="1" customWidth="1"/>
    <col min="3110" max="3110" width="12.85546875" style="98" bestFit="1" customWidth="1"/>
    <col min="3111" max="3111" width="11.28515625" style="98" bestFit="1" customWidth="1"/>
    <col min="3112" max="3112" width="12.85546875" style="98" bestFit="1" customWidth="1"/>
    <col min="3113" max="3113" width="9.140625" style="98"/>
    <col min="3114" max="3114" width="14" style="98" bestFit="1" customWidth="1"/>
    <col min="3115" max="3331" width="9.140625" style="98"/>
    <col min="3332" max="3332" width="46.85546875" style="98" customWidth="1"/>
    <col min="3333" max="3333" width="12.85546875" style="98" bestFit="1" customWidth="1"/>
    <col min="3334" max="3334" width="11.28515625" style="98" bestFit="1" customWidth="1"/>
    <col min="3335" max="3340" width="12.85546875" style="98" bestFit="1" customWidth="1"/>
    <col min="3341" max="3341" width="11.28515625" style="98" bestFit="1" customWidth="1"/>
    <col min="3342" max="3343" width="12.85546875" style="98" bestFit="1" customWidth="1"/>
    <col min="3344" max="3344" width="11.28515625" style="98" bestFit="1" customWidth="1"/>
    <col min="3345" max="3345" width="12.85546875" style="98" bestFit="1" customWidth="1"/>
    <col min="3346" max="3347" width="11.28515625" style="98" bestFit="1" customWidth="1"/>
    <col min="3348" max="3349" width="12.85546875" style="98" bestFit="1" customWidth="1"/>
    <col min="3350" max="3350" width="10.28515625" style="98" bestFit="1" customWidth="1"/>
    <col min="3351" max="3353" width="11.28515625" style="98" bestFit="1" customWidth="1"/>
    <col min="3354" max="3356" width="12.85546875" style="98" bestFit="1" customWidth="1"/>
    <col min="3357" max="3360" width="11.28515625" style="98" bestFit="1" customWidth="1"/>
    <col min="3361" max="3361" width="10.28515625" style="98" bestFit="1" customWidth="1"/>
    <col min="3362" max="3362" width="12.85546875" style="98" bestFit="1" customWidth="1"/>
    <col min="3363" max="3365" width="11.28515625" style="98" bestFit="1" customWidth="1"/>
    <col min="3366" max="3366" width="12.85546875" style="98" bestFit="1" customWidth="1"/>
    <col min="3367" max="3367" width="11.28515625" style="98" bestFit="1" customWidth="1"/>
    <col min="3368" max="3368" width="12.85546875" style="98" bestFit="1" customWidth="1"/>
    <col min="3369" max="3369" width="9.140625" style="98"/>
    <col min="3370" max="3370" width="14" style="98" bestFit="1" customWidth="1"/>
    <col min="3371" max="3587" width="9.140625" style="98"/>
    <col min="3588" max="3588" width="46.85546875" style="98" customWidth="1"/>
    <col min="3589" max="3589" width="12.85546875" style="98" bestFit="1" customWidth="1"/>
    <col min="3590" max="3590" width="11.28515625" style="98" bestFit="1" customWidth="1"/>
    <col min="3591" max="3596" width="12.85546875" style="98" bestFit="1" customWidth="1"/>
    <col min="3597" max="3597" width="11.28515625" style="98" bestFit="1" customWidth="1"/>
    <col min="3598" max="3599" width="12.85546875" style="98" bestFit="1" customWidth="1"/>
    <col min="3600" max="3600" width="11.28515625" style="98" bestFit="1" customWidth="1"/>
    <col min="3601" max="3601" width="12.85546875" style="98" bestFit="1" customWidth="1"/>
    <col min="3602" max="3603" width="11.28515625" style="98" bestFit="1" customWidth="1"/>
    <col min="3604" max="3605" width="12.85546875" style="98" bestFit="1" customWidth="1"/>
    <col min="3606" max="3606" width="10.28515625" style="98" bestFit="1" customWidth="1"/>
    <col min="3607" max="3609" width="11.28515625" style="98" bestFit="1" customWidth="1"/>
    <col min="3610" max="3612" width="12.85546875" style="98" bestFit="1" customWidth="1"/>
    <col min="3613" max="3616" width="11.28515625" style="98" bestFit="1" customWidth="1"/>
    <col min="3617" max="3617" width="10.28515625" style="98" bestFit="1" customWidth="1"/>
    <col min="3618" max="3618" width="12.85546875" style="98" bestFit="1" customWidth="1"/>
    <col min="3619" max="3621" width="11.28515625" style="98" bestFit="1" customWidth="1"/>
    <col min="3622" max="3622" width="12.85546875" style="98" bestFit="1" customWidth="1"/>
    <col min="3623" max="3623" width="11.28515625" style="98" bestFit="1" customWidth="1"/>
    <col min="3624" max="3624" width="12.85546875" style="98" bestFit="1" customWidth="1"/>
    <col min="3625" max="3625" width="9.140625" style="98"/>
    <col min="3626" max="3626" width="14" style="98" bestFit="1" customWidth="1"/>
    <col min="3627" max="3843" width="9.140625" style="98"/>
    <col min="3844" max="3844" width="46.85546875" style="98" customWidth="1"/>
    <col min="3845" max="3845" width="12.85546875" style="98" bestFit="1" customWidth="1"/>
    <col min="3846" max="3846" width="11.28515625" style="98" bestFit="1" customWidth="1"/>
    <col min="3847" max="3852" width="12.85546875" style="98" bestFit="1" customWidth="1"/>
    <col min="3853" max="3853" width="11.28515625" style="98" bestFit="1" customWidth="1"/>
    <col min="3854" max="3855" width="12.85546875" style="98" bestFit="1" customWidth="1"/>
    <col min="3856" max="3856" width="11.28515625" style="98" bestFit="1" customWidth="1"/>
    <col min="3857" max="3857" width="12.85546875" style="98" bestFit="1" customWidth="1"/>
    <col min="3858" max="3859" width="11.28515625" style="98" bestFit="1" customWidth="1"/>
    <col min="3860" max="3861" width="12.85546875" style="98" bestFit="1" customWidth="1"/>
    <col min="3862" max="3862" width="10.28515625" style="98" bestFit="1" customWidth="1"/>
    <col min="3863" max="3865" width="11.28515625" style="98" bestFit="1" customWidth="1"/>
    <col min="3866" max="3868" width="12.85546875" style="98" bestFit="1" customWidth="1"/>
    <col min="3869" max="3872" width="11.28515625" style="98" bestFit="1" customWidth="1"/>
    <col min="3873" max="3873" width="10.28515625" style="98" bestFit="1" customWidth="1"/>
    <col min="3874" max="3874" width="12.85546875" style="98" bestFit="1" customWidth="1"/>
    <col min="3875" max="3877" width="11.28515625" style="98" bestFit="1" customWidth="1"/>
    <col min="3878" max="3878" width="12.85546875" style="98" bestFit="1" customWidth="1"/>
    <col min="3879" max="3879" width="11.28515625" style="98" bestFit="1" customWidth="1"/>
    <col min="3880" max="3880" width="12.85546875" style="98" bestFit="1" customWidth="1"/>
    <col min="3881" max="3881" width="9.140625" style="98"/>
    <col min="3882" max="3882" width="14" style="98" bestFit="1" customWidth="1"/>
    <col min="3883" max="4099" width="9.140625" style="98"/>
    <col min="4100" max="4100" width="46.85546875" style="98" customWidth="1"/>
    <col min="4101" max="4101" width="12.85546875" style="98" bestFit="1" customWidth="1"/>
    <col min="4102" max="4102" width="11.28515625" style="98" bestFit="1" customWidth="1"/>
    <col min="4103" max="4108" width="12.85546875" style="98" bestFit="1" customWidth="1"/>
    <col min="4109" max="4109" width="11.28515625" style="98" bestFit="1" customWidth="1"/>
    <col min="4110" max="4111" width="12.85546875" style="98" bestFit="1" customWidth="1"/>
    <col min="4112" max="4112" width="11.28515625" style="98" bestFit="1" customWidth="1"/>
    <col min="4113" max="4113" width="12.85546875" style="98" bestFit="1" customWidth="1"/>
    <col min="4114" max="4115" width="11.28515625" style="98" bestFit="1" customWidth="1"/>
    <col min="4116" max="4117" width="12.85546875" style="98" bestFit="1" customWidth="1"/>
    <col min="4118" max="4118" width="10.28515625" style="98" bestFit="1" customWidth="1"/>
    <col min="4119" max="4121" width="11.28515625" style="98" bestFit="1" customWidth="1"/>
    <col min="4122" max="4124" width="12.85546875" style="98" bestFit="1" customWidth="1"/>
    <col min="4125" max="4128" width="11.28515625" style="98" bestFit="1" customWidth="1"/>
    <col min="4129" max="4129" width="10.28515625" style="98" bestFit="1" customWidth="1"/>
    <col min="4130" max="4130" width="12.85546875" style="98" bestFit="1" customWidth="1"/>
    <col min="4131" max="4133" width="11.28515625" style="98" bestFit="1" customWidth="1"/>
    <col min="4134" max="4134" width="12.85546875" style="98" bestFit="1" customWidth="1"/>
    <col min="4135" max="4135" width="11.28515625" style="98" bestFit="1" customWidth="1"/>
    <col min="4136" max="4136" width="12.85546875" style="98" bestFit="1" customWidth="1"/>
    <col min="4137" max="4137" width="9.140625" style="98"/>
    <col min="4138" max="4138" width="14" style="98" bestFit="1" customWidth="1"/>
    <col min="4139" max="4355" width="9.140625" style="98"/>
    <col min="4356" max="4356" width="46.85546875" style="98" customWidth="1"/>
    <col min="4357" max="4357" width="12.85546875" style="98" bestFit="1" customWidth="1"/>
    <col min="4358" max="4358" width="11.28515625" style="98" bestFit="1" customWidth="1"/>
    <col min="4359" max="4364" width="12.85546875" style="98" bestFit="1" customWidth="1"/>
    <col min="4365" max="4365" width="11.28515625" style="98" bestFit="1" customWidth="1"/>
    <col min="4366" max="4367" width="12.85546875" style="98" bestFit="1" customWidth="1"/>
    <col min="4368" max="4368" width="11.28515625" style="98" bestFit="1" customWidth="1"/>
    <col min="4369" max="4369" width="12.85546875" style="98" bestFit="1" customWidth="1"/>
    <col min="4370" max="4371" width="11.28515625" style="98" bestFit="1" customWidth="1"/>
    <col min="4372" max="4373" width="12.85546875" style="98" bestFit="1" customWidth="1"/>
    <col min="4374" max="4374" width="10.28515625" style="98" bestFit="1" customWidth="1"/>
    <col min="4375" max="4377" width="11.28515625" style="98" bestFit="1" customWidth="1"/>
    <col min="4378" max="4380" width="12.85546875" style="98" bestFit="1" customWidth="1"/>
    <col min="4381" max="4384" width="11.28515625" style="98" bestFit="1" customWidth="1"/>
    <col min="4385" max="4385" width="10.28515625" style="98" bestFit="1" customWidth="1"/>
    <col min="4386" max="4386" width="12.85546875" style="98" bestFit="1" customWidth="1"/>
    <col min="4387" max="4389" width="11.28515625" style="98" bestFit="1" customWidth="1"/>
    <col min="4390" max="4390" width="12.85546875" style="98" bestFit="1" customWidth="1"/>
    <col min="4391" max="4391" width="11.28515625" style="98" bestFit="1" customWidth="1"/>
    <col min="4392" max="4392" width="12.85546875" style="98" bestFit="1" customWidth="1"/>
    <col min="4393" max="4393" width="9.140625" style="98"/>
    <col min="4394" max="4394" width="14" style="98" bestFit="1" customWidth="1"/>
    <col min="4395" max="4611" width="9.140625" style="98"/>
    <col min="4612" max="4612" width="46.85546875" style="98" customWidth="1"/>
    <col min="4613" max="4613" width="12.85546875" style="98" bestFit="1" customWidth="1"/>
    <col min="4614" max="4614" width="11.28515625" style="98" bestFit="1" customWidth="1"/>
    <col min="4615" max="4620" width="12.85546875" style="98" bestFit="1" customWidth="1"/>
    <col min="4621" max="4621" width="11.28515625" style="98" bestFit="1" customWidth="1"/>
    <col min="4622" max="4623" width="12.85546875" style="98" bestFit="1" customWidth="1"/>
    <col min="4624" max="4624" width="11.28515625" style="98" bestFit="1" customWidth="1"/>
    <col min="4625" max="4625" width="12.85546875" style="98" bestFit="1" customWidth="1"/>
    <col min="4626" max="4627" width="11.28515625" style="98" bestFit="1" customWidth="1"/>
    <col min="4628" max="4629" width="12.85546875" style="98" bestFit="1" customWidth="1"/>
    <col min="4630" max="4630" width="10.28515625" style="98" bestFit="1" customWidth="1"/>
    <col min="4631" max="4633" width="11.28515625" style="98" bestFit="1" customWidth="1"/>
    <col min="4634" max="4636" width="12.85546875" style="98" bestFit="1" customWidth="1"/>
    <col min="4637" max="4640" width="11.28515625" style="98" bestFit="1" customWidth="1"/>
    <col min="4641" max="4641" width="10.28515625" style="98" bestFit="1" customWidth="1"/>
    <col min="4642" max="4642" width="12.85546875" style="98" bestFit="1" customWidth="1"/>
    <col min="4643" max="4645" width="11.28515625" style="98" bestFit="1" customWidth="1"/>
    <col min="4646" max="4646" width="12.85546875" style="98" bestFit="1" customWidth="1"/>
    <col min="4647" max="4647" width="11.28515625" style="98" bestFit="1" customWidth="1"/>
    <col min="4648" max="4648" width="12.85546875" style="98" bestFit="1" customWidth="1"/>
    <col min="4649" max="4649" width="9.140625" style="98"/>
    <col min="4650" max="4650" width="14" style="98" bestFit="1" customWidth="1"/>
    <col min="4651" max="4867" width="9.140625" style="98"/>
    <col min="4868" max="4868" width="46.85546875" style="98" customWidth="1"/>
    <col min="4869" max="4869" width="12.85546875" style="98" bestFit="1" customWidth="1"/>
    <col min="4870" max="4870" width="11.28515625" style="98" bestFit="1" customWidth="1"/>
    <col min="4871" max="4876" width="12.85546875" style="98" bestFit="1" customWidth="1"/>
    <col min="4877" max="4877" width="11.28515625" style="98" bestFit="1" customWidth="1"/>
    <col min="4878" max="4879" width="12.85546875" style="98" bestFit="1" customWidth="1"/>
    <col min="4880" max="4880" width="11.28515625" style="98" bestFit="1" customWidth="1"/>
    <col min="4881" max="4881" width="12.85546875" style="98" bestFit="1" customWidth="1"/>
    <col min="4882" max="4883" width="11.28515625" style="98" bestFit="1" customWidth="1"/>
    <col min="4884" max="4885" width="12.85546875" style="98" bestFit="1" customWidth="1"/>
    <col min="4886" max="4886" width="10.28515625" style="98" bestFit="1" customWidth="1"/>
    <col min="4887" max="4889" width="11.28515625" style="98" bestFit="1" customWidth="1"/>
    <col min="4890" max="4892" width="12.85546875" style="98" bestFit="1" customWidth="1"/>
    <col min="4893" max="4896" width="11.28515625" style="98" bestFit="1" customWidth="1"/>
    <col min="4897" max="4897" width="10.28515625" style="98" bestFit="1" customWidth="1"/>
    <col min="4898" max="4898" width="12.85546875" style="98" bestFit="1" customWidth="1"/>
    <col min="4899" max="4901" width="11.28515625" style="98" bestFit="1" customWidth="1"/>
    <col min="4902" max="4902" width="12.85546875" style="98" bestFit="1" customWidth="1"/>
    <col min="4903" max="4903" width="11.28515625" style="98" bestFit="1" customWidth="1"/>
    <col min="4904" max="4904" width="12.85546875" style="98" bestFit="1" customWidth="1"/>
    <col min="4905" max="4905" width="9.140625" style="98"/>
    <col min="4906" max="4906" width="14" style="98" bestFit="1" customWidth="1"/>
    <col min="4907" max="5123" width="9.140625" style="98"/>
    <col min="5124" max="5124" width="46.85546875" style="98" customWidth="1"/>
    <col min="5125" max="5125" width="12.85546875" style="98" bestFit="1" customWidth="1"/>
    <col min="5126" max="5126" width="11.28515625" style="98" bestFit="1" customWidth="1"/>
    <col min="5127" max="5132" width="12.85546875" style="98" bestFit="1" customWidth="1"/>
    <col min="5133" max="5133" width="11.28515625" style="98" bestFit="1" customWidth="1"/>
    <col min="5134" max="5135" width="12.85546875" style="98" bestFit="1" customWidth="1"/>
    <col min="5136" max="5136" width="11.28515625" style="98" bestFit="1" customWidth="1"/>
    <col min="5137" max="5137" width="12.85546875" style="98" bestFit="1" customWidth="1"/>
    <col min="5138" max="5139" width="11.28515625" style="98" bestFit="1" customWidth="1"/>
    <col min="5140" max="5141" width="12.85546875" style="98" bestFit="1" customWidth="1"/>
    <col min="5142" max="5142" width="10.28515625" style="98" bestFit="1" customWidth="1"/>
    <col min="5143" max="5145" width="11.28515625" style="98" bestFit="1" customWidth="1"/>
    <col min="5146" max="5148" width="12.85546875" style="98" bestFit="1" customWidth="1"/>
    <col min="5149" max="5152" width="11.28515625" style="98" bestFit="1" customWidth="1"/>
    <col min="5153" max="5153" width="10.28515625" style="98" bestFit="1" customWidth="1"/>
    <col min="5154" max="5154" width="12.85546875" style="98" bestFit="1" customWidth="1"/>
    <col min="5155" max="5157" width="11.28515625" style="98" bestFit="1" customWidth="1"/>
    <col min="5158" max="5158" width="12.85546875" style="98" bestFit="1" customWidth="1"/>
    <col min="5159" max="5159" width="11.28515625" style="98" bestFit="1" customWidth="1"/>
    <col min="5160" max="5160" width="12.85546875" style="98" bestFit="1" customWidth="1"/>
    <col min="5161" max="5161" width="9.140625" style="98"/>
    <col min="5162" max="5162" width="14" style="98" bestFit="1" customWidth="1"/>
    <col min="5163" max="5379" width="9.140625" style="98"/>
    <col min="5380" max="5380" width="46.85546875" style="98" customWidth="1"/>
    <col min="5381" max="5381" width="12.85546875" style="98" bestFit="1" customWidth="1"/>
    <col min="5382" max="5382" width="11.28515625" style="98" bestFit="1" customWidth="1"/>
    <col min="5383" max="5388" width="12.85546875" style="98" bestFit="1" customWidth="1"/>
    <col min="5389" max="5389" width="11.28515625" style="98" bestFit="1" customWidth="1"/>
    <col min="5390" max="5391" width="12.85546875" style="98" bestFit="1" customWidth="1"/>
    <col min="5392" max="5392" width="11.28515625" style="98" bestFit="1" customWidth="1"/>
    <col min="5393" max="5393" width="12.85546875" style="98" bestFit="1" customWidth="1"/>
    <col min="5394" max="5395" width="11.28515625" style="98" bestFit="1" customWidth="1"/>
    <col min="5396" max="5397" width="12.85546875" style="98" bestFit="1" customWidth="1"/>
    <col min="5398" max="5398" width="10.28515625" style="98" bestFit="1" customWidth="1"/>
    <col min="5399" max="5401" width="11.28515625" style="98" bestFit="1" customWidth="1"/>
    <col min="5402" max="5404" width="12.85546875" style="98" bestFit="1" customWidth="1"/>
    <col min="5405" max="5408" width="11.28515625" style="98" bestFit="1" customWidth="1"/>
    <col min="5409" max="5409" width="10.28515625" style="98" bestFit="1" customWidth="1"/>
    <col min="5410" max="5410" width="12.85546875" style="98" bestFit="1" customWidth="1"/>
    <col min="5411" max="5413" width="11.28515625" style="98" bestFit="1" customWidth="1"/>
    <col min="5414" max="5414" width="12.85546875" style="98" bestFit="1" customWidth="1"/>
    <col min="5415" max="5415" width="11.28515625" style="98" bestFit="1" customWidth="1"/>
    <col min="5416" max="5416" width="12.85546875" style="98" bestFit="1" customWidth="1"/>
    <col min="5417" max="5417" width="9.140625" style="98"/>
    <col min="5418" max="5418" width="14" style="98" bestFit="1" customWidth="1"/>
    <col min="5419" max="5635" width="9.140625" style="98"/>
    <col min="5636" max="5636" width="46.85546875" style="98" customWidth="1"/>
    <col min="5637" max="5637" width="12.85546875" style="98" bestFit="1" customWidth="1"/>
    <col min="5638" max="5638" width="11.28515625" style="98" bestFit="1" customWidth="1"/>
    <col min="5639" max="5644" width="12.85546875" style="98" bestFit="1" customWidth="1"/>
    <col min="5645" max="5645" width="11.28515625" style="98" bestFit="1" customWidth="1"/>
    <col min="5646" max="5647" width="12.85546875" style="98" bestFit="1" customWidth="1"/>
    <col min="5648" max="5648" width="11.28515625" style="98" bestFit="1" customWidth="1"/>
    <col min="5649" max="5649" width="12.85546875" style="98" bestFit="1" customWidth="1"/>
    <col min="5650" max="5651" width="11.28515625" style="98" bestFit="1" customWidth="1"/>
    <col min="5652" max="5653" width="12.85546875" style="98" bestFit="1" customWidth="1"/>
    <col min="5654" max="5654" width="10.28515625" style="98" bestFit="1" customWidth="1"/>
    <col min="5655" max="5657" width="11.28515625" style="98" bestFit="1" customWidth="1"/>
    <col min="5658" max="5660" width="12.85546875" style="98" bestFit="1" customWidth="1"/>
    <col min="5661" max="5664" width="11.28515625" style="98" bestFit="1" customWidth="1"/>
    <col min="5665" max="5665" width="10.28515625" style="98" bestFit="1" customWidth="1"/>
    <col min="5666" max="5666" width="12.85546875" style="98" bestFit="1" customWidth="1"/>
    <col min="5667" max="5669" width="11.28515625" style="98" bestFit="1" customWidth="1"/>
    <col min="5670" max="5670" width="12.85546875" style="98" bestFit="1" customWidth="1"/>
    <col min="5671" max="5671" width="11.28515625" style="98" bestFit="1" customWidth="1"/>
    <col min="5672" max="5672" width="12.85546875" style="98" bestFit="1" customWidth="1"/>
    <col min="5673" max="5673" width="9.140625" style="98"/>
    <col min="5674" max="5674" width="14" style="98" bestFit="1" customWidth="1"/>
    <col min="5675" max="5891" width="9.140625" style="98"/>
    <col min="5892" max="5892" width="46.85546875" style="98" customWidth="1"/>
    <col min="5893" max="5893" width="12.85546875" style="98" bestFit="1" customWidth="1"/>
    <col min="5894" max="5894" width="11.28515625" style="98" bestFit="1" customWidth="1"/>
    <col min="5895" max="5900" width="12.85546875" style="98" bestFit="1" customWidth="1"/>
    <col min="5901" max="5901" width="11.28515625" style="98" bestFit="1" customWidth="1"/>
    <col min="5902" max="5903" width="12.85546875" style="98" bestFit="1" customWidth="1"/>
    <col min="5904" max="5904" width="11.28515625" style="98" bestFit="1" customWidth="1"/>
    <col min="5905" max="5905" width="12.85546875" style="98" bestFit="1" customWidth="1"/>
    <col min="5906" max="5907" width="11.28515625" style="98" bestFit="1" customWidth="1"/>
    <col min="5908" max="5909" width="12.85546875" style="98" bestFit="1" customWidth="1"/>
    <col min="5910" max="5910" width="10.28515625" style="98" bestFit="1" customWidth="1"/>
    <col min="5911" max="5913" width="11.28515625" style="98" bestFit="1" customWidth="1"/>
    <col min="5914" max="5916" width="12.85546875" style="98" bestFit="1" customWidth="1"/>
    <col min="5917" max="5920" width="11.28515625" style="98" bestFit="1" customWidth="1"/>
    <col min="5921" max="5921" width="10.28515625" style="98" bestFit="1" customWidth="1"/>
    <col min="5922" max="5922" width="12.85546875" style="98" bestFit="1" customWidth="1"/>
    <col min="5923" max="5925" width="11.28515625" style="98" bestFit="1" customWidth="1"/>
    <col min="5926" max="5926" width="12.85546875" style="98" bestFit="1" customWidth="1"/>
    <col min="5927" max="5927" width="11.28515625" style="98" bestFit="1" customWidth="1"/>
    <col min="5928" max="5928" width="12.85546875" style="98" bestFit="1" customWidth="1"/>
    <col min="5929" max="5929" width="9.140625" style="98"/>
    <col min="5930" max="5930" width="14" style="98" bestFit="1" customWidth="1"/>
    <col min="5931" max="6147" width="9.140625" style="98"/>
    <col min="6148" max="6148" width="46.85546875" style="98" customWidth="1"/>
    <col min="6149" max="6149" width="12.85546875" style="98" bestFit="1" customWidth="1"/>
    <col min="6150" max="6150" width="11.28515625" style="98" bestFit="1" customWidth="1"/>
    <col min="6151" max="6156" width="12.85546875" style="98" bestFit="1" customWidth="1"/>
    <col min="6157" max="6157" width="11.28515625" style="98" bestFit="1" customWidth="1"/>
    <col min="6158" max="6159" width="12.85546875" style="98" bestFit="1" customWidth="1"/>
    <col min="6160" max="6160" width="11.28515625" style="98" bestFit="1" customWidth="1"/>
    <col min="6161" max="6161" width="12.85546875" style="98" bestFit="1" customWidth="1"/>
    <col min="6162" max="6163" width="11.28515625" style="98" bestFit="1" customWidth="1"/>
    <col min="6164" max="6165" width="12.85546875" style="98" bestFit="1" customWidth="1"/>
    <col min="6166" max="6166" width="10.28515625" style="98" bestFit="1" customWidth="1"/>
    <col min="6167" max="6169" width="11.28515625" style="98" bestFit="1" customWidth="1"/>
    <col min="6170" max="6172" width="12.85546875" style="98" bestFit="1" customWidth="1"/>
    <col min="6173" max="6176" width="11.28515625" style="98" bestFit="1" customWidth="1"/>
    <col min="6177" max="6177" width="10.28515625" style="98" bestFit="1" customWidth="1"/>
    <col min="6178" max="6178" width="12.85546875" style="98" bestFit="1" customWidth="1"/>
    <col min="6179" max="6181" width="11.28515625" style="98" bestFit="1" customWidth="1"/>
    <col min="6182" max="6182" width="12.85546875" style="98" bestFit="1" customWidth="1"/>
    <col min="6183" max="6183" width="11.28515625" style="98" bestFit="1" customWidth="1"/>
    <col min="6184" max="6184" width="12.85546875" style="98" bestFit="1" customWidth="1"/>
    <col min="6185" max="6185" width="9.140625" style="98"/>
    <col min="6186" max="6186" width="14" style="98" bestFit="1" customWidth="1"/>
    <col min="6187" max="6403" width="9.140625" style="98"/>
    <col min="6404" max="6404" width="46.85546875" style="98" customWidth="1"/>
    <col min="6405" max="6405" width="12.85546875" style="98" bestFit="1" customWidth="1"/>
    <col min="6406" max="6406" width="11.28515625" style="98" bestFit="1" customWidth="1"/>
    <col min="6407" max="6412" width="12.85546875" style="98" bestFit="1" customWidth="1"/>
    <col min="6413" max="6413" width="11.28515625" style="98" bestFit="1" customWidth="1"/>
    <col min="6414" max="6415" width="12.85546875" style="98" bestFit="1" customWidth="1"/>
    <col min="6416" max="6416" width="11.28515625" style="98" bestFit="1" customWidth="1"/>
    <col min="6417" max="6417" width="12.85546875" style="98" bestFit="1" customWidth="1"/>
    <col min="6418" max="6419" width="11.28515625" style="98" bestFit="1" customWidth="1"/>
    <col min="6420" max="6421" width="12.85546875" style="98" bestFit="1" customWidth="1"/>
    <col min="6422" max="6422" width="10.28515625" style="98" bestFit="1" customWidth="1"/>
    <col min="6423" max="6425" width="11.28515625" style="98" bestFit="1" customWidth="1"/>
    <col min="6426" max="6428" width="12.85546875" style="98" bestFit="1" customWidth="1"/>
    <col min="6429" max="6432" width="11.28515625" style="98" bestFit="1" customWidth="1"/>
    <col min="6433" max="6433" width="10.28515625" style="98" bestFit="1" customWidth="1"/>
    <col min="6434" max="6434" width="12.85546875" style="98" bestFit="1" customWidth="1"/>
    <col min="6435" max="6437" width="11.28515625" style="98" bestFit="1" customWidth="1"/>
    <col min="6438" max="6438" width="12.85546875" style="98" bestFit="1" customWidth="1"/>
    <col min="6439" max="6439" width="11.28515625" style="98" bestFit="1" customWidth="1"/>
    <col min="6440" max="6440" width="12.85546875" style="98" bestFit="1" customWidth="1"/>
    <col min="6441" max="6441" width="9.140625" style="98"/>
    <col min="6442" max="6442" width="14" style="98" bestFit="1" customWidth="1"/>
    <col min="6443" max="6659" width="9.140625" style="98"/>
    <col min="6660" max="6660" width="46.85546875" style="98" customWidth="1"/>
    <col min="6661" max="6661" width="12.85546875" style="98" bestFit="1" customWidth="1"/>
    <col min="6662" max="6662" width="11.28515625" style="98" bestFit="1" customWidth="1"/>
    <col min="6663" max="6668" width="12.85546875" style="98" bestFit="1" customWidth="1"/>
    <col min="6669" max="6669" width="11.28515625" style="98" bestFit="1" customWidth="1"/>
    <col min="6670" max="6671" width="12.85546875" style="98" bestFit="1" customWidth="1"/>
    <col min="6672" max="6672" width="11.28515625" style="98" bestFit="1" customWidth="1"/>
    <col min="6673" max="6673" width="12.85546875" style="98" bestFit="1" customWidth="1"/>
    <col min="6674" max="6675" width="11.28515625" style="98" bestFit="1" customWidth="1"/>
    <col min="6676" max="6677" width="12.85546875" style="98" bestFit="1" customWidth="1"/>
    <col min="6678" max="6678" width="10.28515625" style="98" bestFit="1" customWidth="1"/>
    <col min="6679" max="6681" width="11.28515625" style="98" bestFit="1" customWidth="1"/>
    <col min="6682" max="6684" width="12.85546875" style="98" bestFit="1" customWidth="1"/>
    <col min="6685" max="6688" width="11.28515625" style="98" bestFit="1" customWidth="1"/>
    <col min="6689" max="6689" width="10.28515625" style="98" bestFit="1" customWidth="1"/>
    <col min="6690" max="6690" width="12.85546875" style="98" bestFit="1" customWidth="1"/>
    <col min="6691" max="6693" width="11.28515625" style="98" bestFit="1" customWidth="1"/>
    <col min="6694" max="6694" width="12.85546875" style="98" bestFit="1" customWidth="1"/>
    <col min="6695" max="6695" width="11.28515625" style="98" bestFit="1" customWidth="1"/>
    <col min="6696" max="6696" width="12.85546875" style="98" bestFit="1" customWidth="1"/>
    <col min="6697" max="6697" width="9.140625" style="98"/>
    <col min="6698" max="6698" width="14" style="98" bestFit="1" customWidth="1"/>
    <col min="6699" max="6915" width="9.140625" style="98"/>
    <col min="6916" max="6916" width="46.85546875" style="98" customWidth="1"/>
    <col min="6917" max="6917" width="12.85546875" style="98" bestFit="1" customWidth="1"/>
    <col min="6918" max="6918" width="11.28515625" style="98" bestFit="1" customWidth="1"/>
    <col min="6919" max="6924" width="12.85546875" style="98" bestFit="1" customWidth="1"/>
    <col min="6925" max="6925" width="11.28515625" style="98" bestFit="1" customWidth="1"/>
    <col min="6926" max="6927" width="12.85546875" style="98" bestFit="1" customWidth="1"/>
    <col min="6928" max="6928" width="11.28515625" style="98" bestFit="1" customWidth="1"/>
    <col min="6929" max="6929" width="12.85546875" style="98" bestFit="1" customWidth="1"/>
    <col min="6930" max="6931" width="11.28515625" style="98" bestFit="1" customWidth="1"/>
    <col min="6932" max="6933" width="12.85546875" style="98" bestFit="1" customWidth="1"/>
    <col min="6934" max="6934" width="10.28515625" style="98" bestFit="1" customWidth="1"/>
    <col min="6935" max="6937" width="11.28515625" style="98" bestFit="1" customWidth="1"/>
    <col min="6938" max="6940" width="12.85546875" style="98" bestFit="1" customWidth="1"/>
    <col min="6941" max="6944" width="11.28515625" style="98" bestFit="1" customWidth="1"/>
    <col min="6945" max="6945" width="10.28515625" style="98" bestFit="1" customWidth="1"/>
    <col min="6946" max="6946" width="12.85546875" style="98" bestFit="1" customWidth="1"/>
    <col min="6947" max="6949" width="11.28515625" style="98" bestFit="1" customWidth="1"/>
    <col min="6950" max="6950" width="12.85546875" style="98" bestFit="1" customWidth="1"/>
    <col min="6951" max="6951" width="11.28515625" style="98" bestFit="1" customWidth="1"/>
    <col min="6952" max="6952" width="12.85546875" style="98" bestFit="1" customWidth="1"/>
    <col min="6953" max="6953" width="9.140625" style="98"/>
    <col min="6954" max="6954" width="14" style="98" bestFit="1" customWidth="1"/>
    <col min="6955" max="7171" width="9.140625" style="98"/>
    <col min="7172" max="7172" width="46.85546875" style="98" customWidth="1"/>
    <col min="7173" max="7173" width="12.85546875" style="98" bestFit="1" customWidth="1"/>
    <col min="7174" max="7174" width="11.28515625" style="98" bestFit="1" customWidth="1"/>
    <col min="7175" max="7180" width="12.85546875" style="98" bestFit="1" customWidth="1"/>
    <col min="7181" max="7181" width="11.28515625" style="98" bestFit="1" customWidth="1"/>
    <col min="7182" max="7183" width="12.85546875" style="98" bestFit="1" customWidth="1"/>
    <col min="7184" max="7184" width="11.28515625" style="98" bestFit="1" customWidth="1"/>
    <col min="7185" max="7185" width="12.85546875" style="98" bestFit="1" customWidth="1"/>
    <col min="7186" max="7187" width="11.28515625" style="98" bestFit="1" customWidth="1"/>
    <col min="7188" max="7189" width="12.85546875" style="98" bestFit="1" customWidth="1"/>
    <col min="7190" max="7190" width="10.28515625" style="98" bestFit="1" customWidth="1"/>
    <col min="7191" max="7193" width="11.28515625" style="98" bestFit="1" customWidth="1"/>
    <col min="7194" max="7196" width="12.85546875" style="98" bestFit="1" customWidth="1"/>
    <col min="7197" max="7200" width="11.28515625" style="98" bestFit="1" customWidth="1"/>
    <col min="7201" max="7201" width="10.28515625" style="98" bestFit="1" customWidth="1"/>
    <col min="7202" max="7202" width="12.85546875" style="98" bestFit="1" customWidth="1"/>
    <col min="7203" max="7205" width="11.28515625" style="98" bestFit="1" customWidth="1"/>
    <col min="7206" max="7206" width="12.85546875" style="98" bestFit="1" customWidth="1"/>
    <col min="7207" max="7207" width="11.28515625" style="98" bestFit="1" customWidth="1"/>
    <col min="7208" max="7208" width="12.85546875" style="98" bestFit="1" customWidth="1"/>
    <col min="7209" max="7209" width="9.140625" style="98"/>
    <col min="7210" max="7210" width="14" style="98" bestFit="1" customWidth="1"/>
    <col min="7211" max="7427" width="9.140625" style="98"/>
    <col min="7428" max="7428" width="46.85546875" style="98" customWidth="1"/>
    <col min="7429" max="7429" width="12.85546875" style="98" bestFit="1" customWidth="1"/>
    <col min="7430" max="7430" width="11.28515625" style="98" bestFit="1" customWidth="1"/>
    <col min="7431" max="7436" width="12.85546875" style="98" bestFit="1" customWidth="1"/>
    <col min="7437" max="7437" width="11.28515625" style="98" bestFit="1" customWidth="1"/>
    <col min="7438" max="7439" width="12.85546875" style="98" bestFit="1" customWidth="1"/>
    <col min="7440" max="7440" width="11.28515625" style="98" bestFit="1" customWidth="1"/>
    <col min="7441" max="7441" width="12.85546875" style="98" bestFit="1" customWidth="1"/>
    <col min="7442" max="7443" width="11.28515625" style="98" bestFit="1" customWidth="1"/>
    <col min="7444" max="7445" width="12.85546875" style="98" bestFit="1" customWidth="1"/>
    <col min="7446" max="7446" width="10.28515625" style="98" bestFit="1" customWidth="1"/>
    <col min="7447" max="7449" width="11.28515625" style="98" bestFit="1" customWidth="1"/>
    <col min="7450" max="7452" width="12.85546875" style="98" bestFit="1" customWidth="1"/>
    <col min="7453" max="7456" width="11.28515625" style="98" bestFit="1" customWidth="1"/>
    <col min="7457" max="7457" width="10.28515625" style="98" bestFit="1" customWidth="1"/>
    <col min="7458" max="7458" width="12.85546875" style="98" bestFit="1" customWidth="1"/>
    <col min="7459" max="7461" width="11.28515625" style="98" bestFit="1" customWidth="1"/>
    <col min="7462" max="7462" width="12.85546875" style="98" bestFit="1" customWidth="1"/>
    <col min="7463" max="7463" width="11.28515625" style="98" bestFit="1" customWidth="1"/>
    <col min="7464" max="7464" width="12.85546875" style="98" bestFit="1" customWidth="1"/>
    <col min="7465" max="7465" width="9.140625" style="98"/>
    <col min="7466" max="7466" width="14" style="98" bestFit="1" customWidth="1"/>
    <col min="7467" max="7683" width="9.140625" style="98"/>
    <col min="7684" max="7684" width="46.85546875" style="98" customWidth="1"/>
    <col min="7685" max="7685" width="12.85546875" style="98" bestFit="1" customWidth="1"/>
    <col min="7686" max="7686" width="11.28515625" style="98" bestFit="1" customWidth="1"/>
    <col min="7687" max="7692" width="12.85546875" style="98" bestFit="1" customWidth="1"/>
    <col min="7693" max="7693" width="11.28515625" style="98" bestFit="1" customWidth="1"/>
    <col min="7694" max="7695" width="12.85546875" style="98" bestFit="1" customWidth="1"/>
    <col min="7696" max="7696" width="11.28515625" style="98" bestFit="1" customWidth="1"/>
    <col min="7697" max="7697" width="12.85546875" style="98" bestFit="1" customWidth="1"/>
    <col min="7698" max="7699" width="11.28515625" style="98" bestFit="1" customWidth="1"/>
    <col min="7700" max="7701" width="12.85546875" style="98" bestFit="1" customWidth="1"/>
    <col min="7702" max="7702" width="10.28515625" style="98" bestFit="1" customWidth="1"/>
    <col min="7703" max="7705" width="11.28515625" style="98" bestFit="1" customWidth="1"/>
    <col min="7706" max="7708" width="12.85546875" style="98" bestFit="1" customWidth="1"/>
    <col min="7709" max="7712" width="11.28515625" style="98" bestFit="1" customWidth="1"/>
    <col min="7713" max="7713" width="10.28515625" style="98" bestFit="1" customWidth="1"/>
    <col min="7714" max="7714" width="12.85546875" style="98" bestFit="1" customWidth="1"/>
    <col min="7715" max="7717" width="11.28515625" style="98" bestFit="1" customWidth="1"/>
    <col min="7718" max="7718" width="12.85546875" style="98" bestFit="1" customWidth="1"/>
    <col min="7719" max="7719" width="11.28515625" style="98" bestFit="1" customWidth="1"/>
    <col min="7720" max="7720" width="12.85546875" style="98" bestFit="1" customWidth="1"/>
    <col min="7721" max="7721" width="9.140625" style="98"/>
    <col min="7722" max="7722" width="14" style="98" bestFit="1" customWidth="1"/>
    <col min="7723" max="7939" width="9.140625" style="98"/>
    <col min="7940" max="7940" width="46.85546875" style="98" customWidth="1"/>
    <col min="7941" max="7941" width="12.85546875" style="98" bestFit="1" customWidth="1"/>
    <col min="7942" max="7942" width="11.28515625" style="98" bestFit="1" customWidth="1"/>
    <col min="7943" max="7948" width="12.85546875" style="98" bestFit="1" customWidth="1"/>
    <col min="7949" max="7949" width="11.28515625" style="98" bestFit="1" customWidth="1"/>
    <col min="7950" max="7951" width="12.85546875" style="98" bestFit="1" customWidth="1"/>
    <col min="7952" max="7952" width="11.28515625" style="98" bestFit="1" customWidth="1"/>
    <col min="7953" max="7953" width="12.85546875" style="98" bestFit="1" customWidth="1"/>
    <col min="7954" max="7955" width="11.28515625" style="98" bestFit="1" customWidth="1"/>
    <col min="7956" max="7957" width="12.85546875" style="98" bestFit="1" customWidth="1"/>
    <col min="7958" max="7958" width="10.28515625" style="98" bestFit="1" customWidth="1"/>
    <col min="7959" max="7961" width="11.28515625" style="98" bestFit="1" customWidth="1"/>
    <col min="7962" max="7964" width="12.85546875" style="98" bestFit="1" customWidth="1"/>
    <col min="7965" max="7968" width="11.28515625" style="98" bestFit="1" customWidth="1"/>
    <col min="7969" max="7969" width="10.28515625" style="98" bestFit="1" customWidth="1"/>
    <col min="7970" max="7970" width="12.85546875" style="98" bestFit="1" customWidth="1"/>
    <col min="7971" max="7973" width="11.28515625" style="98" bestFit="1" customWidth="1"/>
    <col min="7974" max="7974" width="12.85546875" style="98" bestFit="1" customWidth="1"/>
    <col min="7975" max="7975" width="11.28515625" style="98" bestFit="1" customWidth="1"/>
    <col min="7976" max="7976" width="12.85546875" style="98" bestFit="1" customWidth="1"/>
    <col min="7977" max="7977" width="9.140625" style="98"/>
    <col min="7978" max="7978" width="14" style="98" bestFit="1" customWidth="1"/>
    <col min="7979" max="8195" width="9.140625" style="98"/>
    <col min="8196" max="8196" width="46.85546875" style="98" customWidth="1"/>
    <col min="8197" max="8197" width="12.85546875" style="98" bestFit="1" customWidth="1"/>
    <col min="8198" max="8198" width="11.28515625" style="98" bestFit="1" customWidth="1"/>
    <col min="8199" max="8204" width="12.85546875" style="98" bestFit="1" customWidth="1"/>
    <col min="8205" max="8205" width="11.28515625" style="98" bestFit="1" customWidth="1"/>
    <col min="8206" max="8207" width="12.85546875" style="98" bestFit="1" customWidth="1"/>
    <col min="8208" max="8208" width="11.28515625" style="98" bestFit="1" customWidth="1"/>
    <col min="8209" max="8209" width="12.85546875" style="98" bestFit="1" customWidth="1"/>
    <col min="8210" max="8211" width="11.28515625" style="98" bestFit="1" customWidth="1"/>
    <col min="8212" max="8213" width="12.85546875" style="98" bestFit="1" customWidth="1"/>
    <col min="8214" max="8214" width="10.28515625" style="98" bestFit="1" customWidth="1"/>
    <col min="8215" max="8217" width="11.28515625" style="98" bestFit="1" customWidth="1"/>
    <col min="8218" max="8220" width="12.85546875" style="98" bestFit="1" customWidth="1"/>
    <col min="8221" max="8224" width="11.28515625" style="98" bestFit="1" customWidth="1"/>
    <col min="8225" max="8225" width="10.28515625" style="98" bestFit="1" customWidth="1"/>
    <col min="8226" max="8226" width="12.85546875" style="98" bestFit="1" customWidth="1"/>
    <col min="8227" max="8229" width="11.28515625" style="98" bestFit="1" customWidth="1"/>
    <col min="8230" max="8230" width="12.85546875" style="98" bestFit="1" customWidth="1"/>
    <col min="8231" max="8231" width="11.28515625" style="98" bestFit="1" customWidth="1"/>
    <col min="8232" max="8232" width="12.85546875" style="98" bestFit="1" customWidth="1"/>
    <col min="8233" max="8233" width="9.140625" style="98"/>
    <col min="8234" max="8234" width="14" style="98" bestFit="1" customWidth="1"/>
    <col min="8235" max="8451" width="9.140625" style="98"/>
    <col min="8452" max="8452" width="46.85546875" style="98" customWidth="1"/>
    <col min="8453" max="8453" width="12.85546875" style="98" bestFit="1" customWidth="1"/>
    <col min="8454" max="8454" width="11.28515625" style="98" bestFit="1" customWidth="1"/>
    <col min="8455" max="8460" width="12.85546875" style="98" bestFit="1" customWidth="1"/>
    <col min="8461" max="8461" width="11.28515625" style="98" bestFit="1" customWidth="1"/>
    <col min="8462" max="8463" width="12.85546875" style="98" bestFit="1" customWidth="1"/>
    <col min="8464" max="8464" width="11.28515625" style="98" bestFit="1" customWidth="1"/>
    <col min="8465" max="8465" width="12.85546875" style="98" bestFit="1" customWidth="1"/>
    <col min="8466" max="8467" width="11.28515625" style="98" bestFit="1" customWidth="1"/>
    <col min="8468" max="8469" width="12.85546875" style="98" bestFit="1" customWidth="1"/>
    <col min="8470" max="8470" width="10.28515625" style="98" bestFit="1" customWidth="1"/>
    <col min="8471" max="8473" width="11.28515625" style="98" bestFit="1" customWidth="1"/>
    <col min="8474" max="8476" width="12.85546875" style="98" bestFit="1" customWidth="1"/>
    <col min="8477" max="8480" width="11.28515625" style="98" bestFit="1" customWidth="1"/>
    <col min="8481" max="8481" width="10.28515625" style="98" bestFit="1" customWidth="1"/>
    <col min="8482" max="8482" width="12.85546875" style="98" bestFit="1" customWidth="1"/>
    <col min="8483" max="8485" width="11.28515625" style="98" bestFit="1" customWidth="1"/>
    <col min="8486" max="8486" width="12.85546875" style="98" bestFit="1" customWidth="1"/>
    <col min="8487" max="8487" width="11.28515625" style="98" bestFit="1" customWidth="1"/>
    <col min="8488" max="8488" width="12.85546875" style="98" bestFit="1" customWidth="1"/>
    <col min="8489" max="8489" width="9.140625" style="98"/>
    <col min="8490" max="8490" width="14" style="98" bestFit="1" customWidth="1"/>
    <col min="8491" max="8707" width="9.140625" style="98"/>
    <col min="8708" max="8708" width="46.85546875" style="98" customWidth="1"/>
    <col min="8709" max="8709" width="12.85546875" style="98" bestFit="1" customWidth="1"/>
    <col min="8710" max="8710" width="11.28515625" style="98" bestFit="1" customWidth="1"/>
    <col min="8711" max="8716" width="12.85546875" style="98" bestFit="1" customWidth="1"/>
    <col min="8717" max="8717" width="11.28515625" style="98" bestFit="1" customWidth="1"/>
    <col min="8718" max="8719" width="12.85546875" style="98" bestFit="1" customWidth="1"/>
    <col min="8720" max="8720" width="11.28515625" style="98" bestFit="1" customWidth="1"/>
    <col min="8721" max="8721" width="12.85546875" style="98" bestFit="1" customWidth="1"/>
    <col min="8722" max="8723" width="11.28515625" style="98" bestFit="1" customWidth="1"/>
    <col min="8724" max="8725" width="12.85546875" style="98" bestFit="1" customWidth="1"/>
    <col min="8726" max="8726" width="10.28515625" style="98" bestFit="1" customWidth="1"/>
    <col min="8727" max="8729" width="11.28515625" style="98" bestFit="1" customWidth="1"/>
    <col min="8730" max="8732" width="12.85546875" style="98" bestFit="1" customWidth="1"/>
    <col min="8733" max="8736" width="11.28515625" style="98" bestFit="1" customWidth="1"/>
    <col min="8737" max="8737" width="10.28515625" style="98" bestFit="1" customWidth="1"/>
    <col min="8738" max="8738" width="12.85546875" style="98" bestFit="1" customWidth="1"/>
    <col min="8739" max="8741" width="11.28515625" style="98" bestFit="1" customWidth="1"/>
    <col min="8742" max="8742" width="12.85546875" style="98" bestFit="1" customWidth="1"/>
    <col min="8743" max="8743" width="11.28515625" style="98" bestFit="1" customWidth="1"/>
    <col min="8744" max="8744" width="12.85546875" style="98" bestFit="1" customWidth="1"/>
    <col min="8745" max="8745" width="9.140625" style="98"/>
    <col min="8746" max="8746" width="14" style="98" bestFit="1" customWidth="1"/>
    <col min="8747" max="8963" width="9.140625" style="98"/>
    <col min="8964" max="8964" width="46.85546875" style="98" customWidth="1"/>
    <col min="8965" max="8965" width="12.85546875" style="98" bestFit="1" customWidth="1"/>
    <col min="8966" max="8966" width="11.28515625" style="98" bestFit="1" customWidth="1"/>
    <col min="8967" max="8972" width="12.85546875" style="98" bestFit="1" customWidth="1"/>
    <col min="8973" max="8973" width="11.28515625" style="98" bestFit="1" customWidth="1"/>
    <col min="8974" max="8975" width="12.85546875" style="98" bestFit="1" customWidth="1"/>
    <col min="8976" max="8976" width="11.28515625" style="98" bestFit="1" customWidth="1"/>
    <col min="8977" max="8977" width="12.85546875" style="98" bestFit="1" customWidth="1"/>
    <col min="8978" max="8979" width="11.28515625" style="98" bestFit="1" customWidth="1"/>
    <col min="8980" max="8981" width="12.85546875" style="98" bestFit="1" customWidth="1"/>
    <col min="8982" max="8982" width="10.28515625" style="98" bestFit="1" customWidth="1"/>
    <col min="8983" max="8985" width="11.28515625" style="98" bestFit="1" customWidth="1"/>
    <col min="8986" max="8988" width="12.85546875" style="98" bestFit="1" customWidth="1"/>
    <col min="8989" max="8992" width="11.28515625" style="98" bestFit="1" customWidth="1"/>
    <col min="8993" max="8993" width="10.28515625" style="98" bestFit="1" customWidth="1"/>
    <col min="8994" max="8994" width="12.85546875" style="98" bestFit="1" customWidth="1"/>
    <col min="8995" max="8997" width="11.28515625" style="98" bestFit="1" customWidth="1"/>
    <col min="8998" max="8998" width="12.85546875" style="98" bestFit="1" customWidth="1"/>
    <col min="8999" max="8999" width="11.28515625" style="98" bestFit="1" customWidth="1"/>
    <col min="9000" max="9000" width="12.85546875" style="98" bestFit="1" customWidth="1"/>
    <col min="9001" max="9001" width="9.140625" style="98"/>
    <col min="9002" max="9002" width="14" style="98" bestFit="1" customWidth="1"/>
    <col min="9003" max="9219" width="9.140625" style="98"/>
    <col min="9220" max="9220" width="46.85546875" style="98" customWidth="1"/>
    <col min="9221" max="9221" width="12.85546875" style="98" bestFit="1" customWidth="1"/>
    <col min="9222" max="9222" width="11.28515625" style="98" bestFit="1" customWidth="1"/>
    <col min="9223" max="9228" width="12.85546875" style="98" bestFit="1" customWidth="1"/>
    <col min="9229" max="9229" width="11.28515625" style="98" bestFit="1" customWidth="1"/>
    <col min="9230" max="9231" width="12.85546875" style="98" bestFit="1" customWidth="1"/>
    <col min="9232" max="9232" width="11.28515625" style="98" bestFit="1" customWidth="1"/>
    <col min="9233" max="9233" width="12.85546875" style="98" bestFit="1" customWidth="1"/>
    <col min="9234" max="9235" width="11.28515625" style="98" bestFit="1" customWidth="1"/>
    <col min="9236" max="9237" width="12.85546875" style="98" bestFit="1" customWidth="1"/>
    <col min="9238" max="9238" width="10.28515625" style="98" bestFit="1" customWidth="1"/>
    <col min="9239" max="9241" width="11.28515625" style="98" bestFit="1" customWidth="1"/>
    <col min="9242" max="9244" width="12.85546875" style="98" bestFit="1" customWidth="1"/>
    <col min="9245" max="9248" width="11.28515625" style="98" bestFit="1" customWidth="1"/>
    <col min="9249" max="9249" width="10.28515625" style="98" bestFit="1" customWidth="1"/>
    <col min="9250" max="9250" width="12.85546875" style="98" bestFit="1" customWidth="1"/>
    <col min="9251" max="9253" width="11.28515625" style="98" bestFit="1" customWidth="1"/>
    <col min="9254" max="9254" width="12.85546875" style="98" bestFit="1" customWidth="1"/>
    <col min="9255" max="9255" width="11.28515625" style="98" bestFit="1" customWidth="1"/>
    <col min="9256" max="9256" width="12.85546875" style="98" bestFit="1" customWidth="1"/>
    <col min="9257" max="9257" width="9.140625" style="98"/>
    <col min="9258" max="9258" width="14" style="98" bestFit="1" customWidth="1"/>
    <col min="9259" max="9475" width="9.140625" style="98"/>
    <col min="9476" max="9476" width="46.85546875" style="98" customWidth="1"/>
    <col min="9477" max="9477" width="12.85546875" style="98" bestFit="1" customWidth="1"/>
    <col min="9478" max="9478" width="11.28515625" style="98" bestFit="1" customWidth="1"/>
    <col min="9479" max="9484" width="12.85546875" style="98" bestFit="1" customWidth="1"/>
    <col min="9485" max="9485" width="11.28515625" style="98" bestFit="1" customWidth="1"/>
    <col min="9486" max="9487" width="12.85546875" style="98" bestFit="1" customWidth="1"/>
    <col min="9488" max="9488" width="11.28515625" style="98" bestFit="1" customWidth="1"/>
    <col min="9489" max="9489" width="12.85546875" style="98" bestFit="1" customWidth="1"/>
    <col min="9490" max="9491" width="11.28515625" style="98" bestFit="1" customWidth="1"/>
    <col min="9492" max="9493" width="12.85546875" style="98" bestFit="1" customWidth="1"/>
    <col min="9494" max="9494" width="10.28515625" style="98" bestFit="1" customWidth="1"/>
    <col min="9495" max="9497" width="11.28515625" style="98" bestFit="1" customWidth="1"/>
    <col min="9498" max="9500" width="12.85546875" style="98" bestFit="1" customWidth="1"/>
    <col min="9501" max="9504" width="11.28515625" style="98" bestFit="1" customWidth="1"/>
    <col min="9505" max="9505" width="10.28515625" style="98" bestFit="1" customWidth="1"/>
    <col min="9506" max="9506" width="12.85546875" style="98" bestFit="1" customWidth="1"/>
    <col min="9507" max="9509" width="11.28515625" style="98" bestFit="1" customWidth="1"/>
    <col min="9510" max="9510" width="12.85546875" style="98" bestFit="1" customWidth="1"/>
    <col min="9511" max="9511" width="11.28515625" style="98" bestFit="1" customWidth="1"/>
    <col min="9512" max="9512" width="12.85546875" style="98" bestFit="1" customWidth="1"/>
    <col min="9513" max="9513" width="9.140625" style="98"/>
    <col min="9514" max="9514" width="14" style="98" bestFit="1" customWidth="1"/>
    <col min="9515" max="9731" width="9.140625" style="98"/>
    <col min="9732" max="9732" width="46.85546875" style="98" customWidth="1"/>
    <col min="9733" max="9733" width="12.85546875" style="98" bestFit="1" customWidth="1"/>
    <col min="9734" max="9734" width="11.28515625" style="98" bestFit="1" customWidth="1"/>
    <col min="9735" max="9740" width="12.85546875" style="98" bestFit="1" customWidth="1"/>
    <col min="9741" max="9741" width="11.28515625" style="98" bestFit="1" customWidth="1"/>
    <col min="9742" max="9743" width="12.85546875" style="98" bestFit="1" customWidth="1"/>
    <col min="9744" max="9744" width="11.28515625" style="98" bestFit="1" customWidth="1"/>
    <col min="9745" max="9745" width="12.85546875" style="98" bestFit="1" customWidth="1"/>
    <col min="9746" max="9747" width="11.28515625" style="98" bestFit="1" customWidth="1"/>
    <col min="9748" max="9749" width="12.85546875" style="98" bestFit="1" customWidth="1"/>
    <col min="9750" max="9750" width="10.28515625" style="98" bestFit="1" customWidth="1"/>
    <col min="9751" max="9753" width="11.28515625" style="98" bestFit="1" customWidth="1"/>
    <col min="9754" max="9756" width="12.85546875" style="98" bestFit="1" customWidth="1"/>
    <col min="9757" max="9760" width="11.28515625" style="98" bestFit="1" customWidth="1"/>
    <col min="9761" max="9761" width="10.28515625" style="98" bestFit="1" customWidth="1"/>
    <col min="9762" max="9762" width="12.85546875" style="98" bestFit="1" customWidth="1"/>
    <col min="9763" max="9765" width="11.28515625" style="98" bestFit="1" customWidth="1"/>
    <col min="9766" max="9766" width="12.85546875" style="98" bestFit="1" customWidth="1"/>
    <col min="9767" max="9767" width="11.28515625" style="98" bestFit="1" customWidth="1"/>
    <col min="9768" max="9768" width="12.85546875" style="98" bestFit="1" customWidth="1"/>
    <col min="9769" max="9769" width="9.140625" style="98"/>
    <col min="9770" max="9770" width="14" style="98" bestFit="1" customWidth="1"/>
    <col min="9771" max="9987" width="9.140625" style="98"/>
    <col min="9988" max="9988" width="46.85546875" style="98" customWidth="1"/>
    <col min="9989" max="9989" width="12.85546875" style="98" bestFit="1" customWidth="1"/>
    <col min="9990" max="9990" width="11.28515625" style="98" bestFit="1" customWidth="1"/>
    <col min="9991" max="9996" width="12.85546875" style="98" bestFit="1" customWidth="1"/>
    <col min="9997" max="9997" width="11.28515625" style="98" bestFit="1" customWidth="1"/>
    <col min="9998" max="9999" width="12.85546875" style="98" bestFit="1" customWidth="1"/>
    <col min="10000" max="10000" width="11.28515625" style="98" bestFit="1" customWidth="1"/>
    <col min="10001" max="10001" width="12.85546875" style="98" bestFit="1" customWidth="1"/>
    <col min="10002" max="10003" width="11.28515625" style="98" bestFit="1" customWidth="1"/>
    <col min="10004" max="10005" width="12.85546875" style="98" bestFit="1" customWidth="1"/>
    <col min="10006" max="10006" width="10.28515625" style="98" bestFit="1" customWidth="1"/>
    <col min="10007" max="10009" width="11.28515625" style="98" bestFit="1" customWidth="1"/>
    <col min="10010" max="10012" width="12.85546875" style="98" bestFit="1" customWidth="1"/>
    <col min="10013" max="10016" width="11.28515625" style="98" bestFit="1" customWidth="1"/>
    <col min="10017" max="10017" width="10.28515625" style="98" bestFit="1" customWidth="1"/>
    <col min="10018" max="10018" width="12.85546875" style="98" bestFit="1" customWidth="1"/>
    <col min="10019" max="10021" width="11.28515625" style="98" bestFit="1" customWidth="1"/>
    <col min="10022" max="10022" width="12.85546875" style="98" bestFit="1" customWidth="1"/>
    <col min="10023" max="10023" width="11.28515625" style="98" bestFit="1" customWidth="1"/>
    <col min="10024" max="10024" width="12.85546875" style="98" bestFit="1" customWidth="1"/>
    <col min="10025" max="10025" width="9.140625" style="98"/>
    <col min="10026" max="10026" width="14" style="98" bestFit="1" customWidth="1"/>
    <col min="10027" max="10243" width="9.140625" style="98"/>
    <col min="10244" max="10244" width="46.85546875" style="98" customWidth="1"/>
    <col min="10245" max="10245" width="12.85546875" style="98" bestFit="1" customWidth="1"/>
    <col min="10246" max="10246" width="11.28515625" style="98" bestFit="1" customWidth="1"/>
    <col min="10247" max="10252" width="12.85546875" style="98" bestFit="1" customWidth="1"/>
    <col min="10253" max="10253" width="11.28515625" style="98" bestFit="1" customWidth="1"/>
    <col min="10254" max="10255" width="12.85546875" style="98" bestFit="1" customWidth="1"/>
    <col min="10256" max="10256" width="11.28515625" style="98" bestFit="1" customWidth="1"/>
    <col min="10257" max="10257" width="12.85546875" style="98" bestFit="1" customWidth="1"/>
    <col min="10258" max="10259" width="11.28515625" style="98" bestFit="1" customWidth="1"/>
    <col min="10260" max="10261" width="12.85546875" style="98" bestFit="1" customWidth="1"/>
    <col min="10262" max="10262" width="10.28515625" style="98" bestFit="1" customWidth="1"/>
    <col min="10263" max="10265" width="11.28515625" style="98" bestFit="1" customWidth="1"/>
    <col min="10266" max="10268" width="12.85546875" style="98" bestFit="1" customWidth="1"/>
    <col min="10269" max="10272" width="11.28515625" style="98" bestFit="1" customWidth="1"/>
    <col min="10273" max="10273" width="10.28515625" style="98" bestFit="1" customWidth="1"/>
    <col min="10274" max="10274" width="12.85546875" style="98" bestFit="1" customWidth="1"/>
    <col min="10275" max="10277" width="11.28515625" style="98" bestFit="1" customWidth="1"/>
    <col min="10278" max="10278" width="12.85546875" style="98" bestFit="1" customWidth="1"/>
    <col min="10279" max="10279" width="11.28515625" style="98" bestFit="1" customWidth="1"/>
    <col min="10280" max="10280" width="12.85546875" style="98" bestFit="1" customWidth="1"/>
    <col min="10281" max="10281" width="9.140625" style="98"/>
    <col min="10282" max="10282" width="14" style="98" bestFit="1" customWidth="1"/>
    <col min="10283" max="10499" width="9.140625" style="98"/>
    <col min="10500" max="10500" width="46.85546875" style="98" customWidth="1"/>
    <col min="10501" max="10501" width="12.85546875" style="98" bestFit="1" customWidth="1"/>
    <col min="10502" max="10502" width="11.28515625" style="98" bestFit="1" customWidth="1"/>
    <col min="10503" max="10508" width="12.85546875" style="98" bestFit="1" customWidth="1"/>
    <col min="10509" max="10509" width="11.28515625" style="98" bestFit="1" customWidth="1"/>
    <col min="10510" max="10511" width="12.85546875" style="98" bestFit="1" customWidth="1"/>
    <col min="10512" max="10512" width="11.28515625" style="98" bestFit="1" customWidth="1"/>
    <col min="10513" max="10513" width="12.85546875" style="98" bestFit="1" customWidth="1"/>
    <col min="10514" max="10515" width="11.28515625" style="98" bestFit="1" customWidth="1"/>
    <col min="10516" max="10517" width="12.85546875" style="98" bestFit="1" customWidth="1"/>
    <col min="10518" max="10518" width="10.28515625" style="98" bestFit="1" customWidth="1"/>
    <col min="10519" max="10521" width="11.28515625" style="98" bestFit="1" customWidth="1"/>
    <col min="10522" max="10524" width="12.85546875" style="98" bestFit="1" customWidth="1"/>
    <col min="10525" max="10528" width="11.28515625" style="98" bestFit="1" customWidth="1"/>
    <col min="10529" max="10529" width="10.28515625" style="98" bestFit="1" customWidth="1"/>
    <col min="10530" max="10530" width="12.85546875" style="98" bestFit="1" customWidth="1"/>
    <col min="10531" max="10533" width="11.28515625" style="98" bestFit="1" customWidth="1"/>
    <col min="10534" max="10534" width="12.85546875" style="98" bestFit="1" customWidth="1"/>
    <col min="10535" max="10535" width="11.28515625" style="98" bestFit="1" customWidth="1"/>
    <col min="10536" max="10536" width="12.85546875" style="98" bestFit="1" customWidth="1"/>
    <col min="10537" max="10537" width="9.140625" style="98"/>
    <col min="10538" max="10538" width="14" style="98" bestFit="1" customWidth="1"/>
    <col min="10539" max="10755" width="9.140625" style="98"/>
    <col min="10756" max="10756" width="46.85546875" style="98" customWidth="1"/>
    <col min="10757" max="10757" width="12.85546875" style="98" bestFit="1" customWidth="1"/>
    <col min="10758" max="10758" width="11.28515625" style="98" bestFit="1" customWidth="1"/>
    <col min="10759" max="10764" width="12.85546875" style="98" bestFit="1" customWidth="1"/>
    <col min="10765" max="10765" width="11.28515625" style="98" bestFit="1" customWidth="1"/>
    <col min="10766" max="10767" width="12.85546875" style="98" bestFit="1" customWidth="1"/>
    <col min="10768" max="10768" width="11.28515625" style="98" bestFit="1" customWidth="1"/>
    <col min="10769" max="10769" width="12.85546875" style="98" bestFit="1" customWidth="1"/>
    <col min="10770" max="10771" width="11.28515625" style="98" bestFit="1" customWidth="1"/>
    <col min="10772" max="10773" width="12.85546875" style="98" bestFit="1" customWidth="1"/>
    <col min="10774" max="10774" width="10.28515625" style="98" bestFit="1" customWidth="1"/>
    <col min="10775" max="10777" width="11.28515625" style="98" bestFit="1" customWidth="1"/>
    <col min="10778" max="10780" width="12.85546875" style="98" bestFit="1" customWidth="1"/>
    <col min="10781" max="10784" width="11.28515625" style="98" bestFit="1" customWidth="1"/>
    <col min="10785" max="10785" width="10.28515625" style="98" bestFit="1" customWidth="1"/>
    <col min="10786" max="10786" width="12.85546875" style="98" bestFit="1" customWidth="1"/>
    <col min="10787" max="10789" width="11.28515625" style="98" bestFit="1" customWidth="1"/>
    <col min="10790" max="10790" width="12.85546875" style="98" bestFit="1" customWidth="1"/>
    <col min="10791" max="10791" width="11.28515625" style="98" bestFit="1" customWidth="1"/>
    <col min="10792" max="10792" width="12.85546875" style="98" bestFit="1" customWidth="1"/>
    <col min="10793" max="10793" width="9.140625" style="98"/>
    <col min="10794" max="10794" width="14" style="98" bestFit="1" customWidth="1"/>
    <col min="10795" max="11011" width="9.140625" style="98"/>
    <col min="11012" max="11012" width="46.85546875" style="98" customWidth="1"/>
    <col min="11013" max="11013" width="12.85546875" style="98" bestFit="1" customWidth="1"/>
    <col min="11014" max="11014" width="11.28515625" style="98" bestFit="1" customWidth="1"/>
    <col min="11015" max="11020" width="12.85546875" style="98" bestFit="1" customWidth="1"/>
    <col min="11021" max="11021" width="11.28515625" style="98" bestFit="1" customWidth="1"/>
    <col min="11022" max="11023" width="12.85546875" style="98" bestFit="1" customWidth="1"/>
    <col min="11024" max="11024" width="11.28515625" style="98" bestFit="1" customWidth="1"/>
    <col min="11025" max="11025" width="12.85546875" style="98" bestFit="1" customWidth="1"/>
    <col min="11026" max="11027" width="11.28515625" style="98" bestFit="1" customWidth="1"/>
    <col min="11028" max="11029" width="12.85546875" style="98" bestFit="1" customWidth="1"/>
    <col min="11030" max="11030" width="10.28515625" style="98" bestFit="1" customWidth="1"/>
    <col min="11031" max="11033" width="11.28515625" style="98" bestFit="1" customWidth="1"/>
    <col min="11034" max="11036" width="12.85546875" style="98" bestFit="1" customWidth="1"/>
    <col min="11037" max="11040" width="11.28515625" style="98" bestFit="1" customWidth="1"/>
    <col min="11041" max="11041" width="10.28515625" style="98" bestFit="1" customWidth="1"/>
    <col min="11042" max="11042" width="12.85546875" style="98" bestFit="1" customWidth="1"/>
    <col min="11043" max="11045" width="11.28515625" style="98" bestFit="1" customWidth="1"/>
    <col min="11046" max="11046" width="12.85546875" style="98" bestFit="1" customWidth="1"/>
    <col min="11047" max="11047" width="11.28515625" style="98" bestFit="1" customWidth="1"/>
    <col min="11048" max="11048" width="12.85546875" style="98" bestFit="1" customWidth="1"/>
    <col min="11049" max="11049" width="9.140625" style="98"/>
    <col min="11050" max="11050" width="14" style="98" bestFit="1" customWidth="1"/>
    <col min="11051" max="11267" width="9.140625" style="98"/>
    <col min="11268" max="11268" width="46.85546875" style="98" customWidth="1"/>
    <col min="11269" max="11269" width="12.85546875" style="98" bestFit="1" customWidth="1"/>
    <col min="11270" max="11270" width="11.28515625" style="98" bestFit="1" customWidth="1"/>
    <col min="11271" max="11276" width="12.85546875" style="98" bestFit="1" customWidth="1"/>
    <col min="11277" max="11277" width="11.28515625" style="98" bestFit="1" customWidth="1"/>
    <col min="11278" max="11279" width="12.85546875" style="98" bestFit="1" customWidth="1"/>
    <col min="11280" max="11280" width="11.28515625" style="98" bestFit="1" customWidth="1"/>
    <col min="11281" max="11281" width="12.85546875" style="98" bestFit="1" customWidth="1"/>
    <col min="11282" max="11283" width="11.28515625" style="98" bestFit="1" customWidth="1"/>
    <col min="11284" max="11285" width="12.85546875" style="98" bestFit="1" customWidth="1"/>
    <col min="11286" max="11286" width="10.28515625" style="98" bestFit="1" customWidth="1"/>
    <col min="11287" max="11289" width="11.28515625" style="98" bestFit="1" customWidth="1"/>
    <col min="11290" max="11292" width="12.85546875" style="98" bestFit="1" customWidth="1"/>
    <col min="11293" max="11296" width="11.28515625" style="98" bestFit="1" customWidth="1"/>
    <col min="11297" max="11297" width="10.28515625" style="98" bestFit="1" customWidth="1"/>
    <col min="11298" max="11298" width="12.85546875" style="98" bestFit="1" customWidth="1"/>
    <col min="11299" max="11301" width="11.28515625" style="98" bestFit="1" customWidth="1"/>
    <col min="11302" max="11302" width="12.85546875" style="98" bestFit="1" customWidth="1"/>
    <col min="11303" max="11303" width="11.28515625" style="98" bestFit="1" customWidth="1"/>
    <col min="11304" max="11304" width="12.85546875" style="98" bestFit="1" customWidth="1"/>
    <col min="11305" max="11305" width="9.140625" style="98"/>
    <col min="11306" max="11306" width="14" style="98" bestFit="1" customWidth="1"/>
    <col min="11307" max="11523" width="9.140625" style="98"/>
    <col min="11524" max="11524" width="46.85546875" style="98" customWidth="1"/>
    <col min="11525" max="11525" width="12.85546875" style="98" bestFit="1" customWidth="1"/>
    <col min="11526" max="11526" width="11.28515625" style="98" bestFit="1" customWidth="1"/>
    <col min="11527" max="11532" width="12.85546875" style="98" bestFit="1" customWidth="1"/>
    <col min="11533" max="11533" width="11.28515625" style="98" bestFit="1" customWidth="1"/>
    <col min="11534" max="11535" width="12.85546875" style="98" bestFit="1" customWidth="1"/>
    <col min="11536" max="11536" width="11.28515625" style="98" bestFit="1" customWidth="1"/>
    <col min="11537" max="11537" width="12.85546875" style="98" bestFit="1" customWidth="1"/>
    <col min="11538" max="11539" width="11.28515625" style="98" bestFit="1" customWidth="1"/>
    <col min="11540" max="11541" width="12.85546875" style="98" bestFit="1" customWidth="1"/>
    <col min="11542" max="11542" width="10.28515625" style="98" bestFit="1" customWidth="1"/>
    <col min="11543" max="11545" width="11.28515625" style="98" bestFit="1" customWidth="1"/>
    <col min="11546" max="11548" width="12.85546875" style="98" bestFit="1" customWidth="1"/>
    <col min="11549" max="11552" width="11.28515625" style="98" bestFit="1" customWidth="1"/>
    <col min="11553" max="11553" width="10.28515625" style="98" bestFit="1" customWidth="1"/>
    <col min="11554" max="11554" width="12.85546875" style="98" bestFit="1" customWidth="1"/>
    <col min="11555" max="11557" width="11.28515625" style="98" bestFit="1" customWidth="1"/>
    <col min="11558" max="11558" width="12.85546875" style="98" bestFit="1" customWidth="1"/>
    <col min="11559" max="11559" width="11.28515625" style="98" bestFit="1" customWidth="1"/>
    <col min="11560" max="11560" width="12.85546875" style="98" bestFit="1" customWidth="1"/>
    <col min="11561" max="11561" width="9.140625" style="98"/>
    <col min="11562" max="11562" width="14" style="98" bestFit="1" customWidth="1"/>
    <col min="11563" max="11779" width="9.140625" style="98"/>
    <col min="11780" max="11780" width="46.85546875" style="98" customWidth="1"/>
    <col min="11781" max="11781" width="12.85546875" style="98" bestFit="1" customWidth="1"/>
    <col min="11782" max="11782" width="11.28515625" style="98" bestFit="1" customWidth="1"/>
    <col min="11783" max="11788" width="12.85546875" style="98" bestFit="1" customWidth="1"/>
    <col min="11789" max="11789" width="11.28515625" style="98" bestFit="1" customWidth="1"/>
    <col min="11790" max="11791" width="12.85546875" style="98" bestFit="1" customWidth="1"/>
    <col min="11792" max="11792" width="11.28515625" style="98" bestFit="1" customWidth="1"/>
    <col min="11793" max="11793" width="12.85546875" style="98" bestFit="1" customWidth="1"/>
    <col min="11794" max="11795" width="11.28515625" style="98" bestFit="1" customWidth="1"/>
    <col min="11796" max="11797" width="12.85546875" style="98" bestFit="1" customWidth="1"/>
    <col min="11798" max="11798" width="10.28515625" style="98" bestFit="1" customWidth="1"/>
    <col min="11799" max="11801" width="11.28515625" style="98" bestFit="1" customWidth="1"/>
    <col min="11802" max="11804" width="12.85546875" style="98" bestFit="1" customWidth="1"/>
    <col min="11805" max="11808" width="11.28515625" style="98" bestFit="1" customWidth="1"/>
    <col min="11809" max="11809" width="10.28515625" style="98" bestFit="1" customWidth="1"/>
    <col min="11810" max="11810" width="12.85546875" style="98" bestFit="1" customWidth="1"/>
    <col min="11811" max="11813" width="11.28515625" style="98" bestFit="1" customWidth="1"/>
    <col min="11814" max="11814" width="12.85546875" style="98" bestFit="1" customWidth="1"/>
    <col min="11815" max="11815" width="11.28515625" style="98" bestFit="1" customWidth="1"/>
    <col min="11816" max="11816" width="12.85546875" style="98" bestFit="1" customWidth="1"/>
    <col min="11817" max="11817" width="9.140625" style="98"/>
    <col min="11818" max="11818" width="14" style="98" bestFit="1" customWidth="1"/>
    <col min="11819" max="12035" width="9.140625" style="98"/>
    <col min="12036" max="12036" width="46.85546875" style="98" customWidth="1"/>
    <col min="12037" max="12037" width="12.85546875" style="98" bestFit="1" customWidth="1"/>
    <col min="12038" max="12038" width="11.28515625" style="98" bestFit="1" customWidth="1"/>
    <col min="12039" max="12044" width="12.85546875" style="98" bestFit="1" customWidth="1"/>
    <col min="12045" max="12045" width="11.28515625" style="98" bestFit="1" customWidth="1"/>
    <col min="12046" max="12047" width="12.85546875" style="98" bestFit="1" customWidth="1"/>
    <col min="12048" max="12048" width="11.28515625" style="98" bestFit="1" customWidth="1"/>
    <col min="12049" max="12049" width="12.85546875" style="98" bestFit="1" customWidth="1"/>
    <col min="12050" max="12051" width="11.28515625" style="98" bestFit="1" customWidth="1"/>
    <col min="12052" max="12053" width="12.85546875" style="98" bestFit="1" customWidth="1"/>
    <col min="12054" max="12054" width="10.28515625" style="98" bestFit="1" customWidth="1"/>
    <col min="12055" max="12057" width="11.28515625" style="98" bestFit="1" customWidth="1"/>
    <col min="12058" max="12060" width="12.85546875" style="98" bestFit="1" customWidth="1"/>
    <col min="12061" max="12064" width="11.28515625" style="98" bestFit="1" customWidth="1"/>
    <col min="12065" max="12065" width="10.28515625" style="98" bestFit="1" customWidth="1"/>
    <col min="12066" max="12066" width="12.85546875" style="98" bestFit="1" customWidth="1"/>
    <col min="12067" max="12069" width="11.28515625" style="98" bestFit="1" customWidth="1"/>
    <col min="12070" max="12070" width="12.85546875" style="98" bestFit="1" customWidth="1"/>
    <col min="12071" max="12071" width="11.28515625" style="98" bestFit="1" customWidth="1"/>
    <col min="12072" max="12072" width="12.85546875" style="98" bestFit="1" customWidth="1"/>
    <col min="12073" max="12073" width="9.140625" style="98"/>
    <col min="12074" max="12074" width="14" style="98" bestFit="1" customWidth="1"/>
    <col min="12075" max="12291" width="9.140625" style="98"/>
    <col min="12292" max="12292" width="46.85546875" style="98" customWidth="1"/>
    <col min="12293" max="12293" width="12.85546875" style="98" bestFit="1" customWidth="1"/>
    <col min="12294" max="12294" width="11.28515625" style="98" bestFit="1" customWidth="1"/>
    <col min="12295" max="12300" width="12.85546875" style="98" bestFit="1" customWidth="1"/>
    <col min="12301" max="12301" width="11.28515625" style="98" bestFit="1" customWidth="1"/>
    <col min="12302" max="12303" width="12.85546875" style="98" bestFit="1" customWidth="1"/>
    <col min="12304" max="12304" width="11.28515625" style="98" bestFit="1" customWidth="1"/>
    <col min="12305" max="12305" width="12.85546875" style="98" bestFit="1" customWidth="1"/>
    <col min="12306" max="12307" width="11.28515625" style="98" bestFit="1" customWidth="1"/>
    <col min="12308" max="12309" width="12.85546875" style="98" bestFit="1" customWidth="1"/>
    <col min="12310" max="12310" width="10.28515625" style="98" bestFit="1" customWidth="1"/>
    <col min="12311" max="12313" width="11.28515625" style="98" bestFit="1" customWidth="1"/>
    <col min="12314" max="12316" width="12.85546875" style="98" bestFit="1" customWidth="1"/>
    <col min="12317" max="12320" width="11.28515625" style="98" bestFit="1" customWidth="1"/>
    <col min="12321" max="12321" width="10.28515625" style="98" bestFit="1" customWidth="1"/>
    <col min="12322" max="12322" width="12.85546875" style="98" bestFit="1" customWidth="1"/>
    <col min="12323" max="12325" width="11.28515625" style="98" bestFit="1" customWidth="1"/>
    <col min="12326" max="12326" width="12.85546875" style="98" bestFit="1" customWidth="1"/>
    <col min="12327" max="12327" width="11.28515625" style="98" bestFit="1" customWidth="1"/>
    <col min="12328" max="12328" width="12.85546875" style="98" bestFit="1" customWidth="1"/>
    <col min="12329" max="12329" width="9.140625" style="98"/>
    <col min="12330" max="12330" width="14" style="98" bestFit="1" customWidth="1"/>
    <col min="12331" max="12547" width="9.140625" style="98"/>
    <col min="12548" max="12548" width="46.85546875" style="98" customWidth="1"/>
    <col min="12549" max="12549" width="12.85546875" style="98" bestFit="1" customWidth="1"/>
    <col min="12550" max="12550" width="11.28515625" style="98" bestFit="1" customWidth="1"/>
    <col min="12551" max="12556" width="12.85546875" style="98" bestFit="1" customWidth="1"/>
    <col min="12557" max="12557" width="11.28515625" style="98" bestFit="1" customWidth="1"/>
    <col min="12558" max="12559" width="12.85546875" style="98" bestFit="1" customWidth="1"/>
    <col min="12560" max="12560" width="11.28515625" style="98" bestFit="1" customWidth="1"/>
    <col min="12561" max="12561" width="12.85546875" style="98" bestFit="1" customWidth="1"/>
    <col min="12562" max="12563" width="11.28515625" style="98" bestFit="1" customWidth="1"/>
    <col min="12564" max="12565" width="12.85546875" style="98" bestFit="1" customWidth="1"/>
    <col min="12566" max="12566" width="10.28515625" style="98" bestFit="1" customWidth="1"/>
    <col min="12567" max="12569" width="11.28515625" style="98" bestFit="1" customWidth="1"/>
    <col min="12570" max="12572" width="12.85546875" style="98" bestFit="1" customWidth="1"/>
    <col min="12573" max="12576" width="11.28515625" style="98" bestFit="1" customWidth="1"/>
    <col min="12577" max="12577" width="10.28515625" style="98" bestFit="1" customWidth="1"/>
    <col min="12578" max="12578" width="12.85546875" style="98" bestFit="1" customWidth="1"/>
    <col min="12579" max="12581" width="11.28515625" style="98" bestFit="1" customWidth="1"/>
    <col min="12582" max="12582" width="12.85546875" style="98" bestFit="1" customWidth="1"/>
    <col min="12583" max="12583" width="11.28515625" style="98" bestFit="1" customWidth="1"/>
    <col min="12584" max="12584" width="12.85546875" style="98" bestFit="1" customWidth="1"/>
    <col min="12585" max="12585" width="9.140625" style="98"/>
    <col min="12586" max="12586" width="14" style="98" bestFit="1" customWidth="1"/>
    <col min="12587" max="12803" width="9.140625" style="98"/>
    <col min="12804" max="12804" width="46.85546875" style="98" customWidth="1"/>
    <col min="12805" max="12805" width="12.85546875" style="98" bestFit="1" customWidth="1"/>
    <col min="12806" max="12806" width="11.28515625" style="98" bestFit="1" customWidth="1"/>
    <col min="12807" max="12812" width="12.85546875" style="98" bestFit="1" customWidth="1"/>
    <col min="12813" max="12813" width="11.28515625" style="98" bestFit="1" customWidth="1"/>
    <col min="12814" max="12815" width="12.85546875" style="98" bestFit="1" customWidth="1"/>
    <col min="12816" max="12816" width="11.28515625" style="98" bestFit="1" customWidth="1"/>
    <col min="12817" max="12817" width="12.85546875" style="98" bestFit="1" customWidth="1"/>
    <col min="12818" max="12819" width="11.28515625" style="98" bestFit="1" customWidth="1"/>
    <col min="12820" max="12821" width="12.85546875" style="98" bestFit="1" customWidth="1"/>
    <col min="12822" max="12822" width="10.28515625" style="98" bestFit="1" customWidth="1"/>
    <col min="12823" max="12825" width="11.28515625" style="98" bestFit="1" customWidth="1"/>
    <col min="12826" max="12828" width="12.85546875" style="98" bestFit="1" customWidth="1"/>
    <col min="12829" max="12832" width="11.28515625" style="98" bestFit="1" customWidth="1"/>
    <col min="12833" max="12833" width="10.28515625" style="98" bestFit="1" customWidth="1"/>
    <col min="12834" max="12834" width="12.85546875" style="98" bestFit="1" customWidth="1"/>
    <col min="12835" max="12837" width="11.28515625" style="98" bestFit="1" customWidth="1"/>
    <col min="12838" max="12838" width="12.85546875" style="98" bestFit="1" customWidth="1"/>
    <col min="12839" max="12839" width="11.28515625" style="98" bestFit="1" customWidth="1"/>
    <col min="12840" max="12840" width="12.85546875" style="98" bestFit="1" customWidth="1"/>
    <col min="12841" max="12841" width="9.140625" style="98"/>
    <col min="12842" max="12842" width="14" style="98" bestFit="1" customWidth="1"/>
    <col min="12843" max="13059" width="9.140625" style="98"/>
    <col min="13060" max="13060" width="46.85546875" style="98" customWidth="1"/>
    <col min="13061" max="13061" width="12.85546875" style="98" bestFit="1" customWidth="1"/>
    <col min="13062" max="13062" width="11.28515625" style="98" bestFit="1" customWidth="1"/>
    <col min="13063" max="13068" width="12.85546875" style="98" bestFit="1" customWidth="1"/>
    <col min="13069" max="13069" width="11.28515625" style="98" bestFit="1" customWidth="1"/>
    <col min="13070" max="13071" width="12.85546875" style="98" bestFit="1" customWidth="1"/>
    <col min="13072" max="13072" width="11.28515625" style="98" bestFit="1" customWidth="1"/>
    <col min="13073" max="13073" width="12.85546875" style="98" bestFit="1" customWidth="1"/>
    <col min="13074" max="13075" width="11.28515625" style="98" bestFit="1" customWidth="1"/>
    <col min="13076" max="13077" width="12.85546875" style="98" bestFit="1" customWidth="1"/>
    <col min="13078" max="13078" width="10.28515625" style="98" bestFit="1" customWidth="1"/>
    <col min="13079" max="13081" width="11.28515625" style="98" bestFit="1" customWidth="1"/>
    <col min="13082" max="13084" width="12.85546875" style="98" bestFit="1" customWidth="1"/>
    <col min="13085" max="13088" width="11.28515625" style="98" bestFit="1" customWidth="1"/>
    <col min="13089" max="13089" width="10.28515625" style="98" bestFit="1" customWidth="1"/>
    <col min="13090" max="13090" width="12.85546875" style="98" bestFit="1" customWidth="1"/>
    <col min="13091" max="13093" width="11.28515625" style="98" bestFit="1" customWidth="1"/>
    <col min="13094" max="13094" width="12.85546875" style="98" bestFit="1" customWidth="1"/>
    <col min="13095" max="13095" width="11.28515625" style="98" bestFit="1" customWidth="1"/>
    <col min="13096" max="13096" width="12.85546875" style="98" bestFit="1" customWidth="1"/>
    <col min="13097" max="13097" width="9.140625" style="98"/>
    <col min="13098" max="13098" width="14" style="98" bestFit="1" customWidth="1"/>
    <col min="13099" max="13315" width="9.140625" style="98"/>
    <col min="13316" max="13316" width="46.85546875" style="98" customWidth="1"/>
    <col min="13317" max="13317" width="12.85546875" style="98" bestFit="1" customWidth="1"/>
    <col min="13318" max="13318" width="11.28515625" style="98" bestFit="1" customWidth="1"/>
    <col min="13319" max="13324" width="12.85546875" style="98" bestFit="1" customWidth="1"/>
    <col min="13325" max="13325" width="11.28515625" style="98" bestFit="1" customWidth="1"/>
    <col min="13326" max="13327" width="12.85546875" style="98" bestFit="1" customWidth="1"/>
    <col min="13328" max="13328" width="11.28515625" style="98" bestFit="1" customWidth="1"/>
    <col min="13329" max="13329" width="12.85546875" style="98" bestFit="1" customWidth="1"/>
    <col min="13330" max="13331" width="11.28515625" style="98" bestFit="1" customWidth="1"/>
    <col min="13332" max="13333" width="12.85546875" style="98" bestFit="1" customWidth="1"/>
    <col min="13334" max="13334" width="10.28515625" style="98" bestFit="1" customWidth="1"/>
    <col min="13335" max="13337" width="11.28515625" style="98" bestFit="1" customWidth="1"/>
    <col min="13338" max="13340" width="12.85546875" style="98" bestFit="1" customWidth="1"/>
    <col min="13341" max="13344" width="11.28515625" style="98" bestFit="1" customWidth="1"/>
    <col min="13345" max="13345" width="10.28515625" style="98" bestFit="1" customWidth="1"/>
    <col min="13346" max="13346" width="12.85546875" style="98" bestFit="1" customWidth="1"/>
    <col min="13347" max="13349" width="11.28515625" style="98" bestFit="1" customWidth="1"/>
    <col min="13350" max="13350" width="12.85546875" style="98" bestFit="1" customWidth="1"/>
    <col min="13351" max="13351" width="11.28515625" style="98" bestFit="1" customWidth="1"/>
    <col min="13352" max="13352" width="12.85546875" style="98" bestFit="1" customWidth="1"/>
    <col min="13353" max="13353" width="9.140625" style="98"/>
    <col min="13354" max="13354" width="14" style="98" bestFit="1" customWidth="1"/>
    <col min="13355" max="13571" width="9.140625" style="98"/>
    <col min="13572" max="13572" width="46.85546875" style="98" customWidth="1"/>
    <col min="13573" max="13573" width="12.85546875" style="98" bestFit="1" customWidth="1"/>
    <col min="13574" max="13574" width="11.28515625" style="98" bestFit="1" customWidth="1"/>
    <col min="13575" max="13580" width="12.85546875" style="98" bestFit="1" customWidth="1"/>
    <col min="13581" max="13581" width="11.28515625" style="98" bestFit="1" customWidth="1"/>
    <col min="13582" max="13583" width="12.85546875" style="98" bestFit="1" customWidth="1"/>
    <col min="13584" max="13584" width="11.28515625" style="98" bestFit="1" customWidth="1"/>
    <col min="13585" max="13585" width="12.85546875" style="98" bestFit="1" customWidth="1"/>
    <col min="13586" max="13587" width="11.28515625" style="98" bestFit="1" customWidth="1"/>
    <col min="13588" max="13589" width="12.85546875" style="98" bestFit="1" customWidth="1"/>
    <col min="13590" max="13590" width="10.28515625" style="98" bestFit="1" customWidth="1"/>
    <col min="13591" max="13593" width="11.28515625" style="98" bestFit="1" customWidth="1"/>
    <col min="13594" max="13596" width="12.85546875" style="98" bestFit="1" customWidth="1"/>
    <col min="13597" max="13600" width="11.28515625" style="98" bestFit="1" customWidth="1"/>
    <col min="13601" max="13601" width="10.28515625" style="98" bestFit="1" customWidth="1"/>
    <col min="13602" max="13602" width="12.85546875" style="98" bestFit="1" customWidth="1"/>
    <col min="13603" max="13605" width="11.28515625" style="98" bestFit="1" customWidth="1"/>
    <col min="13606" max="13606" width="12.85546875" style="98" bestFit="1" customWidth="1"/>
    <col min="13607" max="13607" width="11.28515625" style="98" bestFit="1" customWidth="1"/>
    <col min="13608" max="13608" width="12.85546875" style="98" bestFit="1" customWidth="1"/>
    <col min="13609" max="13609" width="9.140625" style="98"/>
    <col min="13610" max="13610" width="14" style="98" bestFit="1" customWidth="1"/>
    <col min="13611" max="13827" width="9.140625" style="98"/>
    <col min="13828" max="13828" width="46.85546875" style="98" customWidth="1"/>
    <col min="13829" max="13829" width="12.85546875" style="98" bestFit="1" customWidth="1"/>
    <col min="13830" max="13830" width="11.28515625" style="98" bestFit="1" customWidth="1"/>
    <col min="13831" max="13836" width="12.85546875" style="98" bestFit="1" customWidth="1"/>
    <col min="13837" max="13837" width="11.28515625" style="98" bestFit="1" customWidth="1"/>
    <col min="13838" max="13839" width="12.85546875" style="98" bestFit="1" customWidth="1"/>
    <col min="13840" max="13840" width="11.28515625" style="98" bestFit="1" customWidth="1"/>
    <col min="13841" max="13841" width="12.85546875" style="98" bestFit="1" customWidth="1"/>
    <col min="13842" max="13843" width="11.28515625" style="98" bestFit="1" customWidth="1"/>
    <col min="13844" max="13845" width="12.85546875" style="98" bestFit="1" customWidth="1"/>
    <col min="13846" max="13846" width="10.28515625" style="98" bestFit="1" customWidth="1"/>
    <col min="13847" max="13849" width="11.28515625" style="98" bestFit="1" customWidth="1"/>
    <col min="13850" max="13852" width="12.85546875" style="98" bestFit="1" customWidth="1"/>
    <col min="13853" max="13856" width="11.28515625" style="98" bestFit="1" customWidth="1"/>
    <col min="13857" max="13857" width="10.28515625" style="98" bestFit="1" customWidth="1"/>
    <col min="13858" max="13858" width="12.85546875" style="98" bestFit="1" customWidth="1"/>
    <col min="13859" max="13861" width="11.28515625" style="98" bestFit="1" customWidth="1"/>
    <col min="13862" max="13862" width="12.85546875" style="98" bestFit="1" customWidth="1"/>
    <col min="13863" max="13863" width="11.28515625" style="98" bestFit="1" customWidth="1"/>
    <col min="13864" max="13864" width="12.85546875" style="98" bestFit="1" customWidth="1"/>
    <col min="13865" max="13865" width="9.140625" style="98"/>
    <col min="13866" max="13866" width="14" style="98" bestFit="1" customWidth="1"/>
    <col min="13867" max="14083" width="9.140625" style="98"/>
    <col min="14084" max="14084" width="46.85546875" style="98" customWidth="1"/>
    <col min="14085" max="14085" width="12.85546875" style="98" bestFit="1" customWidth="1"/>
    <col min="14086" max="14086" width="11.28515625" style="98" bestFit="1" customWidth="1"/>
    <col min="14087" max="14092" width="12.85546875" style="98" bestFit="1" customWidth="1"/>
    <col min="14093" max="14093" width="11.28515625" style="98" bestFit="1" customWidth="1"/>
    <col min="14094" max="14095" width="12.85546875" style="98" bestFit="1" customWidth="1"/>
    <col min="14096" max="14096" width="11.28515625" style="98" bestFit="1" customWidth="1"/>
    <col min="14097" max="14097" width="12.85546875" style="98" bestFit="1" customWidth="1"/>
    <col min="14098" max="14099" width="11.28515625" style="98" bestFit="1" customWidth="1"/>
    <col min="14100" max="14101" width="12.85546875" style="98" bestFit="1" customWidth="1"/>
    <col min="14102" max="14102" width="10.28515625" style="98" bestFit="1" customWidth="1"/>
    <col min="14103" max="14105" width="11.28515625" style="98" bestFit="1" customWidth="1"/>
    <col min="14106" max="14108" width="12.85546875" style="98" bestFit="1" customWidth="1"/>
    <col min="14109" max="14112" width="11.28515625" style="98" bestFit="1" customWidth="1"/>
    <col min="14113" max="14113" width="10.28515625" style="98" bestFit="1" customWidth="1"/>
    <col min="14114" max="14114" width="12.85546875" style="98" bestFit="1" customWidth="1"/>
    <col min="14115" max="14117" width="11.28515625" style="98" bestFit="1" customWidth="1"/>
    <col min="14118" max="14118" width="12.85546875" style="98" bestFit="1" customWidth="1"/>
    <col min="14119" max="14119" width="11.28515625" style="98" bestFit="1" customWidth="1"/>
    <col min="14120" max="14120" width="12.85546875" style="98" bestFit="1" customWidth="1"/>
    <col min="14121" max="14121" width="9.140625" style="98"/>
    <col min="14122" max="14122" width="14" style="98" bestFit="1" customWidth="1"/>
    <col min="14123" max="14339" width="9.140625" style="98"/>
    <col min="14340" max="14340" width="46.85546875" style="98" customWidth="1"/>
    <col min="14341" max="14341" width="12.85546875" style="98" bestFit="1" customWidth="1"/>
    <col min="14342" max="14342" width="11.28515625" style="98" bestFit="1" customWidth="1"/>
    <col min="14343" max="14348" width="12.85546875" style="98" bestFit="1" customWidth="1"/>
    <col min="14349" max="14349" width="11.28515625" style="98" bestFit="1" customWidth="1"/>
    <col min="14350" max="14351" width="12.85546875" style="98" bestFit="1" customWidth="1"/>
    <col min="14352" max="14352" width="11.28515625" style="98" bestFit="1" customWidth="1"/>
    <col min="14353" max="14353" width="12.85546875" style="98" bestFit="1" customWidth="1"/>
    <col min="14354" max="14355" width="11.28515625" style="98" bestFit="1" customWidth="1"/>
    <col min="14356" max="14357" width="12.85546875" style="98" bestFit="1" customWidth="1"/>
    <col min="14358" max="14358" width="10.28515625" style="98" bestFit="1" customWidth="1"/>
    <col min="14359" max="14361" width="11.28515625" style="98" bestFit="1" customWidth="1"/>
    <col min="14362" max="14364" width="12.85546875" style="98" bestFit="1" customWidth="1"/>
    <col min="14365" max="14368" width="11.28515625" style="98" bestFit="1" customWidth="1"/>
    <col min="14369" max="14369" width="10.28515625" style="98" bestFit="1" customWidth="1"/>
    <col min="14370" max="14370" width="12.85546875" style="98" bestFit="1" customWidth="1"/>
    <col min="14371" max="14373" width="11.28515625" style="98" bestFit="1" customWidth="1"/>
    <col min="14374" max="14374" width="12.85546875" style="98" bestFit="1" customWidth="1"/>
    <col min="14375" max="14375" width="11.28515625" style="98" bestFit="1" customWidth="1"/>
    <col min="14376" max="14376" width="12.85546875" style="98" bestFit="1" customWidth="1"/>
    <col min="14377" max="14377" width="9.140625" style="98"/>
    <col min="14378" max="14378" width="14" style="98" bestFit="1" customWidth="1"/>
    <col min="14379" max="14595" width="9.140625" style="98"/>
    <col min="14596" max="14596" width="46.85546875" style="98" customWidth="1"/>
    <col min="14597" max="14597" width="12.85546875" style="98" bestFit="1" customWidth="1"/>
    <col min="14598" max="14598" width="11.28515625" style="98" bestFit="1" customWidth="1"/>
    <col min="14599" max="14604" width="12.85546875" style="98" bestFit="1" customWidth="1"/>
    <col min="14605" max="14605" width="11.28515625" style="98" bestFit="1" customWidth="1"/>
    <col min="14606" max="14607" width="12.85546875" style="98" bestFit="1" customWidth="1"/>
    <col min="14608" max="14608" width="11.28515625" style="98" bestFit="1" customWidth="1"/>
    <col min="14609" max="14609" width="12.85546875" style="98" bestFit="1" customWidth="1"/>
    <col min="14610" max="14611" width="11.28515625" style="98" bestFit="1" customWidth="1"/>
    <col min="14612" max="14613" width="12.85546875" style="98" bestFit="1" customWidth="1"/>
    <col min="14614" max="14614" width="10.28515625" style="98" bestFit="1" customWidth="1"/>
    <col min="14615" max="14617" width="11.28515625" style="98" bestFit="1" customWidth="1"/>
    <col min="14618" max="14620" width="12.85546875" style="98" bestFit="1" customWidth="1"/>
    <col min="14621" max="14624" width="11.28515625" style="98" bestFit="1" customWidth="1"/>
    <col min="14625" max="14625" width="10.28515625" style="98" bestFit="1" customWidth="1"/>
    <col min="14626" max="14626" width="12.85546875" style="98" bestFit="1" customWidth="1"/>
    <col min="14627" max="14629" width="11.28515625" style="98" bestFit="1" customWidth="1"/>
    <col min="14630" max="14630" width="12.85546875" style="98" bestFit="1" customWidth="1"/>
    <col min="14631" max="14631" width="11.28515625" style="98" bestFit="1" customWidth="1"/>
    <col min="14632" max="14632" width="12.85546875" style="98" bestFit="1" customWidth="1"/>
    <col min="14633" max="14633" width="9.140625" style="98"/>
    <col min="14634" max="14634" width="14" style="98" bestFit="1" customWidth="1"/>
    <col min="14635" max="14851" width="9.140625" style="98"/>
    <col min="14852" max="14852" width="46.85546875" style="98" customWidth="1"/>
    <col min="14853" max="14853" width="12.85546875" style="98" bestFit="1" customWidth="1"/>
    <col min="14854" max="14854" width="11.28515625" style="98" bestFit="1" customWidth="1"/>
    <col min="14855" max="14860" width="12.85546875" style="98" bestFit="1" customWidth="1"/>
    <col min="14861" max="14861" width="11.28515625" style="98" bestFit="1" customWidth="1"/>
    <col min="14862" max="14863" width="12.85546875" style="98" bestFit="1" customWidth="1"/>
    <col min="14864" max="14864" width="11.28515625" style="98" bestFit="1" customWidth="1"/>
    <col min="14865" max="14865" width="12.85546875" style="98" bestFit="1" customWidth="1"/>
    <col min="14866" max="14867" width="11.28515625" style="98" bestFit="1" customWidth="1"/>
    <col min="14868" max="14869" width="12.85546875" style="98" bestFit="1" customWidth="1"/>
    <col min="14870" max="14870" width="10.28515625" style="98" bestFit="1" customWidth="1"/>
    <col min="14871" max="14873" width="11.28515625" style="98" bestFit="1" customWidth="1"/>
    <col min="14874" max="14876" width="12.85546875" style="98" bestFit="1" customWidth="1"/>
    <col min="14877" max="14880" width="11.28515625" style="98" bestFit="1" customWidth="1"/>
    <col min="14881" max="14881" width="10.28515625" style="98" bestFit="1" customWidth="1"/>
    <col min="14882" max="14882" width="12.85546875" style="98" bestFit="1" customWidth="1"/>
    <col min="14883" max="14885" width="11.28515625" style="98" bestFit="1" customWidth="1"/>
    <col min="14886" max="14886" width="12.85546875" style="98" bestFit="1" customWidth="1"/>
    <col min="14887" max="14887" width="11.28515625" style="98" bestFit="1" customWidth="1"/>
    <col min="14888" max="14888" width="12.85546875" style="98" bestFit="1" customWidth="1"/>
    <col min="14889" max="14889" width="9.140625" style="98"/>
    <col min="14890" max="14890" width="14" style="98" bestFit="1" customWidth="1"/>
    <col min="14891" max="15107" width="9.140625" style="98"/>
    <col min="15108" max="15108" width="46.85546875" style="98" customWidth="1"/>
    <col min="15109" max="15109" width="12.85546875" style="98" bestFit="1" customWidth="1"/>
    <col min="15110" max="15110" width="11.28515625" style="98" bestFit="1" customWidth="1"/>
    <col min="15111" max="15116" width="12.85546875" style="98" bestFit="1" customWidth="1"/>
    <col min="15117" max="15117" width="11.28515625" style="98" bestFit="1" customWidth="1"/>
    <col min="15118" max="15119" width="12.85546875" style="98" bestFit="1" customWidth="1"/>
    <col min="15120" max="15120" width="11.28515625" style="98" bestFit="1" customWidth="1"/>
    <col min="15121" max="15121" width="12.85546875" style="98" bestFit="1" customWidth="1"/>
    <col min="15122" max="15123" width="11.28515625" style="98" bestFit="1" customWidth="1"/>
    <col min="15124" max="15125" width="12.85546875" style="98" bestFit="1" customWidth="1"/>
    <col min="15126" max="15126" width="10.28515625" style="98" bestFit="1" customWidth="1"/>
    <col min="15127" max="15129" width="11.28515625" style="98" bestFit="1" customWidth="1"/>
    <col min="15130" max="15132" width="12.85546875" style="98" bestFit="1" customWidth="1"/>
    <col min="15133" max="15136" width="11.28515625" style="98" bestFit="1" customWidth="1"/>
    <col min="15137" max="15137" width="10.28515625" style="98" bestFit="1" customWidth="1"/>
    <col min="15138" max="15138" width="12.85546875" style="98" bestFit="1" customWidth="1"/>
    <col min="15139" max="15141" width="11.28515625" style="98" bestFit="1" customWidth="1"/>
    <col min="15142" max="15142" width="12.85546875" style="98" bestFit="1" customWidth="1"/>
    <col min="15143" max="15143" width="11.28515625" style="98" bestFit="1" customWidth="1"/>
    <col min="15144" max="15144" width="12.85546875" style="98" bestFit="1" customWidth="1"/>
    <col min="15145" max="15145" width="9.140625" style="98"/>
    <col min="15146" max="15146" width="14" style="98" bestFit="1" customWidth="1"/>
    <col min="15147" max="15363" width="9.140625" style="98"/>
    <col min="15364" max="15364" width="46.85546875" style="98" customWidth="1"/>
    <col min="15365" max="15365" width="12.85546875" style="98" bestFit="1" customWidth="1"/>
    <col min="15366" max="15366" width="11.28515625" style="98" bestFit="1" customWidth="1"/>
    <col min="15367" max="15372" width="12.85546875" style="98" bestFit="1" customWidth="1"/>
    <col min="15373" max="15373" width="11.28515625" style="98" bestFit="1" customWidth="1"/>
    <col min="15374" max="15375" width="12.85546875" style="98" bestFit="1" customWidth="1"/>
    <col min="15376" max="15376" width="11.28515625" style="98" bestFit="1" customWidth="1"/>
    <col min="15377" max="15377" width="12.85546875" style="98" bestFit="1" customWidth="1"/>
    <col min="15378" max="15379" width="11.28515625" style="98" bestFit="1" customWidth="1"/>
    <col min="15380" max="15381" width="12.85546875" style="98" bestFit="1" customWidth="1"/>
    <col min="15382" max="15382" width="10.28515625" style="98" bestFit="1" customWidth="1"/>
    <col min="15383" max="15385" width="11.28515625" style="98" bestFit="1" customWidth="1"/>
    <col min="15386" max="15388" width="12.85546875" style="98" bestFit="1" customWidth="1"/>
    <col min="15389" max="15392" width="11.28515625" style="98" bestFit="1" customWidth="1"/>
    <col min="15393" max="15393" width="10.28515625" style="98" bestFit="1" customWidth="1"/>
    <col min="15394" max="15394" width="12.85546875" style="98" bestFit="1" customWidth="1"/>
    <col min="15395" max="15397" width="11.28515625" style="98" bestFit="1" customWidth="1"/>
    <col min="15398" max="15398" width="12.85546875" style="98" bestFit="1" customWidth="1"/>
    <col min="15399" max="15399" width="11.28515625" style="98" bestFit="1" customWidth="1"/>
    <col min="15400" max="15400" width="12.85546875" style="98" bestFit="1" customWidth="1"/>
    <col min="15401" max="15401" width="9.140625" style="98"/>
    <col min="15402" max="15402" width="14" style="98" bestFit="1" customWidth="1"/>
    <col min="15403" max="15619" width="9.140625" style="98"/>
    <col min="15620" max="15620" width="46.85546875" style="98" customWidth="1"/>
    <col min="15621" max="15621" width="12.85546875" style="98" bestFit="1" customWidth="1"/>
    <col min="15622" max="15622" width="11.28515625" style="98" bestFit="1" customWidth="1"/>
    <col min="15623" max="15628" width="12.85546875" style="98" bestFit="1" customWidth="1"/>
    <col min="15629" max="15629" width="11.28515625" style="98" bestFit="1" customWidth="1"/>
    <col min="15630" max="15631" width="12.85546875" style="98" bestFit="1" customWidth="1"/>
    <col min="15632" max="15632" width="11.28515625" style="98" bestFit="1" customWidth="1"/>
    <col min="15633" max="15633" width="12.85546875" style="98" bestFit="1" customWidth="1"/>
    <col min="15634" max="15635" width="11.28515625" style="98" bestFit="1" customWidth="1"/>
    <col min="15636" max="15637" width="12.85546875" style="98" bestFit="1" customWidth="1"/>
    <col min="15638" max="15638" width="10.28515625" style="98" bestFit="1" customWidth="1"/>
    <col min="15639" max="15641" width="11.28515625" style="98" bestFit="1" customWidth="1"/>
    <col min="15642" max="15644" width="12.85546875" style="98" bestFit="1" customWidth="1"/>
    <col min="15645" max="15648" width="11.28515625" style="98" bestFit="1" customWidth="1"/>
    <col min="15649" max="15649" width="10.28515625" style="98" bestFit="1" customWidth="1"/>
    <col min="15650" max="15650" width="12.85546875" style="98" bestFit="1" customWidth="1"/>
    <col min="15651" max="15653" width="11.28515625" style="98" bestFit="1" customWidth="1"/>
    <col min="15654" max="15654" width="12.85546875" style="98" bestFit="1" customWidth="1"/>
    <col min="15655" max="15655" width="11.28515625" style="98" bestFit="1" customWidth="1"/>
    <col min="15656" max="15656" width="12.85546875" style="98" bestFit="1" customWidth="1"/>
    <col min="15657" max="15657" width="9.140625" style="98"/>
    <col min="15658" max="15658" width="14" style="98" bestFit="1" customWidth="1"/>
    <col min="15659" max="15875" width="9.140625" style="98"/>
    <col min="15876" max="15876" width="46.85546875" style="98" customWidth="1"/>
    <col min="15877" max="15877" width="12.85546875" style="98" bestFit="1" customWidth="1"/>
    <col min="15878" max="15878" width="11.28515625" style="98" bestFit="1" customWidth="1"/>
    <col min="15879" max="15884" width="12.85546875" style="98" bestFit="1" customWidth="1"/>
    <col min="15885" max="15885" width="11.28515625" style="98" bestFit="1" customWidth="1"/>
    <col min="15886" max="15887" width="12.85546875" style="98" bestFit="1" customWidth="1"/>
    <col min="15888" max="15888" width="11.28515625" style="98" bestFit="1" customWidth="1"/>
    <col min="15889" max="15889" width="12.85546875" style="98" bestFit="1" customWidth="1"/>
    <col min="15890" max="15891" width="11.28515625" style="98" bestFit="1" customWidth="1"/>
    <col min="15892" max="15893" width="12.85546875" style="98" bestFit="1" customWidth="1"/>
    <col min="15894" max="15894" width="10.28515625" style="98" bestFit="1" customWidth="1"/>
    <col min="15895" max="15897" width="11.28515625" style="98" bestFit="1" customWidth="1"/>
    <col min="15898" max="15900" width="12.85546875" style="98" bestFit="1" customWidth="1"/>
    <col min="15901" max="15904" width="11.28515625" style="98" bestFit="1" customWidth="1"/>
    <col min="15905" max="15905" width="10.28515625" style="98" bestFit="1" customWidth="1"/>
    <col min="15906" max="15906" width="12.85546875" style="98" bestFit="1" customWidth="1"/>
    <col min="15907" max="15909" width="11.28515625" style="98" bestFit="1" customWidth="1"/>
    <col min="15910" max="15910" width="12.85546875" style="98" bestFit="1" customWidth="1"/>
    <col min="15911" max="15911" width="11.28515625" style="98" bestFit="1" customWidth="1"/>
    <col min="15912" max="15912" width="12.85546875" style="98" bestFit="1" customWidth="1"/>
    <col min="15913" max="15913" width="9.140625" style="98"/>
    <col min="15914" max="15914" width="14" style="98" bestFit="1" customWidth="1"/>
    <col min="15915" max="16131" width="9.140625" style="98"/>
    <col min="16132" max="16132" width="46.85546875" style="98" customWidth="1"/>
    <col min="16133" max="16133" width="12.85546875" style="98" bestFit="1" customWidth="1"/>
    <col min="16134" max="16134" width="11.28515625" style="98" bestFit="1" customWidth="1"/>
    <col min="16135" max="16140" width="12.85546875" style="98" bestFit="1" customWidth="1"/>
    <col min="16141" max="16141" width="11.28515625" style="98" bestFit="1" customWidth="1"/>
    <col min="16142" max="16143" width="12.85546875" style="98" bestFit="1" customWidth="1"/>
    <col min="16144" max="16144" width="11.28515625" style="98" bestFit="1" customWidth="1"/>
    <col min="16145" max="16145" width="12.85546875" style="98" bestFit="1" customWidth="1"/>
    <col min="16146" max="16147" width="11.28515625" style="98" bestFit="1" customWidth="1"/>
    <col min="16148" max="16149" width="12.85546875" style="98" bestFit="1" customWidth="1"/>
    <col min="16150" max="16150" width="10.28515625" style="98" bestFit="1" customWidth="1"/>
    <col min="16151" max="16153" width="11.28515625" style="98" bestFit="1" customWidth="1"/>
    <col min="16154" max="16156" width="12.85546875" style="98" bestFit="1" customWidth="1"/>
    <col min="16157" max="16160" width="11.28515625" style="98" bestFit="1" customWidth="1"/>
    <col min="16161" max="16161" width="10.28515625" style="98" bestFit="1" customWidth="1"/>
    <col min="16162" max="16162" width="12.85546875" style="98" bestFit="1" customWidth="1"/>
    <col min="16163" max="16165" width="11.28515625" style="98" bestFit="1" customWidth="1"/>
    <col min="16166" max="16166" width="12.85546875" style="98" bestFit="1" customWidth="1"/>
    <col min="16167" max="16167" width="11.28515625" style="98" bestFit="1" customWidth="1"/>
    <col min="16168" max="16168" width="12.85546875" style="98" bestFit="1" customWidth="1"/>
    <col min="16169" max="16169" width="9.140625" style="98"/>
    <col min="16170" max="16170" width="14" style="98" bestFit="1" customWidth="1"/>
    <col min="16171" max="16384" width="9.140625" style="98"/>
  </cols>
  <sheetData>
    <row r="1" spans="1:44" x14ac:dyDescent="0.2">
      <c r="A1" s="98" t="s">
        <v>374</v>
      </c>
    </row>
    <row r="3" spans="1:44" ht="51.75" x14ac:dyDescent="0.25">
      <c r="A3" s="145" t="s">
        <v>373</v>
      </c>
      <c r="B3" s="144" t="s">
        <v>60</v>
      </c>
      <c r="C3" s="143" t="s">
        <v>59</v>
      </c>
      <c r="D3" s="143" t="s">
        <v>58</v>
      </c>
      <c r="E3" s="143" t="s">
        <v>57</v>
      </c>
      <c r="F3" s="143" t="s">
        <v>56</v>
      </c>
      <c r="G3" s="143" t="s">
        <v>55</v>
      </c>
      <c r="H3" s="143" t="s">
        <v>54</v>
      </c>
      <c r="I3" s="143" t="s">
        <v>53</v>
      </c>
      <c r="J3" s="143" t="s">
        <v>52</v>
      </c>
      <c r="K3" s="143" t="s">
        <v>51</v>
      </c>
      <c r="L3" s="458" t="s">
        <v>50</v>
      </c>
      <c r="M3" s="143" t="s">
        <v>49</v>
      </c>
      <c r="N3" s="143" t="s">
        <v>48</v>
      </c>
      <c r="O3" s="143" t="s">
        <v>47</v>
      </c>
      <c r="P3" s="143" t="s">
        <v>46</v>
      </c>
      <c r="Q3" s="143" t="s">
        <v>45</v>
      </c>
      <c r="R3" s="59" t="s">
        <v>44</v>
      </c>
      <c r="S3" s="143" t="s">
        <v>43</v>
      </c>
      <c r="T3" s="59" t="s">
        <v>42</v>
      </c>
      <c r="U3" s="143" t="s">
        <v>41</v>
      </c>
      <c r="V3" s="143" t="s">
        <v>40</v>
      </c>
      <c r="W3" s="143" t="s">
        <v>39</v>
      </c>
      <c r="X3" s="143" t="s">
        <v>38</v>
      </c>
      <c r="Y3" s="143" t="s">
        <v>37</v>
      </c>
      <c r="Z3" s="143" t="s">
        <v>36</v>
      </c>
      <c r="AA3" s="143" t="s">
        <v>35</v>
      </c>
      <c r="AB3" s="143" t="s">
        <v>34</v>
      </c>
      <c r="AC3" s="143" t="s">
        <v>33</v>
      </c>
      <c r="AD3" s="143" t="s">
        <v>32</v>
      </c>
      <c r="AE3" s="143" t="s">
        <v>31</v>
      </c>
      <c r="AF3" s="143" t="s">
        <v>30</v>
      </c>
      <c r="AG3" s="143" t="s">
        <v>29</v>
      </c>
      <c r="AH3" s="143" t="s">
        <v>28</v>
      </c>
      <c r="AI3" s="143" t="s">
        <v>27</v>
      </c>
      <c r="AJ3" s="143" t="s">
        <v>26</v>
      </c>
      <c r="AK3" s="143" t="s">
        <v>25</v>
      </c>
      <c r="AL3" s="143" t="s">
        <v>24</v>
      </c>
      <c r="AM3" s="143" t="s">
        <v>23</v>
      </c>
      <c r="AN3" s="143" t="s">
        <v>22</v>
      </c>
      <c r="AO3" s="142"/>
      <c r="AP3" s="142" t="s">
        <v>75</v>
      </c>
    </row>
    <row r="4" spans="1:44" s="451" customFormat="1" x14ac:dyDescent="0.2">
      <c r="A4" s="451" t="str">
        <f>"Acres in the "&amp; A5&amp;" watershed"</f>
        <v>Acres in the Statewide watershed</v>
      </c>
      <c r="B4" s="451">
        <f>IF(OR(huc10selected=1,watercell=1),INDEX(B38:B117,Main!$B$7),'HUC10'!E556)</f>
        <v>1183611.8269754262</v>
      </c>
      <c r="C4" s="451">
        <f>IF(OR(huc10selected=1,watercell=1),INDEX(C38:C117,Main!$B$7),'HUC10'!F556)</f>
        <v>95754.758676922065</v>
      </c>
      <c r="D4" s="451">
        <f>IF(OR(huc10selected=1,watercell=1),INDEX(D38:D117,Main!$B$7),'HUC10'!G556)</f>
        <v>384363.31644598173</v>
      </c>
      <c r="E4" s="451">
        <f>IF(OR(huc10selected=1,watercell=1),INDEX(E38:E117,Main!$B$7),'HUC10'!H556)</f>
        <v>526499.4754478957</v>
      </c>
      <c r="F4" s="451">
        <f>IF(OR(huc10selected=1,watercell=1),INDEX(F38:F117,Main!$B$7),'HUC10'!I556)</f>
        <v>1087765.8836466994</v>
      </c>
      <c r="G4" s="451">
        <f>IF(OR(huc10selected=1,watercell=1),INDEX(G38:G117,Main!$B$7),'HUC10'!J556)</f>
        <v>21773.538325770438</v>
      </c>
      <c r="H4" s="451">
        <f>IF(OR(huc10selected=1,watercell=1),INDEX(H38:H117,Main!$B$7),'HUC10'!K556)</f>
        <v>476975.34015582805</v>
      </c>
      <c r="I4" s="451">
        <f>IF(OR(huc10selected=1,watercell=1),INDEX(I38:I117,Main!$B$7),'HUC10'!L556)</f>
        <v>1782881.9850823712</v>
      </c>
      <c r="J4" s="451">
        <f>IF(OR(huc10selected=1,watercell=1),INDEX(J38:J117,Main!$B$7),'HUC10'!M556)</f>
        <v>458429.57002898154</v>
      </c>
      <c r="K4" s="451">
        <f>IF(OR(huc10selected=1,watercell=1),INDEX(K38:K117,Main!$B$7),'HUC10'!N556)</f>
        <v>819176.20611457271</v>
      </c>
      <c r="L4" s="451">
        <f>IF(OR(huc10selected=1,watercell=1),INDEX(L38:L117,Main!$B$7),'HUC10'!O556)</f>
        <v>49840.38319707138</v>
      </c>
      <c r="M4" s="451">
        <f>IF(OR(huc10selected=1,watercell=1),INDEX(M38:M117,Main!$B$7),'HUC10'!P556)</f>
        <v>264659.08028609783</v>
      </c>
      <c r="N4" s="451">
        <f>IF(OR(huc10selected=1,watercell=1),INDEX(N38:N117,Main!$B$7),'HUC10'!Q556)</f>
        <v>769733.41808108834</v>
      </c>
      <c r="O4" s="451">
        <f>IF(OR(huc10selected=1,watercell=1),INDEX(O38:O117,Main!$B$7),'HUC10'!R556)</f>
        <v>828673.71056960034</v>
      </c>
      <c r="P4" s="451">
        <f>IF(OR(huc10selected=1,watercell=1),INDEX(P38:P117,Main!$B$7),'HUC10'!S556)</f>
        <v>241824.56323169585</v>
      </c>
      <c r="Q4" s="451">
        <f>IF(OR(huc10selected=1,watercell=1),INDEX(Q38:Q117,Main!$B$7),'HUC10'!T556)</f>
        <v>246814.27028150437</v>
      </c>
      <c r="R4" s="451">
        <f>IF(OR(huc10selected=1,watercell=1),INDEX(R38:R117,Main!$B$7),'HUC10'!U556)</f>
        <v>4285.7491912003497</v>
      </c>
      <c r="S4" s="451">
        <f>IF(OR(huc10selected=1,watercell=1),INDEX(S38:S117,Main!$B$7),'HUC10'!V556)</f>
        <v>178246.72078017835</v>
      </c>
      <c r="T4" s="451">
        <f>IF(OR(huc10selected=1,watercell=1),INDEX(T38:T117,Main!$B$7),'HUC10'!W556)</f>
        <v>6495.4972264639991</v>
      </c>
      <c r="U4" s="451">
        <f>IF(OR(huc10selected=1,watercell=1),INDEX(U38:U117,Main!$B$7),'HUC10'!X556)</f>
        <v>106361.17112664782</v>
      </c>
      <c r="V4" s="451">
        <f>IF(OR(huc10selected=1,watercell=1),INDEX(V38:V117,Main!$B$7),'HUC10'!Y556)</f>
        <v>64243.015453628861</v>
      </c>
      <c r="W4" s="451">
        <f>IF(OR(huc10selected=1,watercell=1),INDEX(W38:W117,Main!$B$7),'HUC10'!Z556)</f>
        <v>534860.91880764207</v>
      </c>
      <c r="X4" s="451">
        <f>IF(OR(huc10selected=1,watercell=1),INDEX(X38:X117,Main!$B$7),'HUC10'!AA556)</f>
        <v>72691.488463081871</v>
      </c>
      <c r="Y4" s="451">
        <f>IF(OR(huc10selected=1,watercell=1),INDEX(Y38:Y117,Main!$B$7),'HUC10'!AB556)</f>
        <v>578435.98666543269</v>
      </c>
      <c r="Z4" s="451">
        <f>IF(OR(huc10selected=1,watercell=1),INDEX(Z38:Z117,Main!$B$7),'HUC10'!AC556)</f>
        <v>1740522.0190968888</v>
      </c>
      <c r="AA4" s="451">
        <f>IF(OR(huc10selected=1,watercell=1),INDEX(AA38:AA117,Main!$B$7),'HUC10'!AD556)</f>
        <v>310501.91638817242</v>
      </c>
      <c r="AB4" s="451">
        <f>IF(OR(huc10selected=1,watercell=1),INDEX(AB38:AB117,Main!$B$7),'HUC10'!AE556)</f>
        <v>1118256.768589003</v>
      </c>
      <c r="AC4" s="451">
        <f>IF(OR(huc10selected=1,watercell=1),INDEX(AC38:AC117,Main!$B$7),'HUC10'!AF556)</f>
        <v>46608.093375328019</v>
      </c>
      <c r="AD4" s="451">
        <f>IF(OR(huc10selected=1,watercell=1),INDEX(AD38:AD117,Main!$B$7),'HUC10'!AG556)</f>
        <v>54441.211277657254</v>
      </c>
      <c r="AE4" s="451">
        <f>IF(OR(huc10selected=1,watercell=1),INDEX(AE38:AE117,Main!$B$7),'HUC10'!AH556)</f>
        <v>65663.160762143409</v>
      </c>
      <c r="AF4" s="451">
        <f>IF(OR(huc10selected=1,watercell=1),INDEX(AF38:AF117,Main!$B$7),'HUC10'!AI556)</f>
        <v>130947.11348153767</v>
      </c>
      <c r="AG4" s="451">
        <f>IF(OR(huc10selected=1,watercell=1),INDEX(AG38:AG117,Main!$B$7),'HUC10'!AJ556)</f>
        <v>25765.81148644643</v>
      </c>
      <c r="AH4" s="451">
        <f>IF(OR(huc10selected=1,watercell=1),INDEX(AH38:AH117,Main!$B$7),'HUC10'!AK556)</f>
        <v>1340660.9713842301</v>
      </c>
      <c r="AI4" s="451">
        <f>IF(OR(huc10selected=1,watercell=1),INDEX(AI38:AI117,Main!$B$7),'HUC10'!AL556)</f>
        <v>128358.10151161565</v>
      </c>
      <c r="AJ4" s="451">
        <f>IF(OR(huc10selected=1,watercell=1),INDEX(AJ38:AJ117,Main!$B$7),'HUC10'!AM556)</f>
        <v>574366.93169227603</v>
      </c>
      <c r="AK4" s="451">
        <f>IF(OR(huc10selected=1,watercell=1),INDEX(AK38:AK117,Main!$B$7),'HUC10'!AN556)</f>
        <v>522509.10459876515</v>
      </c>
      <c r="AL4" s="451">
        <f>IF(OR(huc10selected=1,watercell=1),INDEX(AL38:AL117,Main!$B$7),'HUC10'!AO556)</f>
        <v>1064528.7062601971</v>
      </c>
      <c r="AM4" s="451">
        <f>IF(OR(huc10selected=1,watercell=1),INDEX(AM38:AM117,Main!$B$7),'HUC10'!AP556)</f>
        <v>790004.66459855298</v>
      </c>
      <c r="AN4" s="451">
        <f>IF(OR(huc10selected=1,watercell=1),INDEX(AN38:AN117,Main!$B$7),'HUC10'!AQ556)</f>
        <v>949734.58489426761</v>
      </c>
      <c r="AP4" s="451">
        <f>SUM(B4:AN4)</f>
        <v>19647267.033658866</v>
      </c>
    </row>
    <row r="5" spans="1:44" ht="15" x14ac:dyDescent="0.25">
      <c r="A5" s="141" t="str">
        <f>INDEX(A38:A117,Main!$B$7)</f>
        <v>Statewide</v>
      </c>
      <c r="B5" s="140">
        <f t="shared" ref="B5:AN5" si="0">B122</f>
        <v>1</v>
      </c>
      <c r="C5" s="140">
        <f t="shared" si="0"/>
        <v>1</v>
      </c>
      <c r="D5" s="140">
        <f t="shared" si="0"/>
        <v>1</v>
      </c>
      <c r="E5" s="140">
        <f t="shared" si="0"/>
        <v>1</v>
      </c>
      <c r="F5" s="140">
        <f t="shared" si="0"/>
        <v>1</v>
      </c>
      <c r="G5" s="140">
        <f t="shared" si="0"/>
        <v>1</v>
      </c>
      <c r="H5" s="140">
        <f t="shared" si="0"/>
        <v>1</v>
      </c>
      <c r="I5" s="140">
        <f t="shared" si="0"/>
        <v>1</v>
      </c>
      <c r="J5" s="140">
        <f t="shared" si="0"/>
        <v>1</v>
      </c>
      <c r="K5" s="140">
        <f t="shared" si="0"/>
        <v>1</v>
      </c>
      <c r="L5" s="140">
        <f t="shared" si="0"/>
        <v>1</v>
      </c>
      <c r="M5" s="140">
        <f t="shared" si="0"/>
        <v>1</v>
      </c>
      <c r="N5" s="140">
        <f t="shared" si="0"/>
        <v>1</v>
      </c>
      <c r="O5" s="140">
        <f t="shared" si="0"/>
        <v>1</v>
      </c>
      <c r="P5" s="140">
        <f t="shared" si="0"/>
        <v>1</v>
      </c>
      <c r="Q5" s="140">
        <f t="shared" si="0"/>
        <v>1</v>
      </c>
      <c r="R5" s="140">
        <f t="shared" si="0"/>
        <v>1</v>
      </c>
      <c r="S5" s="140">
        <f t="shared" si="0"/>
        <v>1</v>
      </c>
      <c r="T5" s="140">
        <f t="shared" si="0"/>
        <v>1</v>
      </c>
      <c r="U5" s="140">
        <f t="shared" si="0"/>
        <v>1</v>
      </c>
      <c r="V5" s="140">
        <f t="shared" si="0"/>
        <v>1</v>
      </c>
      <c r="W5" s="140">
        <f t="shared" si="0"/>
        <v>1</v>
      </c>
      <c r="X5" s="140">
        <f t="shared" si="0"/>
        <v>1</v>
      </c>
      <c r="Y5" s="140">
        <f t="shared" si="0"/>
        <v>1</v>
      </c>
      <c r="Z5" s="140">
        <f t="shared" si="0"/>
        <v>1</v>
      </c>
      <c r="AA5" s="140">
        <f t="shared" si="0"/>
        <v>1</v>
      </c>
      <c r="AB5" s="140">
        <f t="shared" si="0"/>
        <v>1</v>
      </c>
      <c r="AC5" s="140">
        <f t="shared" si="0"/>
        <v>1</v>
      </c>
      <c r="AD5" s="140">
        <f t="shared" si="0"/>
        <v>1</v>
      </c>
      <c r="AE5" s="140">
        <f t="shared" si="0"/>
        <v>1</v>
      </c>
      <c r="AF5" s="140">
        <f t="shared" si="0"/>
        <v>1</v>
      </c>
      <c r="AG5" s="140">
        <f t="shared" si="0"/>
        <v>1</v>
      </c>
      <c r="AH5" s="140">
        <f t="shared" si="0"/>
        <v>1</v>
      </c>
      <c r="AI5" s="140">
        <f t="shared" si="0"/>
        <v>1</v>
      </c>
      <c r="AJ5" s="140">
        <f t="shared" si="0"/>
        <v>1</v>
      </c>
      <c r="AK5" s="140">
        <f t="shared" si="0"/>
        <v>1</v>
      </c>
      <c r="AL5" s="140">
        <f t="shared" si="0"/>
        <v>1</v>
      </c>
      <c r="AM5" s="140">
        <f t="shared" si="0"/>
        <v>1</v>
      </c>
      <c r="AN5" s="140">
        <f t="shared" si="0"/>
        <v>1</v>
      </c>
    </row>
    <row r="6" spans="1:44" ht="15" x14ac:dyDescent="0.25">
      <c r="A6" s="141"/>
      <c r="B6" s="140"/>
      <c r="C6" s="140"/>
      <c r="D6" s="140"/>
      <c r="E6" s="140"/>
      <c r="F6" s="140"/>
      <c r="G6" s="140"/>
      <c r="H6" s="140"/>
      <c r="I6" s="140"/>
      <c r="J6" s="140"/>
      <c r="K6" s="140"/>
      <c r="L6" s="140"/>
      <c r="M6" s="140"/>
      <c r="N6" s="140"/>
      <c r="O6" s="140"/>
      <c r="P6" s="140"/>
      <c r="Q6" s="140"/>
      <c r="R6" s="140"/>
      <c r="S6" s="140"/>
      <c r="T6" s="140"/>
      <c r="U6" s="140"/>
      <c r="V6" s="140"/>
      <c r="W6" s="140"/>
      <c r="X6" s="140"/>
      <c r="Y6" s="140"/>
      <c r="Z6" s="140"/>
      <c r="AA6" s="140"/>
      <c r="AB6" s="140"/>
      <c r="AC6" s="140"/>
      <c r="AD6" s="140"/>
      <c r="AE6" s="140"/>
      <c r="AF6" s="140"/>
      <c r="AG6" s="140"/>
      <c r="AH6" s="140"/>
      <c r="AI6" s="140"/>
      <c r="AJ6" s="140"/>
      <c r="AK6" s="140"/>
      <c r="AL6" s="140"/>
      <c r="AM6" s="140"/>
      <c r="AN6" s="140"/>
    </row>
    <row r="7" spans="1:44" customFormat="1" ht="15" x14ac:dyDescent="0.25">
      <c r="A7" s="139" t="s">
        <v>961</v>
      </c>
      <c r="B7" s="138">
        <v>693002.16836500005</v>
      </c>
      <c r="C7" s="138">
        <v>90012.374695000006</v>
      </c>
      <c r="D7" s="138">
        <v>30403.398055000001</v>
      </c>
      <c r="E7" s="138">
        <v>80488.086425000001</v>
      </c>
      <c r="F7" s="138">
        <v>37476.448635000001</v>
      </c>
      <c r="G7" s="138">
        <v>51.595640000000003</v>
      </c>
      <c r="H7" s="138">
        <v>101148.80432</v>
      </c>
      <c r="I7" s="138">
        <v>57400.594290000001</v>
      </c>
      <c r="J7" s="138">
        <v>20851.7552</v>
      </c>
      <c r="K7" s="138">
        <v>45401.716854999999</v>
      </c>
      <c r="L7" s="138">
        <v>11063.484065000001</v>
      </c>
      <c r="M7" s="138">
        <v>18555.749220000002</v>
      </c>
      <c r="N7" s="138">
        <v>36570.411404999999</v>
      </c>
      <c r="O7" s="138">
        <v>415352.90821999998</v>
      </c>
      <c r="P7" s="138">
        <v>3873.6761099999999</v>
      </c>
      <c r="Q7" s="138">
        <v>8908.0317250000007</v>
      </c>
      <c r="R7" s="138">
        <v>235.07151500000001</v>
      </c>
      <c r="S7" s="138">
        <v>16271.974964999999</v>
      </c>
      <c r="T7" s="138">
        <v>550.20523000000003</v>
      </c>
      <c r="U7" s="138">
        <v>33911.011995000001</v>
      </c>
      <c r="V7" s="138">
        <v>1863.22531</v>
      </c>
      <c r="W7" s="138">
        <v>33818.718070000003</v>
      </c>
      <c r="X7" s="138">
        <v>20950.053790000002</v>
      </c>
      <c r="Y7" s="138">
        <v>38484.787564999999</v>
      </c>
      <c r="Z7" s="138">
        <v>115349.392255</v>
      </c>
      <c r="AA7" s="138">
        <v>235651.52116</v>
      </c>
      <c r="AB7" s="138">
        <v>274639.58860999998</v>
      </c>
      <c r="AC7" s="138">
        <v>2606.91419</v>
      </c>
      <c r="AD7" s="138">
        <v>8692.5309699999998</v>
      </c>
      <c r="AE7" s="138">
        <v>10202.148230000001</v>
      </c>
      <c r="AF7" s="138">
        <v>23580.09706</v>
      </c>
      <c r="AG7" s="138">
        <v>3660.1769100000001</v>
      </c>
      <c r="AH7" s="138">
        <v>30523.491354999998</v>
      </c>
      <c r="AI7" s="138">
        <v>22805.717670000002</v>
      </c>
      <c r="AJ7" s="138">
        <v>5491.1549450000002</v>
      </c>
      <c r="AK7" s="138">
        <v>24015.324075</v>
      </c>
      <c r="AL7" s="138">
        <v>117775.721705</v>
      </c>
      <c r="AM7" s="138">
        <v>22530.170265000001</v>
      </c>
      <c r="AN7" s="138">
        <v>9953.7330149999998</v>
      </c>
      <c r="AP7" s="137">
        <f>SUM(B7:AN7)</f>
        <v>2704123.9340799996</v>
      </c>
    </row>
    <row r="8" spans="1:44" customFormat="1" ht="15" x14ac:dyDescent="0.25">
      <c r="A8" s="139" t="s">
        <v>960</v>
      </c>
      <c r="B8" s="562">
        <f>IF(B4&gt;0,B7*B5/B4,0)</f>
        <v>0.58549784023017204</v>
      </c>
      <c r="C8" s="562">
        <f t="shared" ref="C8:AN8" si="1">IF(C4&gt;0,C7*C5/C4,0)</f>
        <v>0.94003030177020297</v>
      </c>
      <c r="D8" s="562">
        <f t="shared" si="1"/>
        <v>7.9100675725574568E-2</v>
      </c>
      <c r="E8" s="562">
        <f t="shared" si="1"/>
        <v>0.15287401066549666</v>
      </c>
      <c r="F8" s="562">
        <f t="shared" si="1"/>
        <v>3.4452678833207601E-2</v>
      </c>
      <c r="G8" s="562">
        <f t="shared" si="1"/>
        <v>2.3696488475156616E-3</v>
      </c>
      <c r="H8" s="562">
        <f t="shared" si="1"/>
        <v>0.21206296385669465</v>
      </c>
      <c r="I8" s="562">
        <f t="shared" si="1"/>
        <v>3.2195397547498374E-2</v>
      </c>
      <c r="J8" s="562">
        <f t="shared" si="1"/>
        <v>4.5485188049020853E-2</v>
      </c>
      <c r="K8" s="562">
        <f t="shared" si="1"/>
        <v>5.5423627439503492E-2</v>
      </c>
      <c r="L8" s="562">
        <f t="shared" si="1"/>
        <v>0.22197831066535803</v>
      </c>
      <c r="M8" s="562">
        <f t="shared" si="1"/>
        <v>7.0111893383522458E-2</v>
      </c>
      <c r="N8" s="562">
        <f t="shared" si="1"/>
        <v>4.7510489405758728E-2</v>
      </c>
      <c r="O8" s="562">
        <f t="shared" si="1"/>
        <v>0.50122611942703166</v>
      </c>
      <c r="P8" s="562">
        <f t="shared" si="1"/>
        <v>1.6018538639056987E-2</v>
      </c>
      <c r="Q8" s="562">
        <f t="shared" si="1"/>
        <v>3.6092044900158861E-2</v>
      </c>
      <c r="R8" s="562">
        <f t="shared" si="1"/>
        <v>5.4849573438095038E-2</v>
      </c>
      <c r="S8" s="562">
        <f t="shared" si="1"/>
        <v>9.1289056504255756E-2</v>
      </c>
      <c r="T8" s="562">
        <f t="shared" si="1"/>
        <v>8.4705636969306997E-2</v>
      </c>
      <c r="U8" s="562">
        <f t="shared" si="1"/>
        <v>0.31882886993244008</v>
      </c>
      <c r="V8" s="562">
        <f t="shared" si="1"/>
        <v>2.9002768578708628E-2</v>
      </c>
      <c r="W8" s="562">
        <f t="shared" si="1"/>
        <v>6.3228994455963611E-2</v>
      </c>
      <c r="X8" s="562">
        <f t="shared" si="1"/>
        <v>0.28820504618831672</v>
      </c>
      <c r="Y8" s="562">
        <f t="shared" si="1"/>
        <v>6.6532491843837499E-2</v>
      </c>
      <c r="Z8" s="562">
        <f t="shared" si="1"/>
        <v>6.6272871580706438E-2</v>
      </c>
      <c r="AA8" s="562">
        <f t="shared" si="1"/>
        <v>0.7589374130155172</v>
      </c>
      <c r="AB8" s="562">
        <f t="shared" si="1"/>
        <v>0.24559617819844315</v>
      </c>
      <c r="AC8" s="562">
        <f t="shared" si="1"/>
        <v>5.5932650344799759E-2</v>
      </c>
      <c r="AD8" s="562">
        <f t="shared" si="1"/>
        <v>0.15966821395040168</v>
      </c>
      <c r="AE8" s="562">
        <f t="shared" si="1"/>
        <v>0.15537095856466623</v>
      </c>
      <c r="AF8" s="562">
        <f t="shared" si="1"/>
        <v>0.18007343906305026</v>
      </c>
      <c r="AG8" s="562">
        <f t="shared" si="1"/>
        <v>0.14205556506246117</v>
      </c>
      <c r="AH8" s="562">
        <f t="shared" si="1"/>
        <v>2.2767494546726864E-2</v>
      </c>
      <c r="AI8" s="562">
        <f t="shared" si="1"/>
        <v>0.17767260033786195</v>
      </c>
      <c r="AJ8" s="562">
        <f t="shared" si="1"/>
        <v>9.5603605326323917E-3</v>
      </c>
      <c r="AK8" s="562">
        <f t="shared" si="1"/>
        <v>4.5961541844216039E-2</v>
      </c>
      <c r="AL8" s="562">
        <f t="shared" si="1"/>
        <v>0.11063649201040213</v>
      </c>
      <c r="AM8" s="562">
        <f t="shared" si="1"/>
        <v>2.8519034474877285E-2</v>
      </c>
      <c r="AN8" s="562">
        <f t="shared" si="1"/>
        <v>1.0480541799062874E-2</v>
      </c>
      <c r="AP8" s="137"/>
    </row>
    <row r="9" spans="1:44" ht="51.75" x14ac:dyDescent="0.25">
      <c r="A9" s="134" t="s">
        <v>372</v>
      </c>
      <c r="B9" s="133" t="s">
        <v>60</v>
      </c>
      <c r="C9" s="133" t="s">
        <v>59</v>
      </c>
      <c r="D9" s="133" t="s">
        <v>58</v>
      </c>
      <c r="E9" s="133" t="s">
        <v>57</v>
      </c>
      <c r="F9" s="133" t="s">
        <v>56</v>
      </c>
      <c r="G9" s="133" t="s">
        <v>55</v>
      </c>
      <c r="H9" s="133" t="s">
        <v>54</v>
      </c>
      <c r="I9" s="133" t="s">
        <v>53</v>
      </c>
      <c r="J9" s="133" t="s">
        <v>52</v>
      </c>
      <c r="K9" s="133" t="s">
        <v>51</v>
      </c>
      <c r="L9" s="59" t="s">
        <v>50</v>
      </c>
      <c r="M9" s="133" t="s">
        <v>49</v>
      </c>
      <c r="N9" s="133" t="s">
        <v>48</v>
      </c>
      <c r="O9" s="133" t="s">
        <v>47</v>
      </c>
      <c r="P9" s="133" t="s">
        <v>46</v>
      </c>
      <c r="Q9" s="133" t="s">
        <v>45</v>
      </c>
      <c r="R9" s="59" t="s">
        <v>44</v>
      </c>
      <c r="S9" s="133" t="s">
        <v>43</v>
      </c>
      <c r="T9" s="59" t="s">
        <v>42</v>
      </c>
      <c r="U9" s="133" t="s">
        <v>41</v>
      </c>
      <c r="V9" s="133" t="s">
        <v>40</v>
      </c>
      <c r="W9" s="133" t="s">
        <v>39</v>
      </c>
      <c r="X9" s="133" t="s">
        <v>38</v>
      </c>
      <c r="Y9" s="133" t="s">
        <v>37</v>
      </c>
      <c r="Z9" s="133" t="s">
        <v>36</v>
      </c>
      <c r="AA9" s="133" t="s">
        <v>35</v>
      </c>
      <c r="AB9" s="133" t="s">
        <v>34</v>
      </c>
      <c r="AC9" s="133" t="s">
        <v>33</v>
      </c>
      <c r="AD9" s="133" t="s">
        <v>32</v>
      </c>
      <c r="AE9" s="133" t="s">
        <v>31</v>
      </c>
      <c r="AF9" s="133" t="s">
        <v>30</v>
      </c>
      <c r="AG9" s="133" t="s">
        <v>29</v>
      </c>
      <c r="AH9" s="133" t="s">
        <v>28</v>
      </c>
      <c r="AI9" s="133" t="s">
        <v>27</v>
      </c>
      <c r="AJ9" s="133" t="s">
        <v>26</v>
      </c>
      <c r="AK9" s="133" t="s">
        <v>25</v>
      </c>
      <c r="AL9" s="133" t="s">
        <v>24</v>
      </c>
      <c r="AM9" s="133" t="s">
        <v>23</v>
      </c>
      <c r="AN9" s="133" t="s">
        <v>22</v>
      </c>
    </row>
    <row r="10" spans="1:44" ht="13.5" thickBot="1" x14ac:dyDescent="0.25">
      <c r="A10" s="132" t="s">
        <v>371</v>
      </c>
      <c r="B10" s="123">
        <v>0</v>
      </c>
      <c r="C10" s="123">
        <v>0</v>
      </c>
      <c r="D10" s="123">
        <v>0</v>
      </c>
      <c r="E10" s="123">
        <v>0</v>
      </c>
      <c r="F10" s="123">
        <v>0</v>
      </c>
      <c r="G10" s="123">
        <v>0</v>
      </c>
      <c r="H10" s="123">
        <v>0</v>
      </c>
      <c r="I10" s="123">
        <v>0</v>
      </c>
      <c r="J10" s="123">
        <v>0</v>
      </c>
      <c r="K10" s="123">
        <v>0</v>
      </c>
      <c r="L10" s="123">
        <v>0</v>
      </c>
      <c r="M10" s="123">
        <v>0</v>
      </c>
      <c r="N10" s="123">
        <v>0</v>
      </c>
      <c r="O10" s="123">
        <v>0</v>
      </c>
      <c r="P10" s="123">
        <v>0</v>
      </c>
      <c r="Q10" s="123">
        <v>0</v>
      </c>
      <c r="R10" s="123">
        <v>0</v>
      </c>
      <c r="S10" s="123">
        <v>0</v>
      </c>
      <c r="T10" s="123">
        <v>0</v>
      </c>
      <c r="U10" s="123">
        <v>0</v>
      </c>
      <c r="V10" s="123">
        <v>0</v>
      </c>
      <c r="W10" s="123">
        <v>0</v>
      </c>
      <c r="X10" s="123">
        <v>0</v>
      </c>
      <c r="Y10" s="123">
        <v>0</v>
      </c>
      <c r="Z10" s="123">
        <v>0</v>
      </c>
      <c r="AA10" s="123">
        <v>0</v>
      </c>
      <c r="AB10" s="123">
        <v>0</v>
      </c>
      <c r="AC10" s="123">
        <v>0</v>
      </c>
      <c r="AD10" s="123">
        <v>0</v>
      </c>
      <c r="AE10" s="123">
        <v>0</v>
      </c>
      <c r="AF10" s="123">
        <v>0</v>
      </c>
      <c r="AG10" s="123">
        <v>0</v>
      </c>
      <c r="AH10" s="123">
        <v>0</v>
      </c>
      <c r="AI10" s="123">
        <v>0</v>
      </c>
      <c r="AJ10" s="123">
        <v>0</v>
      </c>
      <c r="AK10" s="123">
        <v>0</v>
      </c>
      <c r="AL10" s="123">
        <v>0</v>
      </c>
      <c r="AM10" s="123">
        <v>0</v>
      </c>
      <c r="AN10" s="123">
        <v>0</v>
      </c>
    </row>
    <row r="11" spans="1:44" x14ac:dyDescent="0.2">
      <c r="A11" s="131" t="s">
        <v>370</v>
      </c>
      <c r="B11" s="123">
        <v>0</v>
      </c>
      <c r="C11" s="123">
        <v>0</v>
      </c>
      <c r="D11" s="123">
        <v>0</v>
      </c>
      <c r="E11" s="123">
        <v>0</v>
      </c>
      <c r="F11" s="123">
        <v>0</v>
      </c>
      <c r="G11" s="123">
        <v>0</v>
      </c>
      <c r="H11" s="123">
        <v>0</v>
      </c>
      <c r="I11" s="123">
        <v>0</v>
      </c>
      <c r="J11" s="123">
        <v>0</v>
      </c>
      <c r="K11" s="123">
        <v>0</v>
      </c>
      <c r="L11" s="123">
        <v>0</v>
      </c>
      <c r="M11" s="123">
        <v>0</v>
      </c>
      <c r="N11" s="123">
        <v>0</v>
      </c>
      <c r="O11" s="123">
        <v>0</v>
      </c>
      <c r="P11" s="123">
        <v>0</v>
      </c>
      <c r="Q11" s="123">
        <v>0</v>
      </c>
      <c r="R11" s="123">
        <v>0</v>
      </c>
      <c r="S11" s="123">
        <v>0</v>
      </c>
      <c r="T11" s="123">
        <v>0</v>
      </c>
      <c r="U11" s="123">
        <v>0</v>
      </c>
      <c r="V11" s="123">
        <v>0</v>
      </c>
      <c r="W11" s="123">
        <v>0</v>
      </c>
      <c r="X11" s="123">
        <v>0</v>
      </c>
      <c r="Y11" s="123">
        <v>0</v>
      </c>
      <c r="Z11" s="123">
        <v>0</v>
      </c>
      <c r="AA11" s="123">
        <v>0</v>
      </c>
      <c r="AB11" s="123">
        <v>0</v>
      </c>
      <c r="AC11" s="123">
        <v>0</v>
      </c>
      <c r="AD11" s="123">
        <v>0</v>
      </c>
      <c r="AE11" s="123">
        <v>0</v>
      </c>
      <c r="AF11" s="123">
        <v>0</v>
      </c>
      <c r="AG11" s="123">
        <v>0</v>
      </c>
      <c r="AH11" s="123">
        <v>0</v>
      </c>
      <c r="AI11" s="123">
        <v>0</v>
      </c>
      <c r="AJ11" s="123">
        <v>0</v>
      </c>
      <c r="AK11" s="123">
        <v>0</v>
      </c>
      <c r="AL11" s="123">
        <v>0</v>
      </c>
      <c r="AM11" s="123">
        <v>0</v>
      </c>
      <c r="AN11" s="123">
        <v>0</v>
      </c>
    </row>
    <row r="12" spans="1:44" ht="12" customHeight="1" x14ac:dyDescent="0.2">
      <c r="A12" s="131" t="s">
        <v>369</v>
      </c>
      <c r="B12" s="130">
        <f>SUM(B13:B23)</f>
        <v>1183611.8269754259</v>
      </c>
      <c r="C12" s="130">
        <f t="shared" ref="C12:K12" si="2">SUM(C13:C23)</f>
        <v>95754.758676922065</v>
      </c>
      <c r="D12" s="130">
        <f t="shared" si="2"/>
        <v>384363.31644598179</v>
      </c>
      <c r="E12" s="130">
        <f t="shared" si="2"/>
        <v>526499.4754478957</v>
      </c>
      <c r="F12" s="130">
        <f t="shared" si="2"/>
        <v>1087765.8836466991</v>
      </c>
      <c r="G12" s="130">
        <f t="shared" si="2"/>
        <v>21773.538325770438</v>
      </c>
      <c r="H12" s="130">
        <f t="shared" si="2"/>
        <v>476975.34015582805</v>
      </c>
      <c r="I12" s="130">
        <f t="shared" si="2"/>
        <v>1782881.9850823716</v>
      </c>
      <c r="J12" s="130">
        <f t="shared" si="2"/>
        <v>458429.5700289816</v>
      </c>
      <c r="K12" s="130">
        <f t="shared" si="2"/>
        <v>819176.20611457271</v>
      </c>
      <c r="L12" s="130">
        <v>49840.38319707138</v>
      </c>
      <c r="M12" s="130">
        <f>SUM(M13:M23)</f>
        <v>264659.08028609771</v>
      </c>
      <c r="N12" s="130">
        <f>SUM(N13:N23)</f>
        <v>769733.41808108822</v>
      </c>
      <c r="O12" s="130">
        <f>SUM(O13:O23)</f>
        <v>828673.71056960034</v>
      </c>
      <c r="P12" s="130">
        <f>SUM(P13:P23)</f>
        <v>241824.56323169585</v>
      </c>
      <c r="Q12" s="130">
        <f>SUM(Q13:Q23)</f>
        <v>246814.27028150437</v>
      </c>
      <c r="R12" s="130">
        <v>4285.7491912003497</v>
      </c>
      <c r="S12" s="130">
        <f>SUM(S13:S23)</f>
        <v>178246.72078017835</v>
      </c>
      <c r="T12" s="130">
        <v>6495.4972264640001</v>
      </c>
      <c r="U12" s="130">
        <f t="shared" ref="U12:AN12" si="3">SUM(U13:U23)</f>
        <v>106361.17112664781</v>
      </c>
      <c r="V12" s="130">
        <f t="shared" si="3"/>
        <v>64243.015453628868</v>
      </c>
      <c r="W12" s="130">
        <f t="shared" si="3"/>
        <v>534860.91880764207</v>
      </c>
      <c r="X12" s="130">
        <f t="shared" si="3"/>
        <v>72691.488463081871</v>
      </c>
      <c r="Y12" s="130">
        <f t="shared" si="3"/>
        <v>578435.98666543269</v>
      </c>
      <c r="Z12" s="130">
        <f t="shared" si="3"/>
        <v>1740522.0190968886</v>
      </c>
      <c r="AA12" s="130">
        <f t="shared" si="3"/>
        <v>310501.91638817242</v>
      </c>
      <c r="AB12" s="130">
        <f t="shared" si="3"/>
        <v>1118256.7685890032</v>
      </c>
      <c r="AC12" s="130">
        <f t="shared" si="3"/>
        <v>46608.093375328011</v>
      </c>
      <c r="AD12" s="130">
        <f t="shared" si="3"/>
        <v>54441.211277657247</v>
      </c>
      <c r="AE12" s="130">
        <f t="shared" si="3"/>
        <v>65663.160762143409</v>
      </c>
      <c r="AF12" s="130">
        <f t="shared" si="3"/>
        <v>130947.11348153764</v>
      </c>
      <c r="AG12" s="130">
        <f t="shared" si="3"/>
        <v>25765.811486446426</v>
      </c>
      <c r="AH12" s="130">
        <f t="shared" si="3"/>
        <v>1340660.9713842301</v>
      </c>
      <c r="AI12" s="130">
        <f t="shared" si="3"/>
        <v>128358.10151161565</v>
      </c>
      <c r="AJ12" s="130">
        <f t="shared" si="3"/>
        <v>574366.93169227615</v>
      </c>
      <c r="AK12" s="130">
        <f t="shared" si="3"/>
        <v>522509.1045987652</v>
      </c>
      <c r="AL12" s="130">
        <f t="shared" si="3"/>
        <v>1064528.7062601969</v>
      </c>
      <c r="AM12" s="130">
        <f t="shared" si="3"/>
        <v>790004.66459855286</v>
      </c>
      <c r="AN12" s="130">
        <f t="shared" si="3"/>
        <v>949734.58489426749</v>
      </c>
      <c r="AP12" s="451">
        <f>SUM(B12:AN12)</f>
        <v>19647267.033658866</v>
      </c>
      <c r="AQ12" s="451">
        <f>SUM(AP13:AP23)</f>
        <v>9560695.675715182</v>
      </c>
      <c r="AR12" s="98" t="s">
        <v>368</v>
      </c>
    </row>
    <row r="13" spans="1:44" ht="15" x14ac:dyDescent="0.25">
      <c r="A13" s="126" t="s">
        <v>134</v>
      </c>
      <c r="B13" s="123">
        <v>477026.25</v>
      </c>
      <c r="C13" s="123">
        <v>29684.2363281</v>
      </c>
      <c r="D13" s="123">
        <v>180139.5</v>
      </c>
      <c r="E13" s="123">
        <v>195547.984375</v>
      </c>
      <c r="F13" s="123">
        <v>548184.3125</v>
      </c>
      <c r="G13" s="123">
        <v>0.77492249012000003</v>
      </c>
      <c r="H13" s="123">
        <v>176495.5</v>
      </c>
      <c r="I13" s="123">
        <v>909564.9375</v>
      </c>
      <c r="J13" s="123">
        <v>219095.421875</v>
      </c>
      <c r="K13" s="123">
        <v>201268.421875</v>
      </c>
      <c r="L13" s="123">
        <v>328.567138672</v>
      </c>
      <c r="M13" s="123">
        <v>4914.90625</v>
      </c>
      <c r="N13" s="123">
        <v>411623.6875</v>
      </c>
      <c r="O13" s="123">
        <v>78920.8203125</v>
      </c>
      <c r="P13" s="123">
        <v>123249.375</v>
      </c>
      <c r="Q13" s="123">
        <v>29727.7949219</v>
      </c>
      <c r="R13" s="123">
        <v>12.3987598419</v>
      </c>
      <c r="S13" s="123">
        <v>19843.7519531</v>
      </c>
      <c r="T13" s="123">
        <v>20.922906875599999</v>
      </c>
      <c r="U13" s="123">
        <v>279.80041503899997</v>
      </c>
      <c r="V13" s="123">
        <v>33050.6132813</v>
      </c>
      <c r="W13" s="123">
        <v>142441.40625</v>
      </c>
      <c r="X13" s="123">
        <v>1189.14416504</v>
      </c>
      <c r="Y13" s="123">
        <v>335485.8125</v>
      </c>
      <c r="Z13" s="123">
        <v>887497.1875</v>
      </c>
      <c r="AA13" s="123">
        <v>6907.9365234400002</v>
      </c>
      <c r="AB13" s="123">
        <v>385603.15625</v>
      </c>
      <c r="AC13" s="123">
        <v>1721.8269043</v>
      </c>
      <c r="AD13" s="123">
        <v>27518.8984375</v>
      </c>
      <c r="AE13" s="123">
        <v>28373.6875</v>
      </c>
      <c r="AF13" s="123">
        <v>57790.3164063</v>
      </c>
      <c r="AG13" s="123">
        <v>12258.5029297</v>
      </c>
      <c r="AH13" s="123">
        <v>656969.375</v>
      </c>
      <c r="AI13" s="123">
        <v>63793.296875</v>
      </c>
      <c r="AJ13" s="123">
        <v>42952.5664063</v>
      </c>
      <c r="AK13" s="123">
        <v>265359.25</v>
      </c>
      <c r="AL13" s="123">
        <v>109841.046875</v>
      </c>
      <c r="AM13" s="123">
        <v>416756.125</v>
      </c>
      <c r="AN13" s="123">
        <v>502427.09375</v>
      </c>
      <c r="AP13" s="49">
        <f>SUM(B13:AN13)</f>
        <v>7583866.6070873989</v>
      </c>
      <c r="AQ13" s="451">
        <f>AP13+AP14</f>
        <v>7788451.3024396878</v>
      </c>
      <c r="AR13" s="98" t="s">
        <v>799</v>
      </c>
    </row>
    <row r="14" spans="1:44" ht="15" x14ac:dyDescent="0.25">
      <c r="A14" s="126" t="s">
        <v>197</v>
      </c>
      <c r="B14" s="129">
        <v>29571.457120200001</v>
      </c>
      <c r="C14" s="129">
        <v>1327.5729327199999</v>
      </c>
      <c r="D14" s="129">
        <v>20854.0600868</v>
      </c>
      <c r="E14" s="129">
        <v>20424.410277300001</v>
      </c>
      <c r="F14" s="129">
        <v>2136.0716507299999</v>
      </c>
      <c r="G14" s="129">
        <v>0</v>
      </c>
      <c r="H14" s="129">
        <v>19884.429692900001</v>
      </c>
      <c r="I14" s="129">
        <v>2952.1428994600001</v>
      </c>
      <c r="J14" s="129">
        <v>2886.9291470899998</v>
      </c>
      <c r="K14" s="129">
        <v>3452.7630204799998</v>
      </c>
      <c r="L14" s="129">
        <v>8.6629151727</v>
      </c>
      <c r="M14" s="129">
        <v>7032.9596935400004</v>
      </c>
      <c r="N14" s="129">
        <v>429.967584864</v>
      </c>
      <c r="O14" s="129">
        <v>2325.9058677200001</v>
      </c>
      <c r="P14" s="129">
        <v>2482.79055819</v>
      </c>
      <c r="Q14" s="129">
        <v>480.996141583</v>
      </c>
      <c r="R14" s="129">
        <v>0</v>
      </c>
      <c r="S14" s="129">
        <v>4157.5597371699996</v>
      </c>
      <c r="T14" s="129">
        <v>0</v>
      </c>
      <c r="U14" s="129">
        <v>771.49374349000004</v>
      </c>
      <c r="V14" s="129">
        <v>0</v>
      </c>
      <c r="W14" s="129">
        <v>396.83625184200002</v>
      </c>
      <c r="X14" s="129">
        <v>454.42150575599999</v>
      </c>
      <c r="Y14" s="129">
        <v>15647.153175699999</v>
      </c>
      <c r="Z14" s="129">
        <v>6366.0402842100002</v>
      </c>
      <c r="AA14" s="129">
        <v>1944.32414539</v>
      </c>
      <c r="AB14" s="129">
        <v>31033.681622</v>
      </c>
      <c r="AC14" s="129">
        <v>1709.7292210799999</v>
      </c>
      <c r="AD14" s="129">
        <v>179.933273222</v>
      </c>
      <c r="AE14" s="129">
        <v>714.45598012000005</v>
      </c>
      <c r="AF14" s="129">
        <v>2780.3556439499998</v>
      </c>
      <c r="AG14" s="129">
        <v>1489.9958257400001</v>
      </c>
      <c r="AH14" s="129">
        <v>5346.1910790700003</v>
      </c>
      <c r="AI14" s="129">
        <v>193.11475687000001</v>
      </c>
      <c r="AJ14" s="129">
        <v>1008.41665291</v>
      </c>
      <c r="AK14" s="129">
        <v>7349.4333656500003</v>
      </c>
      <c r="AL14" s="129">
        <v>1846.2920853099999</v>
      </c>
      <c r="AM14" s="129">
        <v>4141.4961194199996</v>
      </c>
      <c r="AN14" s="129">
        <v>802.65129463899996</v>
      </c>
      <c r="AP14" s="49">
        <f>SUM(B14:AN14)</f>
        <v>204584.69535228875</v>
      </c>
      <c r="AQ14" s="451"/>
    </row>
    <row r="15" spans="1:44" x14ac:dyDescent="0.2">
      <c r="A15" s="126" t="s">
        <v>91</v>
      </c>
      <c r="B15" s="123">
        <v>309380.0625</v>
      </c>
      <c r="C15" s="123">
        <v>24313.96875</v>
      </c>
      <c r="D15" s="123">
        <v>73275.1171875</v>
      </c>
      <c r="E15" s="123">
        <v>118925.804688</v>
      </c>
      <c r="F15" s="123">
        <v>475914</v>
      </c>
      <c r="G15" s="123">
        <v>0</v>
      </c>
      <c r="H15" s="123">
        <v>50912.40625</v>
      </c>
      <c r="I15" s="123">
        <v>786223.1875</v>
      </c>
      <c r="J15" s="123">
        <v>179158.984375</v>
      </c>
      <c r="K15" s="123">
        <v>343299.96875</v>
      </c>
      <c r="L15" s="123">
        <v>13827.7167969</v>
      </c>
      <c r="M15" s="123">
        <v>3353.0895996099998</v>
      </c>
      <c r="N15" s="123">
        <v>316559.71875</v>
      </c>
      <c r="O15" s="123">
        <v>304866.125</v>
      </c>
      <c r="P15" s="123">
        <v>99758.875</v>
      </c>
      <c r="Q15" s="123">
        <v>92501.7265625</v>
      </c>
      <c r="R15" s="123">
        <v>24.797519683800001</v>
      </c>
      <c r="S15" s="123">
        <v>11593.6152344</v>
      </c>
      <c r="T15" s="123">
        <v>10.848915100099999</v>
      </c>
      <c r="U15" s="123">
        <v>6625.5874023400002</v>
      </c>
      <c r="V15" s="123">
        <v>30223.5273438</v>
      </c>
      <c r="W15" s="123">
        <v>233793.34375</v>
      </c>
      <c r="X15" s="123">
        <v>17094.015625</v>
      </c>
      <c r="Y15" s="123">
        <v>149262.46875</v>
      </c>
      <c r="Z15" s="123">
        <v>677930.0625</v>
      </c>
      <c r="AA15" s="123">
        <v>108291.546875</v>
      </c>
      <c r="AB15" s="123">
        <v>320657.5</v>
      </c>
      <c r="AC15" s="123">
        <v>379.71200561500001</v>
      </c>
      <c r="AD15" s="123">
        <v>24570.4667969</v>
      </c>
      <c r="AE15" s="123">
        <v>23809.4941406</v>
      </c>
      <c r="AF15" s="123">
        <v>34937.3789063</v>
      </c>
      <c r="AG15" s="123">
        <v>4533.2963867199996</v>
      </c>
      <c r="AH15" s="123">
        <v>491782.875</v>
      </c>
      <c r="AI15" s="123">
        <v>53279.0195313</v>
      </c>
      <c r="AJ15" s="123">
        <v>301000.8125</v>
      </c>
      <c r="AK15" s="123">
        <v>211876.984375</v>
      </c>
      <c r="AL15" s="123">
        <v>491468.25</v>
      </c>
      <c r="AM15" s="123">
        <v>332604.46875</v>
      </c>
      <c r="AN15" s="123">
        <v>393869.84375</v>
      </c>
      <c r="AP15" s="451"/>
      <c r="AQ15" s="451"/>
    </row>
    <row r="16" spans="1:44" ht="15" x14ac:dyDescent="0.25">
      <c r="A16" s="128" t="s">
        <v>367</v>
      </c>
      <c r="B16" s="123">
        <v>46418.758933199999</v>
      </c>
      <c r="C16" s="123">
        <v>3842.5345758100002</v>
      </c>
      <c r="D16" s="123">
        <v>955.69712999599994</v>
      </c>
      <c r="E16" s="123">
        <v>15145.627656799999</v>
      </c>
      <c r="F16" s="123">
        <v>18427.890144699999</v>
      </c>
      <c r="G16" s="123">
        <v>504.17350773300001</v>
      </c>
      <c r="H16" s="123">
        <v>15916.2242303</v>
      </c>
      <c r="I16" s="123">
        <v>25668.0957342</v>
      </c>
      <c r="J16" s="123">
        <v>22988.893876099999</v>
      </c>
      <c r="K16" s="123">
        <v>164603.083748</v>
      </c>
      <c r="L16" s="123">
        <v>3702.5742105300001</v>
      </c>
      <c r="M16" s="123">
        <v>92621.547611300004</v>
      </c>
      <c r="N16" s="123">
        <v>4876.2073744299996</v>
      </c>
      <c r="O16" s="123">
        <v>292259.96355500002</v>
      </c>
      <c r="P16" s="123">
        <v>306.11132484400002</v>
      </c>
      <c r="Q16" s="123">
        <v>81406.907597500001</v>
      </c>
      <c r="R16" s="123">
        <v>89.702253528200004</v>
      </c>
      <c r="S16" s="123">
        <v>40616.6732233</v>
      </c>
      <c r="T16" s="123">
        <v>105.42348853599999</v>
      </c>
      <c r="U16" s="123">
        <v>44051.667663200002</v>
      </c>
      <c r="V16" s="123">
        <v>172.65700304500001</v>
      </c>
      <c r="W16" s="123">
        <v>108785.22915</v>
      </c>
      <c r="X16" s="123">
        <v>16635.0670102</v>
      </c>
      <c r="Y16" s="123">
        <v>827.08452865799995</v>
      </c>
      <c r="Z16" s="123">
        <v>39135.316447099998</v>
      </c>
      <c r="AA16" s="123">
        <v>89598.661550699995</v>
      </c>
      <c r="AB16" s="123">
        <v>144474.97468399999</v>
      </c>
      <c r="AC16" s="123">
        <v>670.11963214599996</v>
      </c>
      <c r="AD16" s="123">
        <v>296.42752501199999</v>
      </c>
      <c r="AE16" s="123">
        <v>1930.2977445700001</v>
      </c>
      <c r="AF16" s="123">
        <v>2036.99808749</v>
      </c>
      <c r="AG16" s="123">
        <v>96.628536245399999</v>
      </c>
      <c r="AH16" s="123">
        <v>42454.277972000004</v>
      </c>
      <c r="AI16" s="123">
        <v>5023.9110966899998</v>
      </c>
      <c r="AJ16" s="123">
        <v>152455.18741300001</v>
      </c>
      <c r="AK16" s="123">
        <v>922.04684490099999</v>
      </c>
      <c r="AL16" s="123">
        <v>281541.37570700003</v>
      </c>
      <c r="AM16" s="123">
        <v>4932.1650630000004</v>
      </c>
      <c r="AN16" s="123">
        <v>5748.1894407299997</v>
      </c>
      <c r="AP16" s="49">
        <f>SUM(B16:AN16)</f>
        <v>1772244.3732754947</v>
      </c>
      <c r="AQ16" s="451"/>
    </row>
    <row r="17" spans="1:42" x14ac:dyDescent="0.2">
      <c r="A17" s="126" t="s">
        <v>366</v>
      </c>
      <c r="B17" s="123">
        <v>3630.8258148499999</v>
      </c>
      <c r="C17" s="123">
        <v>85.648775409500004</v>
      </c>
      <c r="D17" s="123">
        <v>1467.34334184</v>
      </c>
      <c r="E17" s="123">
        <v>2507.2255798699998</v>
      </c>
      <c r="F17" s="123">
        <v>294.03348526000002</v>
      </c>
      <c r="G17" s="123">
        <v>46.995410724499997</v>
      </c>
      <c r="H17" s="123">
        <v>2701.1593318499999</v>
      </c>
      <c r="I17" s="123">
        <v>275.63956927700002</v>
      </c>
      <c r="J17" s="123">
        <v>205.982567257</v>
      </c>
      <c r="K17" s="123">
        <v>7707.9937414100004</v>
      </c>
      <c r="L17" s="123">
        <v>251.65558087799999</v>
      </c>
      <c r="M17" s="123">
        <v>8809.4784601499996</v>
      </c>
      <c r="N17" s="123">
        <v>1136.3289244699999</v>
      </c>
      <c r="O17" s="123">
        <v>10003.68627</v>
      </c>
      <c r="P17" s="123">
        <v>119.642658141</v>
      </c>
      <c r="Q17" s="123">
        <v>7912.5703665299998</v>
      </c>
      <c r="R17" s="123">
        <v>9.86471303105</v>
      </c>
      <c r="S17" s="123">
        <v>2808.6108023199999</v>
      </c>
      <c r="T17" s="123">
        <v>21.004178426300001</v>
      </c>
      <c r="U17" s="123">
        <v>4067.6106588500002</v>
      </c>
      <c r="V17" s="123">
        <v>0</v>
      </c>
      <c r="W17" s="123">
        <v>1172.05697829</v>
      </c>
      <c r="X17" s="123">
        <v>1200.6852603699999</v>
      </c>
      <c r="Y17" s="123">
        <v>1056.8350099500001</v>
      </c>
      <c r="Z17" s="123">
        <v>1472.1178173000001</v>
      </c>
      <c r="AA17" s="123">
        <v>8152.1544227499999</v>
      </c>
      <c r="AB17" s="123">
        <v>9805.0041461000001</v>
      </c>
      <c r="AC17" s="123">
        <v>213.90608115699999</v>
      </c>
      <c r="AD17" s="123">
        <v>10.377813379399999</v>
      </c>
      <c r="AE17" s="123">
        <v>33.785310057300002</v>
      </c>
      <c r="AF17" s="123">
        <v>139.60955386200001</v>
      </c>
      <c r="AG17" s="123">
        <v>109.424533768</v>
      </c>
      <c r="AH17" s="123">
        <v>406.56457778800001</v>
      </c>
      <c r="AI17" s="123">
        <v>66.183086219499998</v>
      </c>
      <c r="AJ17" s="123">
        <v>4472.8675861000002</v>
      </c>
      <c r="AK17" s="123">
        <v>465.374620585</v>
      </c>
      <c r="AL17" s="123">
        <v>10852.6465651</v>
      </c>
      <c r="AM17" s="123">
        <v>242.96297011199999</v>
      </c>
      <c r="AN17" s="123">
        <v>379.65720110900003</v>
      </c>
    </row>
    <row r="18" spans="1:42" x14ac:dyDescent="0.2">
      <c r="A18" s="126" t="s">
        <v>365</v>
      </c>
      <c r="B18" s="127">
        <v>23414.125152699999</v>
      </c>
      <c r="C18" s="127">
        <v>1532.97252099</v>
      </c>
      <c r="D18" s="127">
        <v>13556.171563899999</v>
      </c>
      <c r="E18" s="127">
        <v>13136.170561299999</v>
      </c>
      <c r="F18" s="127">
        <v>4775.1969563900002</v>
      </c>
      <c r="G18" s="127">
        <v>454.23565619099998</v>
      </c>
      <c r="H18" s="127">
        <v>15935.6158627</v>
      </c>
      <c r="I18" s="127">
        <v>3773.0934215100001</v>
      </c>
      <c r="J18" s="127">
        <v>687.042736547</v>
      </c>
      <c r="K18" s="127">
        <v>3972.2231220600002</v>
      </c>
      <c r="L18" s="127">
        <v>1084.20083408</v>
      </c>
      <c r="M18" s="127">
        <v>8331.3289893100009</v>
      </c>
      <c r="N18" s="127">
        <v>3460.64109177</v>
      </c>
      <c r="O18" s="127">
        <v>5417.5717139199996</v>
      </c>
      <c r="P18" s="127">
        <v>1024.55417579</v>
      </c>
      <c r="Q18" s="127">
        <v>1362.8076365700001</v>
      </c>
      <c r="R18" s="127">
        <v>94.321897591400003</v>
      </c>
      <c r="S18" s="127">
        <v>5381.30181558</v>
      </c>
      <c r="T18" s="127">
        <v>108.42766279600001</v>
      </c>
      <c r="U18" s="127">
        <v>3479.74871115</v>
      </c>
      <c r="V18" s="127">
        <v>97.118225455800001</v>
      </c>
      <c r="W18" s="127">
        <v>478.69085833100002</v>
      </c>
      <c r="X18" s="127">
        <v>2307.1157579000001</v>
      </c>
      <c r="Y18" s="127">
        <v>9125.1701536599994</v>
      </c>
      <c r="Z18" s="127">
        <v>9427.3008612499998</v>
      </c>
      <c r="AA18" s="127">
        <v>4968.19197592</v>
      </c>
      <c r="AB18" s="127">
        <v>24726.240023599999</v>
      </c>
      <c r="AC18" s="127">
        <v>1411.73587638</v>
      </c>
      <c r="AD18" s="127">
        <v>188.940773495</v>
      </c>
      <c r="AE18" s="127">
        <v>460.77272659900001</v>
      </c>
      <c r="AF18" s="127">
        <v>1872.29511899</v>
      </c>
      <c r="AG18" s="127">
        <v>921.31301176199997</v>
      </c>
      <c r="AH18" s="127">
        <v>3886.2520523600001</v>
      </c>
      <c r="AI18" s="127">
        <v>310.565548186</v>
      </c>
      <c r="AJ18" s="127">
        <v>1879.5478116100001</v>
      </c>
      <c r="AK18" s="127">
        <v>3581.6614098300001</v>
      </c>
      <c r="AL18" s="127">
        <v>6540.2865211999997</v>
      </c>
      <c r="AM18" s="127">
        <v>2086.2455180000002</v>
      </c>
      <c r="AN18" s="127">
        <v>2835.48443086</v>
      </c>
    </row>
    <row r="19" spans="1:42" x14ac:dyDescent="0.2">
      <c r="A19" s="126" t="s">
        <v>357</v>
      </c>
      <c r="B19" s="127">
        <v>11145.8919326</v>
      </c>
      <c r="C19" s="127">
        <v>1538.3370733100001</v>
      </c>
      <c r="D19" s="127">
        <v>0</v>
      </c>
      <c r="E19" s="127">
        <v>932.82267485800003</v>
      </c>
      <c r="F19" s="127">
        <v>901.57243512599996</v>
      </c>
      <c r="G19" s="127">
        <v>0</v>
      </c>
      <c r="H19" s="127">
        <v>872.75056009800005</v>
      </c>
      <c r="I19" s="127">
        <v>5963.7235966799999</v>
      </c>
      <c r="J19" s="127">
        <v>20472.9245003</v>
      </c>
      <c r="K19" s="127">
        <v>44635.894244399999</v>
      </c>
      <c r="L19" s="127">
        <v>0</v>
      </c>
      <c r="M19" s="127">
        <v>15862.8303593</v>
      </c>
      <c r="N19" s="127">
        <v>0</v>
      </c>
      <c r="O19" s="127">
        <v>71109.512684100002</v>
      </c>
      <c r="P19" s="127">
        <v>0</v>
      </c>
      <c r="Q19" s="127">
        <v>17434.602904300002</v>
      </c>
      <c r="R19" s="127">
        <v>0</v>
      </c>
      <c r="S19" s="127">
        <v>5858.2405364200004</v>
      </c>
      <c r="T19" s="127">
        <v>0</v>
      </c>
      <c r="U19" s="127">
        <v>1292.60313481</v>
      </c>
      <c r="V19" s="127">
        <v>0</v>
      </c>
      <c r="W19" s="127">
        <v>34817.722396199999</v>
      </c>
      <c r="X19" s="127">
        <v>2284.51798775</v>
      </c>
      <c r="Y19" s="127">
        <v>0</v>
      </c>
      <c r="Z19" s="127">
        <v>8901.9525003500003</v>
      </c>
      <c r="AA19" s="127">
        <v>3514.40444751</v>
      </c>
      <c r="AB19" s="127">
        <v>33513.557089800001</v>
      </c>
      <c r="AC19" s="127">
        <v>0</v>
      </c>
      <c r="AD19" s="127">
        <v>53.575724756200003</v>
      </c>
      <c r="AE19" s="127">
        <v>6057.8804662299999</v>
      </c>
      <c r="AF19" s="127">
        <v>124.188003221</v>
      </c>
      <c r="AG19" s="127">
        <v>0</v>
      </c>
      <c r="AH19" s="127">
        <v>50482.4337027</v>
      </c>
      <c r="AI19" s="127">
        <v>1221.82030753</v>
      </c>
      <c r="AJ19" s="127">
        <v>44160.838244099999</v>
      </c>
      <c r="AK19" s="127">
        <v>0</v>
      </c>
      <c r="AL19" s="127">
        <v>64899.537034699999</v>
      </c>
      <c r="AM19" s="127">
        <v>1613.17087842</v>
      </c>
      <c r="AN19" s="127">
        <v>1673.23571393</v>
      </c>
    </row>
    <row r="20" spans="1:42" x14ac:dyDescent="0.2">
      <c r="A20" s="126" t="s">
        <v>364</v>
      </c>
      <c r="B20" s="127">
        <v>2614.2240929</v>
      </c>
      <c r="C20" s="127">
        <v>10.0579744273</v>
      </c>
      <c r="D20" s="127">
        <v>9.5771909905800001</v>
      </c>
      <c r="E20" s="127">
        <v>627.84652685900005</v>
      </c>
      <c r="F20" s="127">
        <v>0</v>
      </c>
      <c r="G20" s="127">
        <v>0.114750201816</v>
      </c>
      <c r="H20" s="127">
        <v>1441.8799529200001</v>
      </c>
      <c r="I20" s="127">
        <v>0.47777855867699998</v>
      </c>
      <c r="J20" s="127">
        <v>9.8703540606099995</v>
      </c>
      <c r="K20" s="127">
        <v>2478.3783536599999</v>
      </c>
      <c r="L20" s="127">
        <v>1.68869071869</v>
      </c>
      <c r="M20" s="127">
        <v>2098.9433069199999</v>
      </c>
      <c r="N20" s="127">
        <v>0</v>
      </c>
      <c r="O20" s="127">
        <v>1623.8970171799999</v>
      </c>
      <c r="P20" s="127">
        <v>37.414582883400001</v>
      </c>
      <c r="Q20" s="127">
        <v>612.45903160299997</v>
      </c>
      <c r="R20" s="127">
        <v>0</v>
      </c>
      <c r="S20" s="127">
        <v>1464.3128624399999</v>
      </c>
      <c r="T20" s="127">
        <v>0</v>
      </c>
      <c r="U20" s="127">
        <v>1.22791007492</v>
      </c>
      <c r="V20" s="127">
        <v>0</v>
      </c>
      <c r="W20" s="127">
        <v>258.29818375299999</v>
      </c>
      <c r="X20" s="127">
        <v>118.224055533</v>
      </c>
      <c r="Y20" s="127">
        <v>4.9215675378099997</v>
      </c>
      <c r="Z20" s="127">
        <v>2495.8948654000001</v>
      </c>
      <c r="AA20" s="127">
        <v>1.7765178660200001E-3</v>
      </c>
      <c r="AB20" s="127">
        <v>5340.5323957700002</v>
      </c>
      <c r="AC20" s="127">
        <v>0.64083862389900004</v>
      </c>
      <c r="AD20" s="127">
        <v>5.05431347443E-2</v>
      </c>
      <c r="AE20" s="127">
        <v>267.98400023699998</v>
      </c>
      <c r="AF20" s="127">
        <v>3386.85966607</v>
      </c>
      <c r="AG20" s="127">
        <v>0.65902234475499999</v>
      </c>
      <c r="AH20" s="127">
        <v>7.5734407126700001</v>
      </c>
      <c r="AI20" s="127">
        <v>0</v>
      </c>
      <c r="AJ20" s="127">
        <v>996.49043699200001</v>
      </c>
      <c r="AK20" s="127">
        <v>2.2168210511200002</v>
      </c>
      <c r="AL20" s="127">
        <v>2119.38236087</v>
      </c>
      <c r="AM20" s="127">
        <v>1.2989228131799999</v>
      </c>
      <c r="AN20" s="127">
        <v>65.898867034600002</v>
      </c>
    </row>
    <row r="21" spans="1:42" x14ac:dyDescent="0.2">
      <c r="A21" s="126" t="s">
        <v>363</v>
      </c>
      <c r="B21" s="127">
        <v>134713.92836399999</v>
      </c>
      <c r="C21" s="127">
        <v>20549.513483499999</v>
      </c>
      <c r="D21" s="127">
        <v>89763.496348700006</v>
      </c>
      <c r="E21" s="127">
        <v>77183.199566399999</v>
      </c>
      <c r="F21" s="127">
        <v>33149.160065399999</v>
      </c>
      <c r="G21" s="127">
        <v>3365.3805395300001</v>
      </c>
      <c r="H21" s="127">
        <v>87070.246056899996</v>
      </c>
      <c r="I21" s="127">
        <v>31300.346677400001</v>
      </c>
      <c r="J21" s="127">
        <v>5665.3829369200002</v>
      </c>
      <c r="K21" s="127">
        <v>30980.9544914</v>
      </c>
      <c r="L21" s="127">
        <v>9551.24074612</v>
      </c>
      <c r="M21" s="127">
        <v>59145.008188100001</v>
      </c>
      <c r="N21" s="127">
        <v>24941.196619599999</v>
      </c>
      <c r="O21" s="127">
        <v>35663.069797900003</v>
      </c>
      <c r="P21" s="127">
        <v>6887.41062616</v>
      </c>
      <c r="Q21" s="127">
        <v>11905.5054129</v>
      </c>
      <c r="R21" s="127">
        <v>686.33549333400003</v>
      </c>
      <c r="S21" s="127">
        <v>39301.9981463</v>
      </c>
      <c r="T21" s="127">
        <v>1088.7240326599999</v>
      </c>
      <c r="U21" s="127">
        <v>26023.152167299999</v>
      </c>
      <c r="V21" s="127">
        <v>645.84810804100005</v>
      </c>
      <c r="W21" s="127">
        <v>7900.7339664600004</v>
      </c>
      <c r="X21" s="127">
        <v>20485.4779232</v>
      </c>
      <c r="Y21" s="127">
        <v>57140.237704899999</v>
      </c>
      <c r="Z21" s="127">
        <v>71747.188682599997</v>
      </c>
      <c r="AA21" s="127">
        <v>34092.905103199999</v>
      </c>
      <c r="AB21" s="127">
        <v>122352.24123299999</v>
      </c>
      <c r="AC21" s="127">
        <v>10406.957794399999</v>
      </c>
      <c r="AD21" s="127">
        <v>997.32674605299997</v>
      </c>
      <c r="AE21" s="127">
        <v>2865.8985328200001</v>
      </c>
      <c r="AF21" s="127">
        <v>19545.125570799999</v>
      </c>
      <c r="AG21" s="127">
        <v>6028.6865058100002</v>
      </c>
      <c r="AH21" s="127">
        <v>23847.169271399998</v>
      </c>
      <c r="AI21" s="127">
        <v>3344.2007634000001</v>
      </c>
      <c r="AJ21" s="127">
        <v>14302.2005942</v>
      </c>
      <c r="AK21" s="127">
        <v>23148.863766800001</v>
      </c>
      <c r="AL21" s="127">
        <v>42210.685536700003</v>
      </c>
      <c r="AM21" s="127">
        <v>13445.6977663</v>
      </c>
      <c r="AN21" s="127">
        <v>14962.7593877</v>
      </c>
    </row>
    <row r="22" spans="1:42" x14ac:dyDescent="0.2">
      <c r="A22" s="126" t="s">
        <v>362</v>
      </c>
      <c r="B22" s="123">
        <v>100192.825675</v>
      </c>
      <c r="C22" s="123">
        <v>12531.4775586</v>
      </c>
      <c r="D22" s="123">
        <v>1650.7848246799999</v>
      </c>
      <c r="E22" s="123">
        <v>81305.588341499999</v>
      </c>
      <c r="F22" s="123">
        <v>3651.9765475099998</v>
      </c>
      <c r="G22" s="123">
        <v>17401.863538900001</v>
      </c>
      <c r="H22" s="123">
        <v>104329.715811</v>
      </c>
      <c r="I22" s="123">
        <v>2017.34451939</v>
      </c>
      <c r="J22" s="123">
        <v>668.03785822400005</v>
      </c>
      <c r="K22" s="123">
        <v>7593.9895688500001</v>
      </c>
      <c r="L22" s="123">
        <v>21084.076283999999</v>
      </c>
      <c r="M22" s="123">
        <v>62110.519874999998</v>
      </c>
      <c r="N22" s="123">
        <v>6466.3136166599998</v>
      </c>
      <c r="O22" s="123">
        <v>8608.4447462600001</v>
      </c>
      <c r="P22" s="123">
        <v>12.7878169033</v>
      </c>
      <c r="Q22" s="123">
        <v>1895.8907489200001</v>
      </c>
      <c r="R22" s="123">
        <v>3368.32855419</v>
      </c>
      <c r="S22" s="123">
        <v>46217.350759699999</v>
      </c>
      <c r="T22" s="123">
        <v>5140.1460420699996</v>
      </c>
      <c r="U22" s="123">
        <v>19759.233180300002</v>
      </c>
      <c r="V22" s="123">
        <v>0</v>
      </c>
      <c r="W22" s="123">
        <v>2510.9328610799998</v>
      </c>
      <c r="X22" s="123">
        <v>10749.6429921</v>
      </c>
      <c r="Y22" s="123">
        <v>1546.9980171300001</v>
      </c>
      <c r="Z22" s="123">
        <v>10315.070849199999</v>
      </c>
      <c r="AA22" s="123">
        <v>52905.653316000004</v>
      </c>
      <c r="AB22" s="123">
        <v>32946.239919200001</v>
      </c>
      <c r="AC22" s="123">
        <v>30089.778706199999</v>
      </c>
      <c r="AD22" s="123">
        <v>0</v>
      </c>
      <c r="AE22" s="123">
        <v>550.25564484799997</v>
      </c>
      <c r="AF22" s="123">
        <v>8066.4845264899996</v>
      </c>
      <c r="AG22" s="123">
        <v>209.10756582299999</v>
      </c>
      <c r="AH22" s="123">
        <v>2467.1991354199999</v>
      </c>
      <c r="AI22" s="123">
        <v>162.14603119700001</v>
      </c>
      <c r="AJ22" s="123">
        <v>4099.1527151099999</v>
      </c>
      <c r="AK22" s="123">
        <v>406.30387887900002</v>
      </c>
      <c r="AL22" s="123">
        <v>8797.7576280699996</v>
      </c>
      <c r="AM22" s="123">
        <v>127.227746643</v>
      </c>
      <c r="AN22" s="123">
        <v>2676.6637153900001</v>
      </c>
    </row>
    <row r="23" spans="1:42" x14ac:dyDescent="0.2">
      <c r="A23" s="125" t="s">
        <v>361</v>
      </c>
      <c r="B23" s="124">
        <v>45503.477389976004</v>
      </c>
      <c r="C23" s="123">
        <v>338.43870405526957</v>
      </c>
      <c r="D23" s="123">
        <v>2691.5687715751155</v>
      </c>
      <c r="E23" s="123">
        <v>762.79520000877869</v>
      </c>
      <c r="F23" s="123">
        <v>331.66986158342775</v>
      </c>
      <c r="G23" s="123">
        <v>0</v>
      </c>
      <c r="H23" s="123">
        <v>1415.4124071600618</v>
      </c>
      <c r="I23" s="123">
        <v>15142.99588589612</v>
      </c>
      <c r="J23" s="123">
        <v>6590.0998024829223</v>
      </c>
      <c r="K23" s="123">
        <v>9182.5351993127661</v>
      </c>
      <c r="L23" s="123">
        <v>20</v>
      </c>
      <c r="M23" s="123">
        <v>378.46795286770816</v>
      </c>
      <c r="N23" s="123">
        <v>239.35661929422611</v>
      </c>
      <c r="O23" s="123">
        <v>17874.713605020424</v>
      </c>
      <c r="P23" s="123">
        <v>7945.6014887841457</v>
      </c>
      <c r="Q23" s="123">
        <v>1573.0089571983151</v>
      </c>
      <c r="R23" s="123">
        <v>0</v>
      </c>
      <c r="S23" s="123">
        <v>1003.3057094483933</v>
      </c>
      <c r="T23" s="123">
        <v>0</v>
      </c>
      <c r="U23" s="123">
        <v>9.0461400938981278</v>
      </c>
      <c r="V23" s="123">
        <v>53.2514919870667</v>
      </c>
      <c r="W23" s="123">
        <v>2305.6681616860365</v>
      </c>
      <c r="X23" s="123">
        <v>173.17618023286465</v>
      </c>
      <c r="Y23" s="123">
        <v>8339.3052578969018</v>
      </c>
      <c r="Z23" s="123">
        <v>25233.886789478966</v>
      </c>
      <c r="AA23" s="123">
        <v>126.13625174459438</v>
      </c>
      <c r="AB23" s="123">
        <v>7803.6412255330806</v>
      </c>
      <c r="AC23" s="123">
        <v>3.6863154261125395</v>
      </c>
      <c r="AD23" s="123">
        <v>625.21364420491909</v>
      </c>
      <c r="AE23" s="123">
        <v>598.64871606210738</v>
      </c>
      <c r="AF23" s="123">
        <v>267.50199806463814</v>
      </c>
      <c r="AG23" s="123">
        <v>118.19716853326923</v>
      </c>
      <c r="AH23" s="123">
        <v>63011.060152779683</v>
      </c>
      <c r="AI23" s="123">
        <v>963.84351522314569</v>
      </c>
      <c r="AJ23" s="123">
        <v>7038.8513319540052</v>
      </c>
      <c r="AK23" s="123">
        <v>9396.9695160690371</v>
      </c>
      <c r="AL23" s="123">
        <v>44411.44594624707</v>
      </c>
      <c r="AM23" s="123">
        <v>14053.805863844696</v>
      </c>
      <c r="AN23" s="123">
        <v>24293.107342874893</v>
      </c>
    </row>
    <row r="24" spans="1:42" ht="15" x14ac:dyDescent="0.25">
      <c r="A24" s="125" t="s">
        <v>874</v>
      </c>
      <c r="B24" s="124">
        <f>B13+B14</f>
        <v>506597.70712019998</v>
      </c>
      <c r="C24" s="124">
        <f t="shared" ref="C24:AN24" si="4">C13+C14</f>
        <v>31011.809260819999</v>
      </c>
      <c r="D24" s="124">
        <f t="shared" si="4"/>
        <v>200993.56008679999</v>
      </c>
      <c r="E24" s="124">
        <f t="shared" si="4"/>
        <v>215972.39465229999</v>
      </c>
      <c r="F24" s="124">
        <f t="shared" si="4"/>
        <v>550320.38415072998</v>
      </c>
      <c r="G24" s="124">
        <f t="shared" si="4"/>
        <v>0.77492249012000003</v>
      </c>
      <c r="H24" s="124">
        <f t="shared" si="4"/>
        <v>196379.92969290001</v>
      </c>
      <c r="I24" s="124">
        <f t="shared" si="4"/>
        <v>912517.08039946004</v>
      </c>
      <c r="J24" s="124">
        <f t="shared" si="4"/>
        <v>221982.35102209001</v>
      </c>
      <c r="K24" s="124">
        <f t="shared" si="4"/>
        <v>204721.18489547999</v>
      </c>
      <c r="L24" s="124">
        <f t="shared" si="4"/>
        <v>337.23005384470002</v>
      </c>
      <c r="M24" s="124">
        <f t="shared" si="4"/>
        <v>11947.86594354</v>
      </c>
      <c r="N24" s="124">
        <f t="shared" si="4"/>
        <v>412053.655084864</v>
      </c>
      <c r="O24" s="124">
        <f t="shared" si="4"/>
        <v>81246.726180219994</v>
      </c>
      <c r="P24" s="124">
        <f t="shared" si="4"/>
        <v>125732.16555819</v>
      </c>
      <c r="Q24" s="124">
        <f t="shared" si="4"/>
        <v>30208.791063483</v>
      </c>
      <c r="R24" s="124">
        <f t="shared" si="4"/>
        <v>12.3987598419</v>
      </c>
      <c r="S24" s="124">
        <f t="shared" si="4"/>
        <v>24001.311690269999</v>
      </c>
      <c r="T24" s="124">
        <f t="shared" si="4"/>
        <v>20.922906875599999</v>
      </c>
      <c r="U24" s="124">
        <f t="shared" si="4"/>
        <v>1051.294158529</v>
      </c>
      <c r="V24" s="124">
        <f t="shared" si="4"/>
        <v>33050.6132813</v>
      </c>
      <c r="W24" s="124">
        <f t="shared" si="4"/>
        <v>142838.242501842</v>
      </c>
      <c r="X24" s="124">
        <f t="shared" si="4"/>
        <v>1643.5656707959999</v>
      </c>
      <c r="Y24" s="124">
        <f t="shared" si="4"/>
        <v>351132.96567569999</v>
      </c>
      <c r="Z24" s="124">
        <f t="shared" si="4"/>
        <v>893863.22778421</v>
      </c>
      <c r="AA24" s="124">
        <f t="shared" si="4"/>
        <v>8852.2606688300002</v>
      </c>
      <c r="AB24" s="124">
        <f t="shared" si="4"/>
        <v>416636.837872</v>
      </c>
      <c r="AC24" s="124">
        <f t="shared" si="4"/>
        <v>3431.5561253799997</v>
      </c>
      <c r="AD24" s="124">
        <f t="shared" si="4"/>
        <v>27698.831710721999</v>
      </c>
      <c r="AE24" s="124">
        <f t="shared" si="4"/>
        <v>29088.143480120001</v>
      </c>
      <c r="AF24" s="124">
        <f t="shared" si="4"/>
        <v>60570.672050250003</v>
      </c>
      <c r="AG24" s="124">
        <f t="shared" si="4"/>
        <v>13748.49875544</v>
      </c>
      <c r="AH24" s="124">
        <f t="shared" si="4"/>
        <v>662315.56607906998</v>
      </c>
      <c r="AI24" s="124">
        <f t="shared" si="4"/>
        <v>63986.411631870003</v>
      </c>
      <c r="AJ24" s="124">
        <f t="shared" si="4"/>
        <v>43960.983059209997</v>
      </c>
      <c r="AK24" s="124">
        <f t="shared" si="4"/>
        <v>272708.68336565001</v>
      </c>
      <c r="AL24" s="124">
        <f t="shared" si="4"/>
        <v>111687.33896030999</v>
      </c>
      <c r="AM24" s="124">
        <f t="shared" si="4"/>
        <v>420897.62111941999</v>
      </c>
      <c r="AN24" s="124">
        <f t="shared" si="4"/>
        <v>503229.74504463898</v>
      </c>
      <c r="AP24" s="49">
        <f>SUM(B24:AN24)</f>
        <v>7788451.3024396887</v>
      </c>
    </row>
    <row r="25" spans="1:42" ht="28.5" customHeight="1" x14ac:dyDescent="0.2">
      <c r="A25" s="122" t="s">
        <v>360</v>
      </c>
      <c r="B25" s="626">
        <v>89412.050203999999</v>
      </c>
      <c r="C25" s="627">
        <v>1520.396964</v>
      </c>
      <c r="D25" s="626">
        <v>695.87995599999999</v>
      </c>
      <c r="E25" s="626">
        <v>35045.847450000001</v>
      </c>
      <c r="F25" s="626">
        <v>149137.61351</v>
      </c>
      <c r="G25" s="626">
        <v>0</v>
      </c>
      <c r="H25" s="626">
        <v>13681.24791</v>
      </c>
      <c r="I25" s="626">
        <v>334081.27295200003</v>
      </c>
      <c r="J25" s="626">
        <v>91179.647286000007</v>
      </c>
      <c r="K25" s="626">
        <v>129369.35329</v>
      </c>
      <c r="L25" s="626">
        <v>7769.367972</v>
      </c>
      <c r="M25" s="626">
        <v>58.894072000000001</v>
      </c>
      <c r="N25" s="626">
        <v>63748.958330000001</v>
      </c>
      <c r="O25" s="626">
        <v>269617.06161600002</v>
      </c>
      <c r="P25" s="626">
        <v>50738.792871999998</v>
      </c>
      <c r="Q25" s="626">
        <v>61090.200947999998</v>
      </c>
      <c r="R25" s="626">
        <v>0</v>
      </c>
      <c r="S25" s="626">
        <v>908.20858399999997</v>
      </c>
      <c r="T25" s="626">
        <v>0</v>
      </c>
      <c r="U25" s="626">
        <v>3670.8055140000001</v>
      </c>
      <c r="V25" s="626">
        <v>22223.988038</v>
      </c>
      <c r="W25" s="626">
        <v>205703.04490000001</v>
      </c>
      <c r="X25" s="626">
        <v>6706.9499100000003</v>
      </c>
      <c r="Y25" s="626">
        <v>3942.0282139999999</v>
      </c>
      <c r="Z25" s="626">
        <v>198595.46031600001</v>
      </c>
      <c r="AA25" s="626">
        <v>86283.690090000004</v>
      </c>
      <c r="AB25" s="626">
        <v>36915.734235999997</v>
      </c>
      <c r="AC25" s="626">
        <v>38.746099999999998</v>
      </c>
      <c r="AD25" s="626">
        <v>7176.5526419999997</v>
      </c>
      <c r="AE25" s="626">
        <v>5313.6401539999997</v>
      </c>
      <c r="AF25" s="626">
        <v>3772.3202959999999</v>
      </c>
      <c r="AG25" s="626">
        <v>328.56692800000002</v>
      </c>
      <c r="AH25" s="626">
        <v>224054.74770400001</v>
      </c>
      <c r="AI25" s="626">
        <v>21969.038700000001</v>
      </c>
      <c r="AJ25" s="626">
        <v>283994.18948200002</v>
      </c>
      <c r="AK25" s="626">
        <v>56756.837123999998</v>
      </c>
      <c r="AL25" s="626">
        <v>432192.59752800001</v>
      </c>
      <c r="AM25" s="626">
        <v>155467.17640600001</v>
      </c>
      <c r="AN25" s="626">
        <v>228057.994756</v>
      </c>
    </row>
    <row r="26" spans="1:42" s="112" customFormat="1" ht="15" x14ac:dyDescent="0.25">
      <c r="A26" s="487" t="s">
        <v>837</v>
      </c>
      <c r="B26" s="485"/>
      <c r="C26" s="486"/>
      <c r="D26" s="485"/>
      <c r="E26" s="485"/>
      <c r="F26" s="485"/>
      <c r="G26" s="485"/>
      <c r="H26" s="485"/>
      <c r="I26" s="485"/>
      <c r="J26" s="485"/>
      <c r="K26" s="485"/>
      <c r="L26" s="485"/>
      <c r="M26" s="485"/>
      <c r="N26" s="485"/>
      <c r="O26" s="485"/>
      <c r="P26" s="485"/>
      <c r="Q26" s="485"/>
      <c r="R26" s="485"/>
      <c r="S26" s="485"/>
      <c r="T26" s="485"/>
      <c r="U26" s="485"/>
      <c r="V26" s="485"/>
      <c r="W26" s="485"/>
      <c r="X26" s="485"/>
      <c r="Y26" s="485"/>
      <c r="Z26" s="485"/>
      <c r="AA26" s="485"/>
      <c r="AB26" s="485"/>
      <c r="AC26" s="485"/>
      <c r="AD26" s="485"/>
      <c r="AE26" s="485"/>
      <c r="AF26" s="485"/>
      <c r="AG26" s="485"/>
      <c r="AH26" s="485"/>
      <c r="AI26" s="485"/>
      <c r="AJ26" s="485"/>
      <c r="AK26" s="485"/>
      <c r="AL26" s="485"/>
      <c r="AM26" s="485"/>
      <c r="AN26" s="485"/>
    </row>
    <row r="27" spans="1:42" s="112" customFormat="1" ht="15" x14ac:dyDescent="0.25">
      <c r="A27" s="484" t="s">
        <v>920</v>
      </c>
      <c r="B27" s="485">
        <f>IFERROR(IF(Main!$B$268=1,B5*B7*B13*B$5/B$4,B13*B5),0)</f>
        <v>279297.83910809807</v>
      </c>
      <c r="C27" s="485">
        <f>IFERROR(IF(Main!$B$268=1,C5*C7*C13*C$5/C$4,C13*C5),0)</f>
        <v>27904.081633321865</v>
      </c>
      <c r="D27" s="485">
        <f>IFERROR(IF(Main!$B$268=1,D5*D7*D13*D$5/D$4,D13*D5),0)</f>
        <v>14249.156174867139</v>
      </c>
      <c r="E27" s="485">
        <f>IFERROR(IF(Main!$B$268=1,E5*E7*E13*E$5/E$4,E13*E5),0)</f>
        <v>29894.204648960123</v>
      </c>
      <c r="F27" s="485">
        <f>IFERROR(IF(Main!$B$268=1,F5*F7*F13*F$5/F$4,F13*F5),0)</f>
        <v>18886.418059965214</v>
      </c>
      <c r="G27" s="485">
        <f>IFERROR(IF(Main!$B$268=1,G5*G7*G13*G$5/G$4,G13*G5),0)</f>
        <v>1.8362941856268247E-3</v>
      </c>
      <c r="H27" s="485">
        <f>IFERROR(IF(Main!$B$268=1,H5*H7*H13*H$5/H$4,H13*H5),0)</f>
        <v>37428.158837369243</v>
      </c>
      <c r="I27" s="485">
        <f>IFERROR(IF(Main!$B$268=1,I5*I7*I13*I$5/I$4,I13*I5),0)</f>
        <v>29283.804758078011</v>
      </c>
      <c r="J27" s="485">
        <f>IFERROR(IF(Main!$B$268=1,J5*J7*J13*J$5/J$4,J13*J5),0)</f>
        <v>9965.5964646639331</v>
      </c>
      <c r="K27" s="485">
        <f>IFERROR(IF(Main!$B$268=1,K5*K7*K13*K$5/K$4,K13*K5),0)</f>
        <v>11155.026029336814</v>
      </c>
      <c r="L27" s="485">
        <f>IFERROR(IF(Main!$B$268=1,L5*L7*L13*L$5/L$4,L13*L5),0)</f>
        <v>72.934778382560978</v>
      </c>
      <c r="M27" s="485">
        <f>IFERROR(IF(Main!$B$268=1,M5*M7*M13*M$5/M$4,M13*M5),0)</f>
        <v>344.59338299000819</v>
      </c>
      <c r="N27" s="485">
        <f>IFERROR(IF(Main!$B$268=1,N5*N7*N13*N$5/N$4,N13*N5),0)</f>
        <v>19556.442844128091</v>
      </c>
      <c r="O27" s="485">
        <f>IFERROR(IF(Main!$B$268=1,O5*O7*O13*O$5/O$4,O13*O5),0)</f>
        <v>39557.176507232434</v>
      </c>
      <c r="P27" s="485">
        <f>IFERROR(IF(Main!$B$268=1,P5*P7*P13*P$5/P$4,P13*P5),0)</f>
        <v>1974.2748756771243</v>
      </c>
      <c r="Q27" s="485">
        <f>IFERROR(IF(Main!$B$268=1,Q5*Q7*Q13*Q$5/Q$4,Q13*Q5),0)</f>
        <v>1072.9369091039293</v>
      </c>
      <c r="R27" s="485">
        <f>IFERROR(IF(Main!$B$268=1,R5*R7*R13*R$5/R$4,R13*R5),0)</f>
        <v>0.68006668848959773</v>
      </c>
      <c r="S27" s="485">
        <f>IFERROR(IF(Main!$B$268=1,S5*S7*S13*S$5/S$4,S13*S5),0)</f>
        <v>1811.5173933029814</v>
      </c>
      <c r="T27" s="485">
        <f>IFERROR(IF(Main!$B$268=1,T5*T7*T13*T$5/T$4,T13*T5),0)</f>
        <v>1.7722881541471911</v>
      </c>
      <c r="U27" s="485">
        <f>IFERROR(IF(Main!$B$268=1,U5*U7*U13*U$5/U$4,U13*U5),0)</f>
        <v>89.208450133512073</v>
      </c>
      <c r="V27" s="485">
        <f>IFERROR(IF(Main!$B$268=1,V5*V7*V13*V$5/V$4,V13*V5),0)</f>
        <v>958.55928838193779</v>
      </c>
      <c r="W27" s="485">
        <f>IFERROR(IF(Main!$B$268=1,W5*W7*W13*W$5/W$4,W13*W5),0)</f>
        <v>9006.4268860809098</v>
      </c>
      <c r="X27" s="485">
        <f>IFERROR(IF(Main!$B$268=1,X5*X7*X13*X$5/X$4,X13*X5),0)</f>
        <v>342.7173490099205</v>
      </c>
      <c r="Y27" s="485">
        <f>IFERROR(IF(Main!$B$268=1,Y5*Y7*Y13*Y$5/Y$4,Y13*Y5),0)</f>
        <v>22320.707083879446</v>
      </c>
      <c r="Z27" s="485">
        <f>IFERROR(IF(Main!$B$268=1,Z5*Z7*Z13*Z$5/Z$4,Z13*Z5),0)</f>
        <v>58816.987135425639</v>
      </c>
      <c r="AA27" s="485">
        <f>IFERROR(IF(Main!$B$268=1,AA5*AA7*AA13*AA$5/AA$4,AA13*AA5),0)</f>
        <v>5242.6914743749594</v>
      </c>
      <c r="AB27" s="485">
        <f>IFERROR(IF(Main!$B$268=1,AB5*AB7*AB13*AB$5/AB$4,AB13*AB5),0)</f>
        <v>94702.661476257112</v>
      </c>
      <c r="AC27" s="485">
        <f>IFERROR(IF(Main!$B$268=1,AC5*AC7*AC13*AC$5/AC$4,AC13*AC5),0)</f>
        <v>96.306342192480884</v>
      </c>
      <c r="AD27" s="485">
        <f>IFERROR(IF(Main!$B$268=1,AD5*AD7*AD13*AD$5/AD$4,AD13*AD5),0)</f>
        <v>4393.8933633981251</v>
      </c>
      <c r="AE27" s="485">
        <f>IFERROR(IF(Main!$B$268=1,AE5*AE7*AE13*AE$5/AE$4,AE13*AE5),0)</f>
        <v>4408.4470248892876</v>
      </c>
      <c r="AF27" s="485">
        <f>IFERROR(IF(Main!$B$268=1,AF5*AF7*AF13*AF$5/AF$4,AF13*AF5),0)</f>
        <v>10406.501019824256</v>
      </c>
      <c r="AG27" s="485">
        <f>IFERROR(IF(Main!$B$268=1,AG5*AG7*AG13*AG$5/AG$4,AG13*AG5),0)</f>
        <v>1741.3885604983693</v>
      </c>
      <c r="AH27" s="485">
        <f>IFERROR(IF(Main!$B$268=1,AH5*AH7*AH13*AH$5/AH$4,AH13*AH5),0)</f>
        <v>14957.546662679057</v>
      </c>
      <c r="AI27" s="485">
        <f>IFERROR(IF(Main!$B$268=1,AI5*AI7*AI13*AI$5/AI$4,AI13*AI5),0)</f>
        <v>11334.320939906453</v>
      </c>
      <c r="AJ27" s="485">
        <f>IFERROR(IF(Main!$B$268=1,AJ5*AJ7*AJ13*AJ$5/AJ$4,AJ13*AJ5),0)</f>
        <v>410.64202064606241</v>
      </c>
      <c r="AK27" s="485">
        <f>IFERROR(IF(Main!$B$268=1,AK5*AK7*AK13*AK$5/AK$4,AK13*AK5),0)</f>
        <v>12196.320272624786</v>
      </c>
      <c r="AL27" s="485">
        <f>IFERROR(IF(Main!$B$268=1,AL5*AL7*AL13*AL$5/AL$4,AL13*AL5),0)</f>
        <v>12152.428105000143</v>
      </c>
      <c r="AM27" s="485">
        <f>IFERROR(IF(Main!$B$268=1,AM5*AM7*AM13*AM$5/AM$4,AM13*AM5),0)</f>
        <v>11885.482296491267</v>
      </c>
      <c r="AN27" s="485">
        <f>IFERROR(IF(Main!$B$268=1,AN5*AN7*AN13*AN$5/AN$4,AN13*AN5),0)</f>
        <v>5265.7081570285563</v>
      </c>
      <c r="AP27" s="49">
        <f t="shared" ref="AP27:AP35" si="5">SUM(B27:AN27)</f>
        <v>803185.56050533673</v>
      </c>
    </row>
    <row r="28" spans="1:42" s="112" customFormat="1" ht="15" x14ac:dyDescent="0.25">
      <c r="A28" s="484" t="s">
        <v>921</v>
      </c>
      <c r="B28" s="485">
        <f>IFERROR(IF(Main!$B$268=1,B5*B7*B15*B$5/B$4,B15*B5),0)</f>
        <v>181141.35840402561</v>
      </c>
      <c r="C28" s="485">
        <f>IFERROR(IF(Main!$B$268=1,C5*C7*C15*C$5/C$4,C15*C5),0)</f>
        <v>22855.867381293781</v>
      </c>
      <c r="D28" s="485">
        <f>IFERROR(IF(Main!$B$268=1,D5*D7*D15*D$5/D$4,D15*D5),0)</f>
        <v>5796.1112834019123</v>
      </c>
      <c r="E28" s="485">
        <f>IFERROR(IF(Main!$B$268=1,E5*E7*E15*E$5/E$4,E15*E5),0)</f>
        <v>18180.664734276084</v>
      </c>
      <c r="F28" s="485">
        <f>IFERROR(IF(Main!$B$268=1,F5*F7*F15*F$5/F$4,F15*F5),0)</f>
        <v>16396.512194227162</v>
      </c>
      <c r="G28" s="485">
        <f>IFERROR(IF(Main!$B$268=1,G5*G7*G15*G$5/G$4,G15*G5),0)</f>
        <v>0</v>
      </c>
      <c r="H28" s="485">
        <f>IFERROR(IF(Main!$B$268=1,H5*H7*H15*H$5/H$4,H15*H5),0)</f>
        <v>10796.635766451103</v>
      </c>
      <c r="I28" s="485">
        <f>IFERROR(IF(Main!$B$268=1,I5*I7*I15*I$5/I$4,I15*I5),0)</f>
        <v>25312.768082623854</v>
      </c>
      <c r="J28" s="485">
        <f>IFERROR(IF(Main!$B$268=1,J5*J7*J15*J$5/J$4,J15*J5),0)</f>
        <v>8149.0800949684635</v>
      </c>
      <c r="K28" s="485">
        <f>IFERROR(IF(Main!$B$268=1,K5*K7*K15*K$5/K$4,K15*K5),0)</f>
        <v>19026.929567993189</v>
      </c>
      <c r="L28" s="485">
        <f>IFERROR(IF(Main!$B$268=1,L5*L7*L15*L$5/L$4,L15*L5),0)</f>
        <v>3069.4532149348574</v>
      </c>
      <c r="M28" s="485">
        <f>IFERROR(IF(Main!$B$268=1,M5*M7*M15*M$5/M$4,M15*M5),0)</f>
        <v>235.09146051325433</v>
      </c>
      <c r="N28" s="485">
        <f>IFERROR(IF(Main!$B$268=1,N5*N7*N15*N$5/N$4,N15*N5),0)</f>
        <v>15039.907163961838</v>
      </c>
      <c r="O28" s="485">
        <f>IFERROR(IF(Main!$B$268=1,O5*O7*O15*O$5/O$4,O15*O5),0)</f>
        <v>152806.86477850637</v>
      </c>
      <c r="P28" s="485">
        <f>IFERROR(IF(Main!$B$268=1,P5*P7*P15*P$5/P$4,P15*P5),0)</f>
        <v>1597.9913937763563</v>
      </c>
      <c r="Q28" s="485">
        <f>IFERROR(IF(Main!$B$268=1,Q5*Q7*Q15*Q$5/Q$4,Q15*Q5),0)</f>
        <v>3338.5764684359674</v>
      </c>
      <c r="R28" s="485">
        <f>IFERROR(IF(Main!$B$268=1,R5*R7*R15*R$5/R$4,R15*R5),0)</f>
        <v>1.3601333769791955</v>
      </c>
      <c r="S28" s="485">
        <f>IFERROR(IF(Main!$B$268=1,S5*S7*S15*S$5/S$4,S15*S5),0)</f>
        <v>1058.3701962217419</v>
      </c>
      <c r="T28" s="485">
        <f>IFERROR(IF(Main!$B$268=1,T5*T7*T15*T$5/T$4,T15*T5),0)</f>
        <v>0.9189642639799035</v>
      </c>
      <c r="U28" s="485">
        <f>IFERROR(IF(Main!$B$268=1,U5*U7*U15*U$5/U$4,U15*U5),0)</f>
        <v>2112.4285441266734</v>
      </c>
      <c r="V28" s="485">
        <f>IFERROR(IF(Main!$B$268=1,V5*V7*V15*V$5/V$4,V15*V5),0)</f>
        <v>876.56596918450373</v>
      </c>
      <c r="W28" s="485">
        <f>IFERROR(IF(Main!$B$268=1,W5*W7*W15*W$5/W$4,W15*W5),0)</f>
        <v>14782.518035809944</v>
      </c>
      <c r="X28" s="485">
        <f>IFERROR(IF(Main!$B$268=1,X5*X7*X15*X$5/X$4,X15*X5),0)</f>
        <v>4926.5815627469319</v>
      </c>
      <c r="Y28" s="485">
        <f>IFERROR(IF(Main!$B$268=1,Y5*Y7*Y15*Y$5/Y$4,Y15*Y5),0)</f>
        <v>9930.8039847004256</v>
      </c>
      <c r="Z28" s="485">
        <f>IFERROR(IF(Main!$B$268=1,Z5*Z7*Z15*Z$5/Z$4,Z15*Z5),0)</f>
        <v>44928.37197276279</v>
      </c>
      <c r="AA28" s="485">
        <f>IFERROR(IF(Main!$B$268=1,AA5*AA7*AA15*AA$5/AA$4,AA15*AA5),0)</f>
        <v>82186.506436761105</v>
      </c>
      <c r="AB28" s="485">
        <f>IFERROR(IF(Main!$B$268=1,AB5*AB7*AB15*AB$5/AB$4,AB15*AB5),0)</f>
        <v>78752.256510667285</v>
      </c>
      <c r="AC28" s="485">
        <f>IFERROR(IF(Main!$B$268=1,AC5*AC7*AC15*AC$5/AC$4,AC15*AC5),0)</f>
        <v>21.238298841786435</v>
      </c>
      <c r="AD28" s="485">
        <f>IFERROR(IF(Main!$B$268=1,AD5*AD7*AD15*AD$5/AD$4,AD15*AD5),0)</f>
        <v>3923.1225493886704</v>
      </c>
      <c r="AE28" s="485">
        <f>IFERROR(IF(Main!$B$268=1,AE5*AE7*AE15*AE$5/AE$4,AE15*AE5),0)</f>
        <v>3699.3039275648257</v>
      </c>
      <c r="AF28" s="485">
        <f>IFERROR(IF(Main!$B$268=1,AF5*AF7*AF15*AF$5/AF$4,AF15*AF5),0)</f>
        <v>6291.2939715063103</v>
      </c>
      <c r="AG28" s="485">
        <f>IFERROR(IF(Main!$B$268=1,AG5*AG7*AG15*AG$5/AG$4,AG15*AG5),0)</f>
        <v>643.97997981112303</v>
      </c>
      <c r="AH28" s="485">
        <f>IFERROR(IF(Main!$B$268=1,AH5*AH7*AH15*AH$5/AH$4,AH15*AH5),0)</f>
        <v>11196.663924736158</v>
      </c>
      <c r="AI28" s="485">
        <f>IFERROR(IF(Main!$B$268=1,AI5*AI7*AI15*AI$5/AI$4,AI15*AI5),0)</f>
        <v>9466.2219435778061</v>
      </c>
      <c r="AJ28" s="485">
        <f>IFERROR(IF(Main!$B$268=1,AJ5*AJ7*AJ15*AJ$5/AJ$4,AJ15*AJ5),0)</f>
        <v>2877.6762881152822</v>
      </c>
      <c r="AK28" s="485">
        <f>IFERROR(IF(Main!$B$268=1,AK5*AK7*AK15*AK$5/AK$4,AK15*AK5),0)</f>
        <v>9738.1928831778714</v>
      </c>
      <c r="AL28" s="485">
        <f>IFERROR(IF(Main!$B$268=1,AL5*AL7*AL15*AL$5/AL$4,AL15*AL5),0)</f>
        <v>54374.323114491315</v>
      </c>
      <c r="AM28" s="485">
        <f>IFERROR(IF(Main!$B$268=1,AM5*AM7*AM15*AM$5/AM$4,AM15*AM5),0)</f>
        <v>9485.5583107794955</v>
      </c>
      <c r="AN28" s="485">
        <f>IFERROR(IF(Main!$B$268=1,AN5*AN7*AN15*AN$5/AN$4,AN15*AN5),0)</f>
        <v>4127.9693608122379</v>
      </c>
      <c r="AP28" s="49">
        <f t="shared" si="5"/>
        <v>839146.03885281505</v>
      </c>
    </row>
    <row r="29" spans="1:42" s="112" customFormat="1" ht="15" x14ac:dyDescent="0.25">
      <c r="A29" s="484" t="s">
        <v>922</v>
      </c>
      <c r="B29" s="485">
        <f>B27+B28</f>
        <v>460439.19751212368</v>
      </c>
      <c r="C29" s="485">
        <f t="shared" ref="C29:AN29" si="6">C27+C28</f>
        <v>50759.949014615646</v>
      </c>
      <c r="D29" s="485">
        <f t="shared" si="6"/>
        <v>20045.267458269052</v>
      </c>
      <c r="E29" s="485">
        <f t="shared" si="6"/>
        <v>48074.869383236204</v>
      </c>
      <c r="F29" s="485">
        <f t="shared" si="6"/>
        <v>35282.930254192375</v>
      </c>
      <c r="G29" s="485">
        <f t="shared" si="6"/>
        <v>1.8362941856268247E-3</v>
      </c>
      <c r="H29" s="485">
        <f t="shared" si="6"/>
        <v>48224.794603820344</v>
      </c>
      <c r="I29" s="485">
        <f t="shared" si="6"/>
        <v>54596.572840701861</v>
      </c>
      <c r="J29" s="485">
        <f t="shared" si="6"/>
        <v>18114.676559632397</v>
      </c>
      <c r="K29" s="485">
        <f t="shared" si="6"/>
        <v>30181.955597330001</v>
      </c>
      <c r="L29" s="485">
        <f t="shared" si="6"/>
        <v>3142.3879933174185</v>
      </c>
      <c r="M29" s="485">
        <f t="shared" si="6"/>
        <v>579.68484350326253</v>
      </c>
      <c r="N29" s="485">
        <f t="shared" si="6"/>
        <v>34596.350008089925</v>
      </c>
      <c r="O29" s="485">
        <f t="shared" si="6"/>
        <v>192364.04128573881</v>
      </c>
      <c r="P29" s="485">
        <f t="shared" si="6"/>
        <v>3572.2662694534806</v>
      </c>
      <c r="Q29" s="485">
        <f t="shared" si="6"/>
        <v>4411.5133775398972</v>
      </c>
      <c r="R29" s="485">
        <f t="shared" si="6"/>
        <v>2.0402000654687931</v>
      </c>
      <c r="S29" s="485">
        <f t="shared" si="6"/>
        <v>2869.8875895247234</v>
      </c>
      <c r="T29" s="485">
        <f t="shared" si="6"/>
        <v>2.6912524181270947</v>
      </c>
      <c r="U29" s="485">
        <f t="shared" si="6"/>
        <v>2201.6369942601855</v>
      </c>
      <c r="V29" s="485">
        <f t="shared" si="6"/>
        <v>1835.1252575664416</v>
      </c>
      <c r="W29" s="485">
        <f t="shared" si="6"/>
        <v>23788.944921890856</v>
      </c>
      <c r="X29" s="485">
        <f t="shared" si="6"/>
        <v>5269.2989117568522</v>
      </c>
      <c r="Y29" s="485">
        <f t="shared" si="6"/>
        <v>32251.511068579872</v>
      </c>
      <c r="Z29" s="485">
        <f t="shared" si="6"/>
        <v>103745.35910818842</v>
      </c>
      <c r="AA29" s="485">
        <f t="shared" si="6"/>
        <v>87429.197911136071</v>
      </c>
      <c r="AB29" s="485">
        <f t="shared" si="6"/>
        <v>173454.91798692441</v>
      </c>
      <c r="AC29" s="485">
        <f t="shared" si="6"/>
        <v>117.54464103426731</v>
      </c>
      <c r="AD29" s="485">
        <f t="shared" si="6"/>
        <v>8317.0159127867955</v>
      </c>
      <c r="AE29" s="485">
        <f t="shared" si="6"/>
        <v>8107.7509524541128</v>
      </c>
      <c r="AF29" s="485">
        <f t="shared" si="6"/>
        <v>16697.794991330567</v>
      </c>
      <c r="AG29" s="485">
        <f t="shared" si="6"/>
        <v>2385.3685403094923</v>
      </c>
      <c r="AH29" s="485">
        <f t="shared" si="6"/>
        <v>26154.210587415215</v>
      </c>
      <c r="AI29" s="485">
        <f t="shared" si="6"/>
        <v>20800.542883484261</v>
      </c>
      <c r="AJ29" s="485">
        <f t="shared" si="6"/>
        <v>3288.3183087613447</v>
      </c>
      <c r="AK29" s="485">
        <f t="shared" si="6"/>
        <v>21934.513155802655</v>
      </c>
      <c r="AL29" s="485">
        <f t="shared" si="6"/>
        <v>66526.75121949146</v>
      </c>
      <c r="AM29" s="485">
        <f t="shared" si="6"/>
        <v>21371.040607270763</v>
      </c>
      <c r="AN29" s="485">
        <f t="shared" si="6"/>
        <v>9393.6775178407952</v>
      </c>
      <c r="AP29" s="49">
        <f t="shared" si="5"/>
        <v>1642331.5993581517</v>
      </c>
    </row>
    <row r="30" spans="1:42" s="112" customFormat="1" ht="15" x14ac:dyDescent="0.25">
      <c r="A30" s="487" t="s">
        <v>835</v>
      </c>
      <c r="B30" s="485"/>
      <c r="C30" s="485"/>
      <c r="D30" s="485"/>
      <c r="E30" s="485"/>
      <c r="F30" s="485"/>
      <c r="G30" s="485"/>
      <c r="H30" s="485"/>
      <c r="I30" s="485"/>
      <c r="J30" s="485"/>
      <c r="K30" s="485"/>
      <c r="L30" s="485"/>
      <c r="M30" s="485"/>
      <c r="N30" s="485"/>
      <c r="O30" s="485"/>
      <c r="P30" s="485"/>
      <c r="Q30" s="485"/>
      <c r="R30" s="485"/>
      <c r="S30" s="485"/>
      <c r="T30" s="485"/>
      <c r="U30" s="485"/>
      <c r="V30" s="485"/>
      <c r="W30" s="485"/>
      <c r="X30" s="485"/>
      <c r="Y30" s="485"/>
      <c r="Z30" s="485"/>
      <c r="AA30" s="485"/>
      <c r="AB30" s="485"/>
      <c r="AC30" s="485"/>
      <c r="AD30" s="485"/>
      <c r="AE30" s="485"/>
      <c r="AF30" s="485"/>
      <c r="AG30" s="485"/>
      <c r="AH30" s="485"/>
      <c r="AI30" s="485"/>
      <c r="AJ30" s="485"/>
      <c r="AK30" s="485"/>
      <c r="AL30" s="485"/>
      <c r="AM30" s="485"/>
      <c r="AN30" s="485"/>
      <c r="AP30" s="49"/>
    </row>
    <row r="31" spans="1:42" s="112" customFormat="1" ht="15" x14ac:dyDescent="0.25">
      <c r="A31" s="484" t="s">
        <v>838</v>
      </c>
      <c r="B31" s="485">
        <f t="shared" ref="B31:AN31" si="7">B13*B5</f>
        <v>477026.25</v>
      </c>
      <c r="C31" s="485">
        <f t="shared" si="7"/>
        <v>29684.2363281</v>
      </c>
      <c r="D31" s="485">
        <f t="shared" si="7"/>
        <v>180139.5</v>
      </c>
      <c r="E31" s="485">
        <f t="shared" si="7"/>
        <v>195547.984375</v>
      </c>
      <c r="F31" s="485">
        <f t="shared" si="7"/>
        <v>548184.3125</v>
      </c>
      <c r="G31" s="485">
        <f t="shared" si="7"/>
        <v>0.77492249012000003</v>
      </c>
      <c r="H31" s="485">
        <f t="shared" si="7"/>
        <v>176495.5</v>
      </c>
      <c r="I31" s="485">
        <f t="shared" si="7"/>
        <v>909564.9375</v>
      </c>
      <c r="J31" s="485">
        <f t="shared" si="7"/>
        <v>219095.421875</v>
      </c>
      <c r="K31" s="485">
        <f t="shared" si="7"/>
        <v>201268.421875</v>
      </c>
      <c r="L31" s="485">
        <f t="shared" si="7"/>
        <v>328.567138672</v>
      </c>
      <c r="M31" s="485">
        <f t="shared" si="7"/>
        <v>4914.90625</v>
      </c>
      <c r="N31" s="485">
        <f t="shared" si="7"/>
        <v>411623.6875</v>
      </c>
      <c r="O31" s="485">
        <f t="shared" si="7"/>
        <v>78920.8203125</v>
      </c>
      <c r="P31" s="485">
        <f t="shared" si="7"/>
        <v>123249.375</v>
      </c>
      <c r="Q31" s="485">
        <f t="shared" si="7"/>
        <v>29727.7949219</v>
      </c>
      <c r="R31" s="485">
        <f t="shared" si="7"/>
        <v>12.3987598419</v>
      </c>
      <c r="S31" s="485">
        <f t="shared" si="7"/>
        <v>19843.7519531</v>
      </c>
      <c r="T31" s="485">
        <f t="shared" si="7"/>
        <v>20.922906875599999</v>
      </c>
      <c r="U31" s="485">
        <f t="shared" si="7"/>
        <v>279.80041503899997</v>
      </c>
      <c r="V31" s="485">
        <f t="shared" si="7"/>
        <v>33050.6132813</v>
      </c>
      <c r="W31" s="485">
        <f t="shared" si="7"/>
        <v>142441.40625</v>
      </c>
      <c r="X31" s="485">
        <f t="shared" si="7"/>
        <v>1189.14416504</v>
      </c>
      <c r="Y31" s="485">
        <f t="shared" si="7"/>
        <v>335485.8125</v>
      </c>
      <c r="Z31" s="485">
        <f t="shared" si="7"/>
        <v>887497.1875</v>
      </c>
      <c r="AA31" s="485">
        <f t="shared" si="7"/>
        <v>6907.9365234400002</v>
      </c>
      <c r="AB31" s="485">
        <f t="shared" si="7"/>
        <v>385603.15625</v>
      </c>
      <c r="AC31" s="485">
        <f t="shared" si="7"/>
        <v>1721.8269043</v>
      </c>
      <c r="AD31" s="485">
        <f t="shared" si="7"/>
        <v>27518.8984375</v>
      </c>
      <c r="AE31" s="485">
        <f t="shared" si="7"/>
        <v>28373.6875</v>
      </c>
      <c r="AF31" s="485">
        <f t="shared" si="7"/>
        <v>57790.3164063</v>
      </c>
      <c r="AG31" s="485">
        <f t="shared" si="7"/>
        <v>12258.5029297</v>
      </c>
      <c r="AH31" s="485">
        <f t="shared" si="7"/>
        <v>656969.375</v>
      </c>
      <c r="AI31" s="485">
        <f t="shared" si="7"/>
        <v>63793.296875</v>
      </c>
      <c r="AJ31" s="485">
        <f t="shared" si="7"/>
        <v>42952.5664063</v>
      </c>
      <c r="AK31" s="485">
        <f t="shared" si="7"/>
        <v>265359.25</v>
      </c>
      <c r="AL31" s="485">
        <f t="shared" si="7"/>
        <v>109841.046875</v>
      </c>
      <c r="AM31" s="485">
        <f t="shared" si="7"/>
        <v>416756.125</v>
      </c>
      <c r="AN31" s="485">
        <f t="shared" si="7"/>
        <v>502427.09375</v>
      </c>
      <c r="AP31" s="49">
        <f t="shared" si="5"/>
        <v>7583866.6070873989</v>
      </c>
    </row>
    <row r="32" spans="1:42" s="112" customFormat="1" ht="15" x14ac:dyDescent="0.25">
      <c r="A32" s="484" t="s">
        <v>91</v>
      </c>
      <c r="B32" s="485">
        <f>B15*B5*Covercrop!$B$5</f>
        <v>309380.0625</v>
      </c>
      <c r="C32" s="485">
        <f>C15*C5*Covercrop!$B$5</f>
        <v>24313.96875</v>
      </c>
      <c r="D32" s="485">
        <f>D15*D5*Covercrop!$B$5</f>
        <v>73275.1171875</v>
      </c>
      <c r="E32" s="485">
        <f>E15*E5*Covercrop!$B$5</f>
        <v>118925.804688</v>
      </c>
      <c r="F32" s="485">
        <f>F15*F5*Covercrop!$B$5</f>
        <v>475914</v>
      </c>
      <c r="G32" s="485">
        <f>G15*G5*Covercrop!$B$5</f>
        <v>0</v>
      </c>
      <c r="H32" s="485">
        <f>H15*H5*Covercrop!$B$5</f>
        <v>50912.40625</v>
      </c>
      <c r="I32" s="485">
        <f>I15*I5*Covercrop!$B$5</f>
        <v>786223.1875</v>
      </c>
      <c r="J32" s="485">
        <f>J15*J5*Covercrop!$B$5</f>
        <v>179158.984375</v>
      </c>
      <c r="K32" s="485">
        <f>K15*K5*Covercrop!$B$5</f>
        <v>343299.96875</v>
      </c>
      <c r="L32" s="485">
        <f>L15*L5*Covercrop!$B$5</f>
        <v>13827.7167969</v>
      </c>
      <c r="M32" s="485">
        <f>M15*M5*Covercrop!$B$5</f>
        <v>3353.0895996099998</v>
      </c>
      <c r="N32" s="485">
        <f>N15*N5*Covercrop!$B$5</f>
        <v>316559.71875</v>
      </c>
      <c r="O32" s="485">
        <f>O15*O5*Covercrop!$B$5</f>
        <v>304866.125</v>
      </c>
      <c r="P32" s="485">
        <f>P15*P5*Covercrop!$B$5</f>
        <v>99758.875</v>
      </c>
      <c r="Q32" s="485">
        <f>Q15*Q5*Covercrop!$B$5</f>
        <v>92501.7265625</v>
      </c>
      <c r="R32" s="485">
        <f>R15*R5*Covercrop!$B$5</f>
        <v>24.797519683800001</v>
      </c>
      <c r="S32" s="485">
        <f>S15*S5*Covercrop!$B$5</f>
        <v>11593.6152344</v>
      </c>
      <c r="T32" s="485">
        <f>T15*T5*Covercrop!$B$5</f>
        <v>10.848915100099999</v>
      </c>
      <c r="U32" s="485">
        <f>U15*U5*Covercrop!$B$5</f>
        <v>6625.5874023400002</v>
      </c>
      <c r="V32" s="485">
        <f>V15*V5*Covercrop!$B$5</f>
        <v>30223.5273438</v>
      </c>
      <c r="W32" s="485">
        <f>W15*W5*Covercrop!$B$5</f>
        <v>233793.34375</v>
      </c>
      <c r="X32" s="485">
        <f>X15*X5*Covercrop!$B$5</f>
        <v>17094.015625</v>
      </c>
      <c r="Y32" s="485">
        <f>Y15*Y5*Covercrop!$B$5</f>
        <v>149262.46875</v>
      </c>
      <c r="Z32" s="485">
        <f>Z15*Z5*Covercrop!$B$5</f>
        <v>677930.0625</v>
      </c>
      <c r="AA32" s="485">
        <f>AA15*AA5*Covercrop!$B$5</f>
        <v>108291.546875</v>
      </c>
      <c r="AB32" s="485">
        <f>AB15*AB5*Covercrop!$B$5</f>
        <v>320657.5</v>
      </c>
      <c r="AC32" s="485">
        <f>AC15*AC5*Covercrop!$B$5</f>
        <v>379.71200561500001</v>
      </c>
      <c r="AD32" s="485">
        <f>AD15*AD5*Covercrop!$B$5</f>
        <v>24570.4667969</v>
      </c>
      <c r="AE32" s="485">
        <f>AE15*AE5*Covercrop!$B$5</f>
        <v>23809.4941406</v>
      </c>
      <c r="AF32" s="485">
        <f>AF15*AF5*Covercrop!$B$5</f>
        <v>34937.3789063</v>
      </c>
      <c r="AG32" s="485">
        <f>AG15*AG5*Covercrop!$B$5</f>
        <v>4533.2963867199996</v>
      </c>
      <c r="AH32" s="485">
        <f>AH15*AH5*Covercrop!$B$5</f>
        <v>491782.875</v>
      </c>
      <c r="AI32" s="485">
        <f>AI15*AI5*Covercrop!$B$5</f>
        <v>53279.0195313</v>
      </c>
      <c r="AJ32" s="485">
        <f>AJ15*AJ5*Covercrop!$B$5</f>
        <v>301000.8125</v>
      </c>
      <c r="AK32" s="485">
        <f>AK15*AK5*Covercrop!$B$5</f>
        <v>211876.984375</v>
      </c>
      <c r="AL32" s="485">
        <f>AL15*AL5*Covercrop!$B$5</f>
        <v>491468.25</v>
      </c>
      <c r="AM32" s="485">
        <f>AM15*AM5*Covercrop!$B$5</f>
        <v>332604.46875</v>
      </c>
      <c r="AN32" s="485">
        <f>AN15*AN5*Covercrop!$B$5</f>
        <v>393869.84375</v>
      </c>
      <c r="AP32" s="49">
        <f t="shared" si="5"/>
        <v>7111890.6677672695</v>
      </c>
    </row>
    <row r="33" spans="1:49" s="112" customFormat="1" ht="15" x14ac:dyDescent="0.25">
      <c r="A33" s="484" t="s">
        <v>839</v>
      </c>
      <c r="B33" s="485">
        <f>B31+B32</f>
        <v>786406.3125</v>
      </c>
      <c r="C33" s="485">
        <f t="shared" ref="C33:AN33" si="8">C31+C32</f>
        <v>53998.2050781</v>
      </c>
      <c r="D33" s="485">
        <f t="shared" si="8"/>
        <v>253414.6171875</v>
      </c>
      <c r="E33" s="485">
        <f t="shared" si="8"/>
        <v>314473.789063</v>
      </c>
      <c r="F33" s="485">
        <f t="shared" si="8"/>
        <v>1024098.3125</v>
      </c>
      <c r="G33" s="485">
        <f t="shared" si="8"/>
        <v>0.77492249012000003</v>
      </c>
      <c r="H33" s="485">
        <f t="shared" si="8"/>
        <v>227407.90625</v>
      </c>
      <c r="I33" s="485">
        <f t="shared" si="8"/>
        <v>1695788.125</v>
      </c>
      <c r="J33" s="485">
        <f t="shared" si="8"/>
        <v>398254.40625</v>
      </c>
      <c r="K33" s="485">
        <f t="shared" si="8"/>
        <v>544568.390625</v>
      </c>
      <c r="L33" s="485">
        <f t="shared" si="8"/>
        <v>14156.283935572001</v>
      </c>
      <c r="M33" s="485">
        <f t="shared" si="8"/>
        <v>8267.9958496100007</v>
      </c>
      <c r="N33" s="485">
        <f t="shared" si="8"/>
        <v>728183.40625</v>
      </c>
      <c r="O33" s="485">
        <f t="shared" si="8"/>
        <v>383786.9453125</v>
      </c>
      <c r="P33" s="485">
        <f t="shared" si="8"/>
        <v>223008.25</v>
      </c>
      <c r="Q33" s="485">
        <f t="shared" si="8"/>
        <v>122229.5214844</v>
      </c>
      <c r="R33" s="485">
        <f t="shared" si="8"/>
        <v>37.1962795257</v>
      </c>
      <c r="S33" s="485">
        <f t="shared" si="8"/>
        <v>31437.3671875</v>
      </c>
      <c r="T33" s="485">
        <f t="shared" si="8"/>
        <v>31.7718219757</v>
      </c>
      <c r="U33" s="485">
        <f t="shared" si="8"/>
        <v>6905.3878173789999</v>
      </c>
      <c r="V33" s="485">
        <f t="shared" si="8"/>
        <v>63274.140625100001</v>
      </c>
      <c r="W33" s="485">
        <f t="shared" si="8"/>
        <v>376234.75</v>
      </c>
      <c r="X33" s="485">
        <f t="shared" si="8"/>
        <v>18283.159790040001</v>
      </c>
      <c r="Y33" s="485">
        <f t="shared" si="8"/>
        <v>484748.28125</v>
      </c>
      <c r="Z33" s="485">
        <f t="shared" si="8"/>
        <v>1565427.25</v>
      </c>
      <c r="AA33" s="485">
        <f t="shared" si="8"/>
        <v>115199.48339844</v>
      </c>
      <c r="AB33" s="485">
        <f t="shared" si="8"/>
        <v>706260.65625</v>
      </c>
      <c r="AC33" s="485">
        <f t="shared" si="8"/>
        <v>2101.5389099150002</v>
      </c>
      <c r="AD33" s="485">
        <f t="shared" si="8"/>
        <v>52089.3652344</v>
      </c>
      <c r="AE33" s="485">
        <f t="shared" si="8"/>
        <v>52183.1816406</v>
      </c>
      <c r="AF33" s="485">
        <f t="shared" si="8"/>
        <v>92727.695312600001</v>
      </c>
      <c r="AG33" s="485">
        <f t="shared" si="8"/>
        <v>16791.799316420002</v>
      </c>
      <c r="AH33" s="485">
        <f t="shared" si="8"/>
        <v>1148752.25</v>
      </c>
      <c r="AI33" s="485">
        <f t="shared" si="8"/>
        <v>117072.3164063</v>
      </c>
      <c r="AJ33" s="485">
        <f t="shared" si="8"/>
        <v>343953.3789063</v>
      </c>
      <c r="AK33" s="485">
        <f t="shared" si="8"/>
        <v>477236.234375</v>
      </c>
      <c r="AL33" s="485">
        <f t="shared" si="8"/>
        <v>601309.296875</v>
      </c>
      <c r="AM33" s="485">
        <f t="shared" si="8"/>
        <v>749360.59375</v>
      </c>
      <c r="AN33" s="485">
        <f t="shared" si="8"/>
        <v>896296.9375</v>
      </c>
      <c r="AP33" s="49">
        <f t="shared" si="5"/>
        <v>14695757.274854667</v>
      </c>
    </row>
    <row r="34" spans="1:49" s="112" customFormat="1" ht="15" x14ac:dyDescent="0.25">
      <c r="A34" s="484" t="s">
        <v>357</v>
      </c>
      <c r="B34" s="485">
        <f>B19*B5*Covercrop!$E$5</f>
        <v>11145.8919326</v>
      </c>
      <c r="C34" s="485">
        <f>C19*C5*Covercrop!$E$5</f>
        <v>1538.3370733100001</v>
      </c>
      <c r="D34" s="485">
        <f>D19*D5*Covercrop!$E$5</f>
        <v>0</v>
      </c>
      <c r="E34" s="485">
        <f>E19*E5*Covercrop!$E$5</f>
        <v>932.82267485800003</v>
      </c>
      <c r="F34" s="485">
        <f>F19*F5*Covercrop!$E$5</f>
        <v>901.57243512599996</v>
      </c>
      <c r="G34" s="485">
        <f>G19*G5*Covercrop!$E$5</f>
        <v>0</v>
      </c>
      <c r="H34" s="485">
        <f>H19*H5*Covercrop!$E$5</f>
        <v>872.75056009800005</v>
      </c>
      <c r="I34" s="485">
        <f>I19*I5*Covercrop!$E$5</f>
        <v>5963.7235966799999</v>
      </c>
      <c r="J34" s="485">
        <f>J19*J5*Covercrop!$E$5</f>
        <v>20472.9245003</v>
      </c>
      <c r="K34" s="485">
        <f>K19*K5*Covercrop!$E$5</f>
        <v>44635.894244399999</v>
      </c>
      <c r="L34" s="485">
        <f>L19*L5*Covercrop!$E$5</f>
        <v>0</v>
      </c>
      <c r="M34" s="485">
        <f>M19*M5*Covercrop!$E$5</f>
        <v>15862.8303593</v>
      </c>
      <c r="N34" s="485">
        <f>N19*N5*Covercrop!$E$5</f>
        <v>0</v>
      </c>
      <c r="O34" s="485">
        <f>O19*O5*Covercrop!$E$5</f>
        <v>71109.512684100002</v>
      </c>
      <c r="P34" s="485">
        <f>P19*P5*Covercrop!$E$5</f>
        <v>0</v>
      </c>
      <c r="Q34" s="485">
        <f>Q19*Q5*Covercrop!$E$5</f>
        <v>17434.602904300002</v>
      </c>
      <c r="R34" s="485">
        <f>R19*R5*Covercrop!$E$5</f>
        <v>0</v>
      </c>
      <c r="S34" s="485">
        <f>S19*S5*Covercrop!$E$5</f>
        <v>5858.2405364200004</v>
      </c>
      <c r="T34" s="485">
        <f>T19*T5*Covercrop!$E$5</f>
        <v>0</v>
      </c>
      <c r="U34" s="485">
        <f>U19*U5*Covercrop!$E$5</f>
        <v>1292.60313481</v>
      </c>
      <c r="V34" s="485">
        <f>V19*V5*Covercrop!$E$5</f>
        <v>0</v>
      </c>
      <c r="W34" s="485">
        <f>W19*W5*Covercrop!$E$5</f>
        <v>34817.722396199999</v>
      </c>
      <c r="X34" s="485">
        <f>X19*X5*Covercrop!$E$5</f>
        <v>2284.51798775</v>
      </c>
      <c r="Y34" s="485">
        <f>Y19*Y5*Covercrop!$E$5</f>
        <v>0</v>
      </c>
      <c r="Z34" s="485">
        <f>Z19*Z5*Covercrop!$E$5</f>
        <v>8901.9525003500003</v>
      </c>
      <c r="AA34" s="485">
        <f>AA19*AA5*Covercrop!$E$5</f>
        <v>3514.40444751</v>
      </c>
      <c r="AB34" s="485">
        <f>AB19*AB5*Covercrop!$E$5</f>
        <v>33513.557089800001</v>
      </c>
      <c r="AC34" s="485">
        <f>AC19*AC5*Covercrop!$E$5</f>
        <v>0</v>
      </c>
      <c r="AD34" s="485">
        <f>AD19*AD5*Covercrop!$E$5</f>
        <v>53.575724756200003</v>
      </c>
      <c r="AE34" s="485">
        <f>AE19*AE5*Covercrop!$E$5</f>
        <v>6057.8804662299999</v>
      </c>
      <c r="AF34" s="485">
        <f>AF19*AF5*Covercrop!$E$5</f>
        <v>124.188003221</v>
      </c>
      <c r="AG34" s="485">
        <f>AG19*AG5*Covercrop!$E$5</f>
        <v>0</v>
      </c>
      <c r="AH34" s="485">
        <f>AH19*AH5*Covercrop!$E$5</f>
        <v>50482.4337027</v>
      </c>
      <c r="AI34" s="485">
        <f>AI19*AI5*Covercrop!$E$5</f>
        <v>1221.82030753</v>
      </c>
      <c r="AJ34" s="485">
        <f>AJ19*AJ5*Covercrop!$E$5</f>
        <v>44160.838244099999</v>
      </c>
      <c r="AK34" s="485">
        <f>AK19*AK5*Covercrop!$E$5</f>
        <v>0</v>
      </c>
      <c r="AL34" s="485">
        <f>AL19*AL5*Covercrop!$E$5</f>
        <v>64899.537034699999</v>
      </c>
      <c r="AM34" s="485">
        <f>AM19*AM5*Covercrop!$E$5</f>
        <v>1613.17087842</v>
      </c>
      <c r="AN34" s="485">
        <f>AN19*AN5*Covercrop!$E$5</f>
        <v>1673.23571393</v>
      </c>
      <c r="AP34" s="49">
        <f t="shared" si="5"/>
        <v>451340.54113349918</v>
      </c>
    </row>
    <row r="35" spans="1:49" s="112" customFormat="1" ht="15" x14ac:dyDescent="0.25">
      <c r="A35" s="484" t="s">
        <v>836</v>
      </c>
      <c r="B35" s="485">
        <f>(B14*Covercrop!$F$5+B16*Covercrop!$F$6+(B17+B18)*Covercrop!$F$7+(B23+B20)*Covercrop!$F$8)*B5</f>
        <v>124107.917536276</v>
      </c>
      <c r="C35" s="485">
        <f>(C14*Covercrop!$F$5+C16*Covercrop!$F$6+(C17+C18)*Covercrop!$F$7+(C23+C20)*Covercrop!$F$8)*C5</f>
        <v>5518.6041870125691</v>
      </c>
      <c r="D35" s="485">
        <f>(D14*Covercrop!$F$5+D16*Covercrop!$F$6+(D17+D18)*Covercrop!$F$7+(D23+D20)*Covercrop!$F$8)*D5</f>
        <v>24510.903179361696</v>
      </c>
      <c r="E35" s="485">
        <f>(E14*Covercrop!$F$5+E16*Covercrop!$F$6+(E17+E18)*Covercrop!$F$7+(E23+E20)*Covercrop!$F$8)*E5</f>
        <v>36960.679660967777</v>
      </c>
      <c r="F35" s="485">
        <f>(F14*Covercrop!$F$5+F16*Covercrop!$F$6+(F17+F18)*Covercrop!$F$7+(F23+F20)*Covercrop!$F$8)*F5</f>
        <v>20895.631657013426</v>
      </c>
      <c r="G35" s="485">
        <f>(G14*Covercrop!$F$5+G16*Covercrop!$F$6+(G17+G18)*Covercrop!$F$7+(G23+G20)*Covercrop!$F$8)*G5</f>
        <v>504.28825793481599</v>
      </c>
      <c r="H35" s="485">
        <f>(H14*Covercrop!$F$5+H16*Covercrop!$F$6+(H17+H18)*Covercrop!$F$7+(H23+H20)*Covercrop!$F$8)*H5</f>
        <v>38657.946283280064</v>
      </c>
      <c r="I35" s="485">
        <f>(I14*Covercrop!$F$5+I16*Covercrop!$F$6+(I17+I18)*Covercrop!$F$7+(I23+I20)*Covercrop!$F$8)*I5</f>
        <v>43763.712298114799</v>
      </c>
      <c r="J35" s="485">
        <f>(J14*Covercrop!$F$5+J16*Covercrop!$F$6+(J17+J18)*Covercrop!$F$7+(J23+J20)*Covercrop!$F$8)*J5</f>
        <v>32475.79317973353</v>
      </c>
      <c r="K35" s="485">
        <f>(K14*Covercrop!$F$5+K16*Covercrop!$F$6+(K17+K18)*Covercrop!$F$7+(K23+K20)*Covercrop!$F$8)*K5</f>
        <v>179716.76032145278</v>
      </c>
      <c r="L35" s="485">
        <f>(L14*Covercrop!$F$5+L16*Covercrop!$F$6+(L17+L18)*Covercrop!$F$7+(L23+L20)*Covercrop!$F$8)*L5</f>
        <v>3732.9258164213902</v>
      </c>
      <c r="M35" s="485">
        <f>(M14*Covercrop!$F$5+M16*Covercrop!$F$6+(M17+M18)*Covercrop!$F$7+(M23+M20)*Covercrop!$F$8)*M5</f>
        <v>102131.91856462772</v>
      </c>
      <c r="N35" s="485">
        <f>(N14*Covercrop!$F$5+N16*Covercrop!$F$6+(N17+N18)*Covercrop!$F$7+(N23+N20)*Covercrop!$F$8)*N5</f>
        <v>5545.5315785882258</v>
      </c>
      <c r="O35" s="485">
        <f>(O14*Covercrop!$F$5+O16*Covercrop!$F$6+(O17+O18)*Covercrop!$F$7+(O23+O20)*Covercrop!$F$8)*O5</f>
        <v>314084.48004492046</v>
      </c>
      <c r="P35" s="485">
        <f>(P14*Covercrop!$F$5+P16*Covercrop!$F$6+(P17+P18)*Covercrop!$F$7+(P23+P20)*Covercrop!$F$8)*P5</f>
        <v>10771.917954701545</v>
      </c>
      <c r="Q35" s="485">
        <f>(Q14*Covercrop!$F$5+Q16*Covercrop!$F$6+(Q17+Q18)*Covercrop!$F$7+(Q23+Q20)*Covercrop!$F$8)*Q5</f>
        <v>84073.371727884325</v>
      </c>
      <c r="R35" s="485">
        <f>(R14*Covercrop!$F$5+R16*Covercrop!$F$6+(R17+R18)*Covercrop!$F$7+(R23+R20)*Covercrop!$F$8)*R5</f>
        <v>89.702253528200004</v>
      </c>
      <c r="S35" s="485">
        <f>(S14*Covercrop!$F$5+S16*Covercrop!$F$6+(S17+S18)*Covercrop!$F$7+(S23+S20)*Covercrop!$F$8)*S5</f>
        <v>47241.851532358392</v>
      </c>
      <c r="T35" s="485">
        <f>(T14*Covercrop!$F$5+T16*Covercrop!$F$6+(T17+T18)*Covercrop!$F$7+(T23+T20)*Covercrop!$F$8)*T5</f>
        <v>105.42348853599999</v>
      </c>
      <c r="U35" s="485">
        <f>(U14*Covercrop!$F$5+U16*Covercrop!$F$6+(U17+U18)*Covercrop!$F$7+(U23+U20)*Covercrop!$F$8)*U5</f>
        <v>44833.435456858817</v>
      </c>
      <c r="V35" s="485">
        <f>(V14*Covercrop!$F$5+V16*Covercrop!$F$6+(V17+V18)*Covercrop!$F$7+(V23+V20)*Covercrop!$F$8)*V5</f>
        <v>225.9084950320667</v>
      </c>
      <c r="W35" s="485">
        <f>(W14*Covercrop!$F$5+W16*Covercrop!$F$6+(W17+W18)*Covercrop!$F$7+(W23+W20)*Covercrop!$F$8)*W5</f>
        <v>111746.03174728104</v>
      </c>
      <c r="X35" s="485">
        <f>(X14*Covercrop!$F$5+X16*Covercrop!$F$6+(X17+X18)*Covercrop!$F$7+(X23+X20)*Covercrop!$F$8)*X5</f>
        <v>17380.888751721865</v>
      </c>
      <c r="Y35" s="485">
        <f>(Y14*Covercrop!$F$5+Y16*Covercrop!$F$6+(Y17+Y18)*Covercrop!$F$7+(Y23+Y20)*Covercrop!$F$8)*Y5</f>
        <v>24818.464529792709</v>
      </c>
      <c r="Z35" s="485">
        <f>(Z14*Covercrop!$F$5+Z16*Covercrop!$F$6+(Z17+Z18)*Covercrop!$F$7+(Z23+Z20)*Covercrop!$F$8)*Z5</f>
        <v>73231.138386188963</v>
      </c>
      <c r="AA35" s="485">
        <f>(AA14*Covercrop!$F$5+AA16*Covercrop!$F$6+(AA17+AA18)*Covercrop!$F$7+(AA23+AA20)*Covercrop!$F$8)*AA5</f>
        <v>91669.123724352452</v>
      </c>
      <c r="AB35" s="485">
        <f>(AB14*Covercrop!$F$5+AB16*Covercrop!$F$6+(AB17+AB18)*Covercrop!$F$7+(AB23+AB20)*Covercrop!$F$8)*AB5</f>
        <v>188652.82992730307</v>
      </c>
      <c r="AC35" s="485">
        <f>(AC14*Covercrop!$F$5+AC16*Covercrop!$F$6+(AC17+AC18)*Covercrop!$F$7+(AC23+AC20)*Covercrop!$F$8)*AC5</f>
        <v>2384.1760072760112</v>
      </c>
      <c r="AD35" s="485">
        <f>(AD14*Covercrop!$F$5+AD16*Covercrop!$F$6+(AD17+AD18)*Covercrop!$F$7+(AD23+AD20)*Covercrop!$F$8)*AD5</f>
        <v>1101.6249855736633</v>
      </c>
      <c r="AE35" s="485">
        <f>(AE14*Covercrop!$F$5+AE16*Covercrop!$F$6+(AE17+AE18)*Covercrop!$F$7+(AE23+AE20)*Covercrop!$F$8)*AE5</f>
        <v>3511.3864409891075</v>
      </c>
      <c r="AF35" s="485">
        <f>(AF14*Covercrop!$F$5+AF16*Covercrop!$F$6+(AF17+AF18)*Covercrop!$F$7+(AF23+AF20)*Covercrop!$F$8)*AF5</f>
        <v>8471.715395574638</v>
      </c>
      <c r="AG35" s="485">
        <f>(AG14*Covercrop!$F$5+AG16*Covercrop!$F$6+(AG17+AG18)*Covercrop!$F$7+(AG23+AG20)*Covercrop!$F$8)*AG5</f>
        <v>1705.4805528634245</v>
      </c>
      <c r="AH35" s="485">
        <f>(AH14*Covercrop!$F$5+AH16*Covercrop!$F$6+(AH17+AH18)*Covercrop!$F$7+(AH23+AH20)*Covercrop!$F$8)*AH5</f>
        <v>110819.10264456236</v>
      </c>
      <c r="AI35" s="485">
        <f>(AI14*Covercrop!$F$5+AI16*Covercrop!$F$6+(AI17+AI18)*Covercrop!$F$7+(AI23+AI20)*Covercrop!$F$8)*AI5</f>
        <v>6180.8693687831455</v>
      </c>
      <c r="AJ35" s="485">
        <f>(AJ14*Covercrop!$F$5+AJ16*Covercrop!$F$6+(AJ17+AJ18)*Covercrop!$F$7+(AJ23+AJ20)*Covercrop!$F$8)*AJ5</f>
        <v>161498.94583485601</v>
      </c>
      <c r="AK35" s="485">
        <f>(AK14*Covercrop!$F$5+AK16*Covercrop!$F$6+(AK17+AK18)*Covercrop!$F$7+(AK23+AK20)*Covercrop!$F$8)*AK5</f>
        <v>17670.666547671157</v>
      </c>
      <c r="AL35" s="485">
        <f>(AL14*Covercrop!$F$5+AL16*Covercrop!$F$6+(AL17+AL18)*Covercrop!$F$7+(AL23+AL20)*Covercrop!$F$8)*AL5</f>
        <v>329918.49609942705</v>
      </c>
      <c r="AM35" s="485">
        <f>(AM14*Covercrop!$F$5+AM16*Covercrop!$F$6+(AM17+AM18)*Covercrop!$F$7+(AM23+AM20)*Covercrop!$F$8)*AM5</f>
        <v>23128.765969077875</v>
      </c>
      <c r="AN35" s="485">
        <f>(AN14*Covercrop!$F$5+AN16*Covercrop!$F$6+(AN17+AN18)*Covercrop!$F$7+(AN23+AN20)*Covercrop!$F$8)*AN5</f>
        <v>30909.846945278492</v>
      </c>
      <c r="AP35" s="49">
        <f t="shared" si="5"/>
        <v>2324748.2573331771</v>
      </c>
    </row>
    <row r="36" spans="1:49" s="112" customFormat="1" ht="15" x14ac:dyDescent="0.25">
      <c r="A36" s="484"/>
      <c r="B36" s="485"/>
      <c r="C36" s="485"/>
      <c r="D36" s="485"/>
      <c r="E36" s="485"/>
      <c r="F36" s="485"/>
      <c r="G36" s="485"/>
      <c r="H36" s="485"/>
      <c r="I36" s="485"/>
      <c r="J36" s="485"/>
      <c r="K36" s="485"/>
      <c r="L36" s="485"/>
      <c r="M36" s="485"/>
      <c r="N36" s="485"/>
      <c r="O36" s="485"/>
      <c r="P36" s="485"/>
      <c r="Q36" s="485"/>
      <c r="R36" s="485"/>
      <c r="S36" s="485"/>
      <c r="T36" s="485"/>
      <c r="U36" s="485"/>
      <c r="V36" s="485"/>
      <c r="W36" s="485"/>
      <c r="X36" s="485"/>
      <c r="Y36" s="485"/>
      <c r="Z36" s="485"/>
      <c r="AA36" s="485"/>
      <c r="AB36" s="485"/>
      <c r="AC36" s="485"/>
      <c r="AD36" s="485"/>
      <c r="AE36" s="485"/>
      <c r="AF36" s="485"/>
      <c r="AG36" s="485"/>
      <c r="AH36" s="485"/>
      <c r="AI36" s="485"/>
      <c r="AJ36" s="485"/>
      <c r="AK36" s="485"/>
      <c r="AL36" s="485"/>
      <c r="AM36" s="485"/>
      <c r="AN36" s="485"/>
      <c r="AP36" s="49"/>
    </row>
    <row r="37" spans="1:49" s="112" customFormat="1" ht="15" x14ac:dyDescent="0.25">
      <c r="A37" s="484"/>
      <c r="B37" s="485"/>
      <c r="C37" s="486"/>
      <c r="D37" s="485"/>
      <c r="E37" s="485"/>
      <c r="F37" s="485"/>
      <c r="G37" s="485"/>
      <c r="H37" s="485"/>
      <c r="I37" s="485"/>
      <c r="J37" s="485"/>
      <c r="K37" s="485"/>
      <c r="L37" s="485"/>
      <c r="M37" s="485"/>
      <c r="N37" s="485"/>
      <c r="O37" s="485"/>
      <c r="P37" s="485"/>
      <c r="Q37" s="485"/>
      <c r="R37" s="485"/>
      <c r="S37" s="485"/>
      <c r="T37" s="485"/>
      <c r="U37" s="485"/>
      <c r="V37" s="485"/>
      <c r="W37" s="485"/>
      <c r="X37" s="485"/>
      <c r="Y37" s="485"/>
      <c r="Z37" s="485"/>
      <c r="AA37" s="485"/>
      <c r="AB37" s="485"/>
      <c r="AC37" s="485"/>
      <c r="AD37" s="485"/>
      <c r="AE37" s="485"/>
      <c r="AF37" s="485"/>
      <c r="AG37" s="485"/>
      <c r="AH37" s="485"/>
      <c r="AI37" s="485"/>
      <c r="AJ37" s="485"/>
      <c r="AK37" s="485"/>
      <c r="AL37" s="485"/>
      <c r="AM37" s="485"/>
      <c r="AN37" s="485"/>
    </row>
    <row r="38" spans="1:49" s="451" customFormat="1" ht="15" x14ac:dyDescent="0.25">
      <c r="A38" s="451" t="s">
        <v>355</v>
      </c>
      <c r="B38" s="455">
        <f>B118</f>
        <v>1183611.8269754262</v>
      </c>
      <c r="C38" s="455">
        <f t="shared" ref="C38:AN38" si="9">C118</f>
        <v>95754.758676922065</v>
      </c>
      <c r="D38" s="455">
        <f t="shared" si="9"/>
        <v>384363.31644598173</v>
      </c>
      <c r="E38" s="455">
        <f t="shared" si="9"/>
        <v>526499.4754478957</v>
      </c>
      <c r="F38" s="455">
        <f t="shared" si="9"/>
        <v>1087765.8836466994</v>
      </c>
      <c r="G38" s="455">
        <f t="shared" si="9"/>
        <v>21773.538325770438</v>
      </c>
      <c r="H38" s="455">
        <f t="shared" si="9"/>
        <v>476975.34015582805</v>
      </c>
      <c r="I38" s="455">
        <f t="shared" si="9"/>
        <v>1782881.9850823712</v>
      </c>
      <c r="J38" s="455">
        <f t="shared" si="9"/>
        <v>458429.57002898154</v>
      </c>
      <c r="K38" s="455">
        <f t="shared" si="9"/>
        <v>819176.20611457271</v>
      </c>
      <c r="L38" s="455">
        <f t="shared" si="9"/>
        <v>49840.38319707138</v>
      </c>
      <c r="M38" s="455">
        <f t="shared" si="9"/>
        <v>264659.08028609783</v>
      </c>
      <c r="N38" s="455">
        <f t="shared" si="9"/>
        <v>769733.41808108834</v>
      </c>
      <c r="O38" s="455">
        <f t="shared" si="9"/>
        <v>828673.71056960034</v>
      </c>
      <c r="P38" s="455">
        <f t="shared" si="9"/>
        <v>241824.56323169585</v>
      </c>
      <c r="Q38" s="455">
        <f t="shared" si="9"/>
        <v>246814.27028150437</v>
      </c>
      <c r="R38" s="455">
        <f t="shared" si="9"/>
        <v>4285.7491912003497</v>
      </c>
      <c r="S38" s="455">
        <f t="shared" si="9"/>
        <v>178246.72078017835</v>
      </c>
      <c r="T38" s="455">
        <f t="shared" si="9"/>
        <v>6495.4972264639991</v>
      </c>
      <c r="U38" s="455">
        <f t="shared" si="9"/>
        <v>106361.17112664782</v>
      </c>
      <c r="V38" s="455">
        <f t="shared" si="9"/>
        <v>64243.015453628861</v>
      </c>
      <c r="W38" s="455">
        <f t="shared" si="9"/>
        <v>534860.91880764207</v>
      </c>
      <c r="X38" s="455">
        <f t="shared" si="9"/>
        <v>72691.488463081871</v>
      </c>
      <c r="Y38" s="455">
        <f t="shared" si="9"/>
        <v>578435.98666543269</v>
      </c>
      <c r="Z38" s="455">
        <f t="shared" si="9"/>
        <v>1740522.0190968888</v>
      </c>
      <c r="AA38" s="455">
        <f t="shared" si="9"/>
        <v>310501.91638817242</v>
      </c>
      <c r="AB38" s="455">
        <f t="shared" si="9"/>
        <v>1118256.768589003</v>
      </c>
      <c r="AC38" s="455">
        <f t="shared" si="9"/>
        <v>46608.093375328019</v>
      </c>
      <c r="AD38" s="455">
        <f t="shared" si="9"/>
        <v>54441.211277657254</v>
      </c>
      <c r="AE38" s="455">
        <f t="shared" si="9"/>
        <v>65663.160762143409</v>
      </c>
      <c r="AF38" s="455">
        <f t="shared" si="9"/>
        <v>130947.11348153767</v>
      </c>
      <c r="AG38" s="455">
        <f t="shared" si="9"/>
        <v>25765.81148644643</v>
      </c>
      <c r="AH38" s="455">
        <f t="shared" si="9"/>
        <v>1340660.9713842301</v>
      </c>
      <c r="AI38" s="455">
        <f t="shared" si="9"/>
        <v>128358.10151161565</v>
      </c>
      <c r="AJ38" s="455">
        <f t="shared" si="9"/>
        <v>574366.93169227603</v>
      </c>
      <c r="AK38" s="455">
        <f t="shared" si="9"/>
        <v>522509.10459876515</v>
      </c>
      <c r="AL38" s="455">
        <f t="shared" si="9"/>
        <v>1064528.7062601971</v>
      </c>
      <c r="AM38" s="455">
        <f t="shared" si="9"/>
        <v>790004.66459855298</v>
      </c>
      <c r="AN38" s="455">
        <f t="shared" si="9"/>
        <v>949734.58489426761</v>
      </c>
      <c r="AP38" s="49">
        <f t="shared" ref="AP38:AP69" si="10">SUM(B38:AN38)</f>
        <v>19647267.033658866</v>
      </c>
      <c r="AT38" s="49" t="str">
        <f t="shared" ref="AT38:AT69" si="11">A38</f>
        <v>Statewide</v>
      </c>
      <c r="AU38" s="456">
        <v>1</v>
      </c>
      <c r="AV38" s="49"/>
      <c r="AW38" s="456">
        <v>1</v>
      </c>
    </row>
    <row r="39" spans="1:49" ht="15" x14ac:dyDescent="0.25">
      <c r="A39" s="116" t="s">
        <v>354</v>
      </c>
      <c r="B39" s="789">
        <v>82.154627308716599</v>
      </c>
      <c r="C39" s="789">
        <v>0</v>
      </c>
      <c r="D39" s="789">
        <v>0</v>
      </c>
      <c r="E39" s="789">
        <v>0</v>
      </c>
      <c r="F39" s="789">
        <v>0</v>
      </c>
      <c r="G39" s="789">
        <v>0</v>
      </c>
      <c r="H39" s="789">
        <v>0</v>
      </c>
      <c r="I39" s="789">
        <v>2893.9401610114842</v>
      </c>
      <c r="J39" s="789">
        <v>0</v>
      </c>
      <c r="K39" s="789">
        <v>0</v>
      </c>
      <c r="L39" s="789">
        <v>0</v>
      </c>
      <c r="M39" s="789">
        <v>0</v>
      </c>
      <c r="N39" s="789">
        <v>0</v>
      </c>
      <c r="O39" s="789">
        <v>0</v>
      </c>
      <c r="P39" s="789">
        <v>0</v>
      </c>
      <c r="Q39" s="789">
        <v>0</v>
      </c>
      <c r="R39" s="789">
        <v>0</v>
      </c>
      <c r="S39" s="789">
        <v>0</v>
      </c>
      <c r="T39" s="789">
        <v>0</v>
      </c>
      <c r="U39" s="789">
        <v>0</v>
      </c>
      <c r="V39" s="789">
        <v>0</v>
      </c>
      <c r="W39" s="789">
        <v>0</v>
      </c>
      <c r="X39" s="789">
        <v>0</v>
      </c>
      <c r="Y39" s="789">
        <v>0</v>
      </c>
      <c r="Z39" s="789">
        <v>109965.68624712137</v>
      </c>
      <c r="AA39" s="789">
        <v>0</v>
      </c>
      <c r="AB39" s="789">
        <v>0</v>
      </c>
      <c r="AC39" s="789">
        <v>0</v>
      </c>
      <c r="AD39" s="789">
        <v>39045.784544024187</v>
      </c>
      <c r="AE39" s="789">
        <v>0</v>
      </c>
      <c r="AF39" s="789">
        <v>0</v>
      </c>
      <c r="AG39" s="789">
        <v>0</v>
      </c>
      <c r="AH39" s="789">
        <v>0</v>
      </c>
      <c r="AI39" s="789">
        <v>0</v>
      </c>
      <c r="AJ39" s="789">
        <v>0</v>
      </c>
      <c r="AK39" s="789">
        <v>0</v>
      </c>
      <c r="AL39" s="789">
        <v>0</v>
      </c>
      <c r="AM39" s="789">
        <v>288382.80891295959</v>
      </c>
      <c r="AN39" s="789">
        <v>201878.11529743019</v>
      </c>
      <c r="AO39" s="111"/>
      <c r="AP39" s="111">
        <f t="shared" si="10"/>
        <v>642248.48978985555</v>
      </c>
      <c r="AT39" t="str">
        <f t="shared" si="11"/>
        <v>Blue Earth River</v>
      </c>
      <c r="AU39" s="113">
        <v>2</v>
      </c>
      <c r="AV39"/>
      <c r="AW39" s="113">
        <v>10</v>
      </c>
    </row>
    <row r="40" spans="1:49" ht="15" x14ac:dyDescent="0.25">
      <c r="A40" s="116" t="s">
        <v>353</v>
      </c>
      <c r="B40" s="789">
        <v>13.271132103715759</v>
      </c>
      <c r="C40" s="789">
        <v>0</v>
      </c>
      <c r="D40" s="789">
        <v>0</v>
      </c>
      <c r="E40" s="789">
        <v>0</v>
      </c>
      <c r="F40" s="789">
        <v>0</v>
      </c>
      <c r="G40" s="789">
        <v>0</v>
      </c>
      <c r="H40" s="789">
        <v>0</v>
      </c>
      <c r="I40" s="789">
        <v>0</v>
      </c>
      <c r="J40" s="789">
        <v>0</v>
      </c>
      <c r="K40" s="789">
        <v>36393.894891058058</v>
      </c>
      <c r="L40" s="789">
        <v>0</v>
      </c>
      <c r="M40" s="789">
        <v>0</v>
      </c>
      <c r="N40" s="789">
        <v>0</v>
      </c>
      <c r="O40" s="789">
        <v>17711.173238597537</v>
      </c>
      <c r="P40" s="789">
        <v>0</v>
      </c>
      <c r="Q40" s="789">
        <v>0</v>
      </c>
      <c r="R40" s="789">
        <v>0</v>
      </c>
      <c r="S40" s="789">
        <v>0</v>
      </c>
      <c r="T40" s="789">
        <v>0</v>
      </c>
      <c r="U40" s="789">
        <v>0</v>
      </c>
      <c r="V40" s="789">
        <v>0</v>
      </c>
      <c r="W40" s="789">
        <v>218959.0207331175</v>
      </c>
      <c r="X40" s="789">
        <v>0</v>
      </c>
      <c r="Y40" s="789">
        <v>0</v>
      </c>
      <c r="Z40" s="789">
        <v>0</v>
      </c>
      <c r="AA40" s="789">
        <v>0</v>
      </c>
      <c r="AB40" s="789">
        <v>0</v>
      </c>
      <c r="AC40" s="789">
        <v>0</v>
      </c>
      <c r="AD40" s="789">
        <v>0</v>
      </c>
      <c r="AE40" s="789">
        <v>0</v>
      </c>
      <c r="AF40" s="789">
        <v>0</v>
      </c>
      <c r="AG40" s="789">
        <v>0</v>
      </c>
      <c r="AH40" s="789">
        <v>737.61569743786811</v>
      </c>
      <c r="AI40" s="789">
        <v>0</v>
      </c>
      <c r="AJ40" s="789">
        <v>1636.3992839873497</v>
      </c>
      <c r="AK40" s="789">
        <v>0</v>
      </c>
      <c r="AL40" s="789">
        <v>17024.698300035732</v>
      </c>
      <c r="AM40" s="789">
        <v>0</v>
      </c>
      <c r="AN40" s="789">
        <v>0</v>
      </c>
      <c r="AO40" s="111"/>
      <c r="AP40" s="111">
        <f t="shared" si="10"/>
        <v>292476.0732763377</v>
      </c>
      <c r="AT40" t="str">
        <f t="shared" si="11"/>
        <v>Bois de Sioux River</v>
      </c>
      <c r="AU40" s="113">
        <v>3</v>
      </c>
      <c r="AV40"/>
      <c r="AW40" s="113">
        <v>55</v>
      </c>
    </row>
    <row r="41" spans="1:49" ht="15" x14ac:dyDescent="0.25">
      <c r="A41" s="116" t="s">
        <v>352</v>
      </c>
      <c r="B41" s="789">
        <v>0</v>
      </c>
      <c r="C41" s="789">
        <v>0</v>
      </c>
      <c r="D41" s="789">
        <v>0</v>
      </c>
      <c r="E41" s="789">
        <v>0</v>
      </c>
      <c r="F41" s="789">
        <v>0</v>
      </c>
      <c r="G41" s="789">
        <v>0</v>
      </c>
      <c r="H41" s="789">
        <v>0</v>
      </c>
      <c r="I41" s="789">
        <v>0</v>
      </c>
      <c r="J41" s="789">
        <v>0</v>
      </c>
      <c r="K41" s="789">
        <v>152694.91645004795</v>
      </c>
      <c r="L41" s="789">
        <v>0</v>
      </c>
      <c r="M41" s="789">
        <v>3918.4894618869316</v>
      </c>
      <c r="N41" s="789">
        <v>0</v>
      </c>
      <c r="O41" s="789">
        <v>91934.424516152489</v>
      </c>
      <c r="P41" s="789">
        <v>0</v>
      </c>
      <c r="Q41" s="789">
        <v>21770.017915358014</v>
      </c>
      <c r="R41" s="789">
        <v>0</v>
      </c>
      <c r="S41" s="789">
        <v>119.91158401426208</v>
      </c>
      <c r="T41" s="789">
        <v>0</v>
      </c>
      <c r="U41" s="789">
        <v>0</v>
      </c>
      <c r="V41" s="789">
        <v>0</v>
      </c>
      <c r="W41" s="789">
        <v>48759.255411236772</v>
      </c>
      <c r="X41" s="789">
        <v>0</v>
      </c>
      <c r="Y41" s="789">
        <v>0</v>
      </c>
      <c r="Z41" s="789">
        <v>0</v>
      </c>
      <c r="AA41" s="789">
        <v>0</v>
      </c>
      <c r="AB41" s="789">
        <v>48370.478349750541</v>
      </c>
      <c r="AC41" s="789">
        <v>0</v>
      </c>
      <c r="AD41" s="789">
        <v>0</v>
      </c>
      <c r="AE41" s="789">
        <v>0</v>
      </c>
      <c r="AF41" s="789">
        <v>0</v>
      </c>
      <c r="AG41" s="789">
        <v>0</v>
      </c>
      <c r="AH41" s="789">
        <v>0</v>
      </c>
      <c r="AI41" s="789">
        <v>0</v>
      </c>
      <c r="AJ41" s="789">
        <v>12416.433994507159</v>
      </c>
      <c r="AK41" s="789">
        <v>0</v>
      </c>
      <c r="AL41" s="789">
        <v>60498.81675572005</v>
      </c>
      <c r="AM41" s="789">
        <v>0</v>
      </c>
      <c r="AN41" s="789">
        <v>0</v>
      </c>
      <c r="AO41" s="111"/>
      <c r="AP41" s="111">
        <f t="shared" si="10"/>
        <v>440482.74443867418</v>
      </c>
      <c r="AT41" t="str">
        <f t="shared" si="11"/>
        <v>Buffalo River</v>
      </c>
      <c r="AU41" s="113">
        <v>4</v>
      </c>
      <c r="AV41"/>
      <c r="AW41" s="113">
        <v>59</v>
      </c>
    </row>
    <row r="42" spans="1:49" ht="15" x14ac:dyDescent="0.25">
      <c r="A42" s="116" t="s">
        <v>351</v>
      </c>
      <c r="B42" s="789">
        <v>66664.688308993907</v>
      </c>
      <c r="C42" s="789">
        <v>0</v>
      </c>
      <c r="D42" s="789">
        <v>37565.847196275048</v>
      </c>
      <c r="E42" s="789">
        <v>0</v>
      </c>
      <c r="F42" s="789">
        <v>0</v>
      </c>
      <c r="G42" s="789">
        <v>0</v>
      </c>
      <c r="H42" s="789">
        <v>0</v>
      </c>
      <c r="I42" s="789">
        <v>0</v>
      </c>
      <c r="J42" s="789">
        <v>0</v>
      </c>
      <c r="K42" s="789">
        <v>0</v>
      </c>
      <c r="L42" s="789">
        <v>0</v>
      </c>
      <c r="M42" s="789">
        <v>0</v>
      </c>
      <c r="N42" s="789">
        <v>0</v>
      </c>
      <c r="O42" s="789">
        <v>0</v>
      </c>
      <c r="P42" s="789">
        <v>745.18155849300126</v>
      </c>
      <c r="Q42" s="789">
        <v>0</v>
      </c>
      <c r="R42" s="789">
        <v>0</v>
      </c>
      <c r="S42" s="789">
        <v>0</v>
      </c>
      <c r="T42" s="789">
        <v>0</v>
      </c>
      <c r="U42" s="789">
        <v>0</v>
      </c>
      <c r="V42" s="789">
        <v>0</v>
      </c>
      <c r="W42" s="789">
        <v>0</v>
      </c>
      <c r="X42" s="789">
        <v>0</v>
      </c>
      <c r="Y42" s="789">
        <v>36048.478069283272</v>
      </c>
      <c r="Z42" s="789">
        <v>385023.04543164157</v>
      </c>
      <c r="AA42" s="789">
        <v>0</v>
      </c>
      <c r="AB42" s="789">
        <v>0</v>
      </c>
      <c r="AC42" s="789">
        <v>0</v>
      </c>
      <c r="AD42" s="789">
        <v>0</v>
      </c>
      <c r="AE42" s="789">
        <v>0</v>
      </c>
      <c r="AF42" s="789">
        <v>164.9320320574042</v>
      </c>
      <c r="AG42" s="789">
        <v>4258.5260540854442</v>
      </c>
      <c r="AH42" s="789">
        <v>0</v>
      </c>
      <c r="AI42" s="789">
        <v>0</v>
      </c>
      <c r="AJ42" s="789">
        <v>0</v>
      </c>
      <c r="AK42" s="789">
        <v>17138.114887323165</v>
      </c>
      <c r="AL42" s="789">
        <v>0</v>
      </c>
      <c r="AM42" s="789">
        <v>0</v>
      </c>
      <c r="AN42" s="789">
        <v>0</v>
      </c>
      <c r="AO42" s="111"/>
      <c r="AP42" s="111">
        <f t="shared" si="10"/>
        <v>547608.81353815284</v>
      </c>
      <c r="AT42" t="str">
        <f t="shared" si="11"/>
        <v>Cannon River</v>
      </c>
      <c r="AU42" s="113">
        <v>5</v>
      </c>
      <c r="AV42"/>
      <c r="AW42" s="113">
        <v>14</v>
      </c>
    </row>
    <row r="43" spans="1:49" ht="15" x14ac:dyDescent="0.25">
      <c r="A43" s="116" t="s">
        <v>350</v>
      </c>
      <c r="B43" s="789">
        <v>54508.752607771326</v>
      </c>
      <c r="C43" s="789">
        <v>0</v>
      </c>
      <c r="D43" s="789">
        <v>0</v>
      </c>
      <c r="E43" s="789">
        <v>0</v>
      </c>
      <c r="F43" s="789">
        <v>0</v>
      </c>
      <c r="G43" s="789">
        <v>0</v>
      </c>
      <c r="H43" s="789">
        <v>0</v>
      </c>
      <c r="I43" s="789">
        <v>0</v>
      </c>
      <c r="J43" s="789">
        <v>0</v>
      </c>
      <c r="K43" s="789">
        <v>0</v>
      </c>
      <c r="L43" s="789">
        <v>0</v>
      </c>
      <c r="M43" s="789">
        <v>0</v>
      </c>
      <c r="N43" s="789">
        <v>0</v>
      </c>
      <c r="O43" s="789">
        <v>0</v>
      </c>
      <c r="P43" s="789">
        <v>128497.56781073484</v>
      </c>
      <c r="Q43" s="789">
        <v>0</v>
      </c>
      <c r="R43" s="789">
        <v>0</v>
      </c>
      <c r="S43" s="789">
        <v>0</v>
      </c>
      <c r="T43" s="789">
        <v>0</v>
      </c>
      <c r="U43" s="789">
        <v>0</v>
      </c>
      <c r="V43" s="789">
        <v>0</v>
      </c>
      <c r="W43" s="789">
        <v>0</v>
      </c>
      <c r="X43" s="789">
        <v>0</v>
      </c>
      <c r="Y43" s="789">
        <v>0</v>
      </c>
      <c r="Z43" s="789">
        <v>91766.219446614268</v>
      </c>
      <c r="AA43" s="789">
        <v>0</v>
      </c>
      <c r="AB43" s="789">
        <v>0</v>
      </c>
      <c r="AC43" s="789">
        <v>0</v>
      </c>
      <c r="AD43" s="789">
        <v>0</v>
      </c>
      <c r="AE43" s="789">
        <v>0</v>
      </c>
      <c r="AF43" s="789">
        <v>0</v>
      </c>
      <c r="AG43" s="789">
        <v>0</v>
      </c>
      <c r="AH43" s="789">
        <v>0</v>
      </c>
      <c r="AI43" s="789">
        <v>0</v>
      </c>
      <c r="AJ43" s="789">
        <v>0</v>
      </c>
      <c r="AK43" s="789">
        <v>87943.688505741418</v>
      </c>
      <c r="AL43" s="789">
        <v>0</v>
      </c>
      <c r="AM43" s="789">
        <v>0</v>
      </c>
      <c r="AN43" s="789">
        <v>0</v>
      </c>
      <c r="AO43" s="111"/>
      <c r="AP43" s="111">
        <f t="shared" si="10"/>
        <v>362716.22837086185</v>
      </c>
      <c r="AT43" t="str">
        <f t="shared" si="11"/>
        <v>Cedar River</v>
      </c>
      <c r="AU43" s="113">
        <v>6</v>
      </c>
      <c r="AV43"/>
      <c r="AW43" s="113">
        <v>17</v>
      </c>
    </row>
    <row r="44" spans="1:49" ht="15" x14ac:dyDescent="0.25">
      <c r="A44" s="116" t="s">
        <v>349</v>
      </c>
      <c r="B44" s="789">
        <v>148444.77477833896</v>
      </c>
      <c r="C44" s="789">
        <v>0</v>
      </c>
      <c r="D44" s="789">
        <v>0</v>
      </c>
      <c r="E44" s="789">
        <v>342.13867439781097</v>
      </c>
      <c r="F44" s="789">
        <v>0</v>
      </c>
      <c r="G44" s="789">
        <v>0</v>
      </c>
      <c r="H44" s="789">
        <v>0</v>
      </c>
      <c r="I44" s="789">
        <v>0</v>
      </c>
      <c r="J44" s="789">
        <v>210850.2736656334</v>
      </c>
      <c r="K44" s="789">
        <v>0</v>
      </c>
      <c r="L44" s="789">
        <v>0</v>
      </c>
      <c r="M44" s="789">
        <v>0</v>
      </c>
      <c r="N44" s="789">
        <v>0</v>
      </c>
      <c r="O44" s="789">
        <v>0</v>
      </c>
      <c r="P44" s="789">
        <v>0</v>
      </c>
      <c r="Q44" s="789">
        <v>0</v>
      </c>
      <c r="R44" s="789">
        <v>0</v>
      </c>
      <c r="S44" s="789">
        <v>0</v>
      </c>
      <c r="T44" s="789">
        <v>0</v>
      </c>
      <c r="U44" s="789">
        <v>0</v>
      </c>
      <c r="V44" s="789">
        <v>0</v>
      </c>
      <c r="W44" s="789">
        <v>0</v>
      </c>
      <c r="X44" s="789">
        <v>0</v>
      </c>
      <c r="Y44" s="789">
        <v>0</v>
      </c>
      <c r="Z44" s="789">
        <v>0</v>
      </c>
      <c r="AA44" s="789">
        <v>0</v>
      </c>
      <c r="AB44" s="789">
        <v>296722.91239175526</v>
      </c>
      <c r="AC44" s="789">
        <v>0</v>
      </c>
      <c r="AD44" s="789">
        <v>0</v>
      </c>
      <c r="AE44" s="789">
        <v>5645.8829396596693</v>
      </c>
      <c r="AF44" s="789">
        <v>0</v>
      </c>
      <c r="AG44" s="789">
        <v>0</v>
      </c>
      <c r="AH44" s="789">
        <v>157798.84379743255</v>
      </c>
      <c r="AI44" s="789">
        <v>12233.710142407625</v>
      </c>
      <c r="AJ44" s="789">
        <v>0</v>
      </c>
      <c r="AK44" s="789">
        <v>0</v>
      </c>
      <c r="AL44" s="789">
        <v>0</v>
      </c>
      <c r="AM44" s="789">
        <v>0</v>
      </c>
      <c r="AN44" s="789">
        <v>0</v>
      </c>
      <c r="AO44" s="111"/>
      <c r="AP44" s="111">
        <f t="shared" si="10"/>
        <v>832038.53638962517</v>
      </c>
      <c r="AT44" t="str">
        <f t="shared" si="11"/>
        <v>Chippewa River</v>
      </c>
      <c r="AU44" s="113">
        <v>7</v>
      </c>
      <c r="AV44"/>
      <c r="AW44" s="113">
        <v>7</v>
      </c>
    </row>
    <row r="45" spans="1:49" ht="15" x14ac:dyDescent="0.25">
      <c r="A45" s="116" t="s">
        <v>348</v>
      </c>
      <c r="B45" s="789">
        <v>32.651198032951463</v>
      </c>
      <c r="C45" s="789">
        <v>0</v>
      </c>
      <c r="D45" s="789">
        <v>0</v>
      </c>
      <c r="E45" s="789">
        <v>0</v>
      </c>
      <c r="F45" s="789">
        <v>0</v>
      </c>
      <c r="G45" s="789">
        <v>0</v>
      </c>
      <c r="H45" s="789">
        <v>0</v>
      </c>
      <c r="I45" s="789">
        <v>0</v>
      </c>
      <c r="J45" s="789">
        <v>0</v>
      </c>
      <c r="K45" s="789">
        <v>79127.383994528791</v>
      </c>
      <c r="L45" s="789">
        <v>0</v>
      </c>
      <c r="M45" s="789">
        <v>63456.084355785009</v>
      </c>
      <c r="N45" s="789">
        <v>0</v>
      </c>
      <c r="O45" s="789">
        <v>64296.195526573945</v>
      </c>
      <c r="P45" s="789">
        <v>0</v>
      </c>
      <c r="Q45" s="789">
        <v>9188.8820936822121</v>
      </c>
      <c r="R45" s="789">
        <v>0</v>
      </c>
      <c r="S45" s="789">
        <v>12375.984784485196</v>
      </c>
      <c r="T45" s="789">
        <v>0</v>
      </c>
      <c r="U45" s="789">
        <v>0</v>
      </c>
      <c r="V45" s="789">
        <v>0</v>
      </c>
      <c r="W45" s="789">
        <v>0</v>
      </c>
      <c r="X45" s="789">
        <v>40981.108842393558</v>
      </c>
      <c r="Y45" s="789">
        <v>0</v>
      </c>
      <c r="Z45" s="789">
        <v>0</v>
      </c>
      <c r="AA45" s="789">
        <v>0</v>
      </c>
      <c r="AB45" s="789">
        <v>38370.520929846549</v>
      </c>
      <c r="AC45" s="789">
        <v>0</v>
      </c>
      <c r="AD45" s="789">
        <v>0</v>
      </c>
      <c r="AE45" s="789">
        <v>0</v>
      </c>
      <c r="AF45" s="789">
        <v>0</v>
      </c>
      <c r="AG45" s="789">
        <v>0</v>
      </c>
      <c r="AH45" s="789">
        <v>0</v>
      </c>
      <c r="AI45" s="789">
        <v>0</v>
      </c>
      <c r="AJ45" s="789">
        <v>0</v>
      </c>
      <c r="AK45" s="789">
        <v>0</v>
      </c>
      <c r="AL45" s="789">
        <v>89778.384611792324</v>
      </c>
      <c r="AM45" s="789">
        <v>0</v>
      </c>
      <c r="AN45" s="789">
        <v>0</v>
      </c>
      <c r="AO45" s="111"/>
      <c r="AP45" s="111">
        <f t="shared" si="10"/>
        <v>397607.19633712055</v>
      </c>
      <c r="AT45" t="str">
        <f t="shared" si="11"/>
        <v>Clearwater River</v>
      </c>
      <c r="AU45" s="113">
        <v>8</v>
      </c>
      <c r="AV45"/>
      <c r="AW45" s="113">
        <v>66</v>
      </c>
    </row>
    <row r="46" spans="1:49" ht="15" x14ac:dyDescent="0.25">
      <c r="A46" s="116" t="s">
        <v>347</v>
      </c>
      <c r="B46" s="789">
        <v>87.631602462631051</v>
      </c>
      <c r="C46" s="789">
        <v>0</v>
      </c>
      <c r="D46" s="789">
        <v>0</v>
      </c>
      <c r="E46" s="789">
        <v>0</v>
      </c>
      <c r="F46" s="789">
        <v>0</v>
      </c>
      <c r="G46" s="789">
        <v>0</v>
      </c>
      <c r="H46" s="789">
        <v>0</v>
      </c>
      <c r="I46" s="789">
        <v>0</v>
      </c>
      <c r="J46" s="789">
        <v>0</v>
      </c>
      <c r="K46" s="789">
        <v>0</v>
      </c>
      <c r="L46" s="789">
        <v>0</v>
      </c>
      <c r="M46" s="789">
        <v>0</v>
      </c>
      <c r="N46" s="789">
        <v>0</v>
      </c>
      <c r="O46" s="789">
        <v>0</v>
      </c>
      <c r="P46" s="789">
        <v>0</v>
      </c>
      <c r="Q46" s="789">
        <v>0</v>
      </c>
      <c r="R46" s="789">
        <v>0</v>
      </c>
      <c r="S46" s="789">
        <v>241.40790261902106</v>
      </c>
      <c r="T46" s="789">
        <v>4974.4741698146299</v>
      </c>
      <c r="U46" s="789">
        <v>0</v>
      </c>
      <c r="V46" s="789">
        <v>0</v>
      </c>
      <c r="W46" s="789">
        <v>0</v>
      </c>
      <c r="X46" s="789">
        <v>0</v>
      </c>
      <c r="Y46" s="789">
        <v>0</v>
      </c>
      <c r="Z46" s="789">
        <v>0</v>
      </c>
      <c r="AA46" s="789">
        <v>24.198327889206602</v>
      </c>
      <c r="AB46" s="789">
        <v>0</v>
      </c>
      <c r="AC46" s="789">
        <v>0</v>
      </c>
      <c r="AD46" s="789">
        <v>0</v>
      </c>
      <c r="AE46" s="789">
        <v>0</v>
      </c>
      <c r="AF46" s="789">
        <v>0</v>
      </c>
      <c r="AG46" s="789">
        <v>0</v>
      </c>
      <c r="AH46" s="789">
        <v>0</v>
      </c>
      <c r="AI46" s="789">
        <v>0</v>
      </c>
      <c r="AJ46" s="789">
        <v>0</v>
      </c>
      <c r="AK46" s="789">
        <v>0</v>
      </c>
      <c r="AL46" s="789">
        <v>0</v>
      </c>
      <c r="AM46" s="789">
        <v>0</v>
      </c>
      <c r="AN46" s="789">
        <v>0</v>
      </c>
      <c r="AO46" s="111"/>
      <c r="AP46" s="111">
        <f t="shared" si="10"/>
        <v>5327.7120027854889</v>
      </c>
      <c r="AT46" t="str">
        <f t="shared" si="11"/>
        <v>Cloquet River</v>
      </c>
      <c r="AU46" s="113">
        <v>9</v>
      </c>
      <c r="AV46"/>
      <c r="AW46" s="113">
        <v>22</v>
      </c>
    </row>
    <row r="47" spans="1:49" ht="15" x14ac:dyDescent="0.25">
      <c r="A47" s="116" t="s">
        <v>346</v>
      </c>
      <c r="B47" s="789">
        <v>13979.768427476072</v>
      </c>
      <c r="C47" s="789">
        <v>0</v>
      </c>
      <c r="D47" s="789">
        <v>0</v>
      </c>
      <c r="E47" s="789">
        <v>0</v>
      </c>
      <c r="F47" s="789">
        <v>256837.87660954491</v>
      </c>
      <c r="G47" s="789">
        <v>0</v>
      </c>
      <c r="H47" s="789">
        <v>0</v>
      </c>
      <c r="I47" s="789">
        <v>331470.39189020317</v>
      </c>
      <c r="J47" s="789">
        <v>0</v>
      </c>
      <c r="K47" s="789">
        <v>0</v>
      </c>
      <c r="L47" s="789">
        <v>0</v>
      </c>
      <c r="M47" s="789">
        <v>0</v>
      </c>
      <c r="N47" s="789">
        <v>0</v>
      </c>
      <c r="O47" s="789">
        <v>0</v>
      </c>
      <c r="P47" s="789">
        <v>0</v>
      </c>
      <c r="Q47" s="789">
        <v>0</v>
      </c>
      <c r="R47" s="789">
        <v>0</v>
      </c>
      <c r="S47" s="789">
        <v>0</v>
      </c>
      <c r="T47" s="789">
        <v>0</v>
      </c>
      <c r="U47" s="789">
        <v>0</v>
      </c>
      <c r="V47" s="789">
        <v>0</v>
      </c>
      <c r="W47" s="789">
        <v>0</v>
      </c>
      <c r="X47" s="789">
        <v>0</v>
      </c>
      <c r="Y47" s="789">
        <v>0</v>
      </c>
      <c r="Z47" s="789">
        <v>0</v>
      </c>
      <c r="AA47" s="789">
        <v>0</v>
      </c>
      <c r="AB47" s="789">
        <v>0</v>
      </c>
      <c r="AC47" s="789">
        <v>0</v>
      </c>
      <c r="AD47" s="789">
        <v>3769.3559068964528</v>
      </c>
      <c r="AE47" s="789">
        <v>175.09398007771227</v>
      </c>
      <c r="AF47" s="789">
        <v>0</v>
      </c>
      <c r="AG47" s="789">
        <v>0</v>
      </c>
      <c r="AH47" s="789">
        <v>0</v>
      </c>
      <c r="AI47" s="789">
        <v>268.61180649598623</v>
      </c>
      <c r="AJ47" s="789">
        <v>0</v>
      </c>
      <c r="AK47" s="789">
        <v>0</v>
      </c>
      <c r="AL47" s="789">
        <v>0</v>
      </c>
      <c r="AM47" s="789">
        <v>80412.662122687019</v>
      </c>
      <c r="AN47" s="789">
        <v>0</v>
      </c>
      <c r="AO47" s="111"/>
      <c r="AP47" s="111">
        <f t="shared" si="10"/>
        <v>686913.76074338111</v>
      </c>
      <c r="AT47" t="str">
        <f t="shared" si="11"/>
        <v>Cottonwood River</v>
      </c>
      <c r="AU47" s="113">
        <v>10</v>
      </c>
      <c r="AV47"/>
      <c r="AW47" s="113">
        <v>9</v>
      </c>
    </row>
    <row r="48" spans="1:49" ht="15" x14ac:dyDescent="0.25">
      <c r="A48" s="116" t="s">
        <v>345</v>
      </c>
      <c r="B48" s="789">
        <v>109003.39147187679</v>
      </c>
      <c r="C48" s="789">
        <v>0</v>
      </c>
      <c r="D48" s="789">
        <v>0</v>
      </c>
      <c r="E48" s="789">
        <v>1536.3873745108899</v>
      </c>
      <c r="F48" s="789">
        <v>0</v>
      </c>
      <c r="G48" s="789">
        <v>0</v>
      </c>
      <c r="H48" s="789">
        <v>56967.789646515528</v>
      </c>
      <c r="I48" s="789">
        <v>0</v>
      </c>
      <c r="J48" s="789">
        <v>0</v>
      </c>
      <c r="K48" s="789">
        <v>0</v>
      </c>
      <c r="L48" s="789">
        <v>0</v>
      </c>
      <c r="M48" s="789">
        <v>22541.272809216545</v>
      </c>
      <c r="N48" s="789">
        <v>0</v>
      </c>
      <c r="O48" s="789">
        <v>0</v>
      </c>
      <c r="P48" s="789">
        <v>0</v>
      </c>
      <c r="Q48" s="789">
        <v>0</v>
      </c>
      <c r="R48" s="789">
        <v>0</v>
      </c>
      <c r="S48" s="789">
        <v>1523.9864311944764</v>
      </c>
      <c r="T48" s="789">
        <v>0</v>
      </c>
      <c r="U48" s="789">
        <v>0</v>
      </c>
      <c r="V48" s="789">
        <v>0</v>
      </c>
      <c r="W48" s="789">
        <v>0</v>
      </c>
      <c r="X48" s="789">
        <v>0</v>
      </c>
      <c r="Y48" s="789">
        <v>0</v>
      </c>
      <c r="Z48" s="789">
        <v>0</v>
      </c>
      <c r="AA48" s="789">
        <v>0</v>
      </c>
      <c r="AB48" s="789">
        <v>0</v>
      </c>
      <c r="AC48" s="789">
        <v>0</v>
      </c>
      <c r="AD48" s="789">
        <v>0</v>
      </c>
      <c r="AE48" s="789">
        <v>0</v>
      </c>
      <c r="AF48" s="789">
        <v>0</v>
      </c>
      <c r="AG48" s="789">
        <v>0</v>
      </c>
      <c r="AH48" s="789">
        <v>0</v>
      </c>
      <c r="AI48" s="789">
        <v>0</v>
      </c>
      <c r="AJ48" s="789">
        <v>0</v>
      </c>
      <c r="AK48" s="789">
        <v>0</v>
      </c>
      <c r="AL48" s="789">
        <v>0</v>
      </c>
      <c r="AM48" s="789">
        <v>0</v>
      </c>
      <c r="AN48" s="789">
        <v>0</v>
      </c>
      <c r="AO48" s="111"/>
      <c r="AP48" s="111">
        <f t="shared" si="10"/>
        <v>191572.82773331422</v>
      </c>
      <c r="AT48" t="str">
        <f t="shared" si="11"/>
        <v>Crow Wing River</v>
      </c>
      <c r="AU48" s="113">
        <v>11</v>
      </c>
      <c r="AV48"/>
      <c r="AW48" s="113">
        <v>29</v>
      </c>
    </row>
    <row r="49" spans="1:49" ht="15" x14ac:dyDescent="0.25">
      <c r="A49" s="116" t="s">
        <v>344</v>
      </c>
      <c r="B49" s="789">
        <v>0</v>
      </c>
      <c r="C49" s="789">
        <v>0</v>
      </c>
      <c r="D49" s="789">
        <v>0</v>
      </c>
      <c r="E49" s="789">
        <v>0</v>
      </c>
      <c r="F49" s="789">
        <v>361081.08965719736</v>
      </c>
      <c r="G49" s="789">
        <v>0</v>
      </c>
      <c r="H49" s="789">
        <v>0</v>
      </c>
      <c r="I49" s="789">
        <v>157428.38954766607</v>
      </c>
      <c r="J49" s="789">
        <v>0</v>
      </c>
      <c r="K49" s="789">
        <v>0</v>
      </c>
      <c r="L49" s="789">
        <v>0</v>
      </c>
      <c r="M49" s="789">
        <v>0</v>
      </c>
      <c r="N49" s="789">
        <v>34705.081955138405</v>
      </c>
      <c r="O49" s="789">
        <v>0</v>
      </c>
      <c r="P49" s="789">
        <v>0</v>
      </c>
      <c r="Q49" s="789">
        <v>0</v>
      </c>
      <c r="R49" s="789">
        <v>0</v>
      </c>
      <c r="S49" s="789">
        <v>0</v>
      </c>
      <c r="T49" s="789">
        <v>0</v>
      </c>
      <c r="U49" s="789">
        <v>0</v>
      </c>
      <c r="V49" s="789">
        <v>63100.218349021001</v>
      </c>
      <c r="W49" s="789">
        <v>0</v>
      </c>
      <c r="X49" s="789">
        <v>0</v>
      </c>
      <c r="Y49" s="789">
        <v>0</v>
      </c>
      <c r="Z49" s="789">
        <v>0</v>
      </c>
      <c r="AA49" s="789">
        <v>0</v>
      </c>
      <c r="AB49" s="789">
        <v>0</v>
      </c>
      <c r="AC49" s="789">
        <v>0</v>
      </c>
      <c r="AD49" s="789">
        <v>0</v>
      </c>
      <c r="AE49" s="789">
        <v>0</v>
      </c>
      <c r="AF49" s="789">
        <v>0</v>
      </c>
      <c r="AG49" s="789">
        <v>0</v>
      </c>
      <c r="AH49" s="789">
        <v>0</v>
      </c>
      <c r="AI49" s="789">
        <v>0</v>
      </c>
      <c r="AJ49" s="789">
        <v>0</v>
      </c>
      <c r="AK49" s="789">
        <v>0</v>
      </c>
      <c r="AL49" s="789">
        <v>0</v>
      </c>
      <c r="AM49" s="789">
        <v>1280.8490671437762</v>
      </c>
      <c r="AN49" s="789">
        <v>0</v>
      </c>
      <c r="AO49" s="111"/>
      <c r="AP49" s="111">
        <f t="shared" si="10"/>
        <v>617595.62857616658</v>
      </c>
      <c r="AT49" t="str">
        <f t="shared" si="11"/>
        <v>Des Moines River - Headwaters</v>
      </c>
      <c r="AU49" s="113">
        <v>12</v>
      </c>
      <c r="AV49"/>
      <c r="AW49" s="113">
        <v>18</v>
      </c>
    </row>
    <row r="50" spans="1:49" ht="15" x14ac:dyDescent="0.25">
      <c r="A50" s="116" t="s">
        <v>343</v>
      </c>
      <c r="B50" s="789">
        <v>0</v>
      </c>
      <c r="C50" s="789">
        <v>0</v>
      </c>
      <c r="D50" s="789">
        <v>0</v>
      </c>
      <c r="E50" s="789">
        <v>0</v>
      </c>
      <c r="F50" s="789">
        <v>0</v>
      </c>
      <c r="G50" s="789">
        <v>0</v>
      </c>
      <c r="H50" s="789">
        <v>0</v>
      </c>
      <c r="I50" s="789">
        <v>110149.33274324582</v>
      </c>
      <c r="J50" s="789">
        <v>0</v>
      </c>
      <c r="K50" s="789">
        <v>0</v>
      </c>
      <c r="L50" s="789">
        <v>0</v>
      </c>
      <c r="M50" s="789">
        <v>0</v>
      </c>
      <c r="N50" s="789">
        <v>0</v>
      </c>
      <c r="O50" s="789">
        <v>0</v>
      </c>
      <c r="P50" s="789">
        <v>0</v>
      </c>
      <c r="Q50" s="789">
        <v>0</v>
      </c>
      <c r="R50" s="789">
        <v>0</v>
      </c>
      <c r="S50" s="789">
        <v>0</v>
      </c>
      <c r="T50" s="789">
        <v>0</v>
      </c>
      <c r="U50" s="789">
        <v>0</v>
      </c>
      <c r="V50" s="789">
        <v>0</v>
      </c>
      <c r="W50" s="789">
        <v>0</v>
      </c>
      <c r="X50" s="789">
        <v>0</v>
      </c>
      <c r="Y50" s="789">
        <v>0</v>
      </c>
      <c r="Z50" s="789">
        <v>0</v>
      </c>
      <c r="AA50" s="789">
        <v>0</v>
      </c>
      <c r="AB50" s="789">
        <v>0</v>
      </c>
      <c r="AC50" s="789">
        <v>0</v>
      </c>
      <c r="AD50" s="789">
        <v>0</v>
      </c>
      <c r="AE50" s="789">
        <v>0</v>
      </c>
      <c r="AF50" s="789">
        <v>0</v>
      </c>
      <c r="AG50" s="789">
        <v>0</v>
      </c>
      <c r="AH50" s="789">
        <v>0</v>
      </c>
      <c r="AI50" s="789">
        <v>0</v>
      </c>
      <c r="AJ50" s="789">
        <v>0</v>
      </c>
      <c r="AK50" s="789">
        <v>0</v>
      </c>
      <c r="AL50" s="789">
        <v>0</v>
      </c>
      <c r="AM50" s="789">
        <v>1134.8827024394736</v>
      </c>
      <c r="AN50" s="789">
        <v>0</v>
      </c>
      <c r="AO50" s="111"/>
      <c r="AP50" s="111">
        <f t="shared" si="10"/>
        <v>111284.21544568529</v>
      </c>
      <c r="AT50" t="str">
        <f t="shared" si="11"/>
        <v>East Fork Des Moines River</v>
      </c>
      <c r="AU50" s="113">
        <v>13</v>
      </c>
      <c r="AV50"/>
      <c r="AW50" s="113">
        <v>54</v>
      </c>
    </row>
    <row r="51" spans="1:49" ht="15" x14ac:dyDescent="0.25">
      <c r="A51" s="116" t="s">
        <v>342</v>
      </c>
      <c r="B51" s="789">
        <v>8172.4895412024853</v>
      </c>
      <c r="C51" s="789">
        <v>0</v>
      </c>
      <c r="D51" s="789">
        <v>0</v>
      </c>
      <c r="E51" s="789">
        <v>20649.576809940427</v>
      </c>
      <c r="F51" s="789">
        <v>0</v>
      </c>
      <c r="G51" s="789">
        <v>0</v>
      </c>
      <c r="H51" s="789">
        <v>9136.5493126089259</v>
      </c>
      <c r="I51" s="789">
        <v>0</v>
      </c>
      <c r="J51" s="789">
        <v>0</v>
      </c>
      <c r="K51" s="789">
        <v>0</v>
      </c>
      <c r="L51" s="789">
        <v>0</v>
      </c>
      <c r="M51" s="789">
        <v>393.21467007898195</v>
      </c>
      <c r="N51" s="789">
        <v>0</v>
      </c>
      <c r="O51" s="789">
        <v>0</v>
      </c>
      <c r="P51" s="789">
        <v>0</v>
      </c>
      <c r="Q51" s="789">
        <v>0</v>
      </c>
      <c r="R51" s="789">
        <v>0</v>
      </c>
      <c r="S51" s="789">
        <v>618.83885758902215</v>
      </c>
      <c r="T51" s="789">
        <v>0</v>
      </c>
      <c r="U51" s="789">
        <v>0</v>
      </c>
      <c r="V51" s="789">
        <v>0</v>
      </c>
      <c r="W51" s="789">
        <v>0</v>
      </c>
      <c r="X51" s="789">
        <v>0</v>
      </c>
      <c r="Y51" s="789">
        <v>0</v>
      </c>
      <c r="Z51" s="789">
        <v>0</v>
      </c>
      <c r="AA51" s="789">
        <v>0</v>
      </c>
      <c r="AB51" s="789">
        <v>0</v>
      </c>
      <c r="AC51" s="789">
        <v>12719.874293482218</v>
      </c>
      <c r="AD51" s="789">
        <v>0</v>
      </c>
      <c r="AE51" s="789">
        <v>0</v>
      </c>
      <c r="AF51" s="789">
        <v>0</v>
      </c>
      <c r="AG51" s="789">
        <v>0</v>
      </c>
      <c r="AH51" s="789">
        <v>0</v>
      </c>
      <c r="AI51" s="789">
        <v>0</v>
      </c>
      <c r="AJ51" s="789">
        <v>0</v>
      </c>
      <c r="AK51" s="789">
        <v>0</v>
      </c>
      <c r="AL51" s="789">
        <v>0</v>
      </c>
      <c r="AM51" s="789">
        <v>0</v>
      </c>
      <c r="AN51" s="789">
        <v>0</v>
      </c>
      <c r="AO51" s="111"/>
      <c r="AP51" s="111">
        <f t="shared" si="10"/>
        <v>51690.543484902053</v>
      </c>
      <c r="AT51" t="str">
        <f t="shared" si="11"/>
        <v>Kettle River</v>
      </c>
      <c r="AU51" s="113">
        <v>14</v>
      </c>
      <c r="AV51"/>
      <c r="AW51" s="113">
        <v>42</v>
      </c>
    </row>
    <row r="52" spans="1:49" ht="15" x14ac:dyDescent="0.25">
      <c r="A52" s="116" t="s">
        <v>341</v>
      </c>
      <c r="B52" s="789">
        <v>0</v>
      </c>
      <c r="C52" s="789">
        <v>0</v>
      </c>
      <c r="D52" s="789">
        <v>0</v>
      </c>
      <c r="E52" s="789">
        <v>0</v>
      </c>
      <c r="F52" s="789">
        <v>65834.236221614978</v>
      </c>
      <c r="G52" s="789">
        <v>0</v>
      </c>
      <c r="H52" s="789">
        <v>0</v>
      </c>
      <c r="I52" s="789">
        <v>256059.48123683652</v>
      </c>
      <c r="J52" s="789">
        <v>0</v>
      </c>
      <c r="K52" s="789">
        <v>0</v>
      </c>
      <c r="L52" s="789">
        <v>0</v>
      </c>
      <c r="M52" s="789">
        <v>0</v>
      </c>
      <c r="N52" s="789">
        <v>0</v>
      </c>
      <c r="O52" s="789">
        <v>0</v>
      </c>
      <c r="P52" s="789">
        <v>0</v>
      </c>
      <c r="Q52" s="789">
        <v>0</v>
      </c>
      <c r="R52" s="789">
        <v>0</v>
      </c>
      <c r="S52" s="789">
        <v>0</v>
      </c>
      <c r="T52" s="789">
        <v>0</v>
      </c>
      <c r="U52" s="789">
        <v>0</v>
      </c>
      <c r="V52" s="789">
        <v>0</v>
      </c>
      <c r="W52" s="789">
        <v>0</v>
      </c>
      <c r="X52" s="789">
        <v>0</v>
      </c>
      <c r="Y52" s="789">
        <v>0</v>
      </c>
      <c r="Z52" s="789">
        <v>0</v>
      </c>
      <c r="AA52" s="789">
        <v>0</v>
      </c>
      <c r="AB52" s="789">
        <v>0</v>
      </c>
      <c r="AC52" s="789">
        <v>0</v>
      </c>
      <c r="AD52" s="789">
        <v>0</v>
      </c>
      <c r="AE52" s="789">
        <v>211.9086117863595</v>
      </c>
      <c r="AF52" s="789">
        <v>0</v>
      </c>
      <c r="AG52" s="789">
        <v>0</v>
      </c>
      <c r="AH52" s="789">
        <v>0</v>
      </c>
      <c r="AI52" s="789">
        <v>36743.611613165063</v>
      </c>
      <c r="AJ52" s="789">
        <v>0</v>
      </c>
      <c r="AK52" s="789">
        <v>0</v>
      </c>
      <c r="AL52" s="789">
        <v>0</v>
      </c>
      <c r="AM52" s="789">
        <v>0</v>
      </c>
      <c r="AN52" s="789">
        <v>0</v>
      </c>
      <c r="AO52" s="111"/>
      <c r="AP52" s="111">
        <f t="shared" si="10"/>
        <v>358849.23768340296</v>
      </c>
      <c r="AT52" t="str">
        <f t="shared" si="11"/>
        <v>Lac Qui Parle River</v>
      </c>
      <c r="AU52" s="113">
        <v>15</v>
      </c>
      <c r="AV52"/>
      <c r="AW52" s="113">
        <v>39</v>
      </c>
    </row>
    <row r="53" spans="1:49" ht="15" x14ac:dyDescent="0.25">
      <c r="A53" s="116" t="s">
        <v>340</v>
      </c>
      <c r="B53" s="789">
        <v>6.9515453876606355</v>
      </c>
      <c r="C53" s="789">
        <v>0</v>
      </c>
      <c r="D53" s="789">
        <v>0</v>
      </c>
      <c r="E53" s="789">
        <v>0</v>
      </c>
      <c r="F53" s="789">
        <v>0</v>
      </c>
      <c r="G53" s="789">
        <v>0</v>
      </c>
      <c r="H53" s="789">
        <v>0</v>
      </c>
      <c r="I53" s="789">
        <v>0</v>
      </c>
      <c r="J53" s="789">
        <v>0</v>
      </c>
      <c r="K53" s="789">
        <v>0</v>
      </c>
      <c r="L53" s="789">
        <v>1308.6823203203301</v>
      </c>
      <c r="M53" s="789">
        <v>0</v>
      </c>
      <c r="N53" s="789">
        <v>0</v>
      </c>
      <c r="O53" s="789">
        <v>0</v>
      </c>
      <c r="P53" s="789">
        <v>0</v>
      </c>
      <c r="Q53" s="789">
        <v>0</v>
      </c>
      <c r="R53" s="789">
        <v>0</v>
      </c>
      <c r="S53" s="789">
        <v>0</v>
      </c>
      <c r="T53" s="789">
        <v>1521.0230566493694</v>
      </c>
      <c r="U53" s="789">
        <v>0</v>
      </c>
      <c r="V53" s="789">
        <v>0</v>
      </c>
      <c r="W53" s="789">
        <v>0</v>
      </c>
      <c r="X53" s="789">
        <v>0</v>
      </c>
      <c r="Y53" s="789">
        <v>0</v>
      </c>
      <c r="Z53" s="789">
        <v>0</v>
      </c>
      <c r="AA53" s="789">
        <v>0</v>
      </c>
      <c r="AB53" s="789">
        <v>0</v>
      </c>
      <c r="AC53" s="789">
        <v>0</v>
      </c>
      <c r="AD53" s="789">
        <v>0</v>
      </c>
      <c r="AE53" s="789">
        <v>0</v>
      </c>
      <c r="AF53" s="789">
        <v>0</v>
      </c>
      <c r="AG53" s="789">
        <v>0</v>
      </c>
      <c r="AH53" s="789">
        <v>0</v>
      </c>
      <c r="AI53" s="789">
        <v>0</v>
      </c>
      <c r="AJ53" s="789">
        <v>0</v>
      </c>
      <c r="AK53" s="789">
        <v>0</v>
      </c>
      <c r="AL53" s="789">
        <v>0</v>
      </c>
      <c r="AM53" s="789">
        <v>0</v>
      </c>
      <c r="AN53" s="789">
        <v>0</v>
      </c>
      <c r="AO53" s="111"/>
      <c r="AP53" s="111">
        <f t="shared" si="10"/>
        <v>2836.6569223573601</v>
      </c>
      <c r="AT53" t="str">
        <f t="shared" si="11"/>
        <v>Lake Superior - South</v>
      </c>
      <c r="AU53" s="113">
        <v>16</v>
      </c>
      <c r="AV53"/>
      <c r="AW53" s="113">
        <v>20</v>
      </c>
    </row>
    <row r="54" spans="1:49" ht="15" x14ac:dyDescent="0.25">
      <c r="A54" s="116" t="s">
        <v>339</v>
      </c>
      <c r="B54" s="789">
        <v>109.5395030782888</v>
      </c>
      <c r="C54" s="789">
        <v>0</v>
      </c>
      <c r="D54" s="789">
        <v>0</v>
      </c>
      <c r="E54" s="789">
        <v>0</v>
      </c>
      <c r="F54" s="789">
        <v>0</v>
      </c>
      <c r="G54" s="789">
        <v>0</v>
      </c>
      <c r="H54" s="789">
        <v>0</v>
      </c>
      <c r="I54" s="789">
        <v>0</v>
      </c>
      <c r="J54" s="789">
        <v>0</v>
      </c>
      <c r="K54" s="789">
        <v>0</v>
      </c>
      <c r="L54" s="789">
        <v>0</v>
      </c>
      <c r="M54" s="789">
        <v>0</v>
      </c>
      <c r="N54" s="789">
        <v>0</v>
      </c>
      <c r="O54" s="789">
        <v>0</v>
      </c>
      <c r="P54" s="789">
        <v>0</v>
      </c>
      <c r="Q54" s="789">
        <v>0</v>
      </c>
      <c r="R54" s="789">
        <v>0</v>
      </c>
      <c r="S54" s="789">
        <v>0</v>
      </c>
      <c r="T54" s="789">
        <v>0</v>
      </c>
      <c r="U54" s="789">
        <v>0</v>
      </c>
      <c r="V54" s="789">
        <v>0</v>
      </c>
      <c r="W54" s="789">
        <v>0</v>
      </c>
      <c r="X54" s="789">
        <v>0</v>
      </c>
      <c r="Y54" s="789">
        <v>0</v>
      </c>
      <c r="Z54" s="789">
        <v>235237.83247268433</v>
      </c>
      <c r="AA54" s="789">
        <v>0</v>
      </c>
      <c r="AB54" s="789">
        <v>0</v>
      </c>
      <c r="AC54" s="789">
        <v>0</v>
      </c>
      <c r="AD54" s="789">
        <v>10392.192475912319</v>
      </c>
      <c r="AE54" s="789">
        <v>0</v>
      </c>
      <c r="AF54" s="789">
        <v>0</v>
      </c>
      <c r="AG54" s="789">
        <v>0</v>
      </c>
      <c r="AH54" s="789">
        <v>0</v>
      </c>
      <c r="AI54" s="789">
        <v>0</v>
      </c>
      <c r="AJ54" s="789">
        <v>0</v>
      </c>
      <c r="AK54" s="789">
        <v>0</v>
      </c>
      <c r="AL54" s="789">
        <v>0</v>
      </c>
      <c r="AM54" s="789">
        <v>0</v>
      </c>
      <c r="AN54" s="789">
        <v>317515.05888164823</v>
      </c>
      <c r="AO54" s="111"/>
      <c r="AP54" s="111">
        <f t="shared" si="10"/>
        <v>563254.62333332316</v>
      </c>
      <c r="AT54" t="str">
        <f t="shared" si="11"/>
        <v>Le Sueur River</v>
      </c>
      <c r="AU54" s="113">
        <v>17</v>
      </c>
      <c r="AV54"/>
      <c r="AW54" s="113">
        <v>12</v>
      </c>
    </row>
    <row r="55" spans="1:49" ht="15" x14ac:dyDescent="0.25">
      <c r="A55" s="116" t="s">
        <v>338</v>
      </c>
      <c r="B55" s="789">
        <v>83.629197542462805</v>
      </c>
      <c r="C55" s="789">
        <v>0</v>
      </c>
      <c r="D55" s="789">
        <v>0</v>
      </c>
      <c r="E55" s="789">
        <v>0</v>
      </c>
      <c r="F55" s="789">
        <v>0</v>
      </c>
      <c r="G55" s="789">
        <v>21773.538325770438</v>
      </c>
      <c r="H55" s="789">
        <v>0</v>
      </c>
      <c r="I55" s="789">
        <v>0</v>
      </c>
      <c r="J55" s="789">
        <v>0</v>
      </c>
      <c r="K55" s="789">
        <v>0</v>
      </c>
      <c r="L55" s="789">
        <v>17811.222306154581</v>
      </c>
      <c r="M55" s="789">
        <v>627.09488629093801</v>
      </c>
      <c r="N55" s="789">
        <v>0</v>
      </c>
      <c r="O55" s="789">
        <v>0</v>
      </c>
      <c r="P55" s="789">
        <v>0</v>
      </c>
      <c r="Q55" s="789">
        <v>0</v>
      </c>
      <c r="R55" s="789">
        <v>48.979990756575425</v>
      </c>
      <c r="S55" s="789">
        <v>0</v>
      </c>
      <c r="T55" s="789">
        <v>0</v>
      </c>
      <c r="U55" s="789">
        <v>0</v>
      </c>
      <c r="V55" s="789">
        <v>0</v>
      </c>
      <c r="W55" s="789">
        <v>0</v>
      </c>
      <c r="X55" s="789">
        <v>0</v>
      </c>
      <c r="Y55" s="789">
        <v>0</v>
      </c>
      <c r="Z55" s="789">
        <v>0</v>
      </c>
      <c r="AA55" s="789">
        <v>0</v>
      </c>
      <c r="AB55" s="789">
        <v>0</v>
      </c>
      <c r="AC55" s="789">
        <v>0</v>
      </c>
      <c r="AD55" s="789">
        <v>0</v>
      </c>
      <c r="AE55" s="789">
        <v>0</v>
      </c>
      <c r="AF55" s="789">
        <v>0</v>
      </c>
      <c r="AG55" s="789">
        <v>0</v>
      </c>
      <c r="AH55" s="789">
        <v>0</v>
      </c>
      <c r="AI55" s="789">
        <v>0</v>
      </c>
      <c r="AJ55" s="789">
        <v>0</v>
      </c>
      <c r="AK55" s="789">
        <v>0</v>
      </c>
      <c r="AL55" s="789">
        <v>0</v>
      </c>
      <c r="AM55" s="789">
        <v>0</v>
      </c>
      <c r="AN55" s="789">
        <v>0</v>
      </c>
      <c r="AO55" s="111"/>
      <c r="AP55" s="111">
        <f t="shared" si="10"/>
        <v>40344.464706514991</v>
      </c>
      <c r="AT55" t="str">
        <f t="shared" si="11"/>
        <v>Little Fork River</v>
      </c>
      <c r="AU55" s="113">
        <v>18</v>
      </c>
      <c r="AV55"/>
      <c r="AW55" s="113">
        <v>76</v>
      </c>
    </row>
    <row r="56" spans="1:49" ht="15" x14ac:dyDescent="0.25">
      <c r="A56" s="116" t="s">
        <v>337</v>
      </c>
      <c r="B56" s="789">
        <v>0</v>
      </c>
      <c r="C56" s="789">
        <v>0</v>
      </c>
      <c r="D56" s="789">
        <v>0</v>
      </c>
      <c r="E56" s="789">
        <v>0</v>
      </c>
      <c r="F56" s="789">
        <v>109506.71701336683</v>
      </c>
      <c r="G56" s="789">
        <v>0</v>
      </c>
      <c r="H56" s="789">
        <v>0</v>
      </c>
      <c r="I56" s="789">
        <v>47551.87699400416</v>
      </c>
      <c r="J56" s="789">
        <v>0</v>
      </c>
      <c r="K56" s="789">
        <v>0</v>
      </c>
      <c r="L56" s="789">
        <v>0</v>
      </c>
      <c r="M56" s="789">
        <v>0</v>
      </c>
      <c r="N56" s="789">
        <v>6480.6779929500854</v>
      </c>
      <c r="O56" s="789">
        <v>0</v>
      </c>
      <c r="P56" s="789">
        <v>0</v>
      </c>
      <c r="Q56" s="789">
        <v>0</v>
      </c>
      <c r="R56" s="789">
        <v>0</v>
      </c>
      <c r="S56" s="789">
        <v>0</v>
      </c>
      <c r="T56" s="789">
        <v>0</v>
      </c>
      <c r="U56" s="789">
        <v>0</v>
      </c>
      <c r="V56" s="789">
        <v>1142.7971046078626</v>
      </c>
      <c r="W56" s="789">
        <v>0</v>
      </c>
      <c r="X56" s="789">
        <v>0</v>
      </c>
      <c r="Y56" s="789">
        <v>0</v>
      </c>
      <c r="Z56" s="789">
        <v>0</v>
      </c>
      <c r="AA56" s="789">
        <v>0</v>
      </c>
      <c r="AB56" s="789">
        <v>0</v>
      </c>
      <c r="AC56" s="789">
        <v>0</v>
      </c>
      <c r="AD56" s="789">
        <v>0</v>
      </c>
      <c r="AE56" s="789">
        <v>0</v>
      </c>
      <c r="AF56" s="789">
        <v>0</v>
      </c>
      <c r="AG56" s="789">
        <v>0</v>
      </c>
      <c r="AH56" s="789">
        <v>0</v>
      </c>
      <c r="AI56" s="789">
        <v>0</v>
      </c>
      <c r="AJ56" s="789">
        <v>0</v>
      </c>
      <c r="AK56" s="789">
        <v>0</v>
      </c>
      <c r="AL56" s="789">
        <v>0</v>
      </c>
      <c r="AM56" s="789">
        <v>0</v>
      </c>
      <c r="AN56" s="789">
        <v>0</v>
      </c>
      <c r="AO56" s="111"/>
      <c r="AP56" s="111">
        <f t="shared" si="10"/>
        <v>164682.06910492893</v>
      </c>
      <c r="AT56" t="str">
        <f t="shared" si="11"/>
        <v>Little Sioux River</v>
      </c>
      <c r="AU56" s="113">
        <v>19</v>
      </c>
      <c r="AV56"/>
      <c r="AW56" s="113">
        <v>84</v>
      </c>
    </row>
    <row r="57" spans="1:49" ht="15" x14ac:dyDescent="0.25">
      <c r="A57" s="116" t="s">
        <v>336</v>
      </c>
      <c r="B57" s="789">
        <v>52057.174267723007</v>
      </c>
      <c r="C57" s="789">
        <v>0</v>
      </c>
      <c r="D57" s="789">
        <v>0</v>
      </c>
      <c r="E57" s="789">
        <v>24554.252193665514</v>
      </c>
      <c r="F57" s="789">
        <v>0</v>
      </c>
      <c r="G57" s="789">
        <v>0</v>
      </c>
      <c r="H57" s="789">
        <v>46241.378514437158</v>
      </c>
      <c r="I57" s="789">
        <v>0</v>
      </c>
      <c r="J57" s="789">
        <v>0</v>
      </c>
      <c r="K57" s="789">
        <v>0</v>
      </c>
      <c r="L57" s="789">
        <v>0</v>
      </c>
      <c r="M57" s="789">
        <v>7297.5179871097889</v>
      </c>
      <c r="N57" s="789">
        <v>0</v>
      </c>
      <c r="O57" s="789">
        <v>0</v>
      </c>
      <c r="P57" s="789">
        <v>0</v>
      </c>
      <c r="Q57" s="789">
        <v>0</v>
      </c>
      <c r="R57" s="789">
        <v>0</v>
      </c>
      <c r="S57" s="789">
        <v>0</v>
      </c>
      <c r="T57" s="789">
        <v>0</v>
      </c>
      <c r="U57" s="789">
        <v>0</v>
      </c>
      <c r="V57" s="789">
        <v>0</v>
      </c>
      <c r="W57" s="789">
        <v>0</v>
      </c>
      <c r="X57" s="789">
        <v>0</v>
      </c>
      <c r="Y57" s="789">
        <v>0</v>
      </c>
      <c r="Z57" s="789">
        <v>0</v>
      </c>
      <c r="AA57" s="789">
        <v>0</v>
      </c>
      <c r="AB57" s="789">
        <v>32835.069399494852</v>
      </c>
      <c r="AC57" s="789">
        <v>0</v>
      </c>
      <c r="AD57" s="789">
        <v>0</v>
      </c>
      <c r="AE57" s="789">
        <v>0</v>
      </c>
      <c r="AF57" s="789">
        <v>0</v>
      </c>
      <c r="AG57" s="789">
        <v>0</v>
      </c>
      <c r="AH57" s="789">
        <v>0</v>
      </c>
      <c r="AI57" s="789">
        <v>0</v>
      </c>
      <c r="AJ57" s="789">
        <v>0</v>
      </c>
      <c r="AK57" s="789">
        <v>0</v>
      </c>
      <c r="AL57" s="789">
        <v>0</v>
      </c>
      <c r="AM57" s="789">
        <v>0</v>
      </c>
      <c r="AN57" s="789">
        <v>0</v>
      </c>
      <c r="AO57" s="111"/>
      <c r="AP57" s="111">
        <f t="shared" si="10"/>
        <v>162985.39236243034</v>
      </c>
      <c r="AT57" t="str">
        <f t="shared" si="11"/>
        <v>Long Prairie River</v>
      </c>
      <c r="AU57" s="113">
        <v>20</v>
      </c>
      <c r="AV57"/>
      <c r="AW57" s="113">
        <v>31</v>
      </c>
    </row>
    <row r="58" spans="1:49" ht="15" x14ac:dyDescent="0.25">
      <c r="A58" s="116" t="s">
        <v>335</v>
      </c>
      <c r="B58" s="789">
        <v>0</v>
      </c>
      <c r="C58" s="789">
        <v>0</v>
      </c>
      <c r="D58" s="789">
        <v>0</v>
      </c>
      <c r="E58" s="789">
        <v>0</v>
      </c>
      <c r="F58" s="789">
        <v>3954.9290361247263</v>
      </c>
      <c r="G58" s="789">
        <v>0</v>
      </c>
      <c r="H58" s="789">
        <v>0</v>
      </c>
      <c r="I58" s="789">
        <v>0</v>
      </c>
      <c r="J58" s="789">
        <v>0</v>
      </c>
      <c r="K58" s="789">
        <v>0</v>
      </c>
      <c r="L58" s="789">
        <v>0</v>
      </c>
      <c r="M58" s="789">
        <v>0</v>
      </c>
      <c r="N58" s="789">
        <v>250301.99146794755</v>
      </c>
      <c r="O58" s="789">
        <v>0</v>
      </c>
      <c r="P58" s="789">
        <v>0</v>
      </c>
      <c r="Q58" s="789">
        <v>0</v>
      </c>
      <c r="R58" s="789">
        <v>0</v>
      </c>
      <c r="S58" s="789">
        <v>0</v>
      </c>
      <c r="T58" s="789">
        <v>0</v>
      </c>
      <c r="U58" s="789">
        <v>0</v>
      </c>
      <c r="V58" s="789">
        <v>0</v>
      </c>
      <c r="W58" s="789">
        <v>0</v>
      </c>
      <c r="X58" s="789">
        <v>0</v>
      </c>
      <c r="Y58" s="789">
        <v>0</v>
      </c>
      <c r="Z58" s="789">
        <v>0</v>
      </c>
      <c r="AA58" s="789">
        <v>0</v>
      </c>
      <c r="AB58" s="789">
        <v>0</v>
      </c>
      <c r="AC58" s="789">
        <v>0</v>
      </c>
      <c r="AD58" s="789">
        <v>0</v>
      </c>
      <c r="AE58" s="789">
        <v>0</v>
      </c>
      <c r="AF58" s="789">
        <v>0</v>
      </c>
      <c r="AG58" s="789">
        <v>0</v>
      </c>
      <c r="AH58" s="789">
        <v>0</v>
      </c>
      <c r="AI58" s="789">
        <v>0</v>
      </c>
      <c r="AJ58" s="789">
        <v>0</v>
      </c>
      <c r="AK58" s="789">
        <v>0</v>
      </c>
      <c r="AL58" s="789">
        <v>0</v>
      </c>
      <c r="AM58" s="789">
        <v>0</v>
      </c>
      <c r="AN58" s="789">
        <v>0</v>
      </c>
      <c r="AO58" s="111"/>
      <c r="AP58" s="111">
        <f t="shared" si="10"/>
        <v>254256.92050407227</v>
      </c>
      <c r="AT58" t="str">
        <f t="shared" si="11"/>
        <v>Lower Big Sioux River</v>
      </c>
      <c r="AU58" s="113">
        <v>21</v>
      </c>
      <c r="AV58"/>
      <c r="AW58" s="113">
        <v>82</v>
      </c>
    </row>
    <row r="59" spans="1:49" ht="15" x14ac:dyDescent="0.25">
      <c r="A59" s="116" t="s">
        <v>334</v>
      </c>
      <c r="B59" s="789">
        <v>0</v>
      </c>
      <c r="C59" s="789">
        <v>0</v>
      </c>
      <c r="D59" s="789">
        <v>0</v>
      </c>
      <c r="E59" s="789">
        <v>0</v>
      </c>
      <c r="F59" s="789">
        <v>0</v>
      </c>
      <c r="G59" s="789">
        <v>0</v>
      </c>
      <c r="H59" s="789">
        <v>0</v>
      </c>
      <c r="I59" s="789">
        <v>48000.438855711735</v>
      </c>
      <c r="J59" s="789">
        <v>0</v>
      </c>
      <c r="K59" s="789">
        <v>0</v>
      </c>
      <c r="L59" s="789">
        <v>0</v>
      </c>
      <c r="M59" s="789">
        <v>0</v>
      </c>
      <c r="N59" s="789">
        <v>0</v>
      </c>
      <c r="O59" s="789">
        <v>0</v>
      </c>
      <c r="P59" s="789">
        <v>0</v>
      </c>
      <c r="Q59" s="789">
        <v>0</v>
      </c>
      <c r="R59" s="789">
        <v>0</v>
      </c>
      <c r="S59" s="789">
        <v>0</v>
      </c>
      <c r="T59" s="789">
        <v>0</v>
      </c>
      <c r="U59" s="789">
        <v>0</v>
      </c>
      <c r="V59" s="789">
        <v>0</v>
      </c>
      <c r="W59" s="789">
        <v>0</v>
      </c>
      <c r="X59" s="789">
        <v>0</v>
      </c>
      <c r="Y59" s="789">
        <v>0</v>
      </c>
      <c r="Z59" s="789">
        <v>0</v>
      </c>
      <c r="AA59" s="789">
        <v>0</v>
      </c>
      <c r="AB59" s="789">
        <v>0</v>
      </c>
      <c r="AC59" s="789">
        <v>0</v>
      </c>
      <c r="AD59" s="789">
        <v>0</v>
      </c>
      <c r="AE59" s="789">
        <v>0</v>
      </c>
      <c r="AF59" s="789">
        <v>0</v>
      </c>
      <c r="AG59" s="789">
        <v>0</v>
      </c>
      <c r="AH59" s="789">
        <v>0</v>
      </c>
      <c r="AI59" s="789">
        <v>0</v>
      </c>
      <c r="AJ59" s="789">
        <v>0</v>
      </c>
      <c r="AK59" s="789">
        <v>0</v>
      </c>
      <c r="AL59" s="789">
        <v>0</v>
      </c>
      <c r="AM59" s="789">
        <v>0</v>
      </c>
      <c r="AN59" s="789">
        <v>0</v>
      </c>
      <c r="AO59" s="111"/>
      <c r="AP59" s="111">
        <f t="shared" si="10"/>
        <v>48000.438855711735</v>
      </c>
      <c r="AT59" t="str">
        <f t="shared" si="11"/>
        <v>Lower Des Moines River</v>
      </c>
      <c r="AU59" s="113">
        <v>22</v>
      </c>
      <c r="AV59"/>
      <c r="AW59" s="113">
        <v>53</v>
      </c>
    </row>
    <row r="60" spans="1:49" ht="15" x14ac:dyDescent="0.25">
      <c r="A60" s="116" t="s">
        <v>333</v>
      </c>
      <c r="B60" s="789">
        <v>7613.627422612677</v>
      </c>
      <c r="C60" s="789">
        <v>0</v>
      </c>
      <c r="D60" s="789">
        <v>0</v>
      </c>
      <c r="E60" s="789">
        <v>0</v>
      </c>
      <c r="F60" s="789">
        <v>0</v>
      </c>
      <c r="G60" s="789">
        <v>0</v>
      </c>
      <c r="H60" s="789">
        <v>0</v>
      </c>
      <c r="I60" s="789">
        <v>0</v>
      </c>
      <c r="J60" s="789">
        <v>0</v>
      </c>
      <c r="K60" s="789">
        <v>0</v>
      </c>
      <c r="L60" s="789">
        <v>0</v>
      </c>
      <c r="M60" s="789">
        <v>0</v>
      </c>
      <c r="N60" s="789">
        <v>0</v>
      </c>
      <c r="O60" s="789">
        <v>0</v>
      </c>
      <c r="P60" s="789">
        <v>0</v>
      </c>
      <c r="Q60" s="789">
        <v>0</v>
      </c>
      <c r="R60" s="789">
        <v>0</v>
      </c>
      <c r="S60" s="789">
        <v>0</v>
      </c>
      <c r="T60" s="789">
        <v>0</v>
      </c>
      <c r="U60" s="789">
        <v>0</v>
      </c>
      <c r="V60" s="789">
        <v>0</v>
      </c>
      <c r="W60" s="789">
        <v>0</v>
      </c>
      <c r="X60" s="789">
        <v>0</v>
      </c>
      <c r="Y60" s="789">
        <v>0</v>
      </c>
      <c r="Z60" s="789">
        <v>175386.81655985038</v>
      </c>
      <c r="AA60" s="789">
        <v>0</v>
      </c>
      <c r="AB60" s="789">
        <v>0</v>
      </c>
      <c r="AC60" s="789">
        <v>0</v>
      </c>
      <c r="AD60" s="789">
        <v>0</v>
      </c>
      <c r="AE60" s="789">
        <v>12061.954912199635</v>
      </c>
      <c r="AF60" s="789">
        <v>82541.923241759272</v>
      </c>
      <c r="AG60" s="789">
        <v>0</v>
      </c>
      <c r="AH60" s="789">
        <v>75723.789901713593</v>
      </c>
      <c r="AI60" s="789">
        <v>0</v>
      </c>
      <c r="AJ60" s="789">
        <v>0</v>
      </c>
      <c r="AK60" s="789">
        <v>0</v>
      </c>
      <c r="AL60" s="789">
        <v>0</v>
      </c>
      <c r="AM60" s="789">
        <v>0</v>
      </c>
      <c r="AN60" s="789">
        <v>316679.24416148406</v>
      </c>
      <c r="AO60" s="111"/>
      <c r="AP60" s="111">
        <f t="shared" si="10"/>
        <v>670007.35619961959</v>
      </c>
      <c r="AT60" t="str">
        <f t="shared" si="11"/>
        <v>Lower Minnesota River</v>
      </c>
      <c r="AU60" s="113">
        <v>23</v>
      </c>
      <c r="AV60"/>
      <c r="AW60" s="113">
        <v>13</v>
      </c>
    </row>
    <row r="61" spans="1:49" ht="15" x14ac:dyDescent="0.25">
      <c r="A61" s="116" t="s">
        <v>332</v>
      </c>
      <c r="B61" s="789">
        <v>20094.811186821546</v>
      </c>
      <c r="C61" s="789">
        <v>20381.306776913731</v>
      </c>
      <c r="D61" s="789">
        <v>0</v>
      </c>
      <c r="E61" s="789">
        <v>61470.96779542914</v>
      </c>
      <c r="F61" s="789">
        <v>0</v>
      </c>
      <c r="G61" s="789">
        <v>0</v>
      </c>
      <c r="H61" s="789">
        <v>0</v>
      </c>
      <c r="I61" s="789">
        <v>0</v>
      </c>
      <c r="J61" s="789">
        <v>0</v>
      </c>
      <c r="K61" s="789">
        <v>0</v>
      </c>
      <c r="L61" s="789">
        <v>0</v>
      </c>
      <c r="M61" s="789">
        <v>0</v>
      </c>
      <c r="N61" s="789">
        <v>0</v>
      </c>
      <c r="O61" s="789">
        <v>0</v>
      </c>
      <c r="P61" s="789">
        <v>0</v>
      </c>
      <c r="Q61" s="789">
        <v>0</v>
      </c>
      <c r="R61" s="789">
        <v>0</v>
      </c>
      <c r="S61" s="789">
        <v>0</v>
      </c>
      <c r="T61" s="789">
        <v>0</v>
      </c>
      <c r="U61" s="789">
        <v>0</v>
      </c>
      <c r="V61" s="789">
        <v>0</v>
      </c>
      <c r="W61" s="789">
        <v>0</v>
      </c>
      <c r="X61" s="789">
        <v>0</v>
      </c>
      <c r="Y61" s="789">
        <v>0</v>
      </c>
      <c r="Z61" s="789">
        <v>0</v>
      </c>
      <c r="AA61" s="789">
        <v>0</v>
      </c>
      <c r="AB61" s="789">
        <v>0</v>
      </c>
      <c r="AC61" s="789">
        <v>0</v>
      </c>
      <c r="AD61" s="789">
        <v>0</v>
      </c>
      <c r="AE61" s="789">
        <v>0</v>
      </c>
      <c r="AF61" s="789">
        <v>19820.352777138087</v>
      </c>
      <c r="AG61" s="789">
        <v>0</v>
      </c>
      <c r="AH61" s="789">
        <v>0</v>
      </c>
      <c r="AI61" s="789">
        <v>0</v>
      </c>
      <c r="AJ61" s="789">
        <v>0</v>
      </c>
      <c r="AK61" s="789">
        <v>0</v>
      </c>
      <c r="AL61" s="789">
        <v>0</v>
      </c>
      <c r="AM61" s="789">
        <v>0</v>
      </c>
      <c r="AN61" s="789">
        <v>0</v>
      </c>
      <c r="AO61" s="111"/>
      <c r="AP61" s="111">
        <f t="shared" si="10"/>
        <v>121767.43853630251</v>
      </c>
      <c r="AT61" t="str">
        <f t="shared" si="11"/>
        <v>Lower St. Croix River</v>
      </c>
      <c r="AU61" s="113">
        <v>24</v>
      </c>
      <c r="AV61"/>
      <c r="AW61" s="113">
        <v>44</v>
      </c>
    </row>
    <row r="62" spans="1:49" ht="15" x14ac:dyDescent="0.25">
      <c r="A62" s="116" t="s">
        <v>331</v>
      </c>
      <c r="B62" s="789">
        <v>34496.306701149028</v>
      </c>
      <c r="C62" s="789">
        <v>0</v>
      </c>
      <c r="D62" s="789">
        <v>0</v>
      </c>
      <c r="E62" s="789">
        <v>0</v>
      </c>
      <c r="F62" s="789">
        <v>0</v>
      </c>
      <c r="G62" s="789">
        <v>0</v>
      </c>
      <c r="H62" s="789">
        <v>0</v>
      </c>
      <c r="I62" s="789">
        <v>90337.130575661184</v>
      </c>
      <c r="J62" s="789">
        <v>42490.459937367952</v>
      </c>
      <c r="K62" s="789">
        <v>418.7417094877456</v>
      </c>
      <c r="L62" s="789">
        <v>0</v>
      </c>
      <c r="M62" s="789">
        <v>0</v>
      </c>
      <c r="N62" s="789">
        <v>0</v>
      </c>
      <c r="O62" s="789">
        <v>0</v>
      </c>
      <c r="P62" s="789">
        <v>0</v>
      </c>
      <c r="Q62" s="789">
        <v>0</v>
      </c>
      <c r="R62" s="789">
        <v>0</v>
      </c>
      <c r="S62" s="789">
        <v>0</v>
      </c>
      <c r="T62" s="789">
        <v>0</v>
      </c>
      <c r="U62" s="789">
        <v>0</v>
      </c>
      <c r="V62" s="789">
        <v>0</v>
      </c>
      <c r="W62" s="789">
        <v>8128.6089451381622</v>
      </c>
      <c r="X62" s="789">
        <v>0</v>
      </c>
      <c r="Y62" s="789">
        <v>0</v>
      </c>
      <c r="Z62" s="789">
        <v>0</v>
      </c>
      <c r="AA62" s="789">
        <v>0</v>
      </c>
      <c r="AB62" s="789">
        <v>0</v>
      </c>
      <c r="AC62" s="789">
        <v>0</v>
      </c>
      <c r="AD62" s="789">
        <v>0</v>
      </c>
      <c r="AE62" s="789">
        <v>2302.9347969451928</v>
      </c>
      <c r="AF62" s="789">
        <v>0</v>
      </c>
      <c r="AG62" s="789">
        <v>0</v>
      </c>
      <c r="AH62" s="789">
        <v>132470.59992914801</v>
      </c>
      <c r="AI62" s="789">
        <v>53.591649957836658</v>
      </c>
      <c r="AJ62" s="789">
        <v>0</v>
      </c>
      <c r="AK62" s="789">
        <v>0</v>
      </c>
      <c r="AL62" s="789">
        <v>0</v>
      </c>
      <c r="AM62" s="789">
        <v>0</v>
      </c>
      <c r="AN62" s="789">
        <v>0</v>
      </c>
      <c r="AO62" s="111"/>
      <c r="AP62" s="111">
        <f t="shared" si="10"/>
        <v>310698.37424485513</v>
      </c>
      <c r="AT62" t="str">
        <f t="shared" si="11"/>
        <v>Minnesota River - Headwaters</v>
      </c>
      <c r="AU62" s="113">
        <v>25</v>
      </c>
      <c r="AV62"/>
      <c r="AW62" s="113">
        <v>37</v>
      </c>
    </row>
    <row r="63" spans="1:49" ht="15" x14ac:dyDescent="0.25">
      <c r="A63" s="116" t="s">
        <v>330</v>
      </c>
      <c r="B63" s="789">
        <v>33543.944983039524</v>
      </c>
      <c r="C63" s="789">
        <v>0</v>
      </c>
      <c r="D63" s="789">
        <v>0</v>
      </c>
      <c r="E63" s="789">
        <v>0</v>
      </c>
      <c r="F63" s="789">
        <v>0</v>
      </c>
      <c r="G63" s="789">
        <v>0</v>
      </c>
      <c r="H63" s="789">
        <v>0</v>
      </c>
      <c r="I63" s="789">
        <v>129540.25506808127</v>
      </c>
      <c r="J63" s="789">
        <v>0</v>
      </c>
      <c r="K63" s="789">
        <v>0</v>
      </c>
      <c r="L63" s="789">
        <v>0</v>
      </c>
      <c r="M63" s="789">
        <v>0</v>
      </c>
      <c r="N63" s="789">
        <v>0</v>
      </c>
      <c r="O63" s="789">
        <v>0</v>
      </c>
      <c r="P63" s="789">
        <v>0</v>
      </c>
      <c r="Q63" s="789">
        <v>0</v>
      </c>
      <c r="R63" s="789">
        <v>0</v>
      </c>
      <c r="S63" s="789">
        <v>0</v>
      </c>
      <c r="T63" s="789">
        <v>0</v>
      </c>
      <c r="U63" s="789">
        <v>0</v>
      </c>
      <c r="V63" s="789">
        <v>0</v>
      </c>
      <c r="W63" s="789">
        <v>0</v>
      </c>
      <c r="X63" s="789">
        <v>0</v>
      </c>
      <c r="Y63" s="789">
        <v>0</v>
      </c>
      <c r="Z63" s="789">
        <v>36109.632918807671</v>
      </c>
      <c r="AA63" s="789">
        <v>0</v>
      </c>
      <c r="AB63" s="789">
        <v>0</v>
      </c>
      <c r="AC63" s="789">
        <v>0</v>
      </c>
      <c r="AD63" s="789">
        <v>383.75150840023775</v>
      </c>
      <c r="AE63" s="789">
        <v>17756.549895034768</v>
      </c>
      <c r="AF63" s="789">
        <v>0</v>
      </c>
      <c r="AG63" s="789">
        <v>0</v>
      </c>
      <c r="AH63" s="789">
        <v>238328.65754865282</v>
      </c>
      <c r="AI63" s="789">
        <v>0</v>
      </c>
      <c r="AJ63" s="789">
        <v>0</v>
      </c>
      <c r="AK63" s="789">
        <v>0</v>
      </c>
      <c r="AL63" s="789">
        <v>0</v>
      </c>
      <c r="AM63" s="789">
        <v>143961.92960103339</v>
      </c>
      <c r="AN63" s="789">
        <v>34973.323935092485</v>
      </c>
      <c r="AO63" s="111"/>
      <c r="AP63" s="111">
        <f t="shared" si="10"/>
        <v>634598.04545814218</v>
      </c>
      <c r="AT63" t="str">
        <f t="shared" si="11"/>
        <v>Minnesota River - Mankato</v>
      </c>
      <c r="AU63" s="113">
        <v>26</v>
      </c>
      <c r="AV63"/>
      <c r="AW63" s="113">
        <v>8</v>
      </c>
    </row>
    <row r="64" spans="1:49" ht="15" x14ac:dyDescent="0.25">
      <c r="A64" s="116" t="s">
        <v>329</v>
      </c>
      <c r="B64" s="789">
        <v>649.23220862939638</v>
      </c>
      <c r="C64" s="789">
        <v>0</v>
      </c>
      <c r="D64" s="789">
        <v>0</v>
      </c>
      <c r="E64" s="789">
        <v>0</v>
      </c>
      <c r="F64" s="789">
        <v>139838.02366888805</v>
      </c>
      <c r="G64" s="789">
        <v>0</v>
      </c>
      <c r="H64" s="789">
        <v>0</v>
      </c>
      <c r="I64" s="789">
        <v>370876.0853733893</v>
      </c>
      <c r="J64" s="789">
        <v>54629.377909690025</v>
      </c>
      <c r="K64" s="789">
        <v>0</v>
      </c>
      <c r="L64" s="789">
        <v>0</v>
      </c>
      <c r="M64" s="789">
        <v>0</v>
      </c>
      <c r="N64" s="789">
        <v>859.9703255477084</v>
      </c>
      <c r="O64" s="789">
        <v>0</v>
      </c>
      <c r="P64" s="789">
        <v>0</v>
      </c>
      <c r="Q64" s="789">
        <v>0</v>
      </c>
      <c r="R64" s="789">
        <v>0</v>
      </c>
      <c r="S64" s="789">
        <v>0</v>
      </c>
      <c r="T64" s="789">
        <v>0</v>
      </c>
      <c r="U64" s="789">
        <v>0</v>
      </c>
      <c r="V64" s="789">
        <v>0</v>
      </c>
      <c r="W64" s="789">
        <v>0</v>
      </c>
      <c r="X64" s="789">
        <v>0</v>
      </c>
      <c r="Y64" s="789">
        <v>0</v>
      </c>
      <c r="Z64" s="789">
        <v>0</v>
      </c>
      <c r="AA64" s="789">
        <v>0</v>
      </c>
      <c r="AB64" s="789">
        <v>14209.5714498298</v>
      </c>
      <c r="AC64" s="789">
        <v>0</v>
      </c>
      <c r="AD64" s="789">
        <v>0</v>
      </c>
      <c r="AE64" s="789">
        <v>26918.454642331886</v>
      </c>
      <c r="AF64" s="789">
        <v>0</v>
      </c>
      <c r="AG64" s="789">
        <v>0</v>
      </c>
      <c r="AH64" s="789">
        <v>397600.31864614645</v>
      </c>
      <c r="AI64" s="789">
        <v>30689.715838049928</v>
      </c>
      <c r="AJ64" s="789">
        <v>0</v>
      </c>
      <c r="AK64" s="789">
        <v>0</v>
      </c>
      <c r="AL64" s="789">
        <v>0</v>
      </c>
      <c r="AM64" s="789">
        <v>0</v>
      </c>
      <c r="AN64" s="789">
        <v>0</v>
      </c>
      <c r="AO64" s="111"/>
      <c r="AP64" s="111">
        <f t="shared" si="10"/>
        <v>1036270.7500625027</v>
      </c>
      <c r="AT64" t="str">
        <f t="shared" si="11"/>
        <v>Minnesota River - Yellow Medicine River</v>
      </c>
      <c r="AU64" s="113">
        <v>27</v>
      </c>
      <c r="AV64"/>
      <c r="AW64" s="113">
        <v>6</v>
      </c>
    </row>
    <row r="65" spans="1:49" ht="15" x14ac:dyDescent="0.25">
      <c r="A65" s="116" t="s">
        <v>328</v>
      </c>
      <c r="B65" s="789">
        <v>26748.072081484381</v>
      </c>
      <c r="C65" s="789">
        <v>0</v>
      </c>
      <c r="D65" s="789">
        <v>0</v>
      </c>
      <c r="E65" s="789">
        <v>0</v>
      </c>
      <c r="F65" s="789">
        <v>0</v>
      </c>
      <c r="G65" s="789">
        <v>0</v>
      </c>
      <c r="H65" s="789">
        <v>61103.316054609139</v>
      </c>
      <c r="I65" s="789">
        <v>0</v>
      </c>
      <c r="J65" s="789">
        <v>0</v>
      </c>
      <c r="K65" s="789">
        <v>0</v>
      </c>
      <c r="L65" s="789">
        <v>0</v>
      </c>
      <c r="M65" s="789">
        <v>20152.394104453066</v>
      </c>
      <c r="N65" s="789">
        <v>0</v>
      </c>
      <c r="O65" s="789">
        <v>0</v>
      </c>
      <c r="P65" s="789">
        <v>0</v>
      </c>
      <c r="Q65" s="789">
        <v>0</v>
      </c>
      <c r="R65" s="789">
        <v>0</v>
      </c>
      <c r="S65" s="789">
        <v>3852.7539119296061</v>
      </c>
      <c r="T65" s="789">
        <v>0</v>
      </c>
      <c r="U65" s="789">
        <v>0</v>
      </c>
      <c r="V65" s="789">
        <v>0</v>
      </c>
      <c r="W65" s="789">
        <v>0</v>
      </c>
      <c r="X65" s="789">
        <v>0</v>
      </c>
      <c r="Y65" s="789">
        <v>0</v>
      </c>
      <c r="Z65" s="789">
        <v>0</v>
      </c>
      <c r="AA65" s="789">
        <v>28089.970368097365</v>
      </c>
      <c r="AB65" s="789">
        <v>15259.725911491016</v>
      </c>
      <c r="AC65" s="789">
        <v>14422.182005015931</v>
      </c>
      <c r="AD65" s="789">
        <v>0</v>
      </c>
      <c r="AE65" s="789">
        <v>0</v>
      </c>
      <c r="AF65" s="789">
        <v>0</v>
      </c>
      <c r="AG65" s="789">
        <v>0</v>
      </c>
      <c r="AH65" s="789">
        <v>0</v>
      </c>
      <c r="AI65" s="789">
        <v>0</v>
      </c>
      <c r="AJ65" s="789">
        <v>0</v>
      </c>
      <c r="AK65" s="789">
        <v>0</v>
      </c>
      <c r="AL65" s="789">
        <v>0</v>
      </c>
      <c r="AM65" s="789">
        <v>0</v>
      </c>
      <c r="AN65" s="789">
        <v>0</v>
      </c>
      <c r="AO65" s="111"/>
      <c r="AP65" s="111">
        <f t="shared" si="10"/>
        <v>169628.41443708053</v>
      </c>
      <c r="AT65" t="str">
        <f t="shared" si="11"/>
        <v>Mississippi River - Brainerd</v>
      </c>
      <c r="AU65" s="113">
        <v>28</v>
      </c>
      <c r="AV65"/>
      <c r="AW65" s="113">
        <v>27</v>
      </c>
    </row>
    <row r="66" spans="1:49" ht="15" x14ac:dyDescent="0.25">
      <c r="A66" s="116" t="s">
        <v>327</v>
      </c>
      <c r="B66" s="789">
        <v>114.5951724511329</v>
      </c>
      <c r="C66" s="789">
        <v>0</v>
      </c>
      <c r="D66" s="789">
        <v>0</v>
      </c>
      <c r="E66" s="789">
        <v>0</v>
      </c>
      <c r="F66" s="789">
        <v>0</v>
      </c>
      <c r="G66" s="789">
        <v>0</v>
      </c>
      <c r="H66" s="789">
        <v>802.29683736384345</v>
      </c>
      <c r="I66" s="789">
        <v>0</v>
      </c>
      <c r="J66" s="789">
        <v>0</v>
      </c>
      <c r="K66" s="789">
        <v>0</v>
      </c>
      <c r="L66" s="789">
        <v>0</v>
      </c>
      <c r="M66" s="789">
        <v>14255.881208131193</v>
      </c>
      <c r="N66" s="789">
        <v>0</v>
      </c>
      <c r="O66" s="789">
        <v>0</v>
      </c>
      <c r="P66" s="789">
        <v>0</v>
      </c>
      <c r="Q66" s="789">
        <v>0</v>
      </c>
      <c r="R66" s="789">
        <v>4236.769200443774</v>
      </c>
      <c r="S66" s="789">
        <v>5301.7295725072308</v>
      </c>
      <c r="T66" s="789">
        <v>0</v>
      </c>
      <c r="U66" s="789">
        <v>0</v>
      </c>
      <c r="V66" s="789">
        <v>0</v>
      </c>
      <c r="W66" s="789">
        <v>0</v>
      </c>
      <c r="X66" s="789">
        <v>0</v>
      </c>
      <c r="Y66" s="789">
        <v>0</v>
      </c>
      <c r="Z66" s="789">
        <v>0</v>
      </c>
      <c r="AA66" s="789">
        <v>26436.213757036272</v>
      </c>
      <c r="AB66" s="789">
        <v>0</v>
      </c>
      <c r="AC66" s="789">
        <v>310.30546858748107</v>
      </c>
      <c r="AD66" s="789">
        <v>0</v>
      </c>
      <c r="AE66" s="789">
        <v>0</v>
      </c>
      <c r="AF66" s="789">
        <v>0</v>
      </c>
      <c r="AG66" s="789">
        <v>0</v>
      </c>
      <c r="AH66" s="789">
        <v>0</v>
      </c>
      <c r="AI66" s="789">
        <v>0</v>
      </c>
      <c r="AJ66" s="789">
        <v>0</v>
      </c>
      <c r="AK66" s="789">
        <v>0</v>
      </c>
      <c r="AL66" s="789">
        <v>0</v>
      </c>
      <c r="AM66" s="789">
        <v>0</v>
      </c>
      <c r="AN66" s="789">
        <v>0</v>
      </c>
      <c r="AO66" s="111"/>
      <c r="AP66" s="111">
        <f t="shared" si="10"/>
        <v>51457.791216520927</v>
      </c>
      <c r="AT66" t="str">
        <f t="shared" si="11"/>
        <v>Mississippi River - Grand Rapids</v>
      </c>
      <c r="AU66" s="113">
        <v>29</v>
      </c>
      <c r="AV66"/>
      <c r="AW66" s="113">
        <v>26</v>
      </c>
    </row>
    <row r="67" spans="1:49" ht="15" x14ac:dyDescent="0.25">
      <c r="A67" s="116" t="s">
        <v>326</v>
      </c>
      <c r="B67" s="789">
        <v>8769.4798329791611</v>
      </c>
      <c r="C67" s="789">
        <v>4422.2426360510071</v>
      </c>
      <c r="D67" s="789">
        <v>0</v>
      </c>
      <c r="E67" s="789">
        <v>0</v>
      </c>
      <c r="F67" s="789">
        <v>0</v>
      </c>
      <c r="G67" s="789">
        <v>0</v>
      </c>
      <c r="H67" s="789">
        <v>0</v>
      </c>
      <c r="I67" s="789">
        <v>0</v>
      </c>
      <c r="J67" s="789">
        <v>0</v>
      </c>
      <c r="K67" s="789">
        <v>0</v>
      </c>
      <c r="L67" s="789">
        <v>0</v>
      </c>
      <c r="M67" s="789">
        <v>25616.427768850146</v>
      </c>
      <c r="N67" s="789">
        <v>0</v>
      </c>
      <c r="O67" s="789">
        <v>0</v>
      </c>
      <c r="P67" s="789">
        <v>0</v>
      </c>
      <c r="Q67" s="789">
        <v>0</v>
      </c>
      <c r="R67" s="789">
        <v>0</v>
      </c>
      <c r="S67" s="789">
        <v>25761.973747980392</v>
      </c>
      <c r="T67" s="789">
        <v>0</v>
      </c>
      <c r="U67" s="789">
        <v>0</v>
      </c>
      <c r="V67" s="789">
        <v>0</v>
      </c>
      <c r="W67" s="789">
        <v>0</v>
      </c>
      <c r="X67" s="789">
        <v>0</v>
      </c>
      <c r="Y67" s="789">
        <v>0</v>
      </c>
      <c r="Z67" s="789">
        <v>0</v>
      </c>
      <c r="AA67" s="789">
        <v>7329.9491947938486</v>
      </c>
      <c r="AB67" s="789">
        <v>0</v>
      </c>
      <c r="AC67" s="789">
        <v>0</v>
      </c>
      <c r="AD67" s="789">
        <v>0</v>
      </c>
      <c r="AE67" s="789">
        <v>0</v>
      </c>
      <c r="AF67" s="789">
        <v>0</v>
      </c>
      <c r="AG67" s="789">
        <v>0</v>
      </c>
      <c r="AH67" s="789">
        <v>0</v>
      </c>
      <c r="AI67" s="789">
        <v>0</v>
      </c>
      <c r="AJ67" s="789">
        <v>0</v>
      </c>
      <c r="AK67" s="789">
        <v>0</v>
      </c>
      <c r="AL67" s="789">
        <v>0</v>
      </c>
      <c r="AM67" s="789">
        <v>0</v>
      </c>
      <c r="AN67" s="789">
        <v>0</v>
      </c>
      <c r="AO67" s="111"/>
      <c r="AP67" s="111">
        <f t="shared" si="10"/>
        <v>71900.073180654552</v>
      </c>
      <c r="AT67" t="str">
        <f t="shared" si="11"/>
        <v>Mississippi River - Headwaters</v>
      </c>
      <c r="AU67" s="113">
        <v>30</v>
      </c>
      <c r="AV67"/>
      <c r="AW67" s="113">
        <v>24</v>
      </c>
    </row>
    <row r="68" spans="1:49" ht="15" x14ac:dyDescent="0.25">
      <c r="A68" s="116" t="s">
        <v>325</v>
      </c>
      <c r="B68" s="789">
        <v>10.743297417293709</v>
      </c>
      <c r="C68" s="789">
        <v>0</v>
      </c>
      <c r="D68" s="789">
        <v>6304.9979048875266</v>
      </c>
      <c r="E68" s="789">
        <v>0</v>
      </c>
      <c r="F68" s="789">
        <v>0</v>
      </c>
      <c r="G68" s="789">
        <v>0</v>
      </c>
      <c r="H68" s="789">
        <v>0</v>
      </c>
      <c r="I68" s="789">
        <v>0</v>
      </c>
      <c r="J68" s="789">
        <v>0</v>
      </c>
      <c r="K68" s="789">
        <v>0</v>
      </c>
      <c r="L68" s="789">
        <v>0</v>
      </c>
      <c r="M68" s="789">
        <v>0</v>
      </c>
      <c r="N68" s="789">
        <v>0</v>
      </c>
      <c r="O68" s="789">
        <v>0</v>
      </c>
      <c r="P68" s="789">
        <v>0</v>
      </c>
      <c r="Q68" s="789">
        <v>0</v>
      </c>
      <c r="R68" s="789">
        <v>0</v>
      </c>
      <c r="S68" s="789">
        <v>0</v>
      </c>
      <c r="T68" s="789">
        <v>0</v>
      </c>
      <c r="U68" s="789">
        <v>0</v>
      </c>
      <c r="V68" s="789">
        <v>0</v>
      </c>
      <c r="W68" s="789">
        <v>0</v>
      </c>
      <c r="X68" s="789">
        <v>0</v>
      </c>
      <c r="Y68" s="789">
        <v>0</v>
      </c>
      <c r="Z68" s="789">
        <v>0</v>
      </c>
      <c r="AA68" s="789">
        <v>0</v>
      </c>
      <c r="AB68" s="789">
        <v>0</v>
      </c>
      <c r="AC68" s="789">
        <v>0</v>
      </c>
      <c r="AD68" s="789">
        <v>0</v>
      </c>
      <c r="AE68" s="789">
        <v>0</v>
      </c>
      <c r="AF68" s="789">
        <v>0</v>
      </c>
      <c r="AG68" s="789">
        <v>388.37093731315122</v>
      </c>
      <c r="AH68" s="789">
        <v>0</v>
      </c>
      <c r="AI68" s="789">
        <v>0</v>
      </c>
      <c r="AJ68" s="789">
        <v>0</v>
      </c>
      <c r="AK68" s="789">
        <v>0</v>
      </c>
      <c r="AL68" s="789">
        <v>0</v>
      </c>
      <c r="AM68" s="789">
        <v>0</v>
      </c>
      <c r="AN68" s="789">
        <v>0</v>
      </c>
      <c r="AO68" s="111"/>
      <c r="AP68" s="111">
        <f t="shared" si="10"/>
        <v>6704.1121396179715</v>
      </c>
      <c r="AT68" t="str">
        <f t="shared" si="11"/>
        <v>Mississippi River - La Crescent</v>
      </c>
      <c r="AU68" s="113">
        <v>31</v>
      </c>
      <c r="AV68"/>
      <c r="AW68" s="113">
        <v>47</v>
      </c>
    </row>
    <row r="69" spans="1:49" ht="15" x14ac:dyDescent="0.25">
      <c r="A69" s="116" t="s">
        <v>324</v>
      </c>
      <c r="B69" s="789">
        <v>71331.492445910058</v>
      </c>
      <c r="C69" s="789">
        <v>0</v>
      </c>
      <c r="D69" s="789">
        <v>43118.192727062553</v>
      </c>
      <c r="E69" s="789">
        <v>0</v>
      </c>
      <c r="F69" s="789">
        <v>0</v>
      </c>
      <c r="G69" s="789">
        <v>0</v>
      </c>
      <c r="H69" s="789">
        <v>0</v>
      </c>
      <c r="I69" s="789">
        <v>0</v>
      </c>
      <c r="J69" s="789">
        <v>0</v>
      </c>
      <c r="K69" s="789">
        <v>0</v>
      </c>
      <c r="L69" s="789">
        <v>0</v>
      </c>
      <c r="M69" s="789">
        <v>0</v>
      </c>
      <c r="N69" s="789">
        <v>0</v>
      </c>
      <c r="O69" s="789">
        <v>0</v>
      </c>
      <c r="P69" s="789">
        <v>0</v>
      </c>
      <c r="Q69" s="789">
        <v>0</v>
      </c>
      <c r="R69" s="789">
        <v>0</v>
      </c>
      <c r="S69" s="789">
        <v>0</v>
      </c>
      <c r="T69" s="789">
        <v>0</v>
      </c>
      <c r="U69" s="789">
        <v>0</v>
      </c>
      <c r="V69" s="789">
        <v>0</v>
      </c>
      <c r="W69" s="789">
        <v>0</v>
      </c>
      <c r="X69" s="789">
        <v>0</v>
      </c>
      <c r="Y69" s="789">
        <v>13698.208585235319</v>
      </c>
      <c r="Z69" s="789">
        <v>23621.702057042065</v>
      </c>
      <c r="AA69" s="789">
        <v>0</v>
      </c>
      <c r="AB69" s="789">
        <v>0</v>
      </c>
      <c r="AC69" s="789">
        <v>0</v>
      </c>
      <c r="AD69" s="789">
        <v>0</v>
      </c>
      <c r="AE69" s="789">
        <v>0</v>
      </c>
      <c r="AF69" s="789">
        <v>671.27162145950933</v>
      </c>
      <c r="AG69" s="789">
        <v>1416.2814808000958</v>
      </c>
      <c r="AH69" s="789">
        <v>0</v>
      </c>
      <c r="AI69" s="789">
        <v>0</v>
      </c>
      <c r="AJ69" s="789">
        <v>0</v>
      </c>
      <c r="AK69" s="789">
        <v>151.19960199713753</v>
      </c>
      <c r="AL69" s="789">
        <v>0</v>
      </c>
      <c r="AM69" s="789">
        <v>0</v>
      </c>
      <c r="AN69" s="789">
        <v>0</v>
      </c>
      <c r="AO69" s="111"/>
      <c r="AP69" s="111">
        <f t="shared" si="10"/>
        <v>154008.34851950675</v>
      </c>
      <c r="AT69" t="str">
        <f t="shared" si="11"/>
        <v>Mississippi River - Lake Pepin</v>
      </c>
      <c r="AU69" s="113">
        <v>32</v>
      </c>
      <c r="AV69"/>
      <c r="AW69" s="113">
        <v>45</v>
      </c>
    </row>
    <row r="70" spans="1:49" ht="15" x14ac:dyDescent="0.25">
      <c r="A70" s="116" t="s">
        <v>323</v>
      </c>
      <c r="B70" s="789">
        <v>112.90994932685153</v>
      </c>
      <c r="C70" s="789">
        <v>0</v>
      </c>
      <c r="D70" s="789">
        <v>14214.72137060085</v>
      </c>
      <c r="E70" s="789">
        <v>0</v>
      </c>
      <c r="F70" s="789">
        <v>0</v>
      </c>
      <c r="G70" s="789">
        <v>0</v>
      </c>
      <c r="H70" s="789">
        <v>0</v>
      </c>
      <c r="I70" s="789">
        <v>0</v>
      </c>
      <c r="J70" s="789">
        <v>0</v>
      </c>
      <c r="K70" s="789">
        <v>0</v>
      </c>
      <c r="L70" s="789">
        <v>0</v>
      </c>
      <c r="M70" s="789">
        <v>0</v>
      </c>
      <c r="N70" s="789">
        <v>0</v>
      </c>
      <c r="O70" s="789">
        <v>0</v>
      </c>
      <c r="P70" s="789">
        <v>0</v>
      </c>
      <c r="Q70" s="789">
        <v>0</v>
      </c>
      <c r="R70" s="789">
        <v>0</v>
      </c>
      <c r="S70" s="789">
        <v>0</v>
      </c>
      <c r="T70" s="789">
        <v>0</v>
      </c>
      <c r="U70" s="789">
        <v>0</v>
      </c>
      <c r="V70" s="789">
        <v>0</v>
      </c>
      <c r="W70" s="789">
        <v>0</v>
      </c>
      <c r="X70" s="789">
        <v>0</v>
      </c>
      <c r="Y70" s="789">
        <v>8201.200678461435</v>
      </c>
      <c r="Z70" s="789">
        <v>0</v>
      </c>
      <c r="AA70" s="789">
        <v>0</v>
      </c>
      <c r="AB70" s="789">
        <v>0</v>
      </c>
      <c r="AC70" s="789">
        <v>0</v>
      </c>
      <c r="AD70" s="789">
        <v>0</v>
      </c>
      <c r="AE70" s="789">
        <v>0</v>
      </c>
      <c r="AF70" s="789">
        <v>0</v>
      </c>
      <c r="AG70" s="789">
        <v>1666.3436797538627</v>
      </c>
      <c r="AH70" s="789">
        <v>0</v>
      </c>
      <c r="AI70" s="789">
        <v>0</v>
      </c>
      <c r="AJ70" s="789">
        <v>0</v>
      </c>
      <c r="AK70" s="789">
        <v>0</v>
      </c>
      <c r="AL70" s="789">
        <v>0</v>
      </c>
      <c r="AM70" s="789">
        <v>0</v>
      </c>
      <c r="AN70" s="789">
        <v>0</v>
      </c>
      <c r="AO70" s="111"/>
      <c r="AP70" s="111">
        <f t="shared" ref="AP70:AP101" si="12">SUM(B70:AN70)</f>
        <v>24195.175678142998</v>
      </c>
      <c r="AT70" t="str">
        <f t="shared" ref="AT70:AT101" si="13">A70</f>
        <v>Mississippi River - Reno</v>
      </c>
      <c r="AU70" s="113">
        <v>33</v>
      </c>
      <c r="AV70"/>
      <c r="AW70" s="113">
        <v>48</v>
      </c>
    </row>
    <row r="71" spans="1:49" ht="15" x14ac:dyDescent="0.25">
      <c r="A71" s="116" t="s">
        <v>322</v>
      </c>
      <c r="B71" s="789">
        <v>67594.720820706672</v>
      </c>
      <c r="C71" s="789">
        <v>0</v>
      </c>
      <c r="D71" s="789">
        <v>0</v>
      </c>
      <c r="E71" s="789">
        <v>0</v>
      </c>
      <c r="F71" s="789">
        <v>0</v>
      </c>
      <c r="G71" s="789">
        <v>0</v>
      </c>
      <c r="H71" s="789">
        <v>120256.28179157968</v>
      </c>
      <c r="I71" s="789">
        <v>0</v>
      </c>
      <c r="J71" s="789">
        <v>0</v>
      </c>
      <c r="K71" s="789">
        <v>0</v>
      </c>
      <c r="L71" s="789">
        <v>0</v>
      </c>
      <c r="M71" s="789">
        <v>0</v>
      </c>
      <c r="N71" s="789">
        <v>0</v>
      </c>
      <c r="O71" s="789">
        <v>0</v>
      </c>
      <c r="P71" s="789">
        <v>0</v>
      </c>
      <c r="Q71" s="789">
        <v>0</v>
      </c>
      <c r="R71" s="789">
        <v>0</v>
      </c>
      <c r="S71" s="789">
        <v>0</v>
      </c>
      <c r="T71" s="789">
        <v>0</v>
      </c>
      <c r="U71" s="789">
        <v>0</v>
      </c>
      <c r="V71" s="789">
        <v>0</v>
      </c>
      <c r="W71" s="789">
        <v>0</v>
      </c>
      <c r="X71" s="789">
        <v>0</v>
      </c>
      <c r="Y71" s="789">
        <v>0</v>
      </c>
      <c r="Z71" s="789">
        <v>0</v>
      </c>
      <c r="AA71" s="789">
        <v>0</v>
      </c>
      <c r="AB71" s="789">
        <v>49496.400666155641</v>
      </c>
      <c r="AC71" s="789">
        <v>4738.8494404354606</v>
      </c>
      <c r="AD71" s="789">
        <v>0</v>
      </c>
      <c r="AE71" s="789">
        <v>0</v>
      </c>
      <c r="AF71" s="789">
        <v>0</v>
      </c>
      <c r="AG71" s="789">
        <v>0</v>
      </c>
      <c r="AH71" s="789">
        <v>0</v>
      </c>
      <c r="AI71" s="789">
        <v>0</v>
      </c>
      <c r="AJ71" s="789">
        <v>0</v>
      </c>
      <c r="AK71" s="789">
        <v>0</v>
      </c>
      <c r="AL71" s="789">
        <v>0</v>
      </c>
      <c r="AM71" s="789">
        <v>0</v>
      </c>
      <c r="AN71" s="789">
        <v>0</v>
      </c>
      <c r="AO71" s="111"/>
      <c r="AP71" s="111">
        <f t="shared" si="12"/>
        <v>242086.25271887748</v>
      </c>
      <c r="AT71" t="str">
        <f t="shared" si="13"/>
        <v>Mississippi River - Sartell</v>
      </c>
      <c r="AU71" s="113">
        <v>34</v>
      </c>
      <c r="AV71"/>
      <c r="AW71" s="113">
        <v>32</v>
      </c>
    </row>
    <row r="72" spans="1:49" ht="15" x14ac:dyDescent="0.25">
      <c r="A72" s="116" t="s">
        <v>321</v>
      </c>
      <c r="B72" s="789">
        <v>81168.139822340396</v>
      </c>
      <c r="C72" s="789">
        <v>16012.148248755637</v>
      </c>
      <c r="D72" s="789">
        <v>0</v>
      </c>
      <c r="E72" s="789">
        <v>11941.066028325264</v>
      </c>
      <c r="F72" s="789">
        <v>0</v>
      </c>
      <c r="G72" s="789">
        <v>0</v>
      </c>
      <c r="H72" s="789">
        <v>55097.580621481742</v>
      </c>
      <c r="I72" s="789">
        <v>0</v>
      </c>
      <c r="J72" s="789">
        <v>0</v>
      </c>
      <c r="K72" s="789">
        <v>0</v>
      </c>
      <c r="L72" s="789">
        <v>0</v>
      </c>
      <c r="M72" s="789">
        <v>0</v>
      </c>
      <c r="N72" s="789">
        <v>0</v>
      </c>
      <c r="O72" s="789">
        <v>0</v>
      </c>
      <c r="P72" s="789">
        <v>0</v>
      </c>
      <c r="Q72" s="789">
        <v>0</v>
      </c>
      <c r="R72" s="789">
        <v>0</v>
      </c>
      <c r="S72" s="789">
        <v>0</v>
      </c>
      <c r="T72" s="789">
        <v>0</v>
      </c>
      <c r="U72" s="789">
        <v>0</v>
      </c>
      <c r="V72" s="789">
        <v>0</v>
      </c>
      <c r="W72" s="789">
        <v>0</v>
      </c>
      <c r="X72" s="789">
        <v>0</v>
      </c>
      <c r="Y72" s="789">
        <v>0</v>
      </c>
      <c r="Z72" s="789">
        <v>24040.154829519393</v>
      </c>
      <c r="AA72" s="789">
        <v>0</v>
      </c>
      <c r="AB72" s="789">
        <v>49684.720769503227</v>
      </c>
      <c r="AC72" s="789">
        <v>0</v>
      </c>
      <c r="AD72" s="789">
        <v>0</v>
      </c>
      <c r="AE72" s="789">
        <v>0</v>
      </c>
      <c r="AF72" s="789">
        <v>3819.1472449686935</v>
      </c>
      <c r="AG72" s="789">
        <v>0</v>
      </c>
      <c r="AH72" s="789">
        <v>0</v>
      </c>
      <c r="AI72" s="789">
        <v>0</v>
      </c>
      <c r="AJ72" s="789">
        <v>0</v>
      </c>
      <c r="AK72" s="789">
        <v>0</v>
      </c>
      <c r="AL72" s="789">
        <v>0</v>
      </c>
      <c r="AM72" s="789">
        <v>0</v>
      </c>
      <c r="AN72" s="789">
        <v>0</v>
      </c>
      <c r="AO72" s="111"/>
      <c r="AP72" s="111">
        <f t="shared" si="12"/>
        <v>241762.95756489434</v>
      </c>
      <c r="AT72" t="str">
        <f t="shared" si="13"/>
        <v>Mississippi River - St. Cloud</v>
      </c>
      <c r="AU72" s="113">
        <v>35</v>
      </c>
      <c r="AV72"/>
      <c r="AW72" s="113">
        <v>34</v>
      </c>
    </row>
    <row r="73" spans="1:49" ht="15" x14ac:dyDescent="0.25">
      <c r="A73" s="116" t="s">
        <v>320</v>
      </c>
      <c r="B73" s="789">
        <v>9632.9460312828232</v>
      </c>
      <c r="C73" s="789">
        <v>3497.5698130008236</v>
      </c>
      <c r="D73" s="789">
        <v>0</v>
      </c>
      <c r="E73" s="789">
        <v>0</v>
      </c>
      <c r="F73" s="789">
        <v>0</v>
      </c>
      <c r="G73" s="789">
        <v>0</v>
      </c>
      <c r="H73" s="789">
        <v>0</v>
      </c>
      <c r="I73" s="789">
        <v>0</v>
      </c>
      <c r="J73" s="789">
        <v>0</v>
      </c>
      <c r="K73" s="789">
        <v>0</v>
      </c>
      <c r="L73" s="789">
        <v>0</v>
      </c>
      <c r="M73" s="789">
        <v>0</v>
      </c>
      <c r="N73" s="789">
        <v>0</v>
      </c>
      <c r="O73" s="789">
        <v>0</v>
      </c>
      <c r="P73" s="789">
        <v>0</v>
      </c>
      <c r="Q73" s="789">
        <v>0</v>
      </c>
      <c r="R73" s="789">
        <v>0</v>
      </c>
      <c r="S73" s="789">
        <v>0</v>
      </c>
      <c r="T73" s="789">
        <v>0</v>
      </c>
      <c r="U73" s="789">
        <v>0</v>
      </c>
      <c r="V73" s="789">
        <v>0</v>
      </c>
      <c r="W73" s="789">
        <v>0</v>
      </c>
      <c r="X73" s="789">
        <v>0</v>
      </c>
      <c r="Y73" s="789">
        <v>0</v>
      </c>
      <c r="Z73" s="789">
        <v>19464.081017741843</v>
      </c>
      <c r="AA73" s="789">
        <v>0</v>
      </c>
      <c r="AB73" s="789">
        <v>0</v>
      </c>
      <c r="AC73" s="789">
        <v>0</v>
      </c>
      <c r="AD73" s="789">
        <v>0</v>
      </c>
      <c r="AE73" s="789">
        <v>0</v>
      </c>
      <c r="AF73" s="789">
        <v>12643.798016396402</v>
      </c>
      <c r="AG73" s="789">
        <v>0</v>
      </c>
      <c r="AH73" s="789">
        <v>6718.6453321520075</v>
      </c>
      <c r="AI73" s="789">
        <v>0</v>
      </c>
      <c r="AJ73" s="789">
        <v>0</v>
      </c>
      <c r="AK73" s="789">
        <v>0</v>
      </c>
      <c r="AL73" s="789">
        <v>0</v>
      </c>
      <c r="AM73" s="789">
        <v>0</v>
      </c>
      <c r="AN73" s="789">
        <v>0</v>
      </c>
      <c r="AO73" s="111"/>
      <c r="AP73" s="111">
        <f t="shared" si="12"/>
        <v>51957.040210573905</v>
      </c>
      <c r="AT73" t="str">
        <f t="shared" si="13"/>
        <v>Mississippi River - Twin Cities</v>
      </c>
      <c r="AU73" s="113">
        <v>36</v>
      </c>
      <c r="AV73"/>
      <c r="AW73" s="113">
        <v>35</v>
      </c>
    </row>
    <row r="74" spans="1:49" ht="15" x14ac:dyDescent="0.25">
      <c r="A74" s="116" t="s">
        <v>319</v>
      </c>
      <c r="B74" s="789">
        <v>6153.1709325323391</v>
      </c>
      <c r="C74" s="789">
        <v>0</v>
      </c>
      <c r="D74" s="789">
        <v>50092.378620142088</v>
      </c>
      <c r="E74" s="789">
        <v>0</v>
      </c>
      <c r="F74" s="789">
        <v>0</v>
      </c>
      <c r="G74" s="789">
        <v>0</v>
      </c>
      <c r="H74" s="789">
        <v>0</v>
      </c>
      <c r="I74" s="789">
        <v>0</v>
      </c>
      <c r="J74" s="789">
        <v>0</v>
      </c>
      <c r="K74" s="789">
        <v>0</v>
      </c>
      <c r="L74" s="789">
        <v>0</v>
      </c>
      <c r="M74" s="789">
        <v>0</v>
      </c>
      <c r="N74" s="789">
        <v>0</v>
      </c>
      <c r="O74" s="789">
        <v>0</v>
      </c>
      <c r="P74" s="789">
        <v>0</v>
      </c>
      <c r="Q74" s="789">
        <v>0</v>
      </c>
      <c r="R74" s="789">
        <v>0</v>
      </c>
      <c r="S74" s="789">
        <v>0</v>
      </c>
      <c r="T74" s="789">
        <v>0</v>
      </c>
      <c r="U74" s="789">
        <v>0</v>
      </c>
      <c r="V74" s="789">
        <v>0</v>
      </c>
      <c r="W74" s="789">
        <v>0</v>
      </c>
      <c r="X74" s="789">
        <v>0</v>
      </c>
      <c r="Y74" s="789">
        <v>91643.998570516866</v>
      </c>
      <c r="Z74" s="789">
        <v>0</v>
      </c>
      <c r="AA74" s="789">
        <v>0</v>
      </c>
      <c r="AB74" s="789">
        <v>0</v>
      </c>
      <c r="AC74" s="789">
        <v>0</v>
      </c>
      <c r="AD74" s="789">
        <v>0</v>
      </c>
      <c r="AE74" s="789">
        <v>0</v>
      </c>
      <c r="AF74" s="789">
        <v>0</v>
      </c>
      <c r="AG74" s="789">
        <v>672.18046842660794</v>
      </c>
      <c r="AH74" s="789">
        <v>0</v>
      </c>
      <c r="AI74" s="789">
        <v>0</v>
      </c>
      <c r="AJ74" s="789">
        <v>0</v>
      </c>
      <c r="AK74" s="789">
        <v>9458.8551014463246</v>
      </c>
      <c r="AL74" s="789">
        <v>0</v>
      </c>
      <c r="AM74" s="789">
        <v>0</v>
      </c>
      <c r="AN74" s="789">
        <v>0</v>
      </c>
      <c r="AO74" s="111"/>
      <c r="AP74" s="111">
        <f t="shared" si="12"/>
        <v>158020.58369306423</v>
      </c>
      <c r="AT74" t="str">
        <f t="shared" si="13"/>
        <v>Mississippi River - Winona</v>
      </c>
      <c r="AU74" s="113">
        <v>37</v>
      </c>
      <c r="AV74"/>
      <c r="AW74" s="113">
        <v>46</v>
      </c>
    </row>
    <row r="75" spans="1:49" ht="15" x14ac:dyDescent="0.25">
      <c r="A75" s="116" t="s">
        <v>318</v>
      </c>
      <c r="B75" s="789">
        <v>36.442950062584544</v>
      </c>
      <c r="C75" s="789">
        <v>0</v>
      </c>
      <c r="D75" s="789">
        <v>0</v>
      </c>
      <c r="E75" s="789">
        <v>0</v>
      </c>
      <c r="F75" s="789">
        <v>0</v>
      </c>
      <c r="G75" s="789">
        <v>0</v>
      </c>
      <c r="H75" s="789">
        <v>0</v>
      </c>
      <c r="I75" s="789">
        <v>0</v>
      </c>
      <c r="J75" s="789">
        <v>2666.6904469083047</v>
      </c>
      <c r="K75" s="789">
        <v>223676.97358806361</v>
      </c>
      <c r="L75" s="789">
        <v>0</v>
      </c>
      <c r="M75" s="789">
        <v>0</v>
      </c>
      <c r="N75" s="789">
        <v>0</v>
      </c>
      <c r="O75" s="789">
        <v>0</v>
      </c>
      <c r="P75" s="789">
        <v>0</v>
      </c>
      <c r="Q75" s="789">
        <v>0</v>
      </c>
      <c r="R75" s="789">
        <v>0</v>
      </c>
      <c r="S75" s="789">
        <v>0</v>
      </c>
      <c r="T75" s="789">
        <v>0</v>
      </c>
      <c r="U75" s="789">
        <v>0</v>
      </c>
      <c r="V75" s="789">
        <v>0</v>
      </c>
      <c r="W75" s="789">
        <v>119075.54189343126</v>
      </c>
      <c r="X75" s="789">
        <v>0</v>
      </c>
      <c r="Y75" s="789">
        <v>0</v>
      </c>
      <c r="Z75" s="789">
        <v>0</v>
      </c>
      <c r="AA75" s="789">
        <v>0</v>
      </c>
      <c r="AB75" s="789">
        <v>774.07159252850374</v>
      </c>
      <c r="AC75" s="789">
        <v>0</v>
      </c>
      <c r="AD75" s="789">
        <v>0</v>
      </c>
      <c r="AE75" s="789">
        <v>0</v>
      </c>
      <c r="AF75" s="789">
        <v>0</v>
      </c>
      <c r="AG75" s="789">
        <v>0</v>
      </c>
      <c r="AH75" s="789">
        <v>0</v>
      </c>
      <c r="AI75" s="789">
        <v>0</v>
      </c>
      <c r="AJ75" s="789">
        <v>16839.819808392702</v>
      </c>
      <c r="AK75" s="789">
        <v>0</v>
      </c>
      <c r="AL75" s="789">
        <v>83741.608632916425</v>
      </c>
      <c r="AM75" s="789">
        <v>0</v>
      </c>
      <c r="AN75" s="789">
        <v>0</v>
      </c>
      <c r="AO75" s="111"/>
      <c r="AP75" s="111">
        <f t="shared" si="12"/>
        <v>446811.14891230338</v>
      </c>
      <c r="AT75" t="str">
        <f t="shared" si="13"/>
        <v>Mustinka River</v>
      </c>
      <c r="AU75" s="113">
        <v>38</v>
      </c>
      <c r="AV75"/>
      <c r="AW75" s="113">
        <v>56</v>
      </c>
    </row>
    <row r="76" spans="1:49" ht="15" x14ac:dyDescent="0.25">
      <c r="A76" s="116" t="s">
        <v>317</v>
      </c>
      <c r="B76" s="789">
        <v>34.547074047768</v>
      </c>
      <c r="C76" s="789">
        <v>0</v>
      </c>
      <c r="D76" s="789">
        <v>0</v>
      </c>
      <c r="E76" s="789">
        <v>3.6313749474617683</v>
      </c>
      <c r="F76" s="789">
        <v>0</v>
      </c>
      <c r="G76" s="789">
        <v>0</v>
      </c>
      <c r="H76" s="789">
        <v>0</v>
      </c>
      <c r="I76" s="789">
        <v>0</v>
      </c>
      <c r="J76" s="789">
        <v>0</v>
      </c>
      <c r="K76" s="789">
        <v>0</v>
      </c>
      <c r="L76" s="789">
        <v>30720.478570596468</v>
      </c>
      <c r="M76" s="789">
        <v>14146.05424528714</v>
      </c>
      <c r="N76" s="789">
        <v>0</v>
      </c>
      <c r="O76" s="789">
        <v>0</v>
      </c>
      <c r="P76" s="789">
        <v>0</v>
      </c>
      <c r="Q76" s="789">
        <v>0</v>
      </c>
      <c r="R76" s="789">
        <v>0</v>
      </c>
      <c r="S76" s="789">
        <v>0</v>
      </c>
      <c r="T76" s="789">
        <v>0</v>
      </c>
      <c r="U76" s="789">
        <v>0</v>
      </c>
      <c r="V76" s="789">
        <v>0</v>
      </c>
      <c r="W76" s="789">
        <v>0</v>
      </c>
      <c r="X76" s="789">
        <v>0</v>
      </c>
      <c r="Y76" s="789">
        <v>0</v>
      </c>
      <c r="Z76" s="789">
        <v>0</v>
      </c>
      <c r="AA76" s="789">
        <v>0</v>
      </c>
      <c r="AB76" s="789">
        <v>0</v>
      </c>
      <c r="AC76" s="789">
        <v>61.478111624505217</v>
      </c>
      <c r="AD76" s="789">
        <v>0</v>
      </c>
      <c r="AE76" s="789">
        <v>0</v>
      </c>
      <c r="AF76" s="789">
        <v>0</v>
      </c>
      <c r="AG76" s="789">
        <v>0</v>
      </c>
      <c r="AH76" s="789">
        <v>0</v>
      </c>
      <c r="AI76" s="789">
        <v>0</v>
      </c>
      <c r="AJ76" s="789">
        <v>0</v>
      </c>
      <c r="AK76" s="789">
        <v>0</v>
      </c>
      <c r="AL76" s="789">
        <v>0</v>
      </c>
      <c r="AM76" s="789">
        <v>0</v>
      </c>
      <c r="AN76" s="789">
        <v>0</v>
      </c>
      <c r="AO76" s="111"/>
      <c r="AP76" s="111">
        <f t="shared" si="12"/>
        <v>44966.189376503346</v>
      </c>
      <c r="AT76" t="str">
        <f t="shared" si="13"/>
        <v>Nemadji River</v>
      </c>
      <c r="AU76" s="113">
        <v>39</v>
      </c>
      <c r="AV76"/>
      <c r="AW76" s="113">
        <v>23</v>
      </c>
    </row>
    <row r="77" spans="1:49" ht="15" x14ac:dyDescent="0.25">
      <c r="A77" s="116" t="s">
        <v>316</v>
      </c>
      <c r="B77" s="789">
        <v>82370.967827296219</v>
      </c>
      <c r="C77" s="789">
        <v>0</v>
      </c>
      <c r="D77" s="789">
        <v>0</v>
      </c>
      <c r="E77" s="789">
        <v>42682.86536073107</v>
      </c>
      <c r="F77" s="789">
        <v>0</v>
      </c>
      <c r="G77" s="789">
        <v>0</v>
      </c>
      <c r="H77" s="789">
        <v>0</v>
      </c>
      <c r="I77" s="789">
        <v>0</v>
      </c>
      <c r="J77" s="789">
        <v>0</v>
      </c>
      <c r="K77" s="789">
        <v>0</v>
      </c>
      <c r="L77" s="789">
        <v>0</v>
      </c>
      <c r="M77" s="789">
        <v>0</v>
      </c>
      <c r="N77" s="789">
        <v>0</v>
      </c>
      <c r="O77" s="789">
        <v>0</v>
      </c>
      <c r="P77" s="789">
        <v>0</v>
      </c>
      <c r="Q77" s="789">
        <v>0</v>
      </c>
      <c r="R77" s="789">
        <v>0</v>
      </c>
      <c r="S77" s="789">
        <v>0</v>
      </c>
      <c r="T77" s="789">
        <v>0</v>
      </c>
      <c r="U77" s="789">
        <v>0</v>
      </c>
      <c r="V77" s="789">
        <v>0</v>
      </c>
      <c r="W77" s="789">
        <v>0</v>
      </c>
      <c r="X77" s="789">
        <v>0</v>
      </c>
      <c r="Y77" s="789">
        <v>0</v>
      </c>
      <c r="Z77" s="789">
        <v>172506.29443984438</v>
      </c>
      <c r="AA77" s="789">
        <v>0</v>
      </c>
      <c r="AB77" s="789">
        <v>156445.22657694234</v>
      </c>
      <c r="AC77" s="789">
        <v>0</v>
      </c>
      <c r="AD77" s="789">
        <v>0</v>
      </c>
      <c r="AE77" s="789">
        <v>0</v>
      </c>
      <c r="AF77" s="789">
        <v>925.22847251714552</v>
      </c>
      <c r="AG77" s="789">
        <v>0</v>
      </c>
      <c r="AH77" s="789">
        <v>10660.642701202583</v>
      </c>
      <c r="AI77" s="789">
        <v>0</v>
      </c>
      <c r="AJ77" s="789">
        <v>0</v>
      </c>
      <c r="AK77" s="789">
        <v>0</v>
      </c>
      <c r="AL77" s="789">
        <v>0</v>
      </c>
      <c r="AM77" s="789">
        <v>0</v>
      </c>
      <c r="AN77" s="789">
        <v>0</v>
      </c>
      <c r="AO77" s="111"/>
      <c r="AP77" s="111">
        <f t="shared" si="12"/>
        <v>465591.22537853383</v>
      </c>
      <c r="AT77" t="str">
        <f t="shared" si="13"/>
        <v>North Fork Crow River</v>
      </c>
      <c r="AU77" s="113">
        <v>40</v>
      </c>
      <c r="AV77"/>
      <c r="AW77" s="113">
        <v>4</v>
      </c>
    </row>
    <row r="78" spans="1:49" ht="15" x14ac:dyDescent="0.25">
      <c r="A78" s="116" t="s">
        <v>315</v>
      </c>
      <c r="B78" s="789">
        <v>2933.3415007022527</v>
      </c>
      <c r="C78" s="789">
        <v>0</v>
      </c>
      <c r="D78" s="789">
        <v>0</v>
      </c>
      <c r="E78" s="789">
        <v>0</v>
      </c>
      <c r="F78" s="789">
        <v>0</v>
      </c>
      <c r="G78" s="789">
        <v>0</v>
      </c>
      <c r="H78" s="789">
        <v>51.119537746098736</v>
      </c>
      <c r="I78" s="789">
        <v>0</v>
      </c>
      <c r="J78" s="789">
        <v>0</v>
      </c>
      <c r="K78" s="789">
        <v>75057.146648018985</v>
      </c>
      <c r="L78" s="789">
        <v>0</v>
      </c>
      <c r="M78" s="789">
        <v>63630.783203417777</v>
      </c>
      <c r="N78" s="789">
        <v>0</v>
      </c>
      <c r="O78" s="789">
        <v>13832.217680126165</v>
      </c>
      <c r="P78" s="789">
        <v>0</v>
      </c>
      <c r="Q78" s="789">
        <v>0</v>
      </c>
      <c r="R78" s="789">
        <v>0</v>
      </c>
      <c r="S78" s="789">
        <v>53199.540202979442</v>
      </c>
      <c r="T78" s="789">
        <v>0</v>
      </c>
      <c r="U78" s="789">
        <v>0</v>
      </c>
      <c r="V78" s="789">
        <v>0</v>
      </c>
      <c r="W78" s="789">
        <v>50642.905279280778</v>
      </c>
      <c r="X78" s="789">
        <v>0</v>
      </c>
      <c r="Y78" s="789">
        <v>0</v>
      </c>
      <c r="Z78" s="789">
        <v>0</v>
      </c>
      <c r="AA78" s="789">
        <v>0</v>
      </c>
      <c r="AB78" s="789">
        <v>180768.90701675203</v>
      </c>
      <c r="AC78" s="789">
        <v>0</v>
      </c>
      <c r="AD78" s="789">
        <v>0</v>
      </c>
      <c r="AE78" s="789">
        <v>0</v>
      </c>
      <c r="AF78" s="789">
        <v>0</v>
      </c>
      <c r="AG78" s="789">
        <v>0</v>
      </c>
      <c r="AH78" s="789">
        <v>0</v>
      </c>
      <c r="AI78" s="789">
        <v>0</v>
      </c>
      <c r="AJ78" s="789">
        <v>371.55979987274367</v>
      </c>
      <c r="AK78" s="789">
        <v>0</v>
      </c>
      <c r="AL78" s="789">
        <v>3315.1153770075034</v>
      </c>
      <c r="AM78" s="789">
        <v>0</v>
      </c>
      <c r="AN78" s="789">
        <v>0</v>
      </c>
      <c r="AO78" s="111"/>
      <c r="AP78" s="111">
        <f t="shared" si="12"/>
        <v>443802.63624590373</v>
      </c>
      <c r="AT78" t="str">
        <f t="shared" si="13"/>
        <v>Otter Tail River</v>
      </c>
      <c r="AU78" s="113">
        <v>41</v>
      </c>
      <c r="AV78"/>
      <c r="AW78" s="113">
        <v>57</v>
      </c>
    </row>
    <row r="79" spans="1:49" ht="15" x14ac:dyDescent="0.25">
      <c r="A79" s="116" t="s">
        <v>314</v>
      </c>
      <c r="B79" s="789">
        <v>12499.089259904358</v>
      </c>
      <c r="C79" s="789">
        <v>0</v>
      </c>
      <c r="D79" s="789">
        <v>0</v>
      </c>
      <c r="E79" s="789">
        <v>0</v>
      </c>
      <c r="F79" s="789">
        <v>0</v>
      </c>
      <c r="G79" s="789">
        <v>0</v>
      </c>
      <c r="H79" s="789">
        <v>2209.4836516310916</v>
      </c>
      <c r="I79" s="789">
        <v>0</v>
      </c>
      <c r="J79" s="789">
        <v>0</v>
      </c>
      <c r="K79" s="789">
        <v>0</v>
      </c>
      <c r="L79" s="789">
        <v>0</v>
      </c>
      <c r="M79" s="789">
        <v>4180.822259146571</v>
      </c>
      <c r="N79" s="789">
        <v>0</v>
      </c>
      <c r="O79" s="789">
        <v>0</v>
      </c>
      <c r="P79" s="789">
        <v>0</v>
      </c>
      <c r="Q79" s="789">
        <v>0</v>
      </c>
      <c r="R79" s="789">
        <v>0</v>
      </c>
      <c r="S79" s="789">
        <v>1513.4215339244972</v>
      </c>
      <c r="T79" s="789">
        <v>0</v>
      </c>
      <c r="U79" s="789">
        <v>0</v>
      </c>
      <c r="V79" s="789">
        <v>0</v>
      </c>
      <c r="W79" s="789">
        <v>0</v>
      </c>
      <c r="X79" s="789">
        <v>0</v>
      </c>
      <c r="Y79" s="789">
        <v>0</v>
      </c>
      <c r="Z79" s="789">
        <v>0</v>
      </c>
      <c r="AA79" s="789">
        <v>0</v>
      </c>
      <c r="AB79" s="789">
        <v>0</v>
      </c>
      <c r="AC79" s="789">
        <v>673.60930926505296</v>
      </c>
      <c r="AD79" s="789">
        <v>0</v>
      </c>
      <c r="AE79" s="789">
        <v>0</v>
      </c>
      <c r="AF79" s="789">
        <v>0</v>
      </c>
      <c r="AG79" s="789">
        <v>0</v>
      </c>
      <c r="AH79" s="789">
        <v>0</v>
      </c>
      <c r="AI79" s="789">
        <v>0</v>
      </c>
      <c r="AJ79" s="789">
        <v>0</v>
      </c>
      <c r="AK79" s="789">
        <v>0</v>
      </c>
      <c r="AL79" s="789">
        <v>0</v>
      </c>
      <c r="AM79" s="789">
        <v>0</v>
      </c>
      <c r="AN79" s="789">
        <v>0</v>
      </c>
      <c r="AO79" s="111"/>
      <c r="AP79" s="111">
        <f t="shared" si="12"/>
        <v>21076.426013871573</v>
      </c>
      <c r="AT79" t="str">
        <f t="shared" si="13"/>
        <v>Pine River</v>
      </c>
      <c r="AU79" s="113">
        <v>42</v>
      </c>
      <c r="AV79"/>
      <c r="AW79" s="113">
        <v>28</v>
      </c>
    </row>
    <row r="80" spans="1:49" ht="15" x14ac:dyDescent="0.25">
      <c r="A80" s="116" t="s">
        <v>313</v>
      </c>
      <c r="B80" s="789">
        <v>10343.478231057956</v>
      </c>
      <c r="C80" s="789">
        <v>0</v>
      </c>
      <c r="D80" s="789">
        <v>0</v>
      </c>
      <c r="E80" s="789">
        <v>0</v>
      </c>
      <c r="F80" s="789">
        <v>0</v>
      </c>
      <c r="G80" s="789">
        <v>0</v>
      </c>
      <c r="H80" s="789">
        <v>0</v>
      </c>
      <c r="I80" s="789">
        <v>0</v>
      </c>
      <c r="J80" s="789">
        <v>147792.76806938191</v>
      </c>
      <c r="K80" s="789">
        <v>3643.2469590831261</v>
      </c>
      <c r="L80" s="789">
        <v>0</v>
      </c>
      <c r="M80" s="789">
        <v>307.28787531497863</v>
      </c>
      <c r="N80" s="789">
        <v>0</v>
      </c>
      <c r="O80" s="789">
        <v>0</v>
      </c>
      <c r="P80" s="789">
        <v>0</v>
      </c>
      <c r="Q80" s="789">
        <v>0</v>
      </c>
      <c r="R80" s="789">
        <v>0</v>
      </c>
      <c r="S80" s="789">
        <v>0</v>
      </c>
      <c r="T80" s="789">
        <v>0</v>
      </c>
      <c r="U80" s="789">
        <v>0</v>
      </c>
      <c r="V80" s="789">
        <v>0</v>
      </c>
      <c r="W80" s="789">
        <v>0</v>
      </c>
      <c r="X80" s="789">
        <v>0</v>
      </c>
      <c r="Y80" s="789">
        <v>0</v>
      </c>
      <c r="Z80" s="789">
        <v>0</v>
      </c>
      <c r="AA80" s="789">
        <v>0</v>
      </c>
      <c r="AB80" s="789">
        <v>63371.913843486698</v>
      </c>
      <c r="AC80" s="789">
        <v>0</v>
      </c>
      <c r="AD80" s="789">
        <v>0</v>
      </c>
      <c r="AE80" s="789">
        <v>0</v>
      </c>
      <c r="AF80" s="789">
        <v>0</v>
      </c>
      <c r="AG80" s="789">
        <v>0</v>
      </c>
      <c r="AH80" s="789">
        <v>90914.810717230357</v>
      </c>
      <c r="AI80" s="789">
        <v>14958.170200833258</v>
      </c>
      <c r="AJ80" s="789">
        <v>0</v>
      </c>
      <c r="AK80" s="789">
        <v>0</v>
      </c>
      <c r="AL80" s="789">
        <v>0</v>
      </c>
      <c r="AM80" s="789">
        <v>0</v>
      </c>
      <c r="AN80" s="789">
        <v>0</v>
      </c>
      <c r="AO80" s="111"/>
      <c r="AP80" s="111">
        <f t="shared" si="12"/>
        <v>331331.67589638825</v>
      </c>
      <c r="AT80" t="str">
        <f t="shared" si="13"/>
        <v>Pomme de Terre River</v>
      </c>
      <c r="AU80" s="113">
        <v>43</v>
      </c>
      <c r="AV80"/>
      <c r="AW80" s="113">
        <v>38</v>
      </c>
    </row>
    <row r="81" spans="1:49" ht="15" x14ac:dyDescent="0.25">
      <c r="A81" s="116" t="s">
        <v>312</v>
      </c>
      <c r="B81" s="789">
        <v>0</v>
      </c>
      <c r="C81" s="789">
        <v>0</v>
      </c>
      <c r="D81" s="789">
        <v>0</v>
      </c>
      <c r="E81" s="789">
        <v>0</v>
      </c>
      <c r="F81" s="789">
        <v>0</v>
      </c>
      <c r="G81" s="789">
        <v>0</v>
      </c>
      <c r="H81" s="789">
        <v>0</v>
      </c>
      <c r="I81" s="789">
        <v>0</v>
      </c>
      <c r="J81" s="789">
        <v>0</v>
      </c>
      <c r="K81" s="789">
        <v>950.29622019901478</v>
      </c>
      <c r="L81" s="789">
        <v>0</v>
      </c>
      <c r="M81" s="789">
        <v>0</v>
      </c>
      <c r="N81" s="789">
        <v>0</v>
      </c>
      <c r="O81" s="789">
        <v>169798.91687173626</v>
      </c>
      <c r="P81" s="789">
        <v>0</v>
      </c>
      <c r="Q81" s="789">
        <v>0</v>
      </c>
      <c r="R81" s="789">
        <v>0</v>
      </c>
      <c r="S81" s="789">
        <v>0</v>
      </c>
      <c r="T81" s="789">
        <v>0</v>
      </c>
      <c r="U81" s="789">
        <v>0</v>
      </c>
      <c r="V81" s="789">
        <v>0</v>
      </c>
      <c r="W81" s="789">
        <v>0</v>
      </c>
      <c r="X81" s="789">
        <v>12408.794070195379</v>
      </c>
      <c r="Y81" s="789">
        <v>0</v>
      </c>
      <c r="Z81" s="789">
        <v>0</v>
      </c>
      <c r="AA81" s="789">
        <v>0</v>
      </c>
      <c r="AB81" s="789">
        <v>0</v>
      </c>
      <c r="AC81" s="789">
        <v>0</v>
      </c>
      <c r="AD81" s="789">
        <v>0</v>
      </c>
      <c r="AE81" s="789">
        <v>0</v>
      </c>
      <c r="AF81" s="789">
        <v>0</v>
      </c>
      <c r="AG81" s="789">
        <v>0</v>
      </c>
      <c r="AH81" s="789">
        <v>0</v>
      </c>
      <c r="AI81" s="789">
        <v>0</v>
      </c>
      <c r="AJ81" s="789">
        <v>12883.235996311107</v>
      </c>
      <c r="AK81" s="789">
        <v>0</v>
      </c>
      <c r="AL81" s="789">
        <v>228636.56020531926</v>
      </c>
      <c r="AM81" s="789">
        <v>0</v>
      </c>
      <c r="AN81" s="789">
        <v>0</v>
      </c>
      <c r="AO81" s="111"/>
      <c r="AP81" s="111">
        <f t="shared" si="12"/>
        <v>424677.80336376099</v>
      </c>
      <c r="AT81" t="str">
        <f t="shared" si="13"/>
        <v>Red Lake River</v>
      </c>
      <c r="AU81" s="113">
        <v>44</v>
      </c>
      <c r="AV81"/>
      <c r="AW81" s="113">
        <v>64</v>
      </c>
    </row>
    <row r="82" spans="1:49" ht="15" x14ac:dyDescent="0.25">
      <c r="A82" s="116" t="s">
        <v>311</v>
      </c>
      <c r="B82" s="789">
        <v>0</v>
      </c>
      <c r="C82" s="789">
        <v>0</v>
      </c>
      <c r="D82" s="789">
        <v>0</v>
      </c>
      <c r="E82" s="789">
        <v>0</v>
      </c>
      <c r="F82" s="789">
        <v>0</v>
      </c>
      <c r="G82" s="789">
        <v>0</v>
      </c>
      <c r="H82" s="789">
        <v>0</v>
      </c>
      <c r="I82" s="789">
        <v>0</v>
      </c>
      <c r="J82" s="789">
        <v>0</v>
      </c>
      <c r="K82" s="789">
        <v>0</v>
      </c>
      <c r="L82" s="789">
        <v>0</v>
      </c>
      <c r="M82" s="789">
        <v>0</v>
      </c>
      <c r="N82" s="789">
        <v>0</v>
      </c>
      <c r="O82" s="789">
        <v>56827.792583295173</v>
      </c>
      <c r="P82" s="789">
        <v>0</v>
      </c>
      <c r="Q82" s="789">
        <v>0</v>
      </c>
      <c r="R82" s="789">
        <v>0</v>
      </c>
      <c r="S82" s="789">
        <v>0</v>
      </c>
      <c r="T82" s="789">
        <v>0</v>
      </c>
      <c r="U82" s="789">
        <v>0</v>
      </c>
      <c r="V82" s="789">
        <v>0</v>
      </c>
      <c r="W82" s="789">
        <v>0</v>
      </c>
      <c r="X82" s="789">
        <v>0</v>
      </c>
      <c r="Y82" s="789">
        <v>0</v>
      </c>
      <c r="Z82" s="789">
        <v>0</v>
      </c>
      <c r="AA82" s="789">
        <v>0</v>
      </c>
      <c r="AB82" s="789">
        <v>0</v>
      </c>
      <c r="AC82" s="789">
        <v>0</v>
      </c>
      <c r="AD82" s="789">
        <v>0</v>
      </c>
      <c r="AE82" s="789">
        <v>0</v>
      </c>
      <c r="AF82" s="789">
        <v>0</v>
      </c>
      <c r="AG82" s="789">
        <v>0</v>
      </c>
      <c r="AH82" s="789">
        <v>0</v>
      </c>
      <c r="AI82" s="789">
        <v>0</v>
      </c>
      <c r="AJ82" s="789">
        <v>79019.344209112198</v>
      </c>
      <c r="AK82" s="789">
        <v>0</v>
      </c>
      <c r="AL82" s="789">
        <v>153222.66402584099</v>
      </c>
      <c r="AM82" s="789">
        <v>0</v>
      </c>
      <c r="AN82" s="789">
        <v>0</v>
      </c>
      <c r="AO82" s="111"/>
      <c r="AP82" s="111">
        <f t="shared" si="12"/>
        <v>289069.80081824836</v>
      </c>
      <c r="AT82" t="str">
        <f t="shared" si="13"/>
        <v>Red River of the North - Grand Marais Creek</v>
      </c>
      <c r="AU82" s="113">
        <v>45</v>
      </c>
      <c r="AV82"/>
      <c r="AW82" s="113">
        <v>67</v>
      </c>
    </row>
    <row r="83" spans="1:49" ht="15" x14ac:dyDescent="0.25">
      <c r="A83" s="116" t="s">
        <v>310</v>
      </c>
      <c r="B83" s="789">
        <v>0</v>
      </c>
      <c r="C83" s="789">
        <v>0</v>
      </c>
      <c r="D83" s="789">
        <v>0</v>
      </c>
      <c r="E83" s="789">
        <v>0</v>
      </c>
      <c r="F83" s="789">
        <v>0</v>
      </c>
      <c r="G83" s="789">
        <v>0</v>
      </c>
      <c r="H83" s="789">
        <v>0</v>
      </c>
      <c r="I83" s="789">
        <v>0</v>
      </c>
      <c r="J83" s="789">
        <v>0</v>
      </c>
      <c r="K83" s="789">
        <v>4613.6796577801033</v>
      </c>
      <c r="L83" s="789">
        <v>0</v>
      </c>
      <c r="M83" s="789">
        <v>0</v>
      </c>
      <c r="N83" s="789">
        <v>0</v>
      </c>
      <c r="O83" s="789">
        <v>53011.360885565198</v>
      </c>
      <c r="P83" s="789">
        <v>0</v>
      </c>
      <c r="Q83" s="789">
        <v>0</v>
      </c>
      <c r="R83" s="789">
        <v>0</v>
      </c>
      <c r="S83" s="789">
        <v>0</v>
      </c>
      <c r="T83" s="789">
        <v>0</v>
      </c>
      <c r="U83" s="789">
        <v>0</v>
      </c>
      <c r="V83" s="789">
        <v>0</v>
      </c>
      <c r="W83" s="789">
        <v>972.37778801707236</v>
      </c>
      <c r="X83" s="789">
        <v>0</v>
      </c>
      <c r="Y83" s="789">
        <v>0</v>
      </c>
      <c r="Z83" s="789">
        <v>0</v>
      </c>
      <c r="AA83" s="789">
        <v>0</v>
      </c>
      <c r="AB83" s="789">
        <v>112.75216378772626</v>
      </c>
      <c r="AC83" s="789">
        <v>0</v>
      </c>
      <c r="AD83" s="789">
        <v>0</v>
      </c>
      <c r="AE83" s="789">
        <v>0</v>
      </c>
      <c r="AF83" s="789">
        <v>0</v>
      </c>
      <c r="AG83" s="789">
        <v>0</v>
      </c>
      <c r="AH83" s="789">
        <v>0</v>
      </c>
      <c r="AI83" s="789">
        <v>0</v>
      </c>
      <c r="AJ83" s="789">
        <v>62584.303758927119</v>
      </c>
      <c r="AK83" s="789">
        <v>0</v>
      </c>
      <c r="AL83" s="789">
        <v>45954.52802719894</v>
      </c>
      <c r="AM83" s="789">
        <v>0</v>
      </c>
      <c r="AN83" s="789">
        <v>0</v>
      </c>
      <c r="AO83" s="111"/>
      <c r="AP83" s="111">
        <f t="shared" si="12"/>
        <v>167249.00228127616</v>
      </c>
      <c r="AT83" t="str">
        <f t="shared" si="13"/>
        <v>Red River of the North - Marsh River</v>
      </c>
      <c r="AU83" s="113">
        <v>46</v>
      </c>
      <c r="AV83"/>
      <c r="AW83" s="113">
        <v>60</v>
      </c>
    </row>
    <row r="84" spans="1:49" ht="15" x14ac:dyDescent="0.25">
      <c r="A84" s="116" t="s">
        <v>309</v>
      </c>
      <c r="B84" s="789">
        <v>0</v>
      </c>
      <c r="C84" s="789">
        <v>0</v>
      </c>
      <c r="D84" s="789">
        <v>0</v>
      </c>
      <c r="E84" s="789">
        <v>0</v>
      </c>
      <c r="F84" s="789">
        <v>0</v>
      </c>
      <c r="G84" s="789">
        <v>0</v>
      </c>
      <c r="H84" s="789">
        <v>0</v>
      </c>
      <c r="I84" s="789">
        <v>0</v>
      </c>
      <c r="J84" s="789">
        <v>0</v>
      </c>
      <c r="K84" s="789">
        <v>54949.781131017626</v>
      </c>
      <c r="L84" s="789">
        <v>0</v>
      </c>
      <c r="M84" s="789">
        <v>592.95178903371811</v>
      </c>
      <c r="N84" s="789">
        <v>0</v>
      </c>
      <c r="O84" s="789">
        <v>43274.352909312998</v>
      </c>
      <c r="P84" s="789">
        <v>0</v>
      </c>
      <c r="Q84" s="789">
        <v>42231.755329418527</v>
      </c>
      <c r="R84" s="789">
        <v>0</v>
      </c>
      <c r="S84" s="789">
        <v>0</v>
      </c>
      <c r="T84" s="789">
        <v>0</v>
      </c>
      <c r="U84" s="789">
        <v>0</v>
      </c>
      <c r="V84" s="789">
        <v>0</v>
      </c>
      <c r="W84" s="789">
        <v>839.09649740088889</v>
      </c>
      <c r="X84" s="789">
        <v>0</v>
      </c>
      <c r="Y84" s="789">
        <v>0</v>
      </c>
      <c r="Z84" s="789">
        <v>0</v>
      </c>
      <c r="AA84" s="789">
        <v>0</v>
      </c>
      <c r="AB84" s="789">
        <v>13680.595872910786</v>
      </c>
      <c r="AC84" s="789">
        <v>0</v>
      </c>
      <c r="AD84" s="789">
        <v>0</v>
      </c>
      <c r="AE84" s="789">
        <v>0</v>
      </c>
      <c r="AF84" s="789">
        <v>0</v>
      </c>
      <c r="AG84" s="789">
        <v>0</v>
      </c>
      <c r="AH84" s="789">
        <v>0</v>
      </c>
      <c r="AI84" s="789">
        <v>0</v>
      </c>
      <c r="AJ84" s="789">
        <v>78812.538056934965</v>
      </c>
      <c r="AK84" s="789">
        <v>0</v>
      </c>
      <c r="AL84" s="789">
        <v>38679.254227403129</v>
      </c>
      <c r="AM84" s="789">
        <v>0</v>
      </c>
      <c r="AN84" s="789">
        <v>0</v>
      </c>
      <c r="AO84" s="111"/>
      <c r="AP84" s="111">
        <f t="shared" si="12"/>
        <v>273060.32581343263</v>
      </c>
      <c r="AT84" t="str">
        <f t="shared" si="13"/>
        <v>Red River of the North - Sandhill River</v>
      </c>
      <c r="AU84" s="113">
        <v>47</v>
      </c>
      <c r="AV84"/>
      <c r="AW84" s="113">
        <v>62</v>
      </c>
    </row>
    <row r="85" spans="1:49" ht="15" x14ac:dyDescent="0.25">
      <c r="A85" s="116" t="s">
        <v>308</v>
      </c>
      <c r="B85" s="789">
        <v>0</v>
      </c>
      <c r="C85" s="789">
        <v>0</v>
      </c>
      <c r="D85" s="789">
        <v>0</v>
      </c>
      <c r="E85" s="789">
        <v>0</v>
      </c>
      <c r="F85" s="789">
        <v>0</v>
      </c>
      <c r="G85" s="789">
        <v>0</v>
      </c>
      <c r="H85" s="789">
        <v>0</v>
      </c>
      <c r="I85" s="789">
        <v>0</v>
      </c>
      <c r="J85" s="789">
        <v>0</v>
      </c>
      <c r="K85" s="789">
        <v>0</v>
      </c>
      <c r="L85" s="789">
        <v>0</v>
      </c>
      <c r="M85" s="789">
        <v>0</v>
      </c>
      <c r="N85" s="789">
        <v>0</v>
      </c>
      <c r="O85" s="789">
        <v>100074.90737505746</v>
      </c>
      <c r="P85" s="789">
        <v>0</v>
      </c>
      <c r="Q85" s="789">
        <v>0</v>
      </c>
      <c r="R85" s="789">
        <v>0</v>
      </c>
      <c r="S85" s="789">
        <v>0</v>
      </c>
      <c r="T85" s="789">
        <v>0</v>
      </c>
      <c r="U85" s="789">
        <v>0</v>
      </c>
      <c r="V85" s="789">
        <v>0</v>
      </c>
      <c r="W85" s="789">
        <v>0</v>
      </c>
      <c r="X85" s="789">
        <v>0</v>
      </c>
      <c r="Y85" s="789">
        <v>0</v>
      </c>
      <c r="Z85" s="789">
        <v>0</v>
      </c>
      <c r="AA85" s="789">
        <v>17727.266180505609</v>
      </c>
      <c r="AB85" s="789">
        <v>0</v>
      </c>
      <c r="AC85" s="789">
        <v>0</v>
      </c>
      <c r="AD85" s="789">
        <v>0</v>
      </c>
      <c r="AE85" s="789">
        <v>0</v>
      </c>
      <c r="AF85" s="789">
        <v>0</v>
      </c>
      <c r="AG85" s="789">
        <v>0</v>
      </c>
      <c r="AH85" s="789">
        <v>0</v>
      </c>
      <c r="AI85" s="789">
        <v>0</v>
      </c>
      <c r="AJ85" s="789">
        <v>160649.4000663225</v>
      </c>
      <c r="AK85" s="789">
        <v>0</v>
      </c>
      <c r="AL85" s="789">
        <v>78907.104887855414</v>
      </c>
      <c r="AM85" s="789">
        <v>0</v>
      </c>
      <c r="AN85" s="789">
        <v>0</v>
      </c>
      <c r="AO85" s="111"/>
      <c r="AP85" s="111">
        <f t="shared" si="12"/>
        <v>357358.67850974097</v>
      </c>
      <c r="AT85" t="str">
        <f t="shared" si="13"/>
        <v>Red River of the North - Tamarac River</v>
      </c>
      <c r="AU85" s="113">
        <v>48</v>
      </c>
      <c r="AV85"/>
      <c r="AW85" s="113">
        <v>69</v>
      </c>
    </row>
    <row r="86" spans="1:49" ht="15" x14ac:dyDescent="0.25">
      <c r="A86" s="116" t="s">
        <v>307</v>
      </c>
      <c r="B86" s="789">
        <v>98086.305419891563</v>
      </c>
      <c r="C86" s="789">
        <v>0</v>
      </c>
      <c r="D86" s="789">
        <v>0</v>
      </c>
      <c r="E86" s="789">
        <v>2775.6335467990384</v>
      </c>
      <c r="F86" s="789">
        <v>0</v>
      </c>
      <c r="G86" s="789">
        <v>0</v>
      </c>
      <c r="H86" s="789">
        <v>42667.872384445465</v>
      </c>
      <c r="I86" s="789">
        <v>0</v>
      </c>
      <c r="J86" s="789">
        <v>0</v>
      </c>
      <c r="K86" s="789">
        <v>0</v>
      </c>
      <c r="L86" s="789">
        <v>0</v>
      </c>
      <c r="M86" s="789">
        <v>1865.3512134861112</v>
      </c>
      <c r="N86" s="789">
        <v>0</v>
      </c>
      <c r="O86" s="789">
        <v>0</v>
      </c>
      <c r="P86" s="789">
        <v>0</v>
      </c>
      <c r="Q86" s="789">
        <v>0</v>
      </c>
      <c r="R86" s="789">
        <v>0</v>
      </c>
      <c r="S86" s="789">
        <v>54205.318423081451</v>
      </c>
      <c r="T86" s="789">
        <v>0</v>
      </c>
      <c r="U86" s="789">
        <v>0</v>
      </c>
      <c r="V86" s="789">
        <v>0</v>
      </c>
      <c r="W86" s="789">
        <v>0</v>
      </c>
      <c r="X86" s="789">
        <v>0</v>
      </c>
      <c r="Y86" s="789">
        <v>0</v>
      </c>
      <c r="Z86" s="789">
        <v>0</v>
      </c>
      <c r="AA86" s="789">
        <v>0</v>
      </c>
      <c r="AB86" s="789">
        <v>960.79237440392274</v>
      </c>
      <c r="AC86" s="789">
        <v>0</v>
      </c>
      <c r="AD86" s="789">
        <v>0</v>
      </c>
      <c r="AE86" s="789">
        <v>0</v>
      </c>
      <c r="AF86" s="789">
        <v>0</v>
      </c>
      <c r="AG86" s="789">
        <v>0</v>
      </c>
      <c r="AH86" s="789">
        <v>0</v>
      </c>
      <c r="AI86" s="789">
        <v>0</v>
      </c>
      <c r="AJ86" s="789">
        <v>0</v>
      </c>
      <c r="AK86" s="789">
        <v>0</v>
      </c>
      <c r="AL86" s="789">
        <v>0</v>
      </c>
      <c r="AM86" s="789">
        <v>0</v>
      </c>
      <c r="AN86" s="789">
        <v>0</v>
      </c>
      <c r="AO86" s="111"/>
      <c r="AP86" s="111">
        <f t="shared" si="12"/>
        <v>200561.27336210755</v>
      </c>
      <c r="AT86" t="str">
        <f t="shared" si="13"/>
        <v>Redeye River</v>
      </c>
      <c r="AU86" s="113">
        <v>49</v>
      </c>
      <c r="AV86"/>
      <c r="AW86" s="113">
        <v>30</v>
      </c>
    </row>
    <row r="87" spans="1:49" ht="15" x14ac:dyDescent="0.25">
      <c r="A87" s="116" t="s">
        <v>306</v>
      </c>
      <c r="B87" s="789">
        <v>0</v>
      </c>
      <c r="C87" s="789">
        <v>0</v>
      </c>
      <c r="D87" s="789">
        <v>0</v>
      </c>
      <c r="E87" s="789">
        <v>0</v>
      </c>
      <c r="F87" s="789">
        <v>143432.84187031203</v>
      </c>
      <c r="G87" s="789">
        <v>0</v>
      </c>
      <c r="H87" s="789">
        <v>0</v>
      </c>
      <c r="I87" s="789">
        <v>163974.48264657432</v>
      </c>
      <c r="J87" s="789">
        <v>0</v>
      </c>
      <c r="K87" s="789">
        <v>0</v>
      </c>
      <c r="L87" s="789">
        <v>0</v>
      </c>
      <c r="M87" s="789">
        <v>0</v>
      </c>
      <c r="N87" s="789">
        <v>436.9406374302331</v>
      </c>
      <c r="O87" s="789">
        <v>0</v>
      </c>
      <c r="P87" s="789">
        <v>0</v>
      </c>
      <c r="Q87" s="789">
        <v>0</v>
      </c>
      <c r="R87" s="789">
        <v>0</v>
      </c>
      <c r="S87" s="789">
        <v>0</v>
      </c>
      <c r="T87" s="789">
        <v>0</v>
      </c>
      <c r="U87" s="789">
        <v>0</v>
      </c>
      <c r="V87" s="789">
        <v>0</v>
      </c>
      <c r="W87" s="789">
        <v>0</v>
      </c>
      <c r="X87" s="789">
        <v>0</v>
      </c>
      <c r="Y87" s="789">
        <v>0</v>
      </c>
      <c r="Z87" s="789">
        <v>0</v>
      </c>
      <c r="AA87" s="789">
        <v>0</v>
      </c>
      <c r="AB87" s="789">
        <v>0</v>
      </c>
      <c r="AC87" s="789">
        <v>0</v>
      </c>
      <c r="AD87" s="789">
        <v>0</v>
      </c>
      <c r="AE87" s="789">
        <v>590.38098410818372</v>
      </c>
      <c r="AF87" s="789">
        <v>0</v>
      </c>
      <c r="AG87" s="789">
        <v>0</v>
      </c>
      <c r="AH87" s="789">
        <v>0</v>
      </c>
      <c r="AI87" s="789">
        <v>33410.690260705938</v>
      </c>
      <c r="AJ87" s="789">
        <v>0</v>
      </c>
      <c r="AK87" s="789">
        <v>0</v>
      </c>
      <c r="AL87" s="789">
        <v>0</v>
      </c>
      <c r="AM87" s="789">
        <v>2348.8787118977611</v>
      </c>
      <c r="AN87" s="789">
        <v>0</v>
      </c>
      <c r="AO87" s="111"/>
      <c r="AP87" s="111">
        <f t="shared" si="12"/>
        <v>344194.21511102852</v>
      </c>
      <c r="AT87" t="str">
        <f t="shared" si="13"/>
        <v>Redwood River</v>
      </c>
      <c r="AU87" s="113">
        <v>50</v>
      </c>
      <c r="AV87"/>
      <c r="AW87" s="113">
        <v>40</v>
      </c>
    </row>
    <row r="88" spans="1:49" ht="15" x14ac:dyDescent="0.25">
      <c r="A88" s="116" t="s">
        <v>305</v>
      </c>
      <c r="B88" s="789">
        <v>0</v>
      </c>
      <c r="C88" s="789">
        <v>0</v>
      </c>
      <c r="D88" s="789">
        <v>0</v>
      </c>
      <c r="E88" s="789">
        <v>0</v>
      </c>
      <c r="F88" s="789">
        <v>7155.7145463039415</v>
      </c>
      <c r="G88" s="789">
        <v>0</v>
      </c>
      <c r="H88" s="789">
        <v>0</v>
      </c>
      <c r="I88" s="789">
        <v>0</v>
      </c>
      <c r="J88" s="789">
        <v>0</v>
      </c>
      <c r="K88" s="789">
        <v>0</v>
      </c>
      <c r="L88" s="789">
        <v>0</v>
      </c>
      <c r="M88" s="789">
        <v>0</v>
      </c>
      <c r="N88" s="789">
        <v>459337.2658237734</v>
      </c>
      <c r="O88" s="789">
        <v>0</v>
      </c>
      <c r="P88" s="789">
        <v>0</v>
      </c>
      <c r="Q88" s="789">
        <v>0</v>
      </c>
      <c r="R88" s="789">
        <v>0</v>
      </c>
      <c r="S88" s="789">
        <v>0</v>
      </c>
      <c r="T88" s="789">
        <v>0</v>
      </c>
      <c r="U88" s="789">
        <v>0</v>
      </c>
      <c r="V88" s="789">
        <v>0</v>
      </c>
      <c r="W88" s="789">
        <v>0</v>
      </c>
      <c r="X88" s="789">
        <v>0</v>
      </c>
      <c r="Y88" s="789">
        <v>0</v>
      </c>
      <c r="Z88" s="789">
        <v>0</v>
      </c>
      <c r="AA88" s="789">
        <v>0</v>
      </c>
      <c r="AB88" s="789">
        <v>0</v>
      </c>
      <c r="AC88" s="789">
        <v>0</v>
      </c>
      <c r="AD88" s="789">
        <v>0</v>
      </c>
      <c r="AE88" s="789">
        <v>0</v>
      </c>
      <c r="AF88" s="789">
        <v>0</v>
      </c>
      <c r="AG88" s="789">
        <v>0</v>
      </c>
      <c r="AH88" s="789">
        <v>0</v>
      </c>
      <c r="AI88" s="789">
        <v>0</v>
      </c>
      <c r="AJ88" s="789">
        <v>0</v>
      </c>
      <c r="AK88" s="789">
        <v>0</v>
      </c>
      <c r="AL88" s="789">
        <v>0</v>
      </c>
      <c r="AM88" s="789">
        <v>0</v>
      </c>
      <c r="AN88" s="789">
        <v>0</v>
      </c>
      <c r="AO88" s="111"/>
      <c r="AP88" s="111">
        <f t="shared" si="12"/>
        <v>466492.98037007736</v>
      </c>
      <c r="AT88" t="str">
        <f t="shared" si="13"/>
        <v>Rock River</v>
      </c>
      <c r="AU88" s="113">
        <v>51</v>
      </c>
      <c r="AV88"/>
      <c r="AW88" s="113">
        <v>83</v>
      </c>
    </row>
    <row r="89" spans="1:49" ht="15" x14ac:dyDescent="0.25">
      <c r="A89" s="116" t="s">
        <v>304</v>
      </c>
      <c r="B89" s="789">
        <v>12348.683096062246</v>
      </c>
      <c r="C89" s="789">
        <v>0</v>
      </c>
      <c r="D89" s="789">
        <v>150601.41954802771</v>
      </c>
      <c r="E89" s="789">
        <v>0</v>
      </c>
      <c r="F89" s="789">
        <v>0</v>
      </c>
      <c r="G89" s="789">
        <v>0</v>
      </c>
      <c r="H89" s="789">
        <v>0</v>
      </c>
      <c r="I89" s="789">
        <v>0</v>
      </c>
      <c r="J89" s="789">
        <v>0</v>
      </c>
      <c r="K89" s="789">
        <v>0</v>
      </c>
      <c r="L89" s="789">
        <v>0</v>
      </c>
      <c r="M89" s="789">
        <v>0</v>
      </c>
      <c r="N89" s="789">
        <v>0</v>
      </c>
      <c r="O89" s="789">
        <v>0</v>
      </c>
      <c r="P89" s="789">
        <v>11239.70445220351</v>
      </c>
      <c r="Q89" s="789">
        <v>0</v>
      </c>
      <c r="R89" s="789">
        <v>0</v>
      </c>
      <c r="S89" s="789">
        <v>0</v>
      </c>
      <c r="T89" s="789">
        <v>0</v>
      </c>
      <c r="U89" s="789">
        <v>0</v>
      </c>
      <c r="V89" s="789">
        <v>0</v>
      </c>
      <c r="W89" s="789">
        <v>0</v>
      </c>
      <c r="X89" s="789">
        <v>0</v>
      </c>
      <c r="Y89" s="789">
        <v>191883.88211550616</v>
      </c>
      <c r="Z89" s="789">
        <v>0</v>
      </c>
      <c r="AA89" s="789">
        <v>0</v>
      </c>
      <c r="AB89" s="789">
        <v>0</v>
      </c>
      <c r="AC89" s="789">
        <v>0</v>
      </c>
      <c r="AD89" s="789">
        <v>0</v>
      </c>
      <c r="AE89" s="789">
        <v>0</v>
      </c>
      <c r="AF89" s="789">
        <v>0</v>
      </c>
      <c r="AG89" s="789">
        <v>9373.459816092196</v>
      </c>
      <c r="AH89" s="789">
        <v>0</v>
      </c>
      <c r="AI89" s="789">
        <v>0</v>
      </c>
      <c r="AJ89" s="789">
        <v>0</v>
      </c>
      <c r="AK89" s="789">
        <v>192165.57416236834</v>
      </c>
      <c r="AL89" s="789">
        <v>0</v>
      </c>
      <c r="AM89" s="789">
        <v>0</v>
      </c>
      <c r="AN89" s="789">
        <v>0</v>
      </c>
      <c r="AO89" s="111"/>
      <c r="AP89" s="111">
        <f t="shared" si="12"/>
        <v>567612.72319026024</v>
      </c>
      <c r="AT89" t="str">
        <f t="shared" si="13"/>
        <v>Root River</v>
      </c>
      <c r="AU89" s="113">
        <v>52</v>
      </c>
      <c r="AV89"/>
      <c r="AW89" s="113">
        <v>16</v>
      </c>
    </row>
    <row r="90" spans="1:49" ht="15" x14ac:dyDescent="0.25">
      <c r="A90" s="116" t="s">
        <v>303</v>
      </c>
      <c r="B90" s="789">
        <v>370.32778156083026</v>
      </c>
      <c r="C90" s="789">
        <v>51441.491202200858</v>
      </c>
      <c r="D90" s="789">
        <v>0</v>
      </c>
      <c r="E90" s="789">
        <v>39956.176432789121</v>
      </c>
      <c r="F90" s="789">
        <v>0</v>
      </c>
      <c r="G90" s="789">
        <v>0</v>
      </c>
      <c r="H90" s="789">
        <v>59550.873147495629</v>
      </c>
      <c r="I90" s="789">
        <v>0</v>
      </c>
      <c r="J90" s="789">
        <v>0</v>
      </c>
      <c r="K90" s="789">
        <v>0</v>
      </c>
      <c r="L90" s="789">
        <v>0</v>
      </c>
      <c r="M90" s="789">
        <v>0</v>
      </c>
      <c r="N90" s="789">
        <v>0</v>
      </c>
      <c r="O90" s="789">
        <v>0</v>
      </c>
      <c r="P90" s="789">
        <v>0</v>
      </c>
      <c r="Q90" s="789">
        <v>0</v>
      </c>
      <c r="R90" s="789">
        <v>0</v>
      </c>
      <c r="S90" s="789">
        <v>0</v>
      </c>
      <c r="T90" s="789">
        <v>0</v>
      </c>
      <c r="U90" s="789">
        <v>0</v>
      </c>
      <c r="V90" s="789">
        <v>0</v>
      </c>
      <c r="W90" s="789">
        <v>0</v>
      </c>
      <c r="X90" s="789">
        <v>0</v>
      </c>
      <c r="Y90" s="789">
        <v>0</v>
      </c>
      <c r="Z90" s="789">
        <v>0</v>
      </c>
      <c r="AA90" s="789">
        <v>0</v>
      </c>
      <c r="AB90" s="789">
        <v>0</v>
      </c>
      <c r="AC90" s="789">
        <v>7204.8636937873798</v>
      </c>
      <c r="AD90" s="789">
        <v>0</v>
      </c>
      <c r="AE90" s="789">
        <v>0</v>
      </c>
      <c r="AF90" s="789">
        <v>9154.5148355425172</v>
      </c>
      <c r="AG90" s="789">
        <v>0</v>
      </c>
      <c r="AH90" s="789">
        <v>0</v>
      </c>
      <c r="AI90" s="789">
        <v>0</v>
      </c>
      <c r="AJ90" s="789">
        <v>0</v>
      </c>
      <c r="AK90" s="789">
        <v>0</v>
      </c>
      <c r="AL90" s="789">
        <v>0</v>
      </c>
      <c r="AM90" s="789">
        <v>0</v>
      </c>
      <c r="AN90" s="789">
        <v>0</v>
      </c>
      <c r="AO90" s="111"/>
      <c r="AP90" s="111">
        <f t="shared" si="12"/>
        <v>167678.24709337633</v>
      </c>
      <c r="AT90" t="str">
        <f t="shared" si="13"/>
        <v>Rum River</v>
      </c>
      <c r="AU90" s="113">
        <v>53</v>
      </c>
      <c r="AV90"/>
      <c r="AW90" s="113">
        <v>36</v>
      </c>
    </row>
    <row r="91" spans="1:49" ht="15" x14ac:dyDescent="0.25">
      <c r="A91" s="116" t="s">
        <v>302</v>
      </c>
      <c r="B91" s="789">
        <v>32982.344376872759</v>
      </c>
      <c r="C91" s="789">
        <v>0</v>
      </c>
      <c r="D91" s="789">
        <v>0</v>
      </c>
      <c r="E91" s="789">
        <v>162303.35596160006</v>
      </c>
      <c r="F91" s="789">
        <v>0</v>
      </c>
      <c r="G91" s="789">
        <v>0</v>
      </c>
      <c r="H91" s="789">
        <v>2945.6344588854299</v>
      </c>
      <c r="I91" s="789">
        <v>0</v>
      </c>
      <c r="J91" s="789">
        <v>0</v>
      </c>
      <c r="K91" s="789">
        <v>0</v>
      </c>
      <c r="L91" s="789">
        <v>0</v>
      </c>
      <c r="M91" s="789">
        <v>0</v>
      </c>
      <c r="N91" s="789">
        <v>0</v>
      </c>
      <c r="O91" s="789">
        <v>0</v>
      </c>
      <c r="P91" s="789">
        <v>0</v>
      </c>
      <c r="Q91" s="789">
        <v>0</v>
      </c>
      <c r="R91" s="789">
        <v>0</v>
      </c>
      <c r="S91" s="789">
        <v>0</v>
      </c>
      <c r="T91" s="789">
        <v>0</v>
      </c>
      <c r="U91" s="789">
        <v>0</v>
      </c>
      <c r="V91" s="789">
        <v>0</v>
      </c>
      <c r="W91" s="789">
        <v>0</v>
      </c>
      <c r="X91" s="789">
        <v>0</v>
      </c>
      <c r="Y91" s="789">
        <v>0</v>
      </c>
      <c r="Z91" s="789">
        <v>0</v>
      </c>
      <c r="AA91" s="789">
        <v>0</v>
      </c>
      <c r="AB91" s="789">
        <v>125809.22420167622</v>
      </c>
      <c r="AC91" s="789">
        <v>0</v>
      </c>
      <c r="AD91" s="789">
        <v>0</v>
      </c>
      <c r="AE91" s="789">
        <v>0</v>
      </c>
      <c r="AF91" s="789">
        <v>0</v>
      </c>
      <c r="AG91" s="789">
        <v>0</v>
      </c>
      <c r="AH91" s="789">
        <v>0</v>
      </c>
      <c r="AI91" s="789">
        <v>0</v>
      </c>
      <c r="AJ91" s="789">
        <v>0</v>
      </c>
      <c r="AK91" s="789">
        <v>0</v>
      </c>
      <c r="AL91" s="789">
        <v>0</v>
      </c>
      <c r="AM91" s="789">
        <v>0</v>
      </c>
      <c r="AN91" s="789">
        <v>0</v>
      </c>
      <c r="AO91" s="111"/>
      <c r="AP91" s="111">
        <f t="shared" si="12"/>
        <v>324040.55899903446</v>
      </c>
      <c r="AT91" t="str">
        <f t="shared" si="13"/>
        <v>Sauk River</v>
      </c>
      <c r="AU91" s="113">
        <v>54</v>
      </c>
      <c r="AV91"/>
      <c r="AW91" s="113">
        <v>33</v>
      </c>
    </row>
    <row r="92" spans="1:49" ht="15" x14ac:dyDescent="0.25">
      <c r="A92" s="116" t="s">
        <v>301</v>
      </c>
      <c r="B92" s="789">
        <v>9216.6959195853269</v>
      </c>
      <c r="C92" s="789">
        <v>0</v>
      </c>
      <c r="D92" s="789">
        <v>0</v>
      </c>
      <c r="E92" s="789">
        <v>0</v>
      </c>
      <c r="F92" s="789">
        <v>0</v>
      </c>
      <c r="G92" s="789">
        <v>0</v>
      </c>
      <c r="H92" s="789">
        <v>0</v>
      </c>
      <c r="I92" s="789">
        <v>0</v>
      </c>
      <c r="J92" s="789">
        <v>0</v>
      </c>
      <c r="K92" s="789">
        <v>0</v>
      </c>
      <c r="L92" s="789">
        <v>0</v>
      </c>
      <c r="M92" s="789">
        <v>0</v>
      </c>
      <c r="N92" s="789">
        <v>0</v>
      </c>
      <c r="O92" s="789">
        <v>0</v>
      </c>
      <c r="P92" s="789">
        <v>0</v>
      </c>
      <c r="Q92" s="789">
        <v>0</v>
      </c>
      <c r="R92" s="789">
        <v>0</v>
      </c>
      <c r="S92" s="789">
        <v>0</v>
      </c>
      <c r="T92" s="789">
        <v>0</v>
      </c>
      <c r="U92" s="789">
        <v>0</v>
      </c>
      <c r="V92" s="789">
        <v>0</v>
      </c>
      <c r="W92" s="789">
        <v>0</v>
      </c>
      <c r="X92" s="789">
        <v>0</v>
      </c>
      <c r="Y92" s="789">
        <v>0</v>
      </c>
      <c r="Z92" s="789">
        <v>87947.837897758611</v>
      </c>
      <c r="AA92" s="789">
        <v>0</v>
      </c>
      <c r="AB92" s="789">
        <v>0</v>
      </c>
      <c r="AC92" s="789">
        <v>0</v>
      </c>
      <c r="AD92" s="789">
        <v>0</v>
      </c>
      <c r="AE92" s="789">
        <v>0</v>
      </c>
      <c r="AF92" s="789">
        <v>0</v>
      </c>
      <c r="AG92" s="789">
        <v>0</v>
      </c>
      <c r="AH92" s="789">
        <v>0</v>
      </c>
      <c r="AI92" s="789">
        <v>0</v>
      </c>
      <c r="AJ92" s="789">
        <v>0</v>
      </c>
      <c r="AK92" s="789">
        <v>0</v>
      </c>
      <c r="AL92" s="789">
        <v>0</v>
      </c>
      <c r="AM92" s="789">
        <v>0</v>
      </c>
      <c r="AN92" s="789">
        <v>0</v>
      </c>
      <c r="AO92" s="111"/>
      <c r="AP92" s="111">
        <f t="shared" si="12"/>
        <v>97164.533817343938</v>
      </c>
      <c r="AT92" t="str">
        <f t="shared" si="13"/>
        <v>Shell Rock River</v>
      </c>
      <c r="AU92" s="113">
        <v>55</v>
      </c>
      <c r="AV92"/>
      <c r="AW92" s="113">
        <v>51</v>
      </c>
    </row>
    <row r="93" spans="1:49" ht="15" x14ac:dyDescent="0.25">
      <c r="A93" s="116" t="s">
        <v>300</v>
      </c>
      <c r="B93" s="789">
        <v>1415.7980772868827</v>
      </c>
      <c r="C93" s="789">
        <v>0</v>
      </c>
      <c r="D93" s="789">
        <v>0</v>
      </c>
      <c r="E93" s="789">
        <v>75503.390021757819</v>
      </c>
      <c r="F93" s="789">
        <v>0</v>
      </c>
      <c r="G93" s="789">
        <v>0</v>
      </c>
      <c r="H93" s="789">
        <v>9972.5820985141436</v>
      </c>
      <c r="I93" s="789">
        <v>0</v>
      </c>
      <c r="J93" s="789">
        <v>0</v>
      </c>
      <c r="K93" s="789">
        <v>0</v>
      </c>
      <c r="L93" s="789">
        <v>0</v>
      </c>
      <c r="M93" s="789">
        <v>0</v>
      </c>
      <c r="N93" s="789">
        <v>0</v>
      </c>
      <c r="O93" s="789">
        <v>0</v>
      </c>
      <c r="P93" s="789">
        <v>0</v>
      </c>
      <c r="Q93" s="789">
        <v>0</v>
      </c>
      <c r="R93" s="789">
        <v>0</v>
      </c>
      <c r="S93" s="789">
        <v>0</v>
      </c>
      <c r="T93" s="789">
        <v>0</v>
      </c>
      <c r="U93" s="789">
        <v>0</v>
      </c>
      <c r="V93" s="789">
        <v>0</v>
      </c>
      <c r="W93" s="789">
        <v>0</v>
      </c>
      <c r="X93" s="789">
        <v>0</v>
      </c>
      <c r="Y93" s="789">
        <v>0</v>
      </c>
      <c r="Z93" s="789">
        <v>0</v>
      </c>
      <c r="AA93" s="789">
        <v>0</v>
      </c>
      <c r="AB93" s="789">
        <v>0</v>
      </c>
      <c r="AC93" s="789">
        <v>3238.4655265649922</v>
      </c>
      <c r="AD93" s="789">
        <v>0</v>
      </c>
      <c r="AE93" s="789">
        <v>0</v>
      </c>
      <c r="AF93" s="789">
        <v>0</v>
      </c>
      <c r="AG93" s="789">
        <v>0</v>
      </c>
      <c r="AH93" s="789">
        <v>0</v>
      </c>
      <c r="AI93" s="789">
        <v>0</v>
      </c>
      <c r="AJ93" s="789">
        <v>0</v>
      </c>
      <c r="AK93" s="789">
        <v>0</v>
      </c>
      <c r="AL93" s="789">
        <v>0</v>
      </c>
      <c r="AM93" s="789">
        <v>0</v>
      </c>
      <c r="AN93" s="789">
        <v>0</v>
      </c>
      <c r="AO93" s="111"/>
      <c r="AP93" s="111">
        <f t="shared" si="12"/>
        <v>90130.235724123835</v>
      </c>
      <c r="AT93" t="str">
        <f t="shared" si="13"/>
        <v>Snake River</v>
      </c>
      <c r="AU93" s="113">
        <v>56</v>
      </c>
      <c r="AV93"/>
      <c r="AW93" s="113">
        <v>43</v>
      </c>
    </row>
    <row r="94" spans="1:49" ht="15" x14ac:dyDescent="0.25">
      <c r="A94" s="116" t="s">
        <v>300</v>
      </c>
      <c r="B94" s="789">
        <v>1415.7980772868827</v>
      </c>
      <c r="C94" s="789">
        <v>0</v>
      </c>
      <c r="D94" s="789">
        <v>0</v>
      </c>
      <c r="E94" s="789">
        <v>75503.390021757819</v>
      </c>
      <c r="F94" s="789">
        <v>0</v>
      </c>
      <c r="G94" s="789">
        <v>0</v>
      </c>
      <c r="H94" s="789">
        <v>9972.5820985141436</v>
      </c>
      <c r="I94" s="789">
        <v>0</v>
      </c>
      <c r="J94" s="789">
        <v>0</v>
      </c>
      <c r="K94" s="789">
        <v>0</v>
      </c>
      <c r="L94" s="789">
        <v>0</v>
      </c>
      <c r="M94" s="789">
        <v>0</v>
      </c>
      <c r="N94" s="789">
        <v>0</v>
      </c>
      <c r="O94" s="789">
        <v>0</v>
      </c>
      <c r="P94" s="789">
        <v>0</v>
      </c>
      <c r="Q94" s="789">
        <v>0</v>
      </c>
      <c r="R94" s="789">
        <v>0</v>
      </c>
      <c r="S94" s="789">
        <v>0</v>
      </c>
      <c r="T94" s="789">
        <v>0</v>
      </c>
      <c r="U94" s="789">
        <v>0</v>
      </c>
      <c r="V94" s="789">
        <v>0</v>
      </c>
      <c r="W94" s="789">
        <v>0</v>
      </c>
      <c r="X94" s="789">
        <v>0</v>
      </c>
      <c r="Y94" s="789">
        <v>0</v>
      </c>
      <c r="Z94" s="789">
        <v>0</v>
      </c>
      <c r="AA94" s="789">
        <v>0</v>
      </c>
      <c r="AB94" s="789">
        <v>0</v>
      </c>
      <c r="AC94" s="789">
        <v>3238.4655265649922</v>
      </c>
      <c r="AD94" s="789">
        <v>0</v>
      </c>
      <c r="AE94" s="789">
        <v>0</v>
      </c>
      <c r="AF94" s="789">
        <v>0</v>
      </c>
      <c r="AG94" s="789">
        <v>0</v>
      </c>
      <c r="AH94" s="789">
        <v>0</v>
      </c>
      <c r="AI94" s="789">
        <v>0</v>
      </c>
      <c r="AJ94" s="789">
        <v>0</v>
      </c>
      <c r="AK94" s="789">
        <v>0</v>
      </c>
      <c r="AL94" s="789">
        <v>0</v>
      </c>
      <c r="AM94" s="789">
        <v>0</v>
      </c>
      <c r="AN94" s="789">
        <v>0</v>
      </c>
      <c r="AO94" s="111"/>
      <c r="AP94" s="111">
        <f t="shared" si="12"/>
        <v>90130.235724123835</v>
      </c>
      <c r="AT94" t="str">
        <f t="shared" si="13"/>
        <v>Snake River</v>
      </c>
      <c r="AU94" s="113">
        <v>57</v>
      </c>
      <c r="AV94"/>
      <c r="AW94" s="113">
        <v>68</v>
      </c>
    </row>
    <row r="95" spans="1:49" ht="15" x14ac:dyDescent="0.25">
      <c r="A95" s="116" t="s">
        <v>299</v>
      </c>
      <c r="B95" s="789">
        <v>5481.6095175062146</v>
      </c>
      <c r="C95" s="789">
        <v>0</v>
      </c>
      <c r="D95" s="789">
        <v>0</v>
      </c>
      <c r="E95" s="789">
        <v>0</v>
      </c>
      <c r="F95" s="789">
        <v>0</v>
      </c>
      <c r="G95" s="789">
        <v>0</v>
      </c>
      <c r="H95" s="789">
        <v>0</v>
      </c>
      <c r="I95" s="789">
        <v>0</v>
      </c>
      <c r="J95" s="789">
        <v>0</v>
      </c>
      <c r="K95" s="789">
        <v>0</v>
      </c>
      <c r="L95" s="789">
        <v>0</v>
      </c>
      <c r="M95" s="789">
        <v>0</v>
      </c>
      <c r="N95" s="789">
        <v>0</v>
      </c>
      <c r="O95" s="789">
        <v>0</v>
      </c>
      <c r="P95" s="789">
        <v>0</v>
      </c>
      <c r="Q95" s="789">
        <v>0</v>
      </c>
      <c r="R95" s="789">
        <v>0</v>
      </c>
      <c r="S95" s="789">
        <v>0</v>
      </c>
      <c r="T95" s="789">
        <v>0</v>
      </c>
      <c r="U95" s="789">
        <v>0</v>
      </c>
      <c r="V95" s="789">
        <v>0</v>
      </c>
      <c r="W95" s="789">
        <v>0</v>
      </c>
      <c r="X95" s="789">
        <v>0</v>
      </c>
      <c r="Y95" s="789">
        <v>0</v>
      </c>
      <c r="Z95" s="789">
        <v>332846.67722966499</v>
      </c>
      <c r="AA95" s="789">
        <v>0</v>
      </c>
      <c r="AB95" s="789">
        <v>4925.5103039042542</v>
      </c>
      <c r="AC95" s="789">
        <v>0</v>
      </c>
      <c r="AD95" s="789">
        <v>0</v>
      </c>
      <c r="AE95" s="789">
        <v>0</v>
      </c>
      <c r="AF95" s="789">
        <v>1205.9452396986235</v>
      </c>
      <c r="AG95" s="789">
        <v>0</v>
      </c>
      <c r="AH95" s="789">
        <v>229707.0471131138</v>
      </c>
      <c r="AI95" s="789">
        <v>0</v>
      </c>
      <c r="AJ95" s="789">
        <v>0</v>
      </c>
      <c r="AK95" s="789">
        <v>0</v>
      </c>
      <c r="AL95" s="789">
        <v>0</v>
      </c>
      <c r="AM95" s="789">
        <v>0</v>
      </c>
      <c r="AN95" s="789">
        <v>2746.2808301208102</v>
      </c>
      <c r="AO95" s="111"/>
      <c r="AP95" s="111">
        <f t="shared" si="12"/>
        <v>576913.07023400872</v>
      </c>
      <c r="AT95" t="str">
        <f t="shared" si="13"/>
        <v>South Fork Crow River</v>
      </c>
      <c r="AU95" s="113">
        <v>58</v>
      </c>
      <c r="AV95"/>
      <c r="AW95" s="113">
        <v>5</v>
      </c>
    </row>
    <row r="96" spans="1:49" ht="15" x14ac:dyDescent="0.25">
      <c r="A96" s="116" t="s">
        <v>298</v>
      </c>
      <c r="B96" s="789">
        <v>0</v>
      </c>
      <c r="C96" s="789">
        <v>0</v>
      </c>
      <c r="D96" s="789">
        <v>0</v>
      </c>
      <c r="E96" s="789">
        <v>0</v>
      </c>
      <c r="F96" s="789">
        <v>0</v>
      </c>
      <c r="G96" s="789">
        <v>0</v>
      </c>
      <c r="H96" s="789">
        <v>0</v>
      </c>
      <c r="I96" s="789">
        <v>0</v>
      </c>
      <c r="J96" s="789">
        <v>0</v>
      </c>
      <c r="K96" s="789">
        <v>0</v>
      </c>
      <c r="L96" s="789">
        <v>0</v>
      </c>
      <c r="M96" s="789">
        <v>0</v>
      </c>
      <c r="N96" s="789">
        <v>0</v>
      </c>
      <c r="O96" s="789">
        <v>2545.9385934897232</v>
      </c>
      <c r="P96" s="789">
        <v>0</v>
      </c>
      <c r="Q96" s="789">
        <v>0</v>
      </c>
      <c r="R96" s="789">
        <v>0</v>
      </c>
      <c r="S96" s="789">
        <v>0</v>
      </c>
      <c r="T96" s="789">
        <v>0</v>
      </c>
      <c r="U96" s="789">
        <v>70654.163572302044</v>
      </c>
      <c r="V96" s="789">
        <v>0</v>
      </c>
      <c r="W96" s="789">
        <v>0</v>
      </c>
      <c r="X96" s="789">
        <v>19301.585550492939</v>
      </c>
      <c r="Y96" s="789">
        <v>0</v>
      </c>
      <c r="Z96" s="789">
        <v>0</v>
      </c>
      <c r="AA96" s="789">
        <v>9.4955463869038592</v>
      </c>
      <c r="AB96" s="789">
        <v>0</v>
      </c>
      <c r="AC96" s="789">
        <v>0</v>
      </c>
      <c r="AD96" s="789">
        <v>0</v>
      </c>
      <c r="AE96" s="789">
        <v>0</v>
      </c>
      <c r="AF96" s="789">
        <v>0</v>
      </c>
      <c r="AG96" s="789">
        <v>0</v>
      </c>
      <c r="AH96" s="789">
        <v>0</v>
      </c>
      <c r="AI96" s="789">
        <v>0</v>
      </c>
      <c r="AJ96" s="789">
        <v>0</v>
      </c>
      <c r="AK96" s="789">
        <v>0</v>
      </c>
      <c r="AL96" s="789">
        <v>136552.82474922659</v>
      </c>
      <c r="AM96" s="789">
        <v>0</v>
      </c>
      <c r="AN96" s="789">
        <v>0</v>
      </c>
      <c r="AO96" s="111"/>
      <c r="AP96" s="111">
        <f t="shared" si="12"/>
        <v>229064.0080118982</v>
      </c>
      <c r="AT96" t="str">
        <f t="shared" si="13"/>
        <v>Thief River</v>
      </c>
      <c r="AU96" s="113">
        <v>59</v>
      </c>
      <c r="AV96"/>
      <c r="AW96" s="113">
        <v>65</v>
      </c>
    </row>
    <row r="97" spans="1:49" ht="15" x14ac:dyDescent="0.25">
      <c r="A97" s="116" t="s">
        <v>297</v>
      </c>
      <c r="B97" s="789">
        <v>0</v>
      </c>
      <c r="C97" s="789">
        <v>0</v>
      </c>
      <c r="D97" s="789">
        <v>0</v>
      </c>
      <c r="E97" s="789">
        <v>0</v>
      </c>
      <c r="F97" s="789">
        <v>0</v>
      </c>
      <c r="G97" s="789">
        <v>0</v>
      </c>
      <c r="H97" s="789">
        <v>0</v>
      </c>
      <c r="I97" s="789">
        <v>0</v>
      </c>
      <c r="J97" s="789">
        <v>0</v>
      </c>
      <c r="K97" s="789">
        <v>0</v>
      </c>
      <c r="L97" s="789">
        <v>0</v>
      </c>
      <c r="M97" s="789">
        <v>5.1214645885829775</v>
      </c>
      <c r="N97" s="789">
        <v>0</v>
      </c>
      <c r="O97" s="789">
        <v>77533.507957467591</v>
      </c>
      <c r="P97" s="789">
        <v>0</v>
      </c>
      <c r="Q97" s="789">
        <v>0</v>
      </c>
      <c r="R97" s="789">
        <v>0</v>
      </c>
      <c r="S97" s="789">
        <v>0</v>
      </c>
      <c r="T97" s="789">
        <v>0</v>
      </c>
      <c r="U97" s="789">
        <v>35707.007554345771</v>
      </c>
      <c r="V97" s="789">
        <v>0</v>
      </c>
      <c r="W97" s="789">
        <v>0</v>
      </c>
      <c r="X97" s="789">
        <v>0</v>
      </c>
      <c r="Y97" s="789">
        <v>0</v>
      </c>
      <c r="Z97" s="789">
        <v>0</v>
      </c>
      <c r="AA97" s="789">
        <v>230884.82301346323</v>
      </c>
      <c r="AB97" s="789">
        <v>0</v>
      </c>
      <c r="AC97" s="789">
        <v>0</v>
      </c>
      <c r="AD97" s="789">
        <v>0</v>
      </c>
      <c r="AE97" s="789">
        <v>0</v>
      </c>
      <c r="AF97" s="789">
        <v>0</v>
      </c>
      <c r="AG97" s="789">
        <v>0</v>
      </c>
      <c r="AH97" s="789">
        <v>0</v>
      </c>
      <c r="AI97" s="789">
        <v>0</v>
      </c>
      <c r="AJ97" s="789">
        <v>48148.005405318472</v>
      </c>
      <c r="AK97" s="789">
        <v>0</v>
      </c>
      <c r="AL97" s="789">
        <v>27937.514168349582</v>
      </c>
      <c r="AM97" s="789">
        <v>0</v>
      </c>
      <c r="AN97" s="789">
        <v>0</v>
      </c>
      <c r="AO97" s="111"/>
      <c r="AP97" s="111">
        <f t="shared" si="12"/>
        <v>420215.97956353321</v>
      </c>
      <c r="AT97" t="str">
        <f t="shared" si="13"/>
        <v>Two Rivers</v>
      </c>
      <c r="AU97" s="113">
        <v>60</v>
      </c>
      <c r="AV97"/>
      <c r="AW97" s="113">
        <v>70</v>
      </c>
    </row>
    <row r="98" spans="1:49" ht="15" x14ac:dyDescent="0.25">
      <c r="A98" s="116" t="s">
        <v>296</v>
      </c>
      <c r="B98" s="789">
        <v>0</v>
      </c>
      <c r="C98" s="789">
        <v>0</v>
      </c>
      <c r="D98" s="789">
        <v>0</v>
      </c>
      <c r="E98" s="789">
        <v>0</v>
      </c>
      <c r="F98" s="789">
        <v>124.45502334638446</v>
      </c>
      <c r="G98" s="789">
        <v>0</v>
      </c>
      <c r="H98" s="789">
        <v>0</v>
      </c>
      <c r="I98" s="789">
        <v>0</v>
      </c>
      <c r="J98" s="789">
        <v>0</v>
      </c>
      <c r="K98" s="789">
        <v>0</v>
      </c>
      <c r="L98" s="789">
        <v>0</v>
      </c>
      <c r="M98" s="789">
        <v>0</v>
      </c>
      <c r="N98" s="789">
        <v>17611.489878300948</v>
      </c>
      <c r="O98" s="789">
        <v>0</v>
      </c>
      <c r="P98" s="789">
        <v>0</v>
      </c>
      <c r="Q98" s="789">
        <v>0</v>
      </c>
      <c r="R98" s="789">
        <v>0</v>
      </c>
      <c r="S98" s="789">
        <v>0</v>
      </c>
      <c r="T98" s="789">
        <v>0</v>
      </c>
      <c r="U98" s="789">
        <v>0</v>
      </c>
      <c r="V98" s="789">
        <v>0</v>
      </c>
      <c r="W98" s="789">
        <v>0</v>
      </c>
      <c r="X98" s="789">
        <v>0</v>
      </c>
      <c r="Y98" s="789">
        <v>0</v>
      </c>
      <c r="Z98" s="789">
        <v>0</v>
      </c>
      <c r="AA98" s="789">
        <v>0</v>
      </c>
      <c r="AB98" s="789">
        <v>0</v>
      </c>
      <c r="AC98" s="789">
        <v>0</v>
      </c>
      <c r="AD98" s="789">
        <v>0</v>
      </c>
      <c r="AE98" s="789">
        <v>0</v>
      </c>
      <c r="AF98" s="789">
        <v>0</v>
      </c>
      <c r="AG98" s="789">
        <v>0</v>
      </c>
      <c r="AH98" s="789">
        <v>0</v>
      </c>
      <c r="AI98" s="789">
        <v>0</v>
      </c>
      <c r="AJ98" s="789">
        <v>0</v>
      </c>
      <c r="AK98" s="789">
        <v>0</v>
      </c>
      <c r="AL98" s="789">
        <v>0</v>
      </c>
      <c r="AM98" s="789">
        <v>0</v>
      </c>
      <c r="AN98" s="789">
        <v>0</v>
      </c>
      <c r="AO98" s="111"/>
      <c r="AP98" s="111">
        <f t="shared" si="12"/>
        <v>17735.944901647334</v>
      </c>
      <c r="AT98" t="str">
        <f t="shared" si="13"/>
        <v>Upper Big Sioux River</v>
      </c>
      <c r="AU98" s="113">
        <v>61</v>
      </c>
      <c r="AV98"/>
      <c r="AW98" s="113">
        <v>81</v>
      </c>
    </row>
    <row r="99" spans="1:49" ht="15" x14ac:dyDescent="0.25">
      <c r="A99" s="116" t="s">
        <v>295</v>
      </c>
      <c r="B99" s="789">
        <v>728.01638968955024</v>
      </c>
      <c r="C99" s="789">
        <v>0</v>
      </c>
      <c r="D99" s="789">
        <v>13714.180538640652</v>
      </c>
      <c r="E99" s="789">
        <v>0</v>
      </c>
      <c r="F99" s="789">
        <v>0</v>
      </c>
      <c r="G99" s="789">
        <v>0</v>
      </c>
      <c r="H99" s="789">
        <v>0</v>
      </c>
      <c r="I99" s="789">
        <v>0</v>
      </c>
      <c r="J99" s="789">
        <v>0</v>
      </c>
      <c r="K99" s="789">
        <v>0</v>
      </c>
      <c r="L99" s="789">
        <v>0</v>
      </c>
      <c r="M99" s="789">
        <v>0</v>
      </c>
      <c r="N99" s="789">
        <v>0</v>
      </c>
      <c r="O99" s="789">
        <v>0</v>
      </c>
      <c r="P99" s="789">
        <v>0</v>
      </c>
      <c r="Q99" s="789">
        <v>0</v>
      </c>
      <c r="R99" s="789">
        <v>0</v>
      </c>
      <c r="S99" s="789">
        <v>0</v>
      </c>
      <c r="T99" s="789">
        <v>0</v>
      </c>
      <c r="U99" s="789">
        <v>0</v>
      </c>
      <c r="V99" s="789">
        <v>0</v>
      </c>
      <c r="W99" s="789">
        <v>0</v>
      </c>
      <c r="X99" s="789">
        <v>0</v>
      </c>
      <c r="Y99" s="789">
        <v>25376.505270272082</v>
      </c>
      <c r="Z99" s="789">
        <v>0</v>
      </c>
      <c r="AA99" s="789">
        <v>0</v>
      </c>
      <c r="AB99" s="789">
        <v>0</v>
      </c>
      <c r="AC99" s="789">
        <v>0</v>
      </c>
      <c r="AD99" s="789">
        <v>0</v>
      </c>
      <c r="AE99" s="789">
        <v>0</v>
      </c>
      <c r="AF99" s="789">
        <v>0</v>
      </c>
      <c r="AG99" s="789">
        <v>0</v>
      </c>
      <c r="AH99" s="789">
        <v>0</v>
      </c>
      <c r="AI99" s="789">
        <v>0</v>
      </c>
      <c r="AJ99" s="789">
        <v>0</v>
      </c>
      <c r="AK99" s="789">
        <v>64710.549662355872</v>
      </c>
      <c r="AL99" s="789">
        <v>0</v>
      </c>
      <c r="AM99" s="789">
        <v>0</v>
      </c>
      <c r="AN99" s="789">
        <v>0</v>
      </c>
      <c r="AO99" s="111"/>
      <c r="AP99" s="111">
        <f t="shared" si="12"/>
        <v>104529.25186095816</v>
      </c>
      <c r="AT99" t="str">
        <f t="shared" si="13"/>
        <v>Upper Iowa River</v>
      </c>
      <c r="AU99" s="113">
        <v>62</v>
      </c>
      <c r="AV99"/>
      <c r="AW99" s="113">
        <v>49</v>
      </c>
    </row>
    <row r="100" spans="1:49" ht="15" x14ac:dyDescent="0.25">
      <c r="A100" s="116" t="s">
        <v>294</v>
      </c>
      <c r="B100" s="789">
        <v>0</v>
      </c>
      <c r="C100" s="789">
        <v>0</v>
      </c>
      <c r="D100" s="789">
        <v>0</v>
      </c>
      <c r="E100" s="789">
        <v>0</v>
      </c>
      <c r="F100" s="789">
        <v>0</v>
      </c>
      <c r="G100" s="789">
        <v>0</v>
      </c>
      <c r="H100" s="789">
        <v>0</v>
      </c>
      <c r="I100" s="789">
        <v>0</v>
      </c>
      <c r="J100" s="789">
        <v>0</v>
      </c>
      <c r="K100" s="789">
        <v>28032.889367259577</v>
      </c>
      <c r="L100" s="789">
        <v>0</v>
      </c>
      <c r="M100" s="789">
        <v>0</v>
      </c>
      <c r="N100" s="789">
        <v>0</v>
      </c>
      <c r="O100" s="789">
        <v>38930.079509350355</v>
      </c>
      <c r="P100" s="789">
        <v>0</v>
      </c>
      <c r="Q100" s="789">
        <v>0</v>
      </c>
      <c r="R100" s="789">
        <v>0</v>
      </c>
      <c r="S100" s="789">
        <v>0</v>
      </c>
      <c r="T100" s="789">
        <v>0</v>
      </c>
      <c r="U100" s="789">
        <v>0</v>
      </c>
      <c r="V100" s="789">
        <v>0</v>
      </c>
      <c r="W100" s="789">
        <v>79014.329778603103</v>
      </c>
      <c r="X100" s="789">
        <v>0</v>
      </c>
      <c r="Y100" s="789">
        <v>0</v>
      </c>
      <c r="Z100" s="789">
        <v>0</v>
      </c>
      <c r="AA100" s="789">
        <v>0</v>
      </c>
      <c r="AB100" s="789">
        <v>0</v>
      </c>
      <c r="AC100" s="789">
        <v>0</v>
      </c>
      <c r="AD100" s="789">
        <v>0</v>
      </c>
      <c r="AE100" s="789">
        <v>0</v>
      </c>
      <c r="AF100" s="789">
        <v>0</v>
      </c>
      <c r="AG100" s="789">
        <v>0</v>
      </c>
      <c r="AH100" s="789">
        <v>0</v>
      </c>
      <c r="AI100" s="789">
        <v>0</v>
      </c>
      <c r="AJ100" s="789">
        <v>63725.674017554309</v>
      </c>
      <c r="AK100" s="789">
        <v>0</v>
      </c>
      <c r="AL100" s="789">
        <v>37881.532660054101</v>
      </c>
      <c r="AM100" s="789">
        <v>0</v>
      </c>
      <c r="AN100" s="789">
        <v>0</v>
      </c>
      <c r="AO100" s="111"/>
      <c r="AP100" s="111">
        <f t="shared" si="12"/>
        <v>247584.50533282146</v>
      </c>
      <c r="AT100" t="str">
        <f t="shared" si="13"/>
        <v>Upper Red River of the North</v>
      </c>
      <c r="AU100" s="113">
        <v>63</v>
      </c>
      <c r="AV100"/>
      <c r="AW100" s="113">
        <v>58</v>
      </c>
    </row>
    <row r="101" spans="1:49" ht="15" x14ac:dyDescent="0.25">
      <c r="A101" s="116" t="s">
        <v>293</v>
      </c>
      <c r="B101" s="789">
        <v>8548.926256588833</v>
      </c>
      <c r="C101" s="789">
        <v>0</v>
      </c>
      <c r="D101" s="789">
        <v>0</v>
      </c>
      <c r="E101" s="789">
        <v>7276.643851244261</v>
      </c>
      <c r="F101" s="789">
        <v>0</v>
      </c>
      <c r="G101" s="789">
        <v>0</v>
      </c>
      <c r="H101" s="789">
        <v>0</v>
      </c>
      <c r="I101" s="789">
        <v>0</v>
      </c>
      <c r="J101" s="789">
        <v>0</v>
      </c>
      <c r="K101" s="789">
        <v>0</v>
      </c>
      <c r="L101" s="789">
        <v>0</v>
      </c>
      <c r="M101" s="789">
        <v>0</v>
      </c>
      <c r="N101" s="789">
        <v>0</v>
      </c>
      <c r="O101" s="789">
        <v>0</v>
      </c>
      <c r="P101" s="789">
        <v>0</v>
      </c>
      <c r="Q101" s="789">
        <v>0</v>
      </c>
      <c r="R101" s="789">
        <v>0</v>
      </c>
      <c r="S101" s="789">
        <v>0</v>
      </c>
      <c r="T101" s="789">
        <v>0</v>
      </c>
      <c r="U101" s="789">
        <v>0</v>
      </c>
      <c r="V101" s="789">
        <v>0</v>
      </c>
      <c r="W101" s="789">
        <v>0</v>
      </c>
      <c r="X101" s="789">
        <v>0</v>
      </c>
      <c r="Y101" s="789">
        <v>0</v>
      </c>
      <c r="Z101" s="789">
        <v>0</v>
      </c>
      <c r="AA101" s="789">
        <v>0</v>
      </c>
      <c r="AB101" s="789">
        <v>0</v>
      </c>
      <c r="AC101" s="789">
        <v>0</v>
      </c>
      <c r="AD101" s="789">
        <v>0</v>
      </c>
      <c r="AE101" s="789">
        <v>0</v>
      </c>
      <c r="AF101" s="789">
        <v>0</v>
      </c>
      <c r="AG101" s="789">
        <v>0</v>
      </c>
      <c r="AH101" s="789">
        <v>0</v>
      </c>
      <c r="AI101" s="789">
        <v>0</v>
      </c>
      <c r="AJ101" s="789">
        <v>0</v>
      </c>
      <c r="AK101" s="789">
        <v>0</v>
      </c>
      <c r="AL101" s="789">
        <v>0</v>
      </c>
      <c r="AM101" s="789">
        <v>0</v>
      </c>
      <c r="AN101" s="789">
        <v>0</v>
      </c>
      <c r="AO101" s="111"/>
      <c r="AP101" s="111">
        <f t="shared" si="12"/>
        <v>15825.570107833093</v>
      </c>
      <c r="AT101" t="str">
        <f t="shared" si="13"/>
        <v>Upper St. Croix River</v>
      </c>
      <c r="AU101" s="113">
        <v>64</v>
      </c>
      <c r="AV101"/>
      <c r="AW101" s="113">
        <v>41</v>
      </c>
    </row>
    <row r="102" spans="1:49" ht="15" x14ac:dyDescent="0.25">
      <c r="A102" s="116" t="s">
        <v>292</v>
      </c>
      <c r="B102" s="789">
        <v>0</v>
      </c>
      <c r="C102" s="789">
        <v>0</v>
      </c>
      <c r="D102" s="789">
        <v>0</v>
      </c>
      <c r="E102" s="789">
        <v>0</v>
      </c>
      <c r="F102" s="789">
        <v>0</v>
      </c>
      <c r="G102" s="789">
        <v>0</v>
      </c>
      <c r="H102" s="789">
        <v>0</v>
      </c>
      <c r="I102" s="789">
        <v>0</v>
      </c>
      <c r="J102" s="789">
        <v>0</v>
      </c>
      <c r="K102" s="789">
        <v>0</v>
      </c>
      <c r="L102" s="789">
        <v>0</v>
      </c>
      <c r="M102" s="789">
        <v>0</v>
      </c>
      <c r="N102" s="789">
        <v>0</v>
      </c>
      <c r="O102" s="789">
        <v>0</v>
      </c>
      <c r="P102" s="789">
        <v>0</v>
      </c>
      <c r="Q102" s="789">
        <v>0</v>
      </c>
      <c r="R102" s="789">
        <v>0</v>
      </c>
      <c r="S102" s="789">
        <v>0</v>
      </c>
      <c r="T102" s="789">
        <v>0</v>
      </c>
      <c r="U102" s="789">
        <v>0</v>
      </c>
      <c r="V102" s="789">
        <v>0</v>
      </c>
      <c r="W102" s="789">
        <v>0</v>
      </c>
      <c r="X102" s="789">
        <v>0</v>
      </c>
      <c r="Y102" s="789">
        <v>0</v>
      </c>
      <c r="Z102" s="789">
        <v>0</v>
      </c>
      <c r="AA102" s="789">
        <v>0</v>
      </c>
      <c r="AB102" s="789">
        <v>0</v>
      </c>
      <c r="AC102" s="789">
        <v>0</v>
      </c>
      <c r="AD102" s="789">
        <v>0</v>
      </c>
      <c r="AE102" s="789">
        <v>0</v>
      </c>
      <c r="AF102" s="789">
        <v>0</v>
      </c>
      <c r="AG102" s="789">
        <v>0</v>
      </c>
      <c r="AH102" s="789">
        <v>0</v>
      </c>
      <c r="AI102" s="789">
        <v>0</v>
      </c>
      <c r="AJ102" s="789">
        <v>0</v>
      </c>
      <c r="AK102" s="789">
        <v>7590.2200202563035</v>
      </c>
      <c r="AL102" s="789">
        <v>0</v>
      </c>
      <c r="AM102" s="789">
        <v>0</v>
      </c>
      <c r="AN102" s="789">
        <v>0</v>
      </c>
      <c r="AO102" s="111"/>
      <c r="AP102" s="111">
        <f t="shared" ref="AP102:AP119" si="14">SUM(B102:AN102)</f>
        <v>7590.2200202563035</v>
      </c>
      <c r="AT102" t="str">
        <f t="shared" ref="AT102:AT117" si="15">A102</f>
        <v>Upper Wapsipinicon River</v>
      </c>
      <c r="AU102" s="113">
        <v>65</v>
      </c>
      <c r="AV102"/>
      <c r="AW102" s="113">
        <v>50</v>
      </c>
    </row>
    <row r="103" spans="1:49" ht="15" x14ac:dyDescent="0.25">
      <c r="A103" s="116" t="s">
        <v>291</v>
      </c>
      <c r="B103" s="789">
        <v>50503.187894245049</v>
      </c>
      <c r="C103" s="789">
        <v>0</v>
      </c>
      <c r="D103" s="789">
        <v>0</v>
      </c>
      <c r="E103" s="789">
        <v>0</v>
      </c>
      <c r="F103" s="789">
        <v>0</v>
      </c>
      <c r="G103" s="789">
        <v>0</v>
      </c>
      <c r="H103" s="789">
        <v>0</v>
      </c>
      <c r="I103" s="789">
        <v>74600.179989986427</v>
      </c>
      <c r="J103" s="789">
        <v>0</v>
      </c>
      <c r="K103" s="789">
        <v>0</v>
      </c>
      <c r="L103" s="789">
        <v>0</v>
      </c>
      <c r="M103" s="789">
        <v>0</v>
      </c>
      <c r="N103" s="789">
        <v>0</v>
      </c>
      <c r="O103" s="789">
        <v>0</v>
      </c>
      <c r="P103" s="789">
        <v>0</v>
      </c>
      <c r="Q103" s="789">
        <v>0</v>
      </c>
      <c r="R103" s="789">
        <v>0</v>
      </c>
      <c r="S103" s="789">
        <v>0</v>
      </c>
      <c r="T103" s="789">
        <v>0</v>
      </c>
      <c r="U103" s="789">
        <v>0</v>
      </c>
      <c r="V103" s="789">
        <v>0</v>
      </c>
      <c r="W103" s="789">
        <v>0</v>
      </c>
      <c r="X103" s="789">
        <v>0</v>
      </c>
      <c r="Y103" s="789">
        <v>0</v>
      </c>
      <c r="Z103" s="789">
        <v>0</v>
      </c>
      <c r="AA103" s="789">
        <v>0</v>
      </c>
      <c r="AB103" s="789">
        <v>0</v>
      </c>
      <c r="AC103" s="789">
        <v>0</v>
      </c>
      <c r="AD103" s="789">
        <v>850.12684242405601</v>
      </c>
      <c r="AE103" s="789">
        <v>0</v>
      </c>
      <c r="AF103" s="789">
        <v>0</v>
      </c>
      <c r="AG103" s="789">
        <v>0</v>
      </c>
      <c r="AH103" s="789">
        <v>0</v>
      </c>
      <c r="AI103" s="789">
        <v>0</v>
      </c>
      <c r="AJ103" s="789">
        <v>0</v>
      </c>
      <c r="AK103" s="789">
        <v>0</v>
      </c>
      <c r="AL103" s="789">
        <v>0</v>
      </c>
      <c r="AM103" s="789">
        <v>272482.65348039189</v>
      </c>
      <c r="AN103" s="789">
        <v>75942.561788491759</v>
      </c>
      <c r="AO103" s="111"/>
      <c r="AP103" s="111">
        <f t="shared" si="14"/>
        <v>474378.70999553916</v>
      </c>
      <c r="AT103" t="str">
        <f t="shared" si="15"/>
        <v>Watonwan River</v>
      </c>
      <c r="AU103" s="113">
        <v>66</v>
      </c>
      <c r="AV103"/>
      <c r="AW103" s="113">
        <v>11</v>
      </c>
    </row>
    <row r="104" spans="1:49" ht="15" x14ac:dyDescent="0.25">
      <c r="A104" s="116" t="s">
        <v>290</v>
      </c>
      <c r="B104" s="789">
        <v>0.63195867160551222</v>
      </c>
      <c r="C104" s="789">
        <v>0</v>
      </c>
      <c r="D104" s="789">
        <v>0</v>
      </c>
      <c r="E104" s="789">
        <v>0</v>
      </c>
      <c r="F104" s="789">
        <v>0</v>
      </c>
      <c r="G104" s="789">
        <v>0</v>
      </c>
      <c r="H104" s="789">
        <v>0</v>
      </c>
      <c r="I104" s="789">
        <v>0</v>
      </c>
      <c r="J104" s="789">
        <v>0</v>
      </c>
      <c r="K104" s="789">
        <v>159617.25549802813</v>
      </c>
      <c r="L104" s="789">
        <v>0</v>
      </c>
      <c r="M104" s="789">
        <v>21672.3309840203</v>
      </c>
      <c r="N104" s="789">
        <v>0</v>
      </c>
      <c r="O104" s="789">
        <v>98902.842922875439</v>
      </c>
      <c r="P104" s="789">
        <v>0</v>
      </c>
      <c r="Q104" s="789">
        <v>173623.61494304563</v>
      </c>
      <c r="R104" s="789">
        <v>0</v>
      </c>
      <c r="S104" s="789">
        <v>19531.853827873747</v>
      </c>
      <c r="T104" s="789">
        <v>0</v>
      </c>
      <c r="U104" s="789">
        <v>0</v>
      </c>
      <c r="V104" s="789">
        <v>0</v>
      </c>
      <c r="W104" s="789">
        <v>8469.7824814164669</v>
      </c>
      <c r="X104" s="789">
        <v>0</v>
      </c>
      <c r="Y104" s="789">
        <v>0</v>
      </c>
      <c r="Z104" s="789">
        <v>0</v>
      </c>
      <c r="AA104" s="789">
        <v>0</v>
      </c>
      <c r="AB104" s="789">
        <v>26458.374774783682</v>
      </c>
      <c r="AC104" s="789">
        <v>0</v>
      </c>
      <c r="AD104" s="789">
        <v>0</v>
      </c>
      <c r="AE104" s="789">
        <v>0</v>
      </c>
      <c r="AF104" s="789">
        <v>0</v>
      </c>
      <c r="AG104" s="789">
        <v>0</v>
      </c>
      <c r="AH104" s="789">
        <v>0</v>
      </c>
      <c r="AI104" s="789">
        <v>0</v>
      </c>
      <c r="AJ104" s="789">
        <v>37280.217295035436</v>
      </c>
      <c r="AK104" s="789">
        <v>0</v>
      </c>
      <c r="AL104" s="789">
        <v>62398.099631476827</v>
      </c>
      <c r="AM104" s="789">
        <v>0</v>
      </c>
      <c r="AN104" s="789">
        <v>0</v>
      </c>
      <c r="AO104" s="111"/>
      <c r="AP104" s="111">
        <f t="shared" si="14"/>
        <v>607955.00431722729</v>
      </c>
      <c r="AT104" t="str">
        <f t="shared" si="15"/>
        <v>Wild Rice River</v>
      </c>
      <c r="AU104" s="113">
        <v>67</v>
      </c>
      <c r="AV104"/>
      <c r="AW104" s="113">
        <v>61</v>
      </c>
    </row>
    <row r="105" spans="1:49" ht="15" x14ac:dyDescent="0.25">
      <c r="A105" s="116" t="s">
        <v>289</v>
      </c>
      <c r="B105" s="789">
        <v>11442.45436097994</v>
      </c>
      <c r="C105" s="789">
        <v>0</v>
      </c>
      <c r="D105" s="789">
        <v>0</v>
      </c>
      <c r="E105" s="789">
        <v>0</v>
      </c>
      <c r="F105" s="789">
        <v>0</v>
      </c>
      <c r="G105" s="789">
        <v>0</v>
      </c>
      <c r="H105" s="789">
        <v>0</v>
      </c>
      <c r="I105" s="789">
        <v>0</v>
      </c>
      <c r="J105" s="789">
        <v>0</v>
      </c>
      <c r="K105" s="789">
        <v>0</v>
      </c>
      <c r="L105" s="789">
        <v>0</v>
      </c>
      <c r="M105" s="789">
        <v>0</v>
      </c>
      <c r="N105" s="789">
        <v>0</v>
      </c>
      <c r="O105" s="789">
        <v>0</v>
      </c>
      <c r="P105" s="789">
        <v>0</v>
      </c>
      <c r="Q105" s="789">
        <v>0</v>
      </c>
      <c r="R105" s="789">
        <v>0</v>
      </c>
      <c r="S105" s="789">
        <v>0</v>
      </c>
      <c r="T105" s="789">
        <v>0</v>
      </c>
      <c r="U105" s="789">
        <v>0</v>
      </c>
      <c r="V105" s="789">
        <v>0</v>
      </c>
      <c r="W105" s="789">
        <v>0</v>
      </c>
      <c r="X105" s="789">
        <v>0</v>
      </c>
      <c r="Y105" s="789">
        <v>0</v>
      </c>
      <c r="Z105" s="789">
        <v>22874.126707858024</v>
      </c>
      <c r="AA105" s="789">
        <v>0</v>
      </c>
      <c r="AB105" s="789">
        <v>0</v>
      </c>
      <c r="AC105" s="789">
        <v>0</v>
      </c>
      <c r="AD105" s="789">
        <v>0</v>
      </c>
      <c r="AE105" s="789">
        <v>0</v>
      </c>
      <c r="AF105" s="789">
        <v>0</v>
      </c>
      <c r="AG105" s="789">
        <v>0</v>
      </c>
      <c r="AH105" s="789">
        <v>0</v>
      </c>
      <c r="AI105" s="789">
        <v>0</v>
      </c>
      <c r="AJ105" s="789">
        <v>0</v>
      </c>
      <c r="AK105" s="789">
        <v>0</v>
      </c>
      <c r="AL105" s="789">
        <v>0</v>
      </c>
      <c r="AM105" s="789">
        <v>0</v>
      </c>
      <c r="AN105" s="789">
        <v>0</v>
      </c>
      <c r="AO105" s="111"/>
      <c r="AP105" s="111">
        <f t="shared" si="14"/>
        <v>34316.581068837964</v>
      </c>
      <c r="AT105" t="str">
        <f t="shared" si="15"/>
        <v>Winnebago River</v>
      </c>
      <c r="AU105" s="113">
        <v>68</v>
      </c>
      <c r="AV105"/>
      <c r="AW105" s="113">
        <v>52</v>
      </c>
    </row>
    <row r="106" spans="1:49" ht="15" x14ac:dyDescent="0.25">
      <c r="A106" s="116" t="s">
        <v>288</v>
      </c>
      <c r="B106" s="789">
        <v>21572.119908144698</v>
      </c>
      <c r="C106" s="789">
        <v>0</v>
      </c>
      <c r="D106" s="789">
        <v>68751.578540345348</v>
      </c>
      <c r="E106" s="789">
        <v>0</v>
      </c>
      <c r="F106" s="789">
        <v>0</v>
      </c>
      <c r="G106" s="789">
        <v>0</v>
      </c>
      <c r="H106" s="789">
        <v>0</v>
      </c>
      <c r="I106" s="789">
        <v>0</v>
      </c>
      <c r="J106" s="789">
        <v>0</v>
      </c>
      <c r="K106" s="789">
        <v>0</v>
      </c>
      <c r="L106" s="789">
        <v>0</v>
      </c>
      <c r="M106" s="789">
        <v>0</v>
      </c>
      <c r="N106" s="789">
        <v>0</v>
      </c>
      <c r="O106" s="789">
        <v>0</v>
      </c>
      <c r="P106" s="789">
        <v>101342.10941026449</v>
      </c>
      <c r="Q106" s="789">
        <v>0</v>
      </c>
      <c r="R106" s="789">
        <v>0</v>
      </c>
      <c r="S106" s="789">
        <v>0</v>
      </c>
      <c r="T106" s="789">
        <v>0</v>
      </c>
      <c r="U106" s="789">
        <v>0</v>
      </c>
      <c r="V106" s="789">
        <v>0</v>
      </c>
      <c r="W106" s="789">
        <v>0</v>
      </c>
      <c r="X106" s="789">
        <v>0</v>
      </c>
      <c r="Y106" s="789">
        <v>211583.7133761576</v>
      </c>
      <c r="Z106" s="789">
        <v>23731.911840739795</v>
      </c>
      <c r="AA106" s="789">
        <v>0</v>
      </c>
      <c r="AB106" s="789">
        <v>0</v>
      </c>
      <c r="AC106" s="789">
        <v>0</v>
      </c>
      <c r="AD106" s="789">
        <v>0</v>
      </c>
      <c r="AE106" s="789">
        <v>0</v>
      </c>
      <c r="AF106" s="789">
        <v>0</v>
      </c>
      <c r="AG106" s="789">
        <v>7990.6490499750707</v>
      </c>
      <c r="AH106" s="789">
        <v>0</v>
      </c>
      <c r="AI106" s="789">
        <v>0</v>
      </c>
      <c r="AJ106" s="789">
        <v>0</v>
      </c>
      <c r="AK106" s="789">
        <v>143350.9026572766</v>
      </c>
      <c r="AL106" s="789">
        <v>0</v>
      </c>
      <c r="AM106" s="789">
        <v>0</v>
      </c>
      <c r="AN106" s="789">
        <v>0</v>
      </c>
      <c r="AO106" s="111"/>
      <c r="AP106" s="111">
        <f t="shared" si="14"/>
        <v>578322.98478290357</v>
      </c>
      <c r="AT106" t="str">
        <f t="shared" si="15"/>
        <v>Zumbro River</v>
      </c>
      <c r="AU106" s="113">
        <v>69</v>
      </c>
      <c r="AV106"/>
      <c r="AW106" s="113">
        <v>15</v>
      </c>
    </row>
    <row r="107" spans="1:49" ht="15" x14ac:dyDescent="0.25">
      <c r="A107" s="119" t="s">
        <v>287</v>
      </c>
      <c r="B107" s="789">
        <f>Watacresall!B71*Watersheds!B$12/SUM(Watacresall!B$72:B$81)</f>
        <v>1077433.1347853243</v>
      </c>
      <c r="C107" s="789">
        <f>Watacresall!C71*Watersheds!C$12/(Watacresall!C$2-SUM(Watersheds!C$142:C$154))</f>
        <v>96207.817745014167</v>
      </c>
      <c r="D107" s="789">
        <f>Watacresall!D71*Watersheds!D$12/(Watacresall!D$2-SUM(Watersheds!D$142:D$154))</f>
        <v>384363.31641359197</v>
      </c>
      <c r="E107" s="789">
        <f>Watacresall!E71*Watersheds!E$12/(Watacresall!E$2-SUM(Watersheds!E$142:E$154))</f>
        <v>526499.41178408929</v>
      </c>
      <c r="F107" s="789">
        <f>Watacresall!F71*Watersheds!F$12/(Watacresall!F$2-SUM(Watersheds!F$142:F$154))</f>
        <v>1087765.8835719051</v>
      </c>
      <c r="G107" s="789">
        <f>Watacresall!G71*Watersheds!G$12/(Watacresall!G$2-SUM(Watersheds!G$142:G$154))</f>
        <v>4434.0736242289859</v>
      </c>
      <c r="H107" s="789">
        <f>Watacresall!H71*Watersheds!H$12/(Watacresall!H$2-SUM(Watersheds!H$142:H$154))</f>
        <v>476972.84733390762</v>
      </c>
      <c r="I107" s="789">
        <f>Watacresall!I71*Watersheds!I$12/(Watacresall!I$2-SUM(Watersheds!I$142:I$154))</f>
        <v>1782881.9850823716</v>
      </c>
      <c r="J107" s="789">
        <f>Watacresall!J71*Watersheds!J$12/(Watacresall!J$2-SUM(Watersheds!J$142:J$154))</f>
        <v>455825.69768239866</v>
      </c>
      <c r="K107" s="789">
        <f>Watacresall!K71*Watersheds!K$12/(Watacresall!K$2-SUM(Watersheds!K$142:K$154))</f>
        <v>3736.3612805893172</v>
      </c>
      <c r="L107" s="789">
        <f>Watacresall!L71*Watersheds!L$12/(Watacresall!L$2-SUM(Watersheds!L$142:L$154))</f>
        <v>11088.807300147122</v>
      </c>
      <c r="M107" s="789">
        <f>Watacresall!M71*Watersheds!M$12/(Watacresall!M$2-SUM(Watersheds!M$142:M$154))</f>
        <v>172202.34673957078</v>
      </c>
      <c r="N107" s="789">
        <f>Watacresall!N71*Watersheds!N$12/(Watacresall!N$2-SUM(Watersheds!N$142:N$154))</f>
        <v>769733.41800207947</v>
      </c>
      <c r="O107" s="789">
        <f>Watacresall!O71*Watersheds!O$12/(Watacresall!O$2-SUM(Watersheds!O$142:O$154))</f>
        <v>0</v>
      </c>
      <c r="P107" s="789">
        <f>Watacresall!P71*Watersheds!P$12/(Watacresall!P$2-SUM(Watersheds!P$142:P$154))</f>
        <v>241824.56331628707</v>
      </c>
      <c r="Q107" s="789">
        <f>Watacresall!Q71*Watersheds!Q$12/(Watacresall!Q$2-SUM(Watersheds!Q$142:Q$154))</f>
        <v>0</v>
      </c>
      <c r="R107" s="789">
        <f>Watacresall!R71*Watersheds!R$12/(Watacresall!R$2-SUM(Watersheds!R$142:R$154))</f>
        <v>3581.8091418927597</v>
      </c>
      <c r="S107" s="789">
        <f>Watacresall!S71*Watersheds!S$12/(Watacresall!S$2-SUM(Watersheds!S$142:S$154))</f>
        <v>126144.81729385442</v>
      </c>
      <c r="T107" s="789">
        <f>Watacresall!T71*Watersheds!T$12/(Watacresall!T$2-SUM(Watersheds!T$142:T$154))</f>
        <v>6843.3264905449851</v>
      </c>
      <c r="U107" s="789">
        <f>Watacresall!U71*Watersheds!U$12/(Watacresall!U$2-SUM(Watersheds!U$142:U$154))</f>
        <v>0</v>
      </c>
      <c r="V107" s="789">
        <f>Watacresall!V71*Watersheds!V$12/(Watacresall!V$2-SUM(Watersheds!V$142:V$154))</f>
        <v>64243.015453628876</v>
      </c>
      <c r="W107" s="789">
        <f>Watacresall!W71*Watersheds!W$12/(Watacresall!W$2-SUM(Watersheds!W$142:W$154))</f>
        <v>11764.99511553346</v>
      </c>
      <c r="X107" s="789">
        <f>Watacresall!X71*Watersheds!X$12/(Watacresall!X$2-SUM(Watersheds!X$142:X$154))</f>
        <v>0</v>
      </c>
      <c r="Y107" s="789">
        <f>Watacresall!Y71*Watersheds!Y$12/(Watacresall!Y$2-SUM(Watersheds!Y$142:Y$154))</f>
        <v>578435.986596687</v>
      </c>
      <c r="Z107" s="789">
        <f>Watacresall!Z71*Watersheds!Z$12/(Watacresall!Z$2-SUM(Watersheds!Z$142:Z$154))</f>
        <v>1740522.0190968886</v>
      </c>
      <c r="AA107" s="789">
        <f>Watacresall!AA71*Watersheds!AA$12/(Watacresall!AA$2-SUM(Watersheds!AA$142:AA$154))</f>
        <v>208456.45050983748</v>
      </c>
      <c r="AB107" s="789">
        <f>Watacresall!AB71*Watersheds!AB$12/(Watacresall!AB$2-SUM(Watersheds!AB$142:AB$154))</f>
        <v>757511.67675518163</v>
      </c>
      <c r="AC107" s="789">
        <f>Watacresall!AC71*Watersheds!AC$12/(Watacresall!AC$2-SUM(Watersheds!AC$142:AC$154))</f>
        <v>46608.122450691371</v>
      </c>
      <c r="AD107" s="789">
        <f>Watacresall!AD71*Watersheds!AD$12/(Watacresall!AD$2-SUM(Watersheds!AD$142:AD$154))</f>
        <v>54441.211325956487</v>
      </c>
      <c r="AE107" s="789">
        <f>Watacresall!AE71*Watersheds!AE$12/(Watacresall!AE$2-SUM(Watersheds!AE$142:AE$154))</f>
        <v>65663.160793648232</v>
      </c>
      <c r="AF107" s="789">
        <f>Watacresall!AF71*Watersheds!AF$12/(Watacresall!AF$2-SUM(Watersheds!AF$142:AF$154))</f>
        <v>130947.11350090525</v>
      </c>
      <c r="AG107" s="789">
        <f>Watacresall!AG71*Watersheds!AG$12/(Watacresall!AG$2-SUM(Watersheds!AG$142:AG$154))</f>
        <v>25765.811486446422</v>
      </c>
      <c r="AH107" s="789">
        <f>Watacresall!AH71*Watersheds!AH$12/(Watacresall!AH$2-SUM(Watersheds!AH$142:AH$154))</f>
        <v>1340005.9069773352</v>
      </c>
      <c r="AI107" s="789">
        <f>Watacresall!AI71*Watersheds!AI$12/(Watacresall!AI$2-SUM(Watersheds!AI$142:AI$154))</f>
        <v>128358.10151161565</v>
      </c>
      <c r="AJ107" s="789">
        <f>Watacresall!AJ71*Watersheds!AJ$12/(Watacresall!AJ$2-SUM(Watersheds!AJ$142:AJ$154))</f>
        <v>0</v>
      </c>
      <c r="AK107" s="789">
        <f>Watacresall!AK71*Watersheds!AK$12/(Watacresall!AK$2-SUM(Watersheds!AK$142:AK$154))</f>
        <v>522509.10459876515</v>
      </c>
      <c r="AL107" s="789">
        <f>Watacresall!AL71*Watersheds!AL$12/(Watacresall!AL$2-SUM(Watersheds!AL$142:AL$154))</f>
        <v>0</v>
      </c>
      <c r="AM107" s="789">
        <f>Watacresall!AM71*Watersheds!AM$12/(Watacresall!AM$2-SUM(Watersheds!AM$142:AM$154))</f>
        <v>790004.66451353289</v>
      </c>
      <c r="AN107" s="789">
        <f>Watacresall!AN71*Watersheds!AN$12/(Watacresall!AN$2-SUM(Watersheds!AN$142:AN$154))</f>
        <v>949734.58489426749</v>
      </c>
      <c r="AO107" s="118">
        <v>1</v>
      </c>
      <c r="AP107" s="111">
        <f t="shared" si="14"/>
        <v>14642511.543168718</v>
      </c>
      <c r="AT107" t="str">
        <f t="shared" si="15"/>
        <v>Mississippi Basin overall</v>
      </c>
      <c r="AU107" s="113">
        <v>70</v>
      </c>
      <c r="AV107" s="112"/>
      <c r="AW107" s="112"/>
    </row>
    <row r="108" spans="1:49" ht="15" x14ac:dyDescent="0.25">
      <c r="A108" s="117" t="s">
        <v>286</v>
      </c>
      <c r="B108" s="789">
        <f>Watacresall!B72*Watersheds!B$12/SUM(Watacresall!B$72:B$81)</f>
        <v>28980.441091788427</v>
      </c>
      <c r="C108" s="789">
        <f>Watacresall!C72*Watersheds!C$12/SUM(Watacresall!C$72:C$81)</f>
        <v>0</v>
      </c>
      <c r="D108" s="789">
        <f>Watacresall!D72*Watersheds!D$12/SUM(Watacresall!D$72:D$81)</f>
        <v>0</v>
      </c>
      <c r="E108" s="789">
        <f>Watacresall!E72*Watersheds!E$12/SUM(Watacresall!E$72:E$81)</f>
        <v>0</v>
      </c>
      <c r="F108" s="789">
        <f>Watacresall!F72*Watersheds!F$12/SUM(Watacresall!F$72:F$81)</f>
        <v>0</v>
      </c>
      <c r="G108" s="789">
        <f>Watacresall!G72*Watersheds!G$12/SUM(Watacresall!G$72:G$81)</f>
        <v>0</v>
      </c>
      <c r="H108" s="789">
        <f>Watacresall!H72*Watersheds!H$12/SUM(Watacresall!H$72:H$81)</f>
        <v>0</v>
      </c>
      <c r="I108" s="789">
        <f>Watacresall!I72*Watersheds!I$12/SUM(Watacresall!I$72:I$81)</f>
        <v>0</v>
      </c>
      <c r="J108" s="789">
        <f>Watacresall!J72*Watersheds!J$12/SUM(Watacresall!J$72:J$81)</f>
        <v>0</v>
      </c>
      <c r="K108" s="789">
        <f>Watacresall!K72*Watersheds!K$12/SUM(Watacresall!K$72:K$81)</f>
        <v>0</v>
      </c>
      <c r="L108" s="789">
        <f>Watacresall!L72*Watersheds!L$12/SUM(Watacresall!L$72:L$81)</f>
        <v>0</v>
      </c>
      <c r="M108" s="789">
        <f>Watacresall!M72*Watersheds!M$12/SUM(Watacresall!M$72:M$81)</f>
        <v>0</v>
      </c>
      <c r="N108" s="789">
        <f>Watacresall!N72*Watersheds!N$12/SUM(Watacresall!N$72:N$81)</f>
        <v>0</v>
      </c>
      <c r="O108" s="789">
        <f>Watacresall!O72*Watersheds!O$12/SUM(Watacresall!O$72:O$81)</f>
        <v>0</v>
      </c>
      <c r="P108" s="789">
        <f>Watacresall!P72*Watersheds!P$12/SUM(Watacresall!P$72:P$81)</f>
        <v>123030.85011622906</v>
      </c>
      <c r="Q108" s="789">
        <f>Watacresall!Q72*Watersheds!Q$12/SUM(Watacresall!Q$72:Q$81)</f>
        <v>0</v>
      </c>
      <c r="R108" s="789">
        <f>Watacresall!R72*Watersheds!R$12/SUM(Watacresall!R$72:R$81)</f>
        <v>0</v>
      </c>
      <c r="S108" s="789">
        <f>Watacresall!S72*Watersheds!S$12/SUM(Watacresall!S$72:S$81)</f>
        <v>0</v>
      </c>
      <c r="T108" s="789">
        <f>Watacresall!T72*Watersheds!T$12/SUM(Watacresall!T$72:T$81)</f>
        <v>0</v>
      </c>
      <c r="U108" s="789">
        <f>Watacresall!U72*Watersheds!U$12/SUM(Watacresall!U$72:U$81)</f>
        <v>0</v>
      </c>
      <c r="V108" s="789">
        <f>Watacresall!V72*Watersheds!V$12/SUM(Watacresall!V$72:V$81)</f>
        <v>0</v>
      </c>
      <c r="W108" s="789">
        <f>Watacresall!W72*Watersheds!W$12/SUM(Watacresall!W$72:W$81)</f>
        <v>0</v>
      </c>
      <c r="X108" s="789">
        <f>Watacresall!X72*Watersheds!X$12/SUM(Watacresall!X$72:X$81)</f>
        <v>0</v>
      </c>
      <c r="Y108" s="789">
        <f>Watacresall!Y72*Watersheds!Y$12/SUM(Watacresall!Y$72:Y$81)</f>
        <v>0</v>
      </c>
      <c r="Z108" s="789">
        <f>Watacresall!Z72*Watersheds!Z$12/SUM(Watacresall!Z$72:Z$81)</f>
        <v>177613.15286528214</v>
      </c>
      <c r="AA108" s="789">
        <f>Watacresall!AA72*Watersheds!AA$12/SUM(Watacresall!AA$72:AA$81)</f>
        <v>0</v>
      </c>
      <c r="AB108" s="789">
        <f>Watacresall!AB72*Watersheds!AB$12/SUM(Watacresall!AB$72:AB$81)</f>
        <v>0</v>
      </c>
      <c r="AC108" s="789">
        <f>Watacresall!AC72*Watersheds!AC$12/SUM(Watacresall!AC$72:AC$81)</f>
        <v>0</v>
      </c>
      <c r="AD108" s="789">
        <f>Watacresall!AD72*Watersheds!AD$12/SUM(Watacresall!AD$72:AD$81)</f>
        <v>0</v>
      </c>
      <c r="AE108" s="789">
        <f>Watacresall!AE72*Watersheds!AE$12/SUM(Watacresall!AE$72:AE$81)</f>
        <v>0</v>
      </c>
      <c r="AF108" s="789">
        <f>Watacresall!AF72*Watersheds!AF$12/SUM(Watacresall!AF$72:AF$81)</f>
        <v>0</v>
      </c>
      <c r="AG108" s="789">
        <f>Watacresall!AG72*Watersheds!AG$12/SUM(Watacresall!AG$72:AG$81)</f>
        <v>0</v>
      </c>
      <c r="AH108" s="789">
        <f>Watacresall!AH72*Watersheds!AH$12/SUM(Watacresall!AH$72:AH$81)</f>
        <v>0</v>
      </c>
      <c r="AI108" s="789">
        <f>Watacresall!AI72*Watersheds!AI$12/SUM(Watacresall!AI$72:AI$81)</f>
        <v>0</v>
      </c>
      <c r="AJ108" s="789">
        <f>Watacresall!AJ72*Watersheds!AJ$12/SUM(Watacresall!AJ$72:AJ$81)</f>
        <v>0</v>
      </c>
      <c r="AK108" s="789">
        <f>Watacresall!AK72*Watersheds!AK$12/SUM(Watacresall!AK$72:AK$81)</f>
        <v>88455.313432818526</v>
      </c>
      <c r="AL108" s="789">
        <f>Watacresall!AL72*Watersheds!AL$12/SUM(Watacresall!AL$72:AL$81)</f>
        <v>0</v>
      </c>
      <c r="AM108" s="789">
        <f>Watacresall!AM72*Watersheds!AM$12/SUM(Watacresall!AM$72:AM$81)</f>
        <v>0</v>
      </c>
      <c r="AN108" s="789">
        <f>Watacresall!AN72*Watersheds!AN$12/SUM(Watacresall!AN$72:AN$81)</f>
        <v>0</v>
      </c>
      <c r="AO108" s="790"/>
      <c r="AP108" s="118">
        <f t="shared" si="14"/>
        <v>418079.75750611816</v>
      </c>
      <c r="AT108" t="str">
        <f t="shared" si="15"/>
        <v>Cedar River Basin</v>
      </c>
      <c r="AU108" s="113">
        <v>71</v>
      </c>
      <c r="AV108" s="112"/>
      <c r="AW108" s="112"/>
    </row>
    <row r="109" spans="1:49" ht="15" x14ac:dyDescent="0.25">
      <c r="A109" s="116" t="s">
        <v>285</v>
      </c>
      <c r="B109" s="789">
        <f>Watacresall!B73*Watersheds!B$12/SUM(Watacresall!B$72:B$81)</f>
        <v>0</v>
      </c>
      <c r="C109" s="789">
        <f>Watacresall!C73*Watersheds!C$12/SUM(Watacresall!C$72:C$81)</f>
        <v>0</v>
      </c>
      <c r="D109" s="789">
        <f>Watacresall!D73*Watersheds!D$12/SUM(Watacresall!D$72:D$81)</f>
        <v>0</v>
      </c>
      <c r="E109" s="789">
        <f>Watacresall!E73*Watersheds!E$12/SUM(Watacresall!E$72:E$81)</f>
        <v>0</v>
      </c>
      <c r="F109" s="789">
        <f>Watacresall!F73*Watersheds!F$12/SUM(Watacresall!F$72:F$81)</f>
        <v>342332.84342804062</v>
      </c>
      <c r="G109" s="789">
        <f>Watacresall!G73*Watersheds!G$12/SUM(Watacresall!G$72:G$81)</f>
        <v>0</v>
      </c>
      <c r="H109" s="789">
        <f>Watacresall!H73*Watersheds!H$12/SUM(Watacresall!H$72:H$81)</f>
        <v>0</v>
      </c>
      <c r="I109" s="789">
        <f>Watacresall!I73*Watersheds!I$12/SUM(Watacresall!I$72:I$81)</f>
        <v>335506.81312273949</v>
      </c>
      <c r="J109" s="789">
        <f>Watacresall!J73*Watersheds!J$12/SUM(Watacresall!J$72:J$81)</f>
        <v>0</v>
      </c>
      <c r="K109" s="789">
        <f>Watacresall!K73*Watersheds!K$12/SUM(Watacresall!K$72:K$81)</f>
        <v>0</v>
      </c>
      <c r="L109" s="789">
        <f>Watacresall!L73*Watersheds!L$12/SUM(Watacresall!L$72:L$81)</f>
        <v>0</v>
      </c>
      <c r="M109" s="789">
        <f>Watacresall!M73*Watersheds!M$12/SUM(Watacresall!M$72:M$81)</f>
        <v>0</v>
      </c>
      <c r="N109" s="789">
        <f>Watacresall!N73*Watersheds!N$12/SUM(Watacresall!N$72:N$81)</f>
        <v>34537.018648642974</v>
      </c>
      <c r="O109" s="789">
        <f>Watacresall!O73*Watersheds!O$12/SUM(Watacresall!O$72:O$81)</f>
        <v>0</v>
      </c>
      <c r="P109" s="789">
        <f>Watacresall!P73*Watersheds!P$12/SUM(Watacresall!P$72:P$81)</f>
        <v>0</v>
      </c>
      <c r="Q109" s="789">
        <f>Watacresall!Q73*Watersheds!Q$12/SUM(Watacresall!Q$72:Q$81)</f>
        <v>0</v>
      </c>
      <c r="R109" s="789">
        <f>Watacresall!R73*Watersheds!R$12/SUM(Watacresall!R$72:R$81)</f>
        <v>0</v>
      </c>
      <c r="S109" s="789">
        <f>Watacresall!S73*Watersheds!S$12/SUM(Watacresall!S$72:S$81)</f>
        <v>0</v>
      </c>
      <c r="T109" s="789">
        <f>Watacresall!T73*Watersheds!T$12/SUM(Watacresall!T$72:T$81)</f>
        <v>0</v>
      </c>
      <c r="U109" s="789">
        <f>Watacresall!U73*Watersheds!U$12/SUM(Watacresall!U$72:U$81)</f>
        <v>0</v>
      </c>
      <c r="V109" s="789">
        <f>Watacresall!V73*Watersheds!V$12/SUM(Watacresall!V$72:V$81)</f>
        <v>63292.248299403131</v>
      </c>
      <c r="W109" s="789">
        <f>Watacresall!W73*Watersheds!W$12/SUM(Watacresall!W$72:W$81)</f>
        <v>0</v>
      </c>
      <c r="X109" s="789">
        <f>Watacresall!X73*Watersheds!X$12/SUM(Watacresall!X$72:X$81)</f>
        <v>0</v>
      </c>
      <c r="Y109" s="789">
        <f>Watacresall!Y73*Watersheds!Y$12/SUM(Watacresall!Y$72:Y$81)</f>
        <v>0</v>
      </c>
      <c r="Z109" s="789">
        <f>Watacresall!Z73*Watersheds!Z$12/SUM(Watacresall!Z$72:Z$81)</f>
        <v>0</v>
      </c>
      <c r="AA109" s="789">
        <f>Watacresall!AA73*Watersheds!AA$12/SUM(Watacresall!AA$72:AA$81)</f>
        <v>0</v>
      </c>
      <c r="AB109" s="789">
        <f>Watacresall!AB73*Watersheds!AB$12/SUM(Watacresall!AB$72:AB$81)</f>
        <v>0</v>
      </c>
      <c r="AC109" s="789">
        <f>Watacresall!AC73*Watersheds!AC$12/SUM(Watacresall!AC$72:AC$81)</f>
        <v>0</v>
      </c>
      <c r="AD109" s="789">
        <f>Watacresall!AD73*Watersheds!AD$12/SUM(Watacresall!AD$72:AD$81)</f>
        <v>0</v>
      </c>
      <c r="AE109" s="789">
        <f>Watacresall!AE73*Watersheds!AE$12/SUM(Watacresall!AE$72:AE$81)</f>
        <v>0</v>
      </c>
      <c r="AF109" s="789">
        <f>Watacresall!AF73*Watersheds!AF$12/SUM(Watacresall!AF$72:AF$81)</f>
        <v>0</v>
      </c>
      <c r="AG109" s="789">
        <f>Watacresall!AG73*Watersheds!AG$12/SUM(Watacresall!AG$72:AG$81)</f>
        <v>0</v>
      </c>
      <c r="AH109" s="789">
        <f>Watacresall!AH73*Watersheds!AH$12/SUM(Watacresall!AH$72:AH$81)</f>
        <v>0</v>
      </c>
      <c r="AI109" s="789">
        <f>Watacresall!AI73*Watersheds!AI$12/SUM(Watacresall!AI$72:AI$81)</f>
        <v>0</v>
      </c>
      <c r="AJ109" s="789">
        <f>Watacresall!AJ73*Watersheds!AJ$12/SUM(Watacresall!AJ$72:AJ$81)</f>
        <v>0</v>
      </c>
      <c r="AK109" s="789">
        <f>Watacresall!AK73*Watersheds!AK$12/SUM(Watacresall!AK$72:AK$81)</f>
        <v>0</v>
      </c>
      <c r="AL109" s="789">
        <f>Watacresall!AL73*Watersheds!AL$12/SUM(Watacresall!AL$72:AL$81)</f>
        <v>0</v>
      </c>
      <c r="AM109" s="789">
        <f>Watacresall!AM73*Watersheds!AM$12/SUM(Watacresall!AM$72:AM$81)</f>
        <v>2212.0982616938231</v>
      </c>
      <c r="AN109" s="789">
        <f>Watacresall!AN73*Watersheds!AN$12/SUM(Watacresall!AN$72:AN$81)</f>
        <v>0</v>
      </c>
      <c r="AO109" s="790"/>
      <c r="AP109" s="118">
        <f t="shared" si="14"/>
        <v>777881.02176052006</v>
      </c>
      <c r="AT109" t="str">
        <f t="shared" si="15"/>
        <v>Des Moines River Basin</v>
      </c>
      <c r="AU109" s="113">
        <v>72</v>
      </c>
      <c r="AV109" s="112"/>
      <c r="AW109" s="112"/>
    </row>
    <row r="110" spans="1:49" ht="15" x14ac:dyDescent="0.25">
      <c r="A110" s="116" t="s">
        <v>284</v>
      </c>
      <c r="B110" s="789">
        <f>Watacresall!B74*Watersheds!B$12/SUM(Watacresall!B$72:B$81)</f>
        <v>54680.348204709146</v>
      </c>
      <c r="C110" s="789">
        <f>Watacresall!C74*Watersheds!C$12/SUM(Watacresall!C$72:C$81)</f>
        <v>0</v>
      </c>
      <c r="D110" s="789">
        <f>Watacresall!D74*Watersheds!D$12/SUM(Watacresall!D$72:D$81)</f>
        <v>0</v>
      </c>
      <c r="E110" s="789">
        <f>Watacresall!E74*Watersheds!E$12/SUM(Watacresall!E$72:E$81)</f>
        <v>6811.230914417546</v>
      </c>
      <c r="F110" s="789">
        <f>Watacresall!F74*Watersheds!F$12/SUM(Watacresall!F$72:F$81)</f>
        <v>0</v>
      </c>
      <c r="G110" s="789">
        <f>Watacresall!G74*Watersheds!G$12/SUM(Watacresall!G$72:G$81)</f>
        <v>3335.7263338351931</v>
      </c>
      <c r="H110" s="789">
        <f>Watacresall!H74*Watersheds!H$12/SUM(Watacresall!H$72:H$81)</f>
        <v>116.13026435205596</v>
      </c>
      <c r="I110" s="789">
        <f>Watacresall!I74*Watersheds!I$12/SUM(Watacresall!I$72:I$81)</f>
        <v>0</v>
      </c>
      <c r="J110" s="789">
        <f>Watacresall!J74*Watersheds!J$12/SUM(Watacresall!J$72:J$81)</f>
        <v>0</v>
      </c>
      <c r="K110" s="789">
        <f>Watacresall!K74*Watersheds!K$12/SUM(Watacresall!K$72:K$81)</f>
        <v>0</v>
      </c>
      <c r="L110" s="789">
        <f>Watacresall!L74*Watersheds!L$12/SUM(Watacresall!L$72:L$81)</f>
        <v>4691.526609561236</v>
      </c>
      <c r="M110" s="789">
        <f>Watacresall!M74*Watersheds!M$12/SUM(Watacresall!M$72:M$81)</f>
        <v>20030.672658995871</v>
      </c>
      <c r="N110" s="789">
        <f>Watacresall!N74*Watersheds!N$12/SUM(Watacresall!N$72:N$81)</f>
        <v>0</v>
      </c>
      <c r="O110" s="789">
        <f>Watacresall!O74*Watersheds!O$12/SUM(Watacresall!O$72:O$81)</f>
        <v>0</v>
      </c>
      <c r="P110" s="789">
        <f>Watacresall!P74*Watersheds!P$12/SUM(Watacresall!P$72:P$81)</f>
        <v>0</v>
      </c>
      <c r="Q110" s="789">
        <f>Watacresall!Q74*Watersheds!Q$12/SUM(Watacresall!Q$72:Q$81)</f>
        <v>0</v>
      </c>
      <c r="R110" s="789">
        <f>Watacresall!R74*Watersheds!R$12/SUM(Watacresall!R$72:R$81)</f>
        <v>2372.9241608571547</v>
      </c>
      <c r="S110" s="789">
        <f>Watacresall!S74*Watersheds!S$12/SUM(Watacresall!S$72:S$81)</f>
        <v>54362.637842596938</v>
      </c>
      <c r="T110" s="789">
        <f>Watacresall!T74*Watersheds!T$12/SUM(Watacresall!T$72:T$81)</f>
        <v>6415.5286282359102</v>
      </c>
      <c r="U110" s="789">
        <f>Watacresall!U74*Watersheds!U$12/SUM(Watacresall!U$72:U$81)</f>
        <v>0</v>
      </c>
      <c r="V110" s="789">
        <f>Watacresall!V74*Watersheds!V$12/SUM(Watacresall!V$72:V$81)</f>
        <v>0</v>
      </c>
      <c r="W110" s="789">
        <f>Watacresall!W74*Watersheds!W$12/SUM(Watacresall!W$72:W$81)</f>
        <v>0</v>
      </c>
      <c r="X110" s="789">
        <f>Watacresall!X74*Watersheds!X$12/SUM(Watacresall!X$72:X$81)</f>
        <v>0</v>
      </c>
      <c r="Y110" s="789">
        <f>Watacresall!Y74*Watersheds!Y$12/SUM(Watacresall!Y$72:Y$81)</f>
        <v>0</v>
      </c>
      <c r="Z110" s="789">
        <f>Watacresall!Z74*Watersheds!Z$12/SUM(Watacresall!Z$72:Z$81)</f>
        <v>0</v>
      </c>
      <c r="AA110" s="789">
        <f>Watacresall!AA74*Watersheds!AA$12/SUM(Watacresall!AA$72:AA$81)</f>
        <v>74471.856008462972</v>
      </c>
      <c r="AB110" s="789">
        <f>Watacresall!AB74*Watersheds!AB$12/SUM(Watacresall!AB$72:AB$81)</f>
        <v>0</v>
      </c>
      <c r="AC110" s="789">
        <f>Watacresall!AC74*Watersheds!AC$12/SUM(Watacresall!AC$72:AC$81)</f>
        <v>57.224513785437246</v>
      </c>
      <c r="AD110" s="789">
        <f>Watacresall!AD74*Watersheds!AD$12/SUM(Watacresall!AD$72:AD$81)</f>
        <v>0</v>
      </c>
      <c r="AE110" s="789">
        <f>Watacresall!AE74*Watersheds!AE$12/SUM(Watacresall!AE$72:AE$81)</f>
        <v>0</v>
      </c>
      <c r="AF110" s="789">
        <f>Watacresall!AF74*Watersheds!AF$12/SUM(Watacresall!AF$72:AF$81)</f>
        <v>0</v>
      </c>
      <c r="AG110" s="789">
        <f>Watacresall!AG74*Watersheds!AG$12/SUM(Watacresall!AG$72:AG$81)</f>
        <v>0</v>
      </c>
      <c r="AH110" s="789">
        <f>Watacresall!AH74*Watersheds!AH$12/SUM(Watacresall!AH$72:AH$81)</f>
        <v>0</v>
      </c>
      <c r="AI110" s="789">
        <f>Watacresall!AI74*Watersheds!AI$12/SUM(Watacresall!AI$72:AI$81)</f>
        <v>0</v>
      </c>
      <c r="AJ110" s="789">
        <f>Watacresall!AJ74*Watersheds!AJ$12/SUM(Watacresall!AJ$72:AJ$81)</f>
        <v>0</v>
      </c>
      <c r="AK110" s="789">
        <f>Watacresall!AK74*Watersheds!AK$12/SUM(Watacresall!AK$72:AK$81)</f>
        <v>0</v>
      </c>
      <c r="AL110" s="789">
        <f>Watacresall!AL74*Watersheds!AL$12/SUM(Watacresall!AL$72:AL$81)</f>
        <v>0</v>
      </c>
      <c r="AM110" s="789">
        <f>Watacresall!AM74*Watersheds!AM$12/SUM(Watacresall!AM$72:AM$81)</f>
        <v>0</v>
      </c>
      <c r="AN110" s="789">
        <f>Watacresall!AN74*Watersheds!AN$12/SUM(Watacresall!AN$72:AN$81)</f>
        <v>0</v>
      </c>
      <c r="AO110" s="790"/>
      <c r="AP110" s="118">
        <f t="shared" si="14"/>
        <v>227345.80613980949</v>
      </c>
      <c r="AT110" t="str">
        <f t="shared" si="15"/>
        <v>Lake Superior Basin</v>
      </c>
      <c r="AU110" s="113">
        <v>73</v>
      </c>
      <c r="AV110" s="112"/>
      <c r="AW110" s="112"/>
    </row>
    <row r="111" spans="1:49" ht="15" x14ac:dyDescent="0.25">
      <c r="A111" s="116" t="s">
        <v>283</v>
      </c>
      <c r="B111" s="789">
        <f>Watacresall!B75*Watersheds!B$12/SUM(Watacresall!B$72:B$81)</f>
        <v>120085.53480205129</v>
      </c>
      <c r="C111" s="789">
        <f>Watacresall!C75*Watersheds!C$12/SUM(Watacresall!C$72:C$81)</f>
        <v>0</v>
      </c>
      <c r="D111" s="789">
        <f>Watacresall!D75*Watersheds!D$12/SUM(Watacresall!D$72:D$81)</f>
        <v>384363.31644598179</v>
      </c>
      <c r="E111" s="789">
        <f>Watacresall!E75*Watersheds!E$12/SUM(Watacresall!E$72:E$81)</f>
        <v>0</v>
      </c>
      <c r="F111" s="789">
        <f>Watacresall!F75*Watersheds!F$12/SUM(Watacresall!F$72:F$81)</f>
        <v>0</v>
      </c>
      <c r="G111" s="789">
        <f>Watacresall!G75*Watersheds!G$12/SUM(Watacresall!G$72:G$81)</f>
        <v>0</v>
      </c>
      <c r="H111" s="789">
        <f>Watacresall!H75*Watersheds!H$12/SUM(Watacresall!H$72:H$81)</f>
        <v>0</v>
      </c>
      <c r="I111" s="789">
        <f>Watacresall!I75*Watersheds!I$12/SUM(Watacresall!I$72:I$81)</f>
        <v>0</v>
      </c>
      <c r="J111" s="789">
        <f>Watacresall!J75*Watersheds!J$12/SUM(Watacresall!J$72:J$81)</f>
        <v>0</v>
      </c>
      <c r="K111" s="789">
        <f>Watacresall!K75*Watersheds!K$12/SUM(Watacresall!K$72:K$81)</f>
        <v>0</v>
      </c>
      <c r="L111" s="789">
        <f>Watacresall!L75*Watersheds!L$12/SUM(Watacresall!L$72:L$81)</f>
        <v>0</v>
      </c>
      <c r="M111" s="789">
        <f>Watacresall!M75*Watersheds!M$12/SUM(Watacresall!M$72:M$81)</f>
        <v>0</v>
      </c>
      <c r="N111" s="789">
        <f>Watacresall!N75*Watersheds!N$12/SUM(Watacresall!N$72:N$81)</f>
        <v>0</v>
      </c>
      <c r="O111" s="789">
        <f>Watacresall!O75*Watersheds!O$12/SUM(Watacresall!O$72:O$81)</f>
        <v>0</v>
      </c>
      <c r="P111" s="789">
        <f>Watacresall!P75*Watersheds!P$12/SUM(Watacresall!P$72:P$81)</f>
        <v>118793.71311546679</v>
      </c>
      <c r="Q111" s="789">
        <f>Watacresall!Q75*Watersheds!Q$12/SUM(Watacresall!Q$72:Q$81)</f>
        <v>0</v>
      </c>
      <c r="R111" s="789">
        <f>Watacresall!R75*Watersheds!R$12/SUM(Watacresall!R$72:R$81)</f>
        <v>0</v>
      </c>
      <c r="S111" s="789">
        <f>Watacresall!S75*Watersheds!S$12/SUM(Watacresall!S$72:S$81)</f>
        <v>0</v>
      </c>
      <c r="T111" s="789">
        <f>Watacresall!T75*Watersheds!T$12/SUM(Watacresall!T$72:T$81)</f>
        <v>0</v>
      </c>
      <c r="U111" s="789">
        <f>Watacresall!U75*Watersheds!U$12/SUM(Watacresall!U$72:U$81)</f>
        <v>0</v>
      </c>
      <c r="V111" s="789">
        <f>Watacresall!V75*Watersheds!V$12/SUM(Watacresall!V$72:V$81)</f>
        <v>0</v>
      </c>
      <c r="W111" s="789">
        <f>Watacresall!W75*Watersheds!W$12/SUM(Watacresall!W$72:W$81)</f>
        <v>0</v>
      </c>
      <c r="X111" s="789">
        <f>Watacresall!X75*Watersheds!X$12/SUM(Watacresall!X$72:X$81)</f>
        <v>0</v>
      </c>
      <c r="Y111" s="789">
        <f>Watacresall!Y75*Watersheds!Y$12/SUM(Watacresall!Y$72:Y$81)</f>
        <v>578388.42194425699</v>
      </c>
      <c r="Z111" s="789">
        <f>Watacresall!Z75*Watersheds!Z$12/SUM(Watacresall!Z$72:Z$81)</f>
        <v>454946.54508276551</v>
      </c>
      <c r="AA111" s="789">
        <f>Watacresall!AA75*Watersheds!AA$12/SUM(Watacresall!AA$72:AA$81)</f>
        <v>0</v>
      </c>
      <c r="AB111" s="789">
        <f>Watacresall!AB75*Watersheds!AB$12/SUM(Watacresall!AB$72:AB$81)</f>
        <v>0</v>
      </c>
      <c r="AC111" s="789">
        <f>Watacresall!AC75*Watersheds!AC$12/SUM(Watacresall!AC$72:AC$81)</f>
        <v>0</v>
      </c>
      <c r="AD111" s="789">
        <f>Watacresall!AD75*Watersheds!AD$12/SUM(Watacresall!AD$72:AD$81)</f>
        <v>0</v>
      </c>
      <c r="AE111" s="789">
        <f>Watacresall!AE75*Watersheds!AE$12/SUM(Watacresall!AE$72:AE$81)</f>
        <v>0</v>
      </c>
      <c r="AF111" s="789">
        <f>Watacresall!AF75*Watersheds!AF$12/SUM(Watacresall!AF$72:AF$81)</f>
        <v>1244.5759656855464</v>
      </c>
      <c r="AG111" s="789">
        <f>Watacresall!AG75*Watersheds!AG$12/SUM(Watacresall!AG$72:AG$81)</f>
        <v>25765.811486446422</v>
      </c>
      <c r="AH111" s="789">
        <f>Watacresall!AH75*Watersheds!AH$12/SUM(Watacresall!AH$72:AH$81)</f>
        <v>0</v>
      </c>
      <c r="AI111" s="789">
        <f>Watacresall!AI75*Watersheds!AI$12/SUM(Watacresall!AI$72:AI$81)</f>
        <v>0</v>
      </c>
      <c r="AJ111" s="789">
        <f>Watacresall!AJ75*Watersheds!AJ$12/SUM(Watacresall!AJ$72:AJ$81)</f>
        <v>0</v>
      </c>
      <c r="AK111" s="789">
        <f>Watacresall!AK75*Watersheds!AK$12/SUM(Watacresall!AK$72:AK$81)</f>
        <v>434053.79116594663</v>
      </c>
      <c r="AL111" s="789">
        <f>Watacresall!AL75*Watersheds!AL$12/SUM(Watacresall!AL$72:AL$81)</f>
        <v>0</v>
      </c>
      <c r="AM111" s="789">
        <f>Watacresall!AM75*Watersheds!AM$12/SUM(Watacresall!AM$72:AM$81)</f>
        <v>0</v>
      </c>
      <c r="AN111" s="789">
        <f>Watacresall!AN75*Watersheds!AN$12/SUM(Watacresall!AN$72:AN$81)</f>
        <v>0</v>
      </c>
      <c r="AO111" s="790"/>
      <c r="AP111" s="118">
        <f t="shared" si="14"/>
        <v>2117641.7100086012</v>
      </c>
      <c r="AT111" t="str">
        <f t="shared" si="15"/>
        <v>Lower Mississippi River Basin</v>
      </c>
      <c r="AU111" s="113">
        <v>74</v>
      </c>
      <c r="AV111" s="112"/>
      <c r="AW111" s="112"/>
    </row>
    <row r="112" spans="1:49" ht="15" x14ac:dyDescent="0.25">
      <c r="A112" s="115" t="s">
        <v>282</v>
      </c>
      <c r="B112" s="789">
        <f>Watacresall!B76*Watersheds!B$12/SUM(Watacresall!B$72:B$81)</f>
        <v>157425.09087065578</v>
      </c>
      <c r="C112" s="789">
        <f>Watacresall!C76*Watersheds!C$12/SUM(Watacresall!C$72:C$81)</f>
        <v>0</v>
      </c>
      <c r="D112" s="789">
        <f>Watacresall!D76*Watersheds!D$12/SUM(Watacresall!D$72:D$81)</f>
        <v>0</v>
      </c>
      <c r="E112" s="789">
        <f>Watacresall!E76*Watersheds!E$12/SUM(Watacresall!E$72:E$81)</f>
        <v>191.01632421176976</v>
      </c>
      <c r="F112" s="789">
        <f>Watacresall!F76*Watersheds!F$12/SUM(Watacresall!F$72:F$81)</f>
        <v>633844.60457733716</v>
      </c>
      <c r="G112" s="789">
        <f>Watacresall!G76*Watersheds!G$12/SUM(Watacresall!G$72:G$81)</f>
        <v>0</v>
      </c>
      <c r="H112" s="789">
        <f>Watacresall!H76*Watersheds!H$12/SUM(Watacresall!H$72:H$81)</f>
        <v>0</v>
      </c>
      <c r="I112" s="789">
        <f>Watacresall!I76*Watersheds!I$12/SUM(Watacresall!I$72:I$81)</f>
        <v>1395935.9077997287</v>
      </c>
      <c r="J112" s="789">
        <f>Watacresall!J76*Watersheds!J$12/SUM(Watacresall!J$72:J$81)</f>
        <v>455825.69768239866</v>
      </c>
      <c r="K112" s="789">
        <f>Watacresall!K76*Watersheds!K$12/SUM(Watacresall!K$72:K$81)</f>
        <v>3736.3612802432935</v>
      </c>
      <c r="L112" s="789">
        <f>Watacresall!L76*Watersheds!L$12/SUM(Watacresall!L$72:L$81)</f>
        <v>0</v>
      </c>
      <c r="M112" s="789">
        <f>Watacresall!M76*Watersheds!M$12/SUM(Watacresall!M$72:M$81)</f>
        <v>331.66479775520651</v>
      </c>
      <c r="N112" s="789">
        <f>Watacresall!N76*Watersheds!N$12/SUM(Watacresall!N$72:N$81)</f>
        <v>1959.6666936202564</v>
      </c>
      <c r="O112" s="789">
        <f>Watacresall!O76*Watersheds!O$12/SUM(Watacresall!O$72:O$81)</f>
        <v>0</v>
      </c>
      <c r="P112" s="789">
        <f>Watacresall!P76*Watersheds!P$12/SUM(Watacresall!P$72:P$81)</f>
        <v>0</v>
      </c>
      <c r="Q112" s="789">
        <f>Watacresall!Q76*Watersheds!Q$12/SUM(Watacresall!Q$72:Q$81)</f>
        <v>0</v>
      </c>
      <c r="R112" s="789">
        <f>Watacresall!R76*Watersheds!R$12/SUM(Watacresall!R$72:R$81)</f>
        <v>0</v>
      </c>
      <c r="S112" s="789">
        <f>Watacresall!S76*Watersheds!S$12/SUM(Watacresall!S$72:S$81)</f>
        <v>0</v>
      </c>
      <c r="T112" s="789">
        <f>Watacresall!T76*Watersheds!T$12/SUM(Watacresall!T$72:T$81)</f>
        <v>0</v>
      </c>
      <c r="U112" s="789">
        <f>Watacresall!U76*Watersheds!U$12/SUM(Watacresall!U$72:U$81)</f>
        <v>0</v>
      </c>
      <c r="V112" s="789">
        <f>Watacresall!V76*Watersheds!V$12/SUM(Watacresall!V$72:V$81)</f>
        <v>0</v>
      </c>
      <c r="W112" s="789">
        <f>Watacresall!W76*Watersheds!W$12/SUM(Watacresall!W$72:W$81)</f>
        <v>11764.995113737294</v>
      </c>
      <c r="X112" s="789">
        <f>Watacresall!X76*Watersheds!X$12/SUM(Watacresall!X$72:X$81)</f>
        <v>0</v>
      </c>
      <c r="Y112" s="789">
        <f>Watacresall!Y76*Watersheds!Y$12/SUM(Watacresall!Y$72:Y$81)</f>
        <v>47.564721175791661</v>
      </c>
      <c r="Z112" s="789">
        <f>Watacresall!Z76*Watersheds!Z$12/SUM(Watacresall!Z$72:Z$81)</f>
        <v>467916.72848317213</v>
      </c>
      <c r="AA112" s="789">
        <f>Watacresall!AA76*Watersheds!AA$12/SUM(Watacresall!AA$72:AA$81)</f>
        <v>0</v>
      </c>
      <c r="AB112" s="789">
        <f>Watacresall!AB76*Watersheds!AB$12/SUM(Watacresall!AB$72:AB$81)</f>
        <v>355515.31900497229</v>
      </c>
      <c r="AC112" s="789">
        <f>Watacresall!AC76*Watersheds!AC$12/SUM(Watacresall!AC$72:AC$81)</f>
        <v>0</v>
      </c>
      <c r="AD112" s="789">
        <f>Watacresall!AD76*Watersheds!AD$12/SUM(Watacresall!AD$72:AD$81)</f>
        <v>54441.211277657247</v>
      </c>
      <c r="AE112" s="789">
        <f>Watacresall!AE76*Watersheds!AE$12/SUM(Watacresall!AE$72:AE$81)</f>
        <v>65663.160762143409</v>
      </c>
      <c r="AF112" s="789">
        <f>Watacresall!AF76*Watersheds!AF$12/SUM(Watacresall!AF$72:AF$81)</f>
        <v>62037.263483244511</v>
      </c>
      <c r="AG112" s="789">
        <f>Watacresall!AG76*Watersheds!AG$12/SUM(Watacresall!AG$72:AG$81)</f>
        <v>0</v>
      </c>
      <c r="AH112" s="789">
        <f>Watacresall!AH76*Watersheds!AH$12/SUM(Watacresall!AH$72:AH$81)</f>
        <v>1054849.688876644</v>
      </c>
      <c r="AI112" s="789">
        <f>Watacresall!AI76*Watersheds!AI$12/SUM(Watacresall!AI$72:AI$81)</f>
        <v>128358.10151161565</v>
      </c>
      <c r="AJ112" s="789">
        <f>Watacresall!AJ76*Watersheds!AJ$12/SUM(Watacresall!AJ$72:AJ$81)</f>
        <v>0</v>
      </c>
      <c r="AK112" s="789">
        <f>Watacresall!AK76*Watersheds!AK$12/SUM(Watacresall!AK$72:AK$81)</f>
        <v>0</v>
      </c>
      <c r="AL112" s="789">
        <f>Watacresall!AL76*Watersheds!AL$12/SUM(Watacresall!AL$72:AL$81)</f>
        <v>0</v>
      </c>
      <c r="AM112" s="789">
        <f>Watacresall!AM76*Watersheds!AM$12/SUM(Watacresall!AM$72:AM$81)</f>
        <v>787792.56633685902</v>
      </c>
      <c r="AN112" s="789">
        <f>Watacresall!AN76*Watersheds!AN$12/SUM(Watacresall!AN$72:AN$81)</f>
        <v>947078.2179734339</v>
      </c>
      <c r="AO112" s="790"/>
      <c r="AP112" s="118">
        <f t="shared" si="14"/>
        <v>6584714.827570606</v>
      </c>
      <c r="AT112" t="str">
        <f t="shared" si="15"/>
        <v>Minnesota River Basin</v>
      </c>
      <c r="AU112" s="113">
        <v>75</v>
      </c>
      <c r="AV112" s="112"/>
      <c r="AW112" s="112"/>
    </row>
    <row r="113" spans="1:49" ht="15" x14ac:dyDescent="0.25">
      <c r="A113" s="115" t="s">
        <v>281</v>
      </c>
      <c r="B113" s="789">
        <f>Watacresall!B77*Watersheds!B$12/SUM(Watacresall!B$72:B$81)</f>
        <v>0</v>
      </c>
      <c r="C113" s="789">
        <f>Watacresall!C77*Watersheds!C$12/SUM(Watacresall!C$72:C$81)</f>
        <v>0</v>
      </c>
      <c r="D113" s="789">
        <f>Watacresall!D77*Watersheds!D$12/SUM(Watacresall!D$72:D$81)</f>
        <v>0</v>
      </c>
      <c r="E113" s="789">
        <f>Watacresall!E77*Watersheds!E$12/SUM(Watacresall!E$72:E$81)</f>
        <v>0</v>
      </c>
      <c r="F113" s="789">
        <f>Watacresall!F77*Watersheds!F$12/SUM(Watacresall!F$72:F$81)</f>
        <v>111588.43564132134</v>
      </c>
      <c r="G113" s="789">
        <f>Watacresall!G77*Watersheds!G$12/SUM(Watacresall!G$72:G$81)</f>
        <v>0</v>
      </c>
      <c r="H113" s="789">
        <f>Watacresall!H77*Watersheds!H$12/SUM(Watacresall!H$72:H$81)</f>
        <v>0</v>
      </c>
      <c r="I113" s="789">
        <f>Watacresall!I77*Watersheds!I$12/SUM(Watacresall!I$72:I$81)</f>
        <v>51439.264159903629</v>
      </c>
      <c r="J113" s="789">
        <f>Watacresall!J77*Watersheds!J$12/SUM(Watacresall!J$72:J$81)</f>
        <v>0</v>
      </c>
      <c r="K113" s="789">
        <f>Watacresall!K77*Watersheds!K$12/SUM(Watacresall!K$72:K$81)</f>
        <v>0</v>
      </c>
      <c r="L113" s="789">
        <f>Watacresall!L77*Watersheds!L$12/SUM(Watacresall!L$72:L$81)</f>
        <v>0</v>
      </c>
      <c r="M113" s="789">
        <f>Watacresall!M77*Watersheds!M$12/SUM(Watacresall!M$72:M$81)</f>
        <v>0</v>
      </c>
      <c r="N113" s="789">
        <f>Watacresall!N77*Watersheds!N$12/SUM(Watacresall!N$72:N$81)</f>
        <v>733236.73273882503</v>
      </c>
      <c r="O113" s="789">
        <f>Watacresall!O77*Watersheds!O$12/SUM(Watacresall!O$72:O$81)</f>
        <v>0</v>
      </c>
      <c r="P113" s="789">
        <f>Watacresall!P77*Watersheds!P$12/SUM(Watacresall!P$72:P$81)</f>
        <v>0</v>
      </c>
      <c r="Q113" s="789">
        <f>Watacresall!Q77*Watersheds!Q$12/SUM(Watacresall!Q$72:Q$81)</f>
        <v>0</v>
      </c>
      <c r="R113" s="789">
        <f>Watacresall!R77*Watersheds!R$12/SUM(Watacresall!R$72:R$81)</f>
        <v>0</v>
      </c>
      <c r="S113" s="789">
        <f>Watacresall!S77*Watersheds!S$12/SUM(Watacresall!S$72:S$81)</f>
        <v>0</v>
      </c>
      <c r="T113" s="789">
        <f>Watacresall!T77*Watersheds!T$12/SUM(Watacresall!T$72:T$81)</f>
        <v>0</v>
      </c>
      <c r="U113" s="789">
        <f>Watacresall!U77*Watersheds!U$12/SUM(Watacresall!U$72:U$81)</f>
        <v>0</v>
      </c>
      <c r="V113" s="789">
        <f>Watacresall!V77*Watersheds!V$12/SUM(Watacresall!V$72:V$81)</f>
        <v>950.76715422573454</v>
      </c>
      <c r="W113" s="789">
        <f>Watacresall!W77*Watersheds!W$12/SUM(Watacresall!W$72:W$81)</f>
        <v>0</v>
      </c>
      <c r="X113" s="789">
        <f>Watacresall!X77*Watersheds!X$12/SUM(Watacresall!X$72:X$81)</f>
        <v>0</v>
      </c>
      <c r="Y113" s="789">
        <f>Watacresall!Y77*Watersheds!Y$12/SUM(Watacresall!Y$72:Y$81)</f>
        <v>0</v>
      </c>
      <c r="Z113" s="789">
        <f>Watacresall!Z77*Watersheds!Z$12/SUM(Watacresall!Z$72:Z$81)</f>
        <v>0</v>
      </c>
      <c r="AA113" s="789">
        <f>Watacresall!AA77*Watersheds!AA$12/SUM(Watacresall!AA$72:AA$81)</f>
        <v>0</v>
      </c>
      <c r="AB113" s="789">
        <f>Watacresall!AB77*Watersheds!AB$12/SUM(Watacresall!AB$72:AB$81)</f>
        <v>0</v>
      </c>
      <c r="AC113" s="789">
        <f>Watacresall!AC77*Watersheds!AC$12/SUM(Watacresall!AC$72:AC$81)</f>
        <v>0</v>
      </c>
      <c r="AD113" s="789">
        <f>Watacresall!AD77*Watersheds!AD$12/SUM(Watacresall!AD$72:AD$81)</f>
        <v>0</v>
      </c>
      <c r="AE113" s="789">
        <f>Watacresall!AE77*Watersheds!AE$12/SUM(Watacresall!AE$72:AE$81)</f>
        <v>0</v>
      </c>
      <c r="AF113" s="789">
        <f>Watacresall!AF77*Watersheds!AF$12/SUM(Watacresall!AF$72:AF$81)</f>
        <v>0</v>
      </c>
      <c r="AG113" s="789">
        <f>Watacresall!AG77*Watersheds!AG$12/SUM(Watacresall!AG$72:AG$81)</f>
        <v>0</v>
      </c>
      <c r="AH113" s="789">
        <f>Watacresall!AH77*Watersheds!AH$12/SUM(Watacresall!AH$72:AH$81)</f>
        <v>0</v>
      </c>
      <c r="AI113" s="789">
        <f>Watacresall!AI77*Watersheds!AI$12/SUM(Watacresall!AI$72:AI$81)</f>
        <v>0</v>
      </c>
      <c r="AJ113" s="789">
        <f>Watacresall!AJ77*Watersheds!AJ$12/SUM(Watacresall!AJ$72:AJ$81)</f>
        <v>0</v>
      </c>
      <c r="AK113" s="789">
        <f>Watacresall!AK77*Watersheds!AK$12/SUM(Watacresall!AK$72:AK$81)</f>
        <v>0</v>
      </c>
      <c r="AL113" s="789">
        <f>Watacresall!AL77*Watersheds!AL$12/SUM(Watacresall!AL$72:AL$81)</f>
        <v>0</v>
      </c>
      <c r="AM113" s="789">
        <f>Watacresall!AM77*Watersheds!AM$12/SUM(Watacresall!AM$72:AM$81)</f>
        <v>0</v>
      </c>
      <c r="AN113" s="789">
        <f>Watacresall!AN77*Watersheds!AN$12/SUM(Watacresall!AN$72:AN$81)</f>
        <v>0</v>
      </c>
      <c r="AO113" s="790"/>
      <c r="AP113" s="118">
        <f t="shared" si="14"/>
        <v>897215.19969427574</v>
      </c>
      <c r="AT113" t="str">
        <f t="shared" si="15"/>
        <v>Missouri River Basin</v>
      </c>
      <c r="AU113" s="113">
        <v>76</v>
      </c>
      <c r="AV113" s="112"/>
      <c r="AW113" s="112"/>
    </row>
    <row r="114" spans="1:49" ht="15" x14ac:dyDescent="0.25">
      <c r="A114" s="115" t="s">
        <v>280</v>
      </c>
      <c r="B114" s="789">
        <f>Watacresall!B78*Watersheds!B$12/SUM(Watacresall!B$72:B$81)</f>
        <v>104153.53943455116</v>
      </c>
      <c r="C114" s="789">
        <f>Watacresall!C78*Watersheds!C$12/SUM(Watacresall!C$72:C$81)</f>
        <v>0</v>
      </c>
      <c r="D114" s="789">
        <f>Watacresall!D78*Watersheds!D$12/SUM(Watacresall!D$72:D$81)</f>
        <v>0</v>
      </c>
      <c r="E114" s="789">
        <f>Watacresall!E78*Watersheds!E$12/SUM(Watacresall!E$72:E$81)</f>
        <v>0</v>
      </c>
      <c r="F114" s="789">
        <f>Watacresall!F78*Watersheds!F$12/SUM(Watacresall!F$72:F$81)</f>
        <v>0</v>
      </c>
      <c r="G114" s="789">
        <f>Watacresall!G78*Watersheds!G$12/SUM(Watacresall!G$72:G$81)</f>
        <v>18437.811991935243</v>
      </c>
      <c r="H114" s="789">
        <f>Watacresall!H78*Watersheds!H$12/SUM(Watacresall!H$72:H$81)</f>
        <v>0</v>
      </c>
      <c r="I114" s="789">
        <f>Watacresall!I78*Watersheds!I$12/SUM(Watacresall!I$72:I$81)</f>
        <v>0</v>
      </c>
      <c r="J114" s="789">
        <f>Watacresall!J78*Watersheds!J$12/SUM(Watacresall!J$72:J$81)</f>
        <v>0</v>
      </c>
      <c r="K114" s="789">
        <f>Watacresall!K78*Watersheds!K$12/SUM(Watacresall!K$72:K$81)</f>
        <v>0</v>
      </c>
      <c r="L114" s="789">
        <f>Watacresall!L78*Watersheds!L$12/SUM(Watacresall!L$72:L$81)</f>
        <v>45147.415292281541</v>
      </c>
      <c r="M114" s="789">
        <f>Watacresall!M78*Watersheds!M$12/SUM(Watacresall!M$72:M$81)</f>
        <v>38439.531094316524</v>
      </c>
      <c r="N114" s="789">
        <f>Watacresall!N78*Watersheds!N$12/SUM(Watacresall!N$72:N$81)</f>
        <v>0</v>
      </c>
      <c r="O114" s="789">
        <f>Watacresall!O78*Watersheds!O$12/SUM(Watacresall!O$72:O$81)</f>
        <v>0</v>
      </c>
      <c r="P114" s="789">
        <f>Watacresall!P78*Watersheds!P$12/SUM(Watacresall!P$72:P$81)</f>
        <v>0</v>
      </c>
      <c r="Q114" s="789">
        <f>Watacresall!Q78*Watersheds!Q$12/SUM(Watacresall!Q$72:Q$81)</f>
        <v>0</v>
      </c>
      <c r="R114" s="789">
        <f>Watacresall!R78*Watersheds!R$12/SUM(Watacresall!R$72:R$81)</f>
        <v>1016.3593413030781</v>
      </c>
      <c r="S114" s="789">
        <f>Watacresall!S78*Watersheds!S$12/SUM(Watacresall!S$72:S$81)</f>
        <v>11843.757282223811</v>
      </c>
      <c r="T114" s="789">
        <f>Watacresall!T78*Watersheds!T$12/SUM(Watacresall!T$72:T$81)</f>
        <v>78.223560859665142</v>
      </c>
      <c r="U114" s="789">
        <f>Watacresall!U78*Watersheds!U$12/SUM(Watacresall!U$72:U$81)</f>
        <v>61855.431134355538</v>
      </c>
      <c r="V114" s="789">
        <f>Watacresall!V78*Watersheds!V$12/SUM(Watacresall!V$72:V$81)</f>
        <v>0</v>
      </c>
      <c r="W114" s="789">
        <f>Watacresall!W78*Watersheds!W$12/SUM(Watacresall!W$72:W$81)</f>
        <v>0</v>
      </c>
      <c r="X114" s="789">
        <f>Watacresall!X78*Watersheds!X$12/SUM(Watacresall!X$72:X$81)</f>
        <v>3725.6571145220632</v>
      </c>
      <c r="Y114" s="789">
        <f>Watacresall!Y78*Watersheds!Y$12/SUM(Watacresall!Y$72:Y$81)</f>
        <v>0</v>
      </c>
      <c r="Z114" s="789">
        <f>Watacresall!Z78*Watersheds!Z$12/SUM(Watacresall!Z$72:Z$81)</f>
        <v>0</v>
      </c>
      <c r="AA114" s="789">
        <f>Watacresall!AA78*Watersheds!AA$12/SUM(Watacresall!AA$72:AA$81)</f>
        <v>52800.889808567517</v>
      </c>
      <c r="AB114" s="789">
        <f>Watacresall!AB78*Watersheds!AB$12/SUM(Watacresall!AB$72:AB$81)</f>
        <v>0</v>
      </c>
      <c r="AC114" s="789">
        <f>Watacresall!AC78*Watersheds!AC$12/SUM(Watacresall!AC$72:AC$81)</f>
        <v>0</v>
      </c>
      <c r="AD114" s="789">
        <f>Watacresall!AD78*Watersheds!AD$12/SUM(Watacresall!AD$72:AD$81)</f>
        <v>0</v>
      </c>
      <c r="AE114" s="789">
        <f>Watacresall!AE78*Watersheds!AE$12/SUM(Watacresall!AE$72:AE$81)</f>
        <v>0</v>
      </c>
      <c r="AF114" s="789">
        <f>Watacresall!AF78*Watersheds!AF$12/SUM(Watacresall!AF$72:AF$81)</f>
        <v>0</v>
      </c>
      <c r="AG114" s="789">
        <f>Watacresall!AG78*Watersheds!AG$12/SUM(Watacresall!AG$72:AG$81)</f>
        <v>0</v>
      </c>
      <c r="AH114" s="789">
        <f>Watacresall!AH78*Watersheds!AH$12/SUM(Watacresall!AH$72:AH$81)</f>
        <v>0</v>
      </c>
      <c r="AI114" s="789">
        <f>Watacresall!AI78*Watersheds!AI$12/SUM(Watacresall!AI$72:AI$81)</f>
        <v>0</v>
      </c>
      <c r="AJ114" s="789">
        <f>Watacresall!AJ78*Watersheds!AJ$12/SUM(Watacresall!AJ$72:AJ$81)</f>
        <v>0</v>
      </c>
      <c r="AK114" s="789">
        <f>Watacresall!AK78*Watersheds!AK$12/SUM(Watacresall!AK$72:AK$81)</f>
        <v>0</v>
      </c>
      <c r="AL114" s="789">
        <f>Watacresall!AL78*Watersheds!AL$12/SUM(Watacresall!AL$72:AL$81)</f>
        <v>0</v>
      </c>
      <c r="AM114" s="789">
        <f>Watacresall!AM78*Watersheds!AM$12/SUM(Watacresall!AM$72:AM$81)</f>
        <v>0</v>
      </c>
      <c r="AN114" s="789">
        <f>Watacresall!AN78*Watersheds!AN$12/SUM(Watacresall!AN$72:AN$81)</f>
        <v>0</v>
      </c>
      <c r="AO114" s="790"/>
      <c r="AP114" s="118">
        <f t="shared" si="14"/>
        <v>337498.61605491611</v>
      </c>
      <c r="AT114" t="str">
        <f t="shared" si="15"/>
        <v>Rainy River Basin</v>
      </c>
      <c r="AU114" s="113">
        <v>77</v>
      </c>
      <c r="AV114" s="112"/>
      <c r="AW114" s="112"/>
    </row>
    <row r="115" spans="1:49" ht="15" x14ac:dyDescent="0.25">
      <c r="A115" s="115" t="s">
        <v>279</v>
      </c>
      <c r="B115" s="789">
        <f>Watacresall!B79*Watersheds!B$12/SUM(Watacresall!B$72:B$81)</f>
        <v>2025.1527555505161</v>
      </c>
      <c r="C115" s="789">
        <f>Watacresall!C79*Watersheds!C$12/SUM(Watacresall!C$72:C$81)</f>
        <v>0</v>
      </c>
      <c r="D115" s="789">
        <f>Watacresall!D79*Watersheds!D$12/SUM(Watacresall!D$72:D$81)</f>
        <v>0</v>
      </c>
      <c r="E115" s="789">
        <f>Watacresall!E79*Watersheds!E$12/SUM(Watacresall!E$72:E$81)</f>
        <v>0</v>
      </c>
      <c r="F115" s="789">
        <f>Watacresall!F79*Watersheds!F$12/SUM(Watacresall!F$72:F$81)</f>
        <v>0</v>
      </c>
      <c r="G115" s="789">
        <f>Watacresall!G79*Watersheds!G$12/SUM(Watacresall!G$72:G$81)</f>
        <v>0</v>
      </c>
      <c r="H115" s="789">
        <f>Watacresall!H79*Watersheds!H$12/SUM(Watacresall!H$72:H$81)</f>
        <v>26.353755885828697</v>
      </c>
      <c r="I115" s="789">
        <f>Watacresall!I79*Watersheds!I$12/SUM(Watacresall!I$72:I$81)</f>
        <v>0</v>
      </c>
      <c r="J115" s="789">
        <f>Watacresall!J79*Watersheds!J$12/SUM(Watacresall!J$72:J$81)</f>
        <v>2603.8723465829694</v>
      </c>
      <c r="K115" s="789">
        <f>Watacresall!K79*Watersheds!K$12/SUM(Watacresall!K$72:K$81)</f>
        <v>815439.84483432944</v>
      </c>
      <c r="L115" s="789">
        <f>Watacresall!L79*Watersheds!L$12/SUM(Watacresall!L$72:L$81)</f>
        <v>1.4412952286029106</v>
      </c>
      <c r="M115" s="789">
        <f>Watacresall!M79*Watersheds!M$12/SUM(Watacresall!M$72:M$81)</f>
        <v>60892.801378596669</v>
      </c>
      <c r="N115" s="789">
        <f>Watacresall!N79*Watersheds!N$12/SUM(Watacresall!N$72:N$81)</f>
        <v>0</v>
      </c>
      <c r="O115" s="789">
        <f>Watacresall!O79*Watersheds!O$12/SUM(Watacresall!O$72:O$81)</f>
        <v>828673.71056960023</v>
      </c>
      <c r="P115" s="789">
        <f>Watacresall!P79*Watersheds!P$12/SUM(Watacresall!P$72:P$81)</f>
        <v>0</v>
      </c>
      <c r="Q115" s="789">
        <f>Watacresall!Q79*Watersheds!Q$12/SUM(Watacresall!Q$72:Q$81)</f>
        <v>246814.27028150437</v>
      </c>
      <c r="R115" s="789">
        <f>Watacresall!R79*Watersheds!R$12/SUM(Watacresall!R$72:R$81)</f>
        <v>0</v>
      </c>
      <c r="S115" s="789">
        <f>Watacresall!S79*Watersheds!S$12/SUM(Watacresall!S$72:S$81)</f>
        <v>48217.74164497359</v>
      </c>
      <c r="T115" s="789">
        <f>Watacresall!T79*Watersheds!T$12/SUM(Watacresall!T$72:T$81)</f>
        <v>0</v>
      </c>
      <c r="U115" s="789">
        <f>Watacresall!U79*Watersheds!U$12/SUM(Watacresall!U$72:U$81)</f>
        <v>44505.73999229227</v>
      </c>
      <c r="V115" s="789">
        <f>Watacresall!V79*Watersheds!V$12/SUM(Watacresall!V$72:V$81)</f>
        <v>0</v>
      </c>
      <c r="W115" s="789">
        <f>Watacresall!W79*Watersheds!W$12/SUM(Watacresall!W$72:W$81)</f>
        <v>523095.92369390477</v>
      </c>
      <c r="X115" s="789">
        <f>Watacresall!X79*Watersheds!X$12/SUM(Watacresall!X$72:X$81)</f>
        <v>68965.831348559805</v>
      </c>
      <c r="Y115" s="789">
        <f>Watacresall!Y79*Watersheds!Y$12/SUM(Watacresall!Y$72:Y$81)</f>
        <v>0</v>
      </c>
      <c r="Z115" s="789">
        <f>Watacresall!Z79*Watersheds!Z$12/SUM(Watacresall!Z$72:Z$81)</f>
        <v>0</v>
      </c>
      <c r="AA115" s="789">
        <f>Watacresall!AA79*Watersheds!AA$12/SUM(Watacresall!AA$72:AA$81)</f>
        <v>76925.802028162347</v>
      </c>
      <c r="AB115" s="789">
        <f>Watacresall!AB79*Watersheds!AB$12/SUM(Watacresall!AB$72:AB$81)</f>
        <v>360745.09186345205</v>
      </c>
      <c r="AC115" s="789">
        <f>Watacresall!AC79*Watersheds!AC$12/SUM(Watacresall!AC$72:AC$81)</f>
        <v>0</v>
      </c>
      <c r="AD115" s="789">
        <f>Watacresall!AD79*Watersheds!AD$12/SUM(Watacresall!AD$72:AD$81)</f>
        <v>0</v>
      </c>
      <c r="AE115" s="789">
        <f>Watacresall!AE79*Watersheds!AE$12/SUM(Watacresall!AE$72:AE$81)</f>
        <v>0</v>
      </c>
      <c r="AF115" s="789">
        <f>Watacresall!AF79*Watersheds!AF$12/SUM(Watacresall!AF$72:AF$81)</f>
        <v>0</v>
      </c>
      <c r="AG115" s="789">
        <f>Watacresall!AG79*Watersheds!AG$12/SUM(Watacresall!AG$72:AG$81)</f>
        <v>0</v>
      </c>
      <c r="AH115" s="789">
        <f>Watacresall!AH79*Watersheds!AH$12/SUM(Watacresall!AH$72:AH$81)</f>
        <v>655.06448401001285</v>
      </c>
      <c r="AI115" s="789">
        <f>Watacresall!AI79*Watersheds!AI$12/SUM(Watacresall!AI$72:AI$81)</f>
        <v>0</v>
      </c>
      <c r="AJ115" s="789">
        <f>Watacresall!AJ79*Watersheds!AJ$12/SUM(Watacresall!AJ$72:AJ$81)</f>
        <v>574366.93169227615</v>
      </c>
      <c r="AK115" s="789">
        <f>Watacresall!AK79*Watersheds!AK$12/SUM(Watacresall!AK$72:AK$81)</f>
        <v>0</v>
      </c>
      <c r="AL115" s="789">
        <f>Watacresall!AL79*Watersheds!AL$12/SUM(Watacresall!AL$72:AL$81)</f>
        <v>1064528.7062601969</v>
      </c>
      <c r="AM115" s="789">
        <f>Watacresall!AM79*Watersheds!AM$12/SUM(Watacresall!AM$72:AM$81)</f>
        <v>0</v>
      </c>
      <c r="AN115" s="789">
        <f>Watacresall!AN79*Watersheds!AN$12/SUM(Watacresall!AN$72:AN$81)</f>
        <v>0</v>
      </c>
      <c r="AO115" s="790"/>
      <c r="AP115" s="118">
        <f t="shared" si="14"/>
        <v>4718484.2802251065</v>
      </c>
      <c r="AT115" t="str">
        <f t="shared" si="15"/>
        <v>Red River of the North Basin</v>
      </c>
      <c r="AU115" s="113">
        <v>78</v>
      </c>
      <c r="AV115" s="112"/>
      <c r="AW115" s="112"/>
    </row>
    <row r="116" spans="1:49" ht="15" x14ac:dyDescent="0.25">
      <c r="A116" s="115" t="s">
        <v>278</v>
      </c>
      <c r="B116" s="789">
        <f>Watacresall!B80*Watersheds!B$12/SUM(Watacresall!B$72:B$81)</f>
        <v>70548.483346464534</v>
      </c>
      <c r="C116" s="789">
        <f>Watacresall!C80*Watersheds!C$12/SUM(Watacresall!C$72:C$81)</f>
        <v>15032.521394732816</v>
      </c>
      <c r="D116" s="789">
        <f>Watacresall!D80*Watersheds!D$12/SUM(Watacresall!D$72:D$81)</f>
        <v>0</v>
      </c>
      <c r="E116" s="789">
        <f>Watacresall!E80*Watersheds!E$12/SUM(Watacresall!E$72:E$81)</f>
        <v>323207.14991771214</v>
      </c>
      <c r="F116" s="789">
        <f>Watacresall!F80*Watersheds!F$12/SUM(Watacresall!F$72:F$81)</f>
        <v>0</v>
      </c>
      <c r="G116" s="789">
        <f>Watacresall!G80*Watersheds!G$12/SUM(Watacresall!G$72:G$81)</f>
        <v>0</v>
      </c>
      <c r="H116" s="789">
        <f>Watacresall!H80*Watersheds!H$12/SUM(Watacresall!H$72:H$81)</f>
        <v>87921.843337398663</v>
      </c>
      <c r="I116" s="789">
        <f>Watacresall!I80*Watersheds!I$12/SUM(Watacresall!I$72:I$81)</f>
        <v>0</v>
      </c>
      <c r="J116" s="789">
        <f>Watacresall!J80*Watersheds!J$12/SUM(Watacresall!J$72:J$81)</f>
        <v>0</v>
      </c>
      <c r="K116" s="789">
        <f>Watacresall!K80*Watersheds!K$12/SUM(Watacresall!K$72:K$81)</f>
        <v>0</v>
      </c>
      <c r="L116" s="789">
        <f>Watacresall!L80*Watersheds!L$12/SUM(Watacresall!L$72:L$81)</f>
        <v>0</v>
      </c>
      <c r="M116" s="789">
        <f>Watacresall!M80*Watersheds!M$12/SUM(Watacresall!M$72:M$81)</f>
        <v>91.695369803564262</v>
      </c>
      <c r="N116" s="789">
        <f>Watacresall!N80*Watersheds!N$12/SUM(Watacresall!N$72:N$81)</f>
        <v>0</v>
      </c>
      <c r="O116" s="789">
        <f>Watacresall!O80*Watersheds!O$12/SUM(Watacresall!O$72:O$81)</f>
        <v>0</v>
      </c>
      <c r="P116" s="789">
        <f>Watacresall!P80*Watersheds!P$12/SUM(Watacresall!P$72:P$81)</f>
        <v>0</v>
      </c>
      <c r="Q116" s="789">
        <f>Watacresall!Q80*Watersheds!Q$12/SUM(Watacresall!Q$72:Q$81)</f>
        <v>0</v>
      </c>
      <c r="R116" s="789">
        <f>Watacresall!R80*Watersheds!R$12/SUM(Watacresall!R$72:R$81)</f>
        <v>0</v>
      </c>
      <c r="S116" s="789">
        <f>Watacresall!S80*Watersheds!S$12/SUM(Watacresall!S$72:S$81)</f>
        <v>482.73453001227017</v>
      </c>
      <c r="T116" s="789">
        <f>Watacresall!T80*Watersheds!T$12/SUM(Watacresall!T$72:T$81)</f>
        <v>0.87261182153380601</v>
      </c>
      <c r="U116" s="789">
        <f>Watacresall!U80*Watersheds!U$12/SUM(Watacresall!U$72:U$81)</f>
        <v>0</v>
      </c>
      <c r="V116" s="789">
        <f>Watacresall!V80*Watersheds!V$12/SUM(Watacresall!V$72:V$81)</f>
        <v>0</v>
      </c>
      <c r="W116" s="789">
        <f>Watacresall!W80*Watersheds!W$12/SUM(Watacresall!W$72:W$81)</f>
        <v>0</v>
      </c>
      <c r="X116" s="789">
        <f>Watacresall!X80*Watersheds!X$12/SUM(Watacresall!X$72:X$81)</f>
        <v>0</v>
      </c>
      <c r="Y116" s="789">
        <f>Watacresall!Y80*Watersheds!Y$12/SUM(Watacresall!Y$72:Y$81)</f>
        <v>0</v>
      </c>
      <c r="Z116" s="789">
        <f>Watacresall!Z80*Watersheds!Z$12/SUM(Watacresall!Z$72:Z$81)</f>
        <v>0</v>
      </c>
      <c r="AA116" s="789">
        <f>Watacresall!AA80*Watersheds!AA$12/SUM(Watacresall!AA$72:AA$81)</f>
        <v>1.7732469911987325</v>
      </c>
      <c r="AB116" s="789">
        <f>Watacresall!AB80*Watersheds!AB$12/SUM(Watacresall!AB$72:AB$81)</f>
        <v>0</v>
      </c>
      <c r="AC116" s="789">
        <f>Watacresall!AC80*Watersheds!AC$12/SUM(Watacresall!AC$72:AC$81)</f>
        <v>11173.234422072735</v>
      </c>
      <c r="AD116" s="789">
        <f>Watacresall!AD80*Watersheds!AD$12/SUM(Watacresall!AD$72:AD$81)</f>
        <v>0</v>
      </c>
      <c r="AE116" s="789">
        <f>Watacresall!AE80*Watersheds!AE$12/SUM(Watacresall!AE$72:AE$81)</f>
        <v>0</v>
      </c>
      <c r="AF116" s="789">
        <f>Watacresall!AF80*Watersheds!AF$12/SUM(Watacresall!AF$72:AF$81)</f>
        <v>20745.375434745212</v>
      </c>
      <c r="AG116" s="789">
        <f>Watacresall!AG80*Watersheds!AG$12/SUM(Watacresall!AG$72:AG$81)</f>
        <v>0</v>
      </c>
      <c r="AH116" s="789">
        <f>Watacresall!AH80*Watersheds!AH$12/SUM(Watacresall!AH$72:AH$81)</f>
        <v>0</v>
      </c>
      <c r="AI116" s="789">
        <f>Watacresall!AI80*Watersheds!AI$12/SUM(Watacresall!AI$72:AI$81)</f>
        <v>0</v>
      </c>
      <c r="AJ116" s="789">
        <f>Watacresall!AJ80*Watersheds!AJ$12/SUM(Watacresall!AJ$72:AJ$81)</f>
        <v>0</v>
      </c>
      <c r="AK116" s="789">
        <f>Watacresall!AK80*Watersheds!AK$12/SUM(Watacresall!AK$72:AK$81)</f>
        <v>0</v>
      </c>
      <c r="AL116" s="789">
        <f>Watacresall!AL80*Watersheds!AL$12/SUM(Watacresall!AL$72:AL$81)</f>
        <v>0</v>
      </c>
      <c r="AM116" s="789">
        <f>Watacresall!AM80*Watersheds!AM$12/SUM(Watacresall!AM$72:AM$81)</f>
        <v>0</v>
      </c>
      <c r="AN116" s="789">
        <f>Watacresall!AN80*Watersheds!AN$12/SUM(Watacresall!AN$72:AN$81)</f>
        <v>0</v>
      </c>
      <c r="AO116" s="790"/>
      <c r="AP116" s="118">
        <f t="shared" si="14"/>
        <v>529205.68361175468</v>
      </c>
      <c r="AT116" t="str">
        <f t="shared" si="15"/>
        <v>St.  Croix River Basin</v>
      </c>
      <c r="AU116" s="113">
        <v>79</v>
      </c>
      <c r="AV116" s="112"/>
      <c r="AW116" s="112"/>
    </row>
    <row r="117" spans="1:49" ht="15" x14ac:dyDescent="0.25">
      <c r="A117" s="115" t="s">
        <v>277</v>
      </c>
      <c r="B117" s="789">
        <f>Watacresall!B81*Watersheds!B$12/SUM(Watacresall!B$72:B$81)</f>
        <v>645713.23646965518</v>
      </c>
      <c r="C117" s="789">
        <f>Watacresall!C81*Watersheds!C$12/SUM(Watacresall!C$72:C$81)</f>
        <v>80722.23728218925</v>
      </c>
      <c r="D117" s="789">
        <f>Watacresall!D81*Watersheds!D$12/SUM(Watacresall!D$72:D$81)</f>
        <v>0</v>
      </c>
      <c r="E117" s="789">
        <f>Watacresall!E81*Watersheds!E$12/SUM(Watacresall!E$72:E$81)</f>
        <v>196290.07829155424</v>
      </c>
      <c r="F117" s="789">
        <f>Watacresall!F81*Watersheds!F$12/SUM(Watacresall!F$72:F$81)</f>
        <v>0</v>
      </c>
      <c r="G117" s="789">
        <f>Watacresall!G81*Watersheds!G$12/SUM(Watacresall!G$72:G$81)</f>
        <v>0</v>
      </c>
      <c r="H117" s="789">
        <f>Watacresall!H81*Watersheds!H$12/SUM(Watacresall!H$72:H$81)</f>
        <v>388911.01279819151</v>
      </c>
      <c r="I117" s="789">
        <f>Watacresall!I81*Watersheds!I$12/SUM(Watacresall!I$72:I$81)</f>
        <v>0</v>
      </c>
      <c r="J117" s="789">
        <f>Watacresall!J81*Watersheds!J$12/SUM(Watacresall!J$72:J$81)</f>
        <v>0</v>
      </c>
      <c r="K117" s="789">
        <f>Watacresall!K81*Watersheds!K$12/SUM(Watacresall!K$72:K$81)</f>
        <v>0</v>
      </c>
      <c r="L117" s="789">
        <f>Watacresall!L81*Watersheds!L$12/SUM(Watacresall!L$72:L$81)</f>
        <v>0</v>
      </c>
      <c r="M117" s="789">
        <f>Watacresall!M81*Watersheds!M$12/SUM(Watacresall!M$72:M$81)</f>
        <v>144872.71498662984</v>
      </c>
      <c r="N117" s="789">
        <f>Watacresall!N81*Watersheds!N$12/SUM(Watacresall!N$72:N$81)</f>
        <v>0</v>
      </c>
      <c r="O117" s="789">
        <f>Watacresall!O81*Watersheds!O$12/SUM(Watacresall!O$72:O$81)</f>
        <v>0</v>
      </c>
      <c r="P117" s="789">
        <f>Watacresall!P81*Watersheds!P$12/SUM(Watacresall!P$72:P$81)</f>
        <v>0</v>
      </c>
      <c r="Q117" s="789">
        <f>Watacresall!Q81*Watersheds!Q$12/SUM(Watacresall!Q$72:Q$81)</f>
        <v>0</v>
      </c>
      <c r="R117" s="789">
        <f>Watacresall!R81*Watersheds!R$12/SUM(Watacresall!R$72:R$81)</f>
        <v>896.46568904011724</v>
      </c>
      <c r="S117" s="789">
        <f>Watacresall!S81*Watersheds!S$12/SUM(Watacresall!S$72:S$81)</f>
        <v>63339.849480371755</v>
      </c>
      <c r="T117" s="789">
        <f>Watacresall!T81*Watersheds!T$12/SUM(Watacresall!T$72:T$81)</f>
        <v>0.87242554689001051</v>
      </c>
      <c r="U117" s="789">
        <f>Watacresall!U81*Watersheds!U$12/SUM(Watacresall!U$72:U$81)</f>
        <v>0</v>
      </c>
      <c r="V117" s="789">
        <f>Watacresall!V81*Watersheds!V$12/SUM(Watacresall!V$72:V$81)</f>
        <v>0</v>
      </c>
      <c r="W117" s="789">
        <f>Watacresall!W81*Watersheds!W$12/SUM(Watacresall!W$72:W$81)</f>
        <v>0</v>
      </c>
      <c r="X117" s="789">
        <f>Watacresall!X81*Watersheds!X$12/SUM(Watacresall!X$72:X$81)</f>
        <v>0</v>
      </c>
      <c r="Y117" s="789">
        <f>Watacresall!Y81*Watersheds!Y$12/SUM(Watacresall!Y$72:Y$81)</f>
        <v>0</v>
      </c>
      <c r="Z117" s="789">
        <f>Watacresall!Z81*Watersheds!Z$12/SUM(Watacresall!Z$72:Z$81)</f>
        <v>640045.59266566869</v>
      </c>
      <c r="AA117" s="789">
        <f>Watacresall!AA81*Watersheds!AA$12/SUM(Watacresall!AA$72:AA$81)</f>
        <v>106301.59529598842</v>
      </c>
      <c r="AB117" s="789">
        <f>Watacresall!AB81*Watersheds!AB$12/SUM(Watacresall!AB$72:AB$81)</f>
        <v>401996.35772057885</v>
      </c>
      <c r="AC117" s="789">
        <f>Watacresall!AC81*Watersheds!AC$12/SUM(Watacresall!AC$72:AC$81)</f>
        <v>35377.634439469832</v>
      </c>
      <c r="AD117" s="789">
        <f>Watacresall!AD81*Watersheds!AD$12/SUM(Watacresall!AD$72:AD$81)</f>
        <v>0</v>
      </c>
      <c r="AE117" s="789">
        <f>Watacresall!AE81*Watersheds!AE$12/SUM(Watacresall!AE$72:AE$81)</f>
        <v>0</v>
      </c>
      <c r="AF117" s="789">
        <f>Watacresall!AF81*Watersheds!AF$12/SUM(Watacresall!AF$72:AF$81)</f>
        <v>46919.898597862353</v>
      </c>
      <c r="AG117" s="789">
        <f>Watacresall!AG81*Watersheds!AG$12/SUM(Watacresall!AG$72:AG$81)</f>
        <v>0</v>
      </c>
      <c r="AH117" s="789">
        <f>Watacresall!AH81*Watersheds!AH$12/SUM(Watacresall!AH$72:AH$81)</f>
        <v>285156.2180235759</v>
      </c>
      <c r="AI117" s="789">
        <f>Watacresall!AI81*Watersheds!AI$12/SUM(Watacresall!AI$72:AI$81)</f>
        <v>0</v>
      </c>
      <c r="AJ117" s="789">
        <f>Watacresall!AJ81*Watersheds!AJ$12/SUM(Watacresall!AJ$72:AJ$81)</f>
        <v>0</v>
      </c>
      <c r="AK117" s="789">
        <f>Watacresall!AK81*Watersheds!AK$12/SUM(Watacresall!AK$72:AK$81)</f>
        <v>0</v>
      </c>
      <c r="AL117" s="789">
        <f>Watacresall!AL81*Watersheds!AL$12/SUM(Watacresall!AL$72:AL$81)</f>
        <v>0</v>
      </c>
      <c r="AM117" s="789">
        <f>Watacresall!AM81*Watersheds!AM$12/SUM(Watacresall!AM$72:AM$81)</f>
        <v>0</v>
      </c>
      <c r="AN117" s="789">
        <f>Watacresall!AN81*Watersheds!AN$12/SUM(Watacresall!AN$72:AN$81)</f>
        <v>2656.3669208336783</v>
      </c>
      <c r="AO117" s="790"/>
      <c r="AP117" s="118">
        <f t="shared" si="14"/>
        <v>3039200.1310871565</v>
      </c>
      <c r="AT117" t="str">
        <f t="shared" si="15"/>
        <v>Upper Mississippi River Basin</v>
      </c>
      <c r="AU117" s="113">
        <v>80</v>
      </c>
      <c r="AV117" s="112"/>
      <c r="AW117" s="112"/>
    </row>
    <row r="118" spans="1:49" ht="15" x14ac:dyDescent="0.25">
      <c r="A118" s="110" t="s">
        <v>276</v>
      </c>
      <c r="B118" s="789">
        <f t="shared" ref="B118:AN118" si="16">SUM(B39:B106)</f>
        <v>1183611.8269754262</v>
      </c>
      <c r="C118" s="789">
        <f t="shared" si="16"/>
        <v>95754.758676922065</v>
      </c>
      <c r="D118" s="789">
        <f t="shared" si="16"/>
        <v>384363.31644598173</v>
      </c>
      <c r="E118" s="789">
        <f t="shared" si="16"/>
        <v>526499.4754478957</v>
      </c>
      <c r="F118" s="789">
        <f t="shared" si="16"/>
        <v>1087765.8836466994</v>
      </c>
      <c r="G118" s="789">
        <f t="shared" si="16"/>
        <v>21773.538325770438</v>
      </c>
      <c r="H118" s="789">
        <f t="shared" si="16"/>
        <v>476975.34015582805</v>
      </c>
      <c r="I118" s="789">
        <f t="shared" si="16"/>
        <v>1782881.9850823712</v>
      </c>
      <c r="J118" s="789">
        <f t="shared" si="16"/>
        <v>458429.57002898154</v>
      </c>
      <c r="K118" s="789">
        <f t="shared" si="16"/>
        <v>819176.20611457271</v>
      </c>
      <c r="L118" s="789">
        <f t="shared" si="16"/>
        <v>49840.38319707138</v>
      </c>
      <c r="M118" s="789">
        <f t="shared" si="16"/>
        <v>264659.08028609783</v>
      </c>
      <c r="N118" s="789">
        <f t="shared" si="16"/>
        <v>769733.41808108834</v>
      </c>
      <c r="O118" s="789">
        <f t="shared" si="16"/>
        <v>828673.71056960034</v>
      </c>
      <c r="P118" s="789">
        <f t="shared" si="16"/>
        <v>241824.56323169585</v>
      </c>
      <c r="Q118" s="789">
        <f t="shared" si="16"/>
        <v>246814.27028150437</v>
      </c>
      <c r="R118" s="789">
        <f t="shared" si="16"/>
        <v>4285.7491912003497</v>
      </c>
      <c r="S118" s="789">
        <f t="shared" si="16"/>
        <v>178246.72078017835</v>
      </c>
      <c r="T118" s="789">
        <f t="shared" si="16"/>
        <v>6495.4972264639991</v>
      </c>
      <c r="U118" s="789">
        <f t="shared" si="16"/>
        <v>106361.17112664782</v>
      </c>
      <c r="V118" s="789">
        <f t="shared" si="16"/>
        <v>64243.015453628861</v>
      </c>
      <c r="W118" s="789">
        <f t="shared" si="16"/>
        <v>534860.91880764207</v>
      </c>
      <c r="X118" s="789">
        <f t="shared" si="16"/>
        <v>72691.488463081871</v>
      </c>
      <c r="Y118" s="789">
        <f t="shared" si="16"/>
        <v>578435.98666543269</v>
      </c>
      <c r="Z118" s="789">
        <f t="shared" si="16"/>
        <v>1740522.0190968888</v>
      </c>
      <c r="AA118" s="789">
        <f t="shared" si="16"/>
        <v>310501.91638817242</v>
      </c>
      <c r="AB118" s="789">
        <f t="shared" si="16"/>
        <v>1118256.768589003</v>
      </c>
      <c r="AC118" s="789">
        <f t="shared" si="16"/>
        <v>46608.093375328019</v>
      </c>
      <c r="AD118" s="789">
        <f t="shared" si="16"/>
        <v>54441.211277657254</v>
      </c>
      <c r="AE118" s="789">
        <f t="shared" si="16"/>
        <v>65663.160762143409</v>
      </c>
      <c r="AF118" s="789">
        <f t="shared" si="16"/>
        <v>130947.11348153767</v>
      </c>
      <c r="AG118" s="789">
        <f t="shared" si="16"/>
        <v>25765.81148644643</v>
      </c>
      <c r="AH118" s="789">
        <f t="shared" si="16"/>
        <v>1340660.9713842301</v>
      </c>
      <c r="AI118" s="789">
        <f t="shared" si="16"/>
        <v>128358.10151161565</v>
      </c>
      <c r="AJ118" s="789">
        <f t="shared" si="16"/>
        <v>574366.93169227603</v>
      </c>
      <c r="AK118" s="789">
        <f t="shared" si="16"/>
        <v>522509.10459876515</v>
      </c>
      <c r="AL118" s="789">
        <f t="shared" si="16"/>
        <v>1064528.7062601971</v>
      </c>
      <c r="AM118" s="789">
        <f t="shared" si="16"/>
        <v>790004.66459855298</v>
      </c>
      <c r="AN118" s="789">
        <f t="shared" si="16"/>
        <v>949734.58489426761</v>
      </c>
      <c r="AO118" s="111"/>
      <c r="AP118" s="111">
        <f t="shared" si="14"/>
        <v>19647267.033658866</v>
      </c>
    </row>
    <row r="119" spans="1:49" ht="15" x14ac:dyDescent="0.25">
      <c r="A119" s="110" t="s">
        <v>275</v>
      </c>
      <c r="B119" s="789">
        <f>SUM(B108:B117)</f>
        <v>1183611.8269754262</v>
      </c>
      <c r="C119" s="789">
        <f t="shared" ref="C119:AN119" si="17">SUM(C108:C117)</f>
        <v>95754.758676922065</v>
      </c>
      <c r="D119" s="789">
        <f t="shared" si="17"/>
        <v>384363.31644598179</v>
      </c>
      <c r="E119" s="789">
        <f t="shared" si="17"/>
        <v>526499.4754478957</v>
      </c>
      <c r="F119" s="789">
        <f t="shared" si="17"/>
        <v>1087765.8836466991</v>
      </c>
      <c r="G119" s="789">
        <f t="shared" si="17"/>
        <v>21773.538325770438</v>
      </c>
      <c r="H119" s="789">
        <f t="shared" si="17"/>
        <v>476975.34015582805</v>
      </c>
      <c r="I119" s="789">
        <f t="shared" si="17"/>
        <v>1782881.9850823719</v>
      </c>
      <c r="J119" s="789">
        <f t="shared" si="17"/>
        <v>458429.57002898166</v>
      </c>
      <c r="K119" s="789">
        <f t="shared" si="17"/>
        <v>819176.20611457271</v>
      </c>
      <c r="L119" s="789">
        <f t="shared" si="17"/>
        <v>49840.38319707138</v>
      </c>
      <c r="M119" s="789">
        <f t="shared" si="17"/>
        <v>264659.08028609765</v>
      </c>
      <c r="N119" s="789">
        <f t="shared" si="17"/>
        <v>769733.41808108822</v>
      </c>
      <c r="O119" s="789">
        <f t="shared" si="17"/>
        <v>828673.71056960023</v>
      </c>
      <c r="P119" s="789">
        <f t="shared" si="17"/>
        <v>241824.56323169585</v>
      </c>
      <c r="Q119" s="789">
        <f t="shared" si="17"/>
        <v>246814.27028150437</v>
      </c>
      <c r="R119" s="789">
        <f t="shared" si="17"/>
        <v>4285.7491912003497</v>
      </c>
      <c r="S119" s="789">
        <f t="shared" si="17"/>
        <v>178246.72078017835</v>
      </c>
      <c r="T119" s="789">
        <f t="shared" si="17"/>
        <v>6495.4972264639982</v>
      </c>
      <c r="U119" s="789">
        <f t="shared" si="17"/>
        <v>106361.17112664781</v>
      </c>
      <c r="V119" s="789">
        <f t="shared" si="17"/>
        <v>64243.015453628868</v>
      </c>
      <c r="W119" s="789">
        <f t="shared" si="17"/>
        <v>534860.91880764207</v>
      </c>
      <c r="X119" s="789">
        <f t="shared" si="17"/>
        <v>72691.488463081871</v>
      </c>
      <c r="Y119" s="789">
        <f t="shared" si="17"/>
        <v>578435.98666543281</v>
      </c>
      <c r="Z119" s="789">
        <f t="shared" si="17"/>
        <v>1740522.0190968886</v>
      </c>
      <c r="AA119" s="789">
        <f t="shared" si="17"/>
        <v>310501.91638817242</v>
      </c>
      <c r="AB119" s="789">
        <f t="shared" si="17"/>
        <v>1118256.7685890032</v>
      </c>
      <c r="AC119" s="789">
        <f t="shared" si="17"/>
        <v>46608.093375328004</v>
      </c>
      <c r="AD119" s="789">
        <f t="shared" si="17"/>
        <v>54441.211277657247</v>
      </c>
      <c r="AE119" s="789">
        <f t="shared" si="17"/>
        <v>65663.160762143409</v>
      </c>
      <c r="AF119" s="789">
        <f t="shared" si="17"/>
        <v>130947.11348153763</v>
      </c>
      <c r="AG119" s="789">
        <f t="shared" si="17"/>
        <v>25765.811486446422</v>
      </c>
      <c r="AH119" s="789">
        <f t="shared" si="17"/>
        <v>1340660.9713842298</v>
      </c>
      <c r="AI119" s="789">
        <f t="shared" si="17"/>
        <v>128358.10151161565</v>
      </c>
      <c r="AJ119" s="789">
        <f t="shared" si="17"/>
        <v>574366.93169227615</v>
      </c>
      <c r="AK119" s="789">
        <f t="shared" si="17"/>
        <v>522509.10459876515</v>
      </c>
      <c r="AL119" s="789">
        <f t="shared" si="17"/>
        <v>1064528.7062601969</v>
      </c>
      <c r="AM119" s="789">
        <f t="shared" si="17"/>
        <v>790004.66459855286</v>
      </c>
      <c r="AN119" s="789">
        <f t="shared" si="17"/>
        <v>949734.58489426761</v>
      </c>
      <c r="AO119" s="790"/>
      <c r="AP119" s="111">
        <f t="shared" si="14"/>
        <v>19647267.033658866</v>
      </c>
    </row>
    <row r="120" spans="1:49" x14ac:dyDescent="0.2">
      <c r="B120" s="542"/>
    </row>
    <row r="121" spans="1:49" customFormat="1" ht="15" x14ac:dyDescent="0.25">
      <c r="A121" s="107" t="s">
        <v>274</v>
      </c>
      <c r="B121" s="105">
        <f t="shared" ref="B121:AN121" si="18">B4/$AP$4</f>
        <v>6.0243077316947571E-2</v>
      </c>
      <c r="C121" s="105">
        <f t="shared" si="18"/>
        <v>4.8736935530462868E-3</v>
      </c>
      <c r="D121" s="105">
        <f t="shared" si="18"/>
        <v>1.9563195012696002E-2</v>
      </c>
      <c r="E121" s="105">
        <f t="shared" si="18"/>
        <v>2.6797593504782068E-2</v>
      </c>
      <c r="F121" s="105">
        <f t="shared" si="18"/>
        <v>5.5364742678113192E-2</v>
      </c>
      <c r="G121" s="105">
        <f t="shared" si="18"/>
        <v>1.108222242231906E-3</v>
      </c>
      <c r="H121" s="105">
        <f t="shared" si="18"/>
        <v>2.4276930696706778E-2</v>
      </c>
      <c r="I121" s="105">
        <f t="shared" si="18"/>
        <v>9.0744528591585452E-2</v>
      </c>
      <c r="J121" s="105">
        <f t="shared" si="18"/>
        <v>2.3332994316391152E-2</v>
      </c>
      <c r="K121" s="105">
        <f t="shared" si="18"/>
        <v>4.1694155462497391E-2</v>
      </c>
      <c r="L121" s="105">
        <f t="shared" si="18"/>
        <v>2.5367590877493009E-3</v>
      </c>
      <c r="M121" s="105">
        <f t="shared" si="18"/>
        <v>1.3470528996867355E-2</v>
      </c>
      <c r="N121" s="105">
        <f t="shared" si="18"/>
        <v>3.9177633039873365E-2</v>
      </c>
      <c r="O121" s="105">
        <f t="shared" si="18"/>
        <v>4.217755625502273E-2</v>
      </c>
      <c r="P121" s="105">
        <f t="shared" si="18"/>
        <v>1.2308305415578272E-2</v>
      </c>
      <c r="Q121" s="105">
        <f t="shared" si="18"/>
        <v>1.2562269849474363E-2</v>
      </c>
      <c r="R121" s="105">
        <f t="shared" si="18"/>
        <v>2.1813462319508284E-4</v>
      </c>
      <c r="S121" s="105">
        <f t="shared" si="18"/>
        <v>9.072341739683876E-3</v>
      </c>
      <c r="T121" s="105">
        <f t="shared" si="18"/>
        <v>3.3060563666876359E-4</v>
      </c>
      <c r="U121" s="105">
        <f t="shared" si="18"/>
        <v>5.4135351723185914E-3</v>
      </c>
      <c r="V121" s="105">
        <f t="shared" si="18"/>
        <v>3.2698194279932391E-3</v>
      </c>
      <c r="W121" s="105">
        <f t="shared" si="18"/>
        <v>2.7223171441164869E-2</v>
      </c>
      <c r="X121" s="105">
        <f t="shared" si="18"/>
        <v>3.6998269702625758E-3</v>
      </c>
      <c r="Y121" s="105">
        <f t="shared" si="18"/>
        <v>2.9441040612645041E-2</v>
      </c>
      <c r="Z121" s="105">
        <f t="shared" si="18"/>
        <v>8.8588505267175335E-2</v>
      </c>
      <c r="AA121" s="105">
        <f t="shared" si="18"/>
        <v>1.580382227493695E-2</v>
      </c>
      <c r="AB121" s="105">
        <f t="shared" si="18"/>
        <v>5.6916657501180842E-2</v>
      </c>
      <c r="AC121" s="105">
        <f t="shared" si="18"/>
        <v>2.3722430857931031E-3</v>
      </c>
      <c r="AD121" s="105">
        <f t="shared" si="18"/>
        <v>2.7709304904540094E-3</v>
      </c>
      <c r="AE121" s="105">
        <f t="shared" si="18"/>
        <v>3.342101507026502E-3</v>
      </c>
      <c r="AF121" s="105">
        <f t="shared" si="18"/>
        <v>6.6649022104298076E-3</v>
      </c>
      <c r="AG121" s="105">
        <f t="shared" si="18"/>
        <v>1.3114196209735192E-3</v>
      </c>
      <c r="AH121" s="105">
        <f t="shared" si="18"/>
        <v>6.823651193254851E-2</v>
      </c>
      <c r="AI121" s="105">
        <f t="shared" si="18"/>
        <v>6.5331275485653031E-3</v>
      </c>
      <c r="AJ121" s="105">
        <f t="shared" si="18"/>
        <v>2.9233935218994832E-2</v>
      </c>
      <c r="AK121" s="105">
        <f t="shared" si="18"/>
        <v>2.6594492949254707E-2</v>
      </c>
      <c r="AL121" s="105">
        <f t="shared" si="18"/>
        <v>5.4182024626452704E-2</v>
      </c>
      <c r="AM121" s="105">
        <f t="shared" si="18"/>
        <v>4.0209392138110124E-2</v>
      </c>
      <c r="AN121" s="105">
        <f t="shared" si="18"/>
        <v>4.8339271984608474E-2</v>
      </c>
      <c r="AO121" s="108"/>
      <c r="AP121" s="108">
        <f>SUM(B121:AN121)</f>
        <v>0.99999999999999989</v>
      </c>
    </row>
    <row r="122" spans="1:49" customFormat="1" ht="15" x14ac:dyDescent="0.25">
      <c r="A122" s="107" t="s">
        <v>273</v>
      </c>
      <c r="B122" s="105">
        <f t="shared" ref="B122:AN122" si="19">IFERROR(IF(watercell&lt;2,1,B4/B119),0)</f>
        <v>1</v>
      </c>
      <c r="C122" s="105">
        <f t="shared" si="19"/>
        <v>1</v>
      </c>
      <c r="D122" s="105">
        <f t="shared" si="19"/>
        <v>1</v>
      </c>
      <c r="E122" s="105">
        <f t="shared" si="19"/>
        <v>1</v>
      </c>
      <c r="F122" s="105">
        <f t="shared" si="19"/>
        <v>1</v>
      </c>
      <c r="G122" s="105">
        <f t="shared" si="19"/>
        <v>1</v>
      </c>
      <c r="H122" s="105">
        <f t="shared" si="19"/>
        <v>1</v>
      </c>
      <c r="I122" s="105">
        <f t="shared" si="19"/>
        <v>1</v>
      </c>
      <c r="J122" s="105">
        <f t="shared" si="19"/>
        <v>1</v>
      </c>
      <c r="K122" s="105">
        <f t="shared" si="19"/>
        <v>1</v>
      </c>
      <c r="L122" s="105">
        <f t="shared" si="19"/>
        <v>1</v>
      </c>
      <c r="M122" s="105">
        <f t="shared" si="19"/>
        <v>1</v>
      </c>
      <c r="N122" s="105">
        <f t="shared" si="19"/>
        <v>1</v>
      </c>
      <c r="O122" s="105">
        <f t="shared" si="19"/>
        <v>1</v>
      </c>
      <c r="P122" s="105">
        <f t="shared" si="19"/>
        <v>1</v>
      </c>
      <c r="Q122" s="105">
        <f t="shared" si="19"/>
        <v>1</v>
      </c>
      <c r="R122" s="105">
        <f t="shared" si="19"/>
        <v>1</v>
      </c>
      <c r="S122" s="105">
        <f t="shared" si="19"/>
        <v>1</v>
      </c>
      <c r="T122" s="105">
        <f t="shared" si="19"/>
        <v>1</v>
      </c>
      <c r="U122" s="105">
        <f t="shared" si="19"/>
        <v>1</v>
      </c>
      <c r="V122" s="105">
        <f t="shared" si="19"/>
        <v>1</v>
      </c>
      <c r="W122" s="105">
        <f t="shared" si="19"/>
        <v>1</v>
      </c>
      <c r="X122" s="105">
        <f t="shared" si="19"/>
        <v>1</v>
      </c>
      <c r="Y122" s="105">
        <f t="shared" si="19"/>
        <v>1</v>
      </c>
      <c r="Z122" s="105">
        <f t="shared" si="19"/>
        <v>1</v>
      </c>
      <c r="AA122" s="105">
        <f t="shared" si="19"/>
        <v>1</v>
      </c>
      <c r="AB122" s="105">
        <f t="shared" si="19"/>
        <v>1</v>
      </c>
      <c r="AC122" s="105">
        <f t="shared" si="19"/>
        <v>1</v>
      </c>
      <c r="AD122" s="105">
        <f t="shared" si="19"/>
        <v>1</v>
      </c>
      <c r="AE122" s="105">
        <f t="shared" si="19"/>
        <v>1</v>
      </c>
      <c r="AF122" s="105">
        <f t="shared" si="19"/>
        <v>1</v>
      </c>
      <c r="AG122" s="105">
        <f t="shared" si="19"/>
        <v>1</v>
      </c>
      <c r="AH122" s="105">
        <f t="shared" si="19"/>
        <v>1</v>
      </c>
      <c r="AI122" s="105">
        <f t="shared" si="19"/>
        <v>1</v>
      </c>
      <c r="AJ122" s="105">
        <f t="shared" si="19"/>
        <v>1</v>
      </c>
      <c r="AK122" s="105">
        <f t="shared" si="19"/>
        <v>1</v>
      </c>
      <c r="AL122" s="105">
        <f t="shared" si="19"/>
        <v>1</v>
      </c>
      <c r="AM122" s="105">
        <f t="shared" si="19"/>
        <v>1</v>
      </c>
      <c r="AN122" s="105">
        <f t="shared" si="19"/>
        <v>1</v>
      </c>
      <c r="AO122" s="106"/>
      <c r="AP122" s="105">
        <f>IF(watercell&lt;2,1,AP4/AP118)</f>
        <v>1</v>
      </c>
    </row>
    <row r="123" spans="1:49" s="51" customFormat="1" ht="15" x14ac:dyDescent="0.25">
      <c r="A123" s="51" t="s">
        <v>272</v>
      </c>
      <c r="B123" s="51">
        <f>B12</f>
        <v>1183611.8269754259</v>
      </c>
      <c r="C123" s="51">
        <f t="shared" ref="C123:AN123" si="20">C12</f>
        <v>95754.758676922065</v>
      </c>
      <c r="D123" s="51">
        <f t="shared" si="20"/>
        <v>384363.31644598179</v>
      </c>
      <c r="E123" s="51">
        <f t="shared" si="20"/>
        <v>526499.4754478957</v>
      </c>
      <c r="F123" s="51">
        <f t="shared" si="20"/>
        <v>1087765.8836466991</v>
      </c>
      <c r="G123" s="51">
        <f t="shared" si="20"/>
        <v>21773.538325770438</v>
      </c>
      <c r="H123" s="51">
        <f t="shared" si="20"/>
        <v>476975.34015582805</v>
      </c>
      <c r="I123" s="51">
        <f t="shared" si="20"/>
        <v>1782881.9850823716</v>
      </c>
      <c r="J123" s="51">
        <f t="shared" si="20"/>
        <v>458429.5700289816</v>
      </c>
      <c r="K123" s="51">
        <f t="shared" si="20"/>
        <v>819176.20611457271</v>
      </c>
      <c r="L123" s="51">
        <f t="shared" si="20"/>
        <v>49840.38319707138</v>
      </c>
      <c r="M123" s="51">
        <f t="shared" si="20"/>
        <v>264659.08028609771</v>
      </c>
      <c r="N123" s="51">
        <f t="shared" si="20"/>
        <v>769733.41808108822</v>
      </c>
      <c r="O123" s="51">
        <f t="shared" si="20"/>
        <v>828673.71056960034</v>
      </c>
      <c r="P123" s="51">
        <f t="shared" si="20"/>
        <v>241824.56323169585</v>
      </c>
      <c r="Q123" s="51">
        <f t="shared" si="20"/>
        <v>246814.27028150437</v>
      </c>
      <c r="R123" s="51">
        <f t="shared" si="20"/>
        <v>4285.7491912003497</v>
      </c>
      <c r="S123" s="51">
        <f t="shared" si="20"/>
        <v>178246.72078017835</v>
      </c>
      <c r="T123" s="51">
        <f t="shared" si="20"/>
        <v>6495.4972264640001</v>
      </c>
      <c r="U123" s="51">
        <f t="shared" si="20"/>
        <v>106361.17112664781</v>
      </c>
      <c r="V123" s="51">
        <f t="shared" si="20"/>
        <v>64243.015453628868</v>
      </c>
      <c r="W123" s="51">
        <f t="shared" si="20"/>
        <v>534860.91880764207</v>
      </c>
      <c r="X123" s="51">
        <f t="shared" si="20"/>
        <v>72691.488463081871</v>
      </c>
      <c r="Y123" s="51">
        <f t="shared" si="20"/>
        <v>578435.98666543269</v>
      </c>
      <c r="Z123" s="51">
        <f t="shared" si="20"/>
        <v>1740522.0190968886</v>
      </c>
      <c r="AA123" s="51">
        <f t="shared" si="20"/>
        <v>310501.91638817242</v>
      </c>
      <c r="AB123" s="51">
        <f t="shared" si="20"/>
        <v>1118256.7685890032</v>
      </c>
      <c r="AC123" s="51">
        <f t="shared" si="20"/>
        <v>46608.093375328011</v>
      </c>
      <c r="AD123" s="51">
        <f t="shared" si="20"/>
        <v>54441.211277657247</v>
      </c>
      <c r="AE123" s="51">
        <f t="shared" si="20"/>
        <v>65663.160762143409</v>
      </c>
      <c r="AF123" s="51">
        <f t="shared" si="20"/>
        <v>130947.11348153764</v>
      </c>
      <c r="AG123" s="51">
        <f t="shared" si="20"/>
        <v>25765.811486446426</v>
      </c>
      <c r="AH123" s="51">
        <f t="shared" si="20"/>
        <v>1340660.9713842301</v>
      </c>
      <c r="AI123" s="51">
        <f t="shared" si="20"/>
        <v>128358.10151161565</v>
      </c>
      <c r="AJ123" s="51">
        <f t="shared" si="20"/>
        <v>574366.93169227615</v>
      </c>
      <c r="AK123" s="51">
        <f t="shared" si="20"/>
        <v>522509.1045987652</v>
      </c>
      <c r="AL123" s="51">
        <f t="shared" si="20"/>
        <v>1064528.7062601969</v>
      </c>
      <c r="AM123" s="51">
        <f t="shared" si="20"/>
        <v>790004.66459855286</v>
      </c>
      <c r="AN123" s="51">
        <f t="shared" si="20"/>
        <v>949734.58489426749</v>
      </c>
      <c r="AP123" s="49">
        <f>SUM(B123:AN123)</f>
        <v>19647267.033658866</v>
      </c>
    </row>
    <row r="127" spans="1:49" x14ac:dyDescent="0.2">
      <c r="A127" s="98" t="s">
        <v>3</v>
      </c>
    </row>
    <row r="128" spans="1:49" s="49" customFormat="1" ht="15" x14ac:dyDescent="0.25">
      <c r="A128" s="51" t="s">
        <v>271</v>
      </c>
      <c r="B128" s="435">
        <v>146123.07798500001</v>
      </c>
      <c r="C128" s="435">
        <v>7422.4331249999996</v>
      </c>
      <c r="D128" s="435">
        <v>625.37473999999997</v>
      </c>
      <c r="E128" s="435">
        <v>42368.249055</v>
      </c>
      <c r="F128" s="435">
        <v>82527.670970000006</v>
      </c>
      <c r="G128" s="435">
        <v>6.0046650000000001</v>
      </c>
      <c r="H128" s="435">
        <v>32171.438305</v>
      </c>
      <c r="I128" s="435">
        <v>273552.96664</v>
      </c>
      <c r="J128" s="435">
        <v>93554.237464999998</v>
      </c>
      <c r="K128" s="435">
        <v>0</v>
      </c>
      <c r="L128" s="435">
        <v>14321.126025</v>
      </c>
      <c r="M128" s="435">
        <v>679.41672500000004</v>
      </c>
      <c r="N128" s="435">
        <v>26694.294245000001</v>
      </c>
      <c r="O128" s="435">
        <v>0</v>
      </c>
      <c r="P128" s="435">
        <v>36189.671165</v>
      </c>
      <c r="Q128" s="435">
        <v>53103.700494999997</v>
      </c>
      <c r="R128" s="435">
        <v>8.4510100000000001</v>
      </c>
      <c r="S128" s="435">
        <v>2419.4352050000002</v>
      </c>
      <c r="T128" s="435">
        <v>33.804040000000001</v>
      </c>
      <c r="U128" s="435">
        <v>32857.082090000004</v>
      </c>
      <c r="V128" s="435">
        <v>18709.20177</v>
      </c>
      <c r="W128" s="435">
        <v>0</v>
      </c>
      <c r="X128" s="435">
        <v>26666.494869999999</v>
      </c>
      <c r="Y128" s="435">
        <v>2201.4881049999999</v>
      </c>
      <c r="Z128" s="435">
        <v>156930.14061500001</v>
      </c>
      <c r="AA128" s="435">
        <v>273578.31967</v>
      </c>
      <c r="AB128" s="435">
        <v>31272.072925</v>
      </c>
      <c r="AC128" s="435">
        <v>533.30321000000004</v>
      </c>
      <c r="AD128" s="435">
        <v>5198.26073</v>
      </c>
      <c r="AE128" s="435">
        <v>4009.5594550000001</v>
      </c>
      <c r="AF128" s="435">
        <v>2524.4056449999998</v>
      </c>
      <c r="AG128" s="435">
        <v>414.32188500000001</v>
      </c>
      <c r="AH128" s="435">
        <v>192522.01402</v>
      </c>
      <c r="AI128" s="435">
        <v>22762.128250000002</v>
      </c>
      <c r="AJ128" s="435">
        <v>0</v>
      </c>
      <c r="AK128" s="435">
        <v>25401.067319999998</v>
      </c>
      <c r="AL128" s="435">
        <v>0</v>
      </c>
      <c r="AM128" s="435">
        <v>158706.40948</v>
      </c>
      <c r="AN128" s="435">
        <v>229196.50628500001</v>
      </c>
    </row>
    <row r="129" spans="1:42" s="49" customFormat="1" ht="15" x14ac:dyDescent="0.25">
      <c r="A129" s="51" t="s">
        <v>270</v>
      </c>
      <c r="B129" s="435">
        <v>80014.385074999998</v>
      </c>
      <c r="C129" s="435">
        <v>6168.5701150000004</v>
      </c>
      <c r="D129" s="435">
        <v>414.32188500000001</v>
      </c>
      <c r="E129" s="435">
        <v>36430.96974</v>
      </c>
      <c r="F129" s="435">
        <v>96635.520189999996</v>
      </c>
      <c r="G129" s="435">
        <v>0.66718500000000003</v>
      </c>
      <c r="H129" s="435">
        <v>26187.456040000001</v>
      </c>
      <c r="I129" s="435">
        <v>198216.2156</v>
      </c>
      <c r="J129" s="435">
        <v>75719.048045000003</v>
      </c>
      <c r="K129" s="435">
        <v>0</v>
      </c>
      <c r="L129" s="435">
        <v>16220.824114999999</v>
      </c>
      <c r="M129" s="435">
        <v>574.44628499999999</v>
      </c>
      <c r="N129" s="435">
        <v>42572.407664999999</v>
      </c>
      <c r="O129" s="435">
        <v>0</v>
      </c>
      <c r="P129" s="435">
        <v>20615.126919999999</v>
      </c>
      <c r="Q129" s="435">
        <v>39785.798315</v>
      </c>
      <c r="R129" s="435">
        <v>1.7791600000000001</v>
      </c>
      <c r="S129" s="435">
        <v>3899.6963249999999</v>
      </c>
      <c r="T129" s="435">
        <v>19.57076</v>
      </c>
      <c r="U129" s="435">
        <v>13631.256735000001</v>
      </c>
      <c r="V129" s="435">
        <v>18070.483329999999</v>
      </c>
      <c r="W129" s="435">
        <v>0</v>
      </c>
      <c r="X129" s="435">
        <v>14877.558315</v>
      </c>
      <c r="Y129" s="435">
        <v>1834.75875</v>
      </c>
      <c r="Z129" s="435">
        <v>121022.46631</v>
      </c>
      <c r="AA129" s="435">
        <v>146676.84153500001</v>
      </c>
      <c r="AB129" s="435">
        <v>33693.954474999999</v>
      </c>
      <c r="AC129" s="435">
        <v>555.76510499999995</v>
      </c>
      <c r="AD129" s="435">
        <v>3129.9872300000002</v>
      </c>
      <c r="AE129" s="435">
        <v>4021.3463900000002</v>
      </c>
      <c r="AF129" s="435">
        <v>6831.5296099999996</v>
      </c>
      <c r="AG129" s="435">
        <v>237.51786000000001</v>
      </c>
      <c r="AH129" s="435">
        <v>178313.19747000001</v>
      </c>
      <c r="AI129" s="435">
        <v>19766.4676</v>
      </c>
      <c r="AJ129" s="435">
        <v>0</v>
      </c>
      <c r="AK129" s="435">
        <v>20799.047585</v>
      </c>
      <c r="AL129" s="435">
        <v>0</v>
      </c>
      <c r="AM129" s="435">
        <v>57125.936464999999</v>
      </c>
      <c r="AN129" s="435">
        <v>93483.960644999999</v>
      </c>
    </row>
    <row r="130" spans="1:42" s="49" customFormat="1" ht="15" x14ac:dyDescent="0.25">
      <c r="A130" s="51" t="s">
        <v>269</v>
      </c>
      <c r="B130" s="435">
        <v>115417.000335</v>
      </c>
      <c r="C130" s="435">
        <v>6345.8189300000004</v>
      </c>
      <c r="D130" s="435">
        <v>1720.2253250000001</v>
      </c>
      <c r="E130" s="435">
        <v>66760.755050000007</v>
      </c>
      <c r="F130" s="435">
        <v>173737.42034499999</v>
      </c>
      <c r="G130" s="435">
        <v>5.5598749999999999</v>
      </c>
      <c r="H130" s="435">
        <v>66038.860879999993</v>
      </c>
      <c r="I130" s="435">
        <v>318119.81266499998</v>
      </c>
      <c r="J130" s="435">
        <v>87671.889714999998</v>
      </c>
      <c r="K130" s="435">
        <v>0</v>
      </c>
      <c r="L130" s="435">
        <v>7322.1329800000003</v>
      </c>
      <c r="M130" s="435">
        <v>1573.6670200000001</v>
      </c>
      <c r="N130" s="435">
        <v>94232.097425</v>
      </c>
      <c r="O130" s="435">
        <v>0</v>
      </c>
      <c r="P130" s="435">
        <v>66861.722380000007</v>
      </c>
      <c r="Q130" s="435">
        <v>41232.255395</v>
      </c>
      <c r="R130" s="435">
        <v>8.8957999999999995</v>
      </c>
      <c r="S130" s="435">
        <v>6898.4705050000002</v>
      </c>
      <c r="T130" s="435">
        <v>32.247275000000002</v>
      </c>
      <c r="U130" s="435">
        <v>4233.2888249999996</v>
      </c>
      <c r="V130" s="435">
        <v>13152.662695000001</v>
      </c>
      <c r="W130" s="435">
        <v>0</v>
      </c>
      <c r="X130" s="435">
        <v>4805.0663699999996</v>
      </c>
      <c r="Y130" s="435">
        <v>7728.2262499999997</v>
      </c>
      <c r="Z130" s="435">
        <v>280444.09811000002</v>
      </c>
      <c r="AA130" s="435">
        <v>37604.992944999998</v>
      </c>
      <c r="AB130" s="435">
        <v>73514.224015</v>
      </c>
      <c r="AC130" s="435">
        <v>633.82574999999997</v>
      </c>
      <c r="AD130" s="435">
        <v>9290.9959149999995</v>
      </c>
      <c r="AE130" s="435">
        <v>8582.8902350000008</v>
      </c>
      <c r="AF130" s="435">
        <v>11884.344010000001</v>
      </c>
      <c r="AG130" s="435">
        <v>934.05899999999997</v>
      </c>
      <c r="AH130" s="435">
        <v>298247.26264999999</v>
      </c>
      <c r="AI130" s="435">
        <v>20460.784790000002</v>
      </c>
      <c r="AJ130" s="435">
        <v>0</v>
      </c>
      <c r="AK130" s="435">
        <v>86770.745175000004</v>
      </c>
      <c r="AL130" s="435">
        <v>0</v>
      </c>
      <c r="AM130" s="435">
        <v>160867.421695</v>
      </c>
      <c r="AN130" s="435">
        <v>240659.41177000001</v>
      </c>
    </row>
    <row r="131" spans="1:42" ht="15" x14ac:dyDescent="0.25">
      <c r="A131" s="51" t="s">
        <v>1207</v>
      </c>
      <c r="B131" s="793">
        <v>706529.78902999999</v>
      </c>
      <c r="C131" s="793">
        <v>89655.430720000004</v>
      </c>
      <c r="D131" s="793">
        <v>250513.956615</v>
      </c>
      <c r="E131" s="793">
        <v>315788.22348500002</v>
      </c>
      <c r="F131" s="793">
        <v>840269.023835</v>
      </c>
      <c r="G131" s="793">
        <v>367.61893500000002</v>
      </c>
      <c r="H131" s="793">
        <v>259846.985185</v>
      </c>
      <c r="I131" s="793">
        <v>1107323.3861799999</v>
      </c>
      <c r="J131" s="793">
        <v>258122.089565</v>
      </c>
      <c r="K131" s="793">
        <v>483327.27278499998</v>
      </c>
      <c r="L131" s="793">
        <v>18006.878359999999</v>
      </c>
      <c r="M131" s="793">
        <v>26338.462244999999</v>
      </c>
      <c r="N131" s="793">
        <v>639651.83181500004</v>
      </c>
      <c r="O131" s="793">
        <v>244807.300915</v>
      </c>
      <c r="P131" s="793">
        <v>145349.81057</v>
      </c>
      <c r="Q131" s="793">
        <v>78726.273235000001</v>
      </c>
      <c r="R131" s="793">
        <v>159.902005</v>
      </c>
      <c r="S131" s="793">
        <v>54204.778140000002</v>
      </c>
      <c r="T131" s="793">
        <v>717.44627000000003</v>
      </c>
      <c r="U131" s="793">
        <v>5587.0071900000003</v>
      </c>
      <c r="V131" s="793">
        <v>22400.291584999999</v>
      </c>
      <c r="W131" s="793">
        <v>103686.33127</v>
      </c>
      <c r="X131" s="793">
        <v>6372.5063300000002</v>
      </c>
      <c r="Y131" s="793">
        <v>423753.87934500002</v>
      </c>
      <c r="Z131" s="793">
        <v>1330867.94594</v>
      </c>
      <c r="AA131" s="793">
        <v>48197.889190000002</v>
      </c>
      <c r="AB131" s="793">
        <v>942096.13290500001</v>
      </c>
      <c r="AC131" s="793">
        <v>4555.0943900000002</v>
      </c>
      <c r="AD131" s="793">
        <v>48614.212630000002</v>
      </c>
      <c r="AE131" s="793">
        <v>59670.357660000001</v>
      </c>
      <c r="AF131" s="793">
        <v>113493.95077</v>
      </c>
      <c r="AG131" s="793">
        <v>16238.393319999999</v>
      </c>
      <c r="AH131" s="793">
        <v>875216.61892499996</v>
      </c>
      <c r="AI131" s="793">
        <v>83080.767334999997</v>
      </c>
      <c r="AJ131" s="793">
        <v>67021.401989999998</v>
      </c>
      <c r="AK131" s="793">
        <v>381690.53383500001</v>
      </c>
      <c r="AL131" s="793">
        <v>201079.10643499999</v>
      </c>
      <c r="AM131" s="793">
        <v>461544.57211499999</v>
      </c>
      <c r="AN131" s="793">
        <v>507357.27493000001</v>
      </c>
    </row>
    <row r="132" spans="1:42" ht="15" x14ac:dyDescent="0.25">
      <c r="A132" s="51" t="s">
        <v>1296</v>
      </c>
      <c r="B132" s="451">
        <f>B131*SUM(B13:B18)/B12</f>
        <v>530931.58293822547</v>
      </c>
      <c r="C132" s="451">
        <f t="shared" ref="C132:AN132" si="21">C131*SUM(C13:C18)/C12</f>
        <v>56914.965007839877</v>
      </c>
      <c r="D132" s="451">
        <f t="shared" si="21"/>
        <v>189172.96224450826</v>
      </c>
      <c r="E132" s="451">
        <f t="shared" si="21"/>
        <v>219334.91661650356</v>
      </c>
      <c r="F132" s="451">
        <f t="shared" si="21"/>
        <v>810888.5193358016</v>
      </c>
      <c r="G132" s="451">
        <f t="shared" si="21"/>
        <v>16.988081111242483</v>
      </c>
      <c r="H132" s="451">
        <f t="shared" si="21"/>
        <v>153543.91415673323</v>
      </c>
      <c r="I132" s="451">
        <f t="shared" si="21"/>
        <v>1073520.8393575228</v>
      </c>
      <c r="J132" s="451">
        <f t="shared" si="21"/>
        <v>239312.42170568317</v>
      </c>
      <c r="K132" s="451">
        <f t="shared" si="21"/>
        <v>427351.39757352346</v>
      </c>
      <c r="L132" s="451">
        <f t="shared" si="21"/>
        <v>6938.0060933400828</v>
      </c>
      <c r="M132" s="451">
        <f t="shared" si="21"/>
        <v>12446.107199552682</v>
      </c>
      <c r="N132" s="451">
        <f t="shared" si="21"/>
        <v>613353.14725765609</v>
      </c>
      <c r="O132" s="451">
        <f t="shared" si="21"/>
        <v>204961.07474732367</v>
      </c>
      <c r="P132" s="451">
        <f t="shared" si="21"/>
        <v>136404.18328764598</v>
      </c>
      <c r="Q132" s="451">
        <f t="shared" si="21"/>
        <v>68065.837984318059</v>
      </c>
      <c r="R132" s="451">
        <f t="shared" si="21"/>
        <v>8.6218245984693844</v>
      </c>
      <c r="S132" s="451">
        <f t="shared" si="21"/>
        <v>25666.476522709261</v>
      </c>
      <c r="T132" s="451">
        <f t="shared" si="21"/>
        <v>29.449732456650832</v>
      </c>
      <c r="U132" s="451">
        <f t="shared" si="21"/>
        <v>3113.6825967674349</v>
      </c>
      <c r="V132" s="451">
        <f t="shared" si="21"/>
        <v>22156.529134296092</v>
      </c>
      <c r="W132" s="451">
        <f t="shared" si="21"/>
        <v>94421.272777601524</v>
      </c>
      <c r="X132" s="451">
        <f t="shared" si="21"/>
        <v>3408.458330825943</v>
      </c>
      <c r="Y132" s="451">
        <f t="shared" si="21"/>
        <v>374647.59455728228</v>
      </c>
      <c r="Z132" s="451">
        <f t="shared" si="21"/>
        <v>1240110.0986732151</v>
      </c>
      <c r="AA132" s="451">
        <f t="shared" si="21"/>
        <v>34128.367842003834</v>
      </c>
      <c r="AB132" s="451">
        <f t="shared" si="21"/>
        <v>771954.3805303371</v>
      </c>
      <c r="AC132" s="451">
        <f t="shared" si="21"/>
        <v>596.85120771211666</v>
      </c>
      <c r="AD132" s="451">
        <f t="shared" si="21"/>
        <v>47117.45088627284</v>
      </c>
      <c r="AE132" s="451">
        <f t="shared" si="21"/>
        <v>50273.439926155785</v>
      </c>
      <c r="AF132" s="451">
        <f t="shared" si="21"/>
        <v>86287.598890441994</v>
      </c>
      <c r="AG132" s="451">
        <f t="shared" si="21"/>
        <v>12232.240157906386</v>
      </c>
      <c r="AH132" s="451">
        <f t="shared" si="21"/>
        <v>783941.6467124722</v>
      </c>
      <c r="AI132" s="451">
        <f t="shared" si="21"/>
        <v>79396.569733139841</v>
      </c>
      <c r="AJ132" s="451">
        <f t="shared" si="21"/>
        <v>58783.55715732598</v>
      </c>
      <c r="AK132" s="451">
        <f t="shared" si="21"/>
        <v>357617.52754060994</v>
      </c>
      <c r="AL132" s="451">
        <f t="shared" si="21"/>
        <v>170395.9973062482</v>
      </c>
      <c r="AM132" s="451">
        <f t="shared" si="21"/>
        <v>444460.97971280018</v>
      </c>
      <c r="AN132" s="451">
        <f t="shared" si="21"/>
        <v>484027.45488118561</v>
      </c>
    </row>
    <row r="133" spans="1:42" customFormat="1" ht="15" x14ac:dyDescent="0.25">
      <c r="A133" t="s">
        <v>268</v>
      </c>
      <c r="B133" s="103">
        <f>B12</f>
        <v>1183611.8269754259</v>
      </c>
      <c r="C133" s="103">
        <v>415614.63265816681</v>
      </c>
      <c r="D133" s="103">
        <v>841571.16170250671</v>
      </c>
      <c r="E133" s="103">
        <v>980296.39409548696</v>
      </c>
      <c r="F133" s="103">
        <v>1110929.5617635157</v>
      </c>
      <c r="G133" s="103">
        <v>1424722.0492714706</v>
      </c>
      <c r="H133" s="103">
        <v>1124031.7098688679</v>
      </c>
      <c r="I133" s="103">
        <v>1804303.1477290755</v>
      </c>
      <c r="J133" s="103">
        <v>461641.0781419687</v>
      </c>
      <c r="K133" s="103">
        <v>874240.42753025994</v>
      </c>
      <c r="L133" s="103">
        <v>735363.59095057135</v>
      </c>
      <c r="M133" s="103">
        <v>2023402.6929532299</v>
      </c>
      <c r="N133" s="103">
        <v>783807.61595210398</v>
      </c>
      <c r="O133" s="103">
        <v>924350.91266707995</v>
      </c>
      <c r="P133" s="103">
        <v>246108.67655427169</v>
      </c>
      <c r="Q133" s="103">
        <v>252855.39356411604</v>
      </c>
      <c r="R133" s="103">
        <v>140367.37446449036</v>
      </c>
      <c r="S133" s="103">
        <v>1450936.48805233</v>
      </c>
      <c r="T133" s="103">
        <v>633113.20530916401</v>
      </c>
      <c r="U133" s="103">
        <v>165388.6152197539</v>
      </c>
      <c r="V133" s="103">
        <v>66010.065751592803</v>
      </c>
      <c r="W133" s="103">
        <v>541643.193510346</v>
      </c>
      <c r="X133" s="103">
        <v>168042.012432749</v>
      </c>
      <c r="Y133" s="103">
        <v>650564.0282915358</v>
      </c>
      <c r="Z133" s="103">
        <v>2002839.1044354094</v>
      </c>
      <c r="AA133" s="103">
        <v>919118.94750272785</v>
      </c>
      <c r="AB133" s="103">
        <v>1492935.3397794701</v>
      </c>
      <c r="AC133" s="103">
        <v>270959.21581080189</v>
      </c>
      <c r="AD133" s="103">
        <v>64334.161733142333</v>
      </c>
      <c r="AE133" s="103">
        <v>105323.0937105413</v>
      </c>
      <c r="AF133" s="103">
        <v>388376.077491473</v>
      </c>
      <c r="AG133" s="103">
        <v>58220.897392753162</v>
      </c>
      <c r="AH133" s="103">
        <v>1345254.6075805505</v>
      </c>
      <c r="AI133" s="103">
        <v>130858.50246580251</v>
      </c>
      <c r="AJ133" s="103">
        <v>581648.75148561213</v>
      </c>
      <c r="AK133" s="103">
        <v>548804.72822539613</v>
      </c>
      <c r="AL133" s="103">
        <v>1112026.37708075</v>
      </c>
      <c r="AM133" s="103">
        <v>799266.28928510821</v>
      </c>
      <c r="AN133" s="103">
        <v>950819.84266559267</v>
      </c>
      <c r="AP133" s="99">
        <f>SUM(B133:AN133)</f>
        <v>29773701.792055216</v>
      </c>
    </row>
    <row r="134" spans="1:42" customFormat="1" ht="15" x14ac:dyDescent="0.25">
      <c r="A134" s="102" t="s">
        <v>267</v>
      </c>
      <c r="B134" s="100">
        <v>0</v>
      </c>
      <c r="C134" s="100">
        <v>0</v>
      </c>
      <c r="D134" s="100">
        <v>0</v>
      </c>
      <c r="E134" s="100">
        <v>0</v>
      </c>
      <c r="F134" s="100">
        <v>0</v>
      </c>
      <c r="G134" s="100">
        <v>0</v>
      </c>
      <c r="H134" s="100">
        <v>0</v>
      </c>
      <c r="I134" s="100">
        <v>0</v>
      </c>
      <c r="J134" s="100">
        <v>0</v>
      </c>
      <c r="K134" s="100">
        <v>0</v>
      </c>
      <c r="L134" s="100">
        <v>0</v>
      </c>
      <c r="M134" s="100">
        <v>0</v>
      </c>
      <c r="N134" s="100">
        <v>0</v>
      </c>
      <c r="O134" s="100">
        <v>0</v>
      </c>
      <c r="P134" s="100">
        <v>0</v>
      </c>
      <c r="Q134" s="100">
        <v>0</v>
      </c>
      <c r="R134" s="100">
        <v>0</v>
      </c>
      <c r="S134" s="100">
        <v>0</v>
      </c>
      <c r="T134" s="100">
        <v>0</v>
      </c>
      <c r="U134" s="100">
        <v>0</v>
      </c>
      <c r="V134" s="100">
        <v>0</v>
      </c>
      <c r="W134" s="100">
        <v>0</v>
      </c>
      <c r="X134" s="100">
        <v>0</v>
      </c>
      <c r="Y134" s="100">
        <v>0</v>
      </c>
      <c r="Z134" s="100">
        <v>0</v>
      </c>
      <c r="AA134" s="100">
        <v>0</v>
      </c>
      <c r="AB134" s="100">
        <v>0</v>
      </c>
      <c r="AC134" s="100">
        <v>0</v>
      </c>
      <c r="AD134" s="100">
        <v>0</v>
      </c>
      <c r="AE134" s="100">
        <v>0</v>
      </c>
      <c r="AF134" s="100">
        <v>0</v>
      </c>
      <c r="AG134" s="100">
        <v>0</v>
      </c>
      <c r="AH134" s="100">
        <v>0</v>
      </c>
      <c r="AI134" s="100">
        <v>0</v>
      </c>
      <c r="AJ134" s="100">
        <v>0</v>
      </c>
      <c r="AK134" s="100">
        <v>0</v>
      </c>
      <c r="AL134" s="100">
        <v>0</v>
      </c>
      <c r="AM134" s="100">
        <v>0</v>
      </c>
      <c r="AN134" s="100">
        <v>0</v>
      </c>
      <c r="AP134" s="99">
        <v>20612317.015952989</v>
      </c>
    </row>
    <row r="135" spans="1:42" customFormat="1" ht="15" x14ac:dyDescent="0.25">
      <c r="A135" s="101" t="s">
        <v>266</v>
      </c>
      <c r="B135" s="100">
        <v>0</v>
      </c>
      <c r="C135" s="100">
        <v>0</v>
      </c>
      <c r="D135" s="100">
        <v>0</v>
      </c>
      <c r="E135" s="100">
        <v>0</v>
      </c>
      <c r="F135" s="100">
        <v>0</v>
      </c>
      <c r="G135" s="100">
        <v>0</v>
      </c>
      <c r="H135" s="100">
        <v>0</v>
      </c>
      <c r="I135" s="100">
        <v>0</v>
      </c>
      <c r="J135" s="100">
        <v>0</v>
      </c>
      <c r="K135" s="100">
        <v>0</v>
      </c>
      <c r="L135" s="100">
        <v>0</v>
      </c>
      <c r="M135" s="100">
        <v>0</v>
      </c>
      <c r="N135" s="100">
        <v>0</v>
      </c>
      <c r="O135" s="100">
        <v>0</v>
      </c>
      <c r="P135" s="100">
        <v>0</v>
      </c>
      <c r="Q135" s="100">
        <v>0</v>
      </c>
      <c r="R135" s="100">
        <v>0</v>
      </c>
      <c r="S135" s="100">
        <v>0</v>
      </c>
      <c r="T135" s="100">
        <v>0</v>
      </c>
      <c r="U135" s="100">
        <v>0</v>
      </c>
      <c r="V135" s="100">
        <v>0</v>
      </c>
      <c r="W135" s="100">
        <v>0</v>
      </c>
      <c r="X135" s="100">
        <v>0</v>
      </c>
      <c r="Y135" s="100">
        <v>0</v>
      </c>
      <c r="Z135" s="100">
        <v>0</v>
      </c>
      <c r="AA135" s="100">
        <v>0</v>
      </c>
      <c r="AB135" s="100">
        <v>0</v>
      </c>
      <c r="AC135" s="100">
        <v>0</v>
      </c>
      <c r="AD135" s="100">
        <v>0</v>
      </c>
      <c r="AE135" s="100">
        <v>0</v>
      </c>
      <c r="AF135" s="100">
        <v>0</v>
      </c>
      <c r="AG135" s="100">
        <v>0</v>
      </c>
      <c r="AH135" s="100">
        <v>0</v>
      </c>
      <c r="AI135" s="100">
        <v>0</v>
      </c>
      <c r="AJ135" s="100">
        <v>0</v>
      </c>
      <c r="AK135" s="100">
        <v>0</v>
      </c>
      <c r="AL135" s="100">
        <v>0</v>
      </c>
      <c r="AM135" s="100">
        <v>0</v>
      </c>
      <c r="AN135" s="100">
        <v>0</v>
      </c>
      <c r="AP135" s="99">
        <f>SUM(B135:AN135)</f>
        <v>0</v>
      </c>
    </row>
    <row r="139" spans="1:42" x14ac:dyDescent="0.2">
      <c r="A139" s="488"/>
    </row>
    <row r="141" spans="1:42" ht="15" x14ac:dyDescent="0.25">
      <c r="A141" t="s">
        <v>972</v>
      </c>
      <c r="B141"/>
      <c r="C141"/>
      <c r="D141"/>
      <c r="E141"/>
      <c r="F141"/>
      <c r="G141"/>
      <c r="H141"/>
      <c r="I141"/>
      <c r="J141"/>
      <c r="K141"/>
      <c r="L141"/>
      <c r="M141"/>
      <c r="N141"/>
      <c r="O141"/>
      <c r="P141"/>
      <c r="Q141"/>
      <c r="R141"/>
      <c r="S141"/>
      <c r="T141"/>
      <c r="U141"/>
      <c r="V141"/>
      <c r="W141"/>
      <c r="X141"/>
      <c r="Y141"/>
      <c r="Z141"/>
      <c r="AA141"/>
      <c r="AB141"/>
      <c r="AC141"/>
      <c r="AD141"/>
      <c r="AE141"/>
      <c r="AF141"/>
      <c r="AG141"/>
      <c r="AH141"/>
      <c r="AI141"/>
      <c r="AJ141"/>
      <c r="AK141"/>
      <c r="AL141"/>
      <c r="AM141"/>
    </row>
    <row r="142" spans="1:42" ht="15" x14ac:dyDescent="0.25">
      <c r="A142" s="563" t="s">
        <v>973</v>
      </c>
      <c r="B142" s="564">
        <f>Watacresall!B90*Watersheds!B$12/(Watacresall!B$2-SUM(Watacresall!B$90:B$102))</f>
        <v>0</v>
      </c>
      <c r="C142" s="564">
        <f>Watacresall!C90*Watersheds!C$12/(Watacresall!C$2-SUM(Watacresall!C$90:C$102))</f>
        <v>0</v>
      </c>
      <c r="D142" s="564">
        <f>Watacresall!D90*Watersheds!D$12/(Watacresall!D$2-SUM(Watacresall!D$90:D$102))</f>
        <v>0</v>
      </c>
      <c r="E142" s="564">
        <f>Watacresall!E90*Watersheds!E$12/(Watacresall!E$2-SUM(Watacresall!E$90:E$102))</f>
        <v>0</v>
      </c>
      <c r="F142" s="564">
        <f>Watacresall!F90*Watersheds!F$12/(Watacresall!F$2-SUM(Watacresall!F$90:F$102))</f>
        <v>0</v>
      </c>
      <c r="G142" s="564">
        <f>Watacresall!G90*Watersheds!G$12/(Watacresall!G$2-SUM(Watacresall!G$90:G$102))</f>
        <v>87114.860206834666</v>
      </c>
      <c r="H142" s="564">
        <f>Watacresall!H90*Watersheds!H$12/(Watacresall!H$2-SUM(Watacresall!H$90:H$102))</f>
        <v>0</v>
      </c>
      <c r="I142" s="564">
        <f>Watacresall!I90*Watersheds!I$12/(Watacresall!I$2-SUM(Watacresall!I$90:I$102))</f>
        <v>0</v>
      </c>
      <c r="J142" s="564">
        <f>Watacresall!J90*Watersheds!J$12/(Watacresall!J$2-SUM(Watacresall!J$90:J$102))</f>
        <v>0</v>
      </c>
      <c r="K142" s="564">
        <f>Watacresall!K90*Watersheds!K$12/(Watacresall!K$2-SUM(Watacresall!K$90:K$102))</f>
        <v>0</v>
      </c>
      <c r="L142" s="564">
        <f>Watacresall!L90*Watersheds!L$12/(Watacresall!L$2-SUM(Watacresall!L$90:L$102))</f>
        <v>0</v>
      </c>
      <c r="M142" s="564">
        <f>Watacresall!M90*Watersheds!M$12/(Watacresall!M$2-SUM(Watacresall!M$90:M$102))</f>
        <v>0</v>
      </c>
      <c r="N142" s="564">
        <f>Watacresall!N90*Watersheds!N$12/(Watacresall!N$2-SUM(Watacresall!N$90:N$102))</f>
        <v>0</v>
      </c>
      <c r="O142" s="564">
        <f>Watacresall!O90*Watersheds!O$12/(Watacresall!O$2-SUM(Watacresall!O$90:O$102))</f>
        <v>0</v>
      </c>
      <c r="P142" s="564">
        <f>Watacresall!P90*Watersheds!P$12/(Watacresall!P$2-SUM(Watacresall!P$90:P$102))</f>
        <v>0</v>
      </c>
      <c r="Q142" s="564">
        <f>Watacresall!Q90*Watersheds!Q$12/(Watacresall!Q$2-SUM(Watacresall!Q$90:Q$102))</f>
        <v>0</v>
      </c>
      <c r="R142" s="564">
        <f>Watacresall!R90*Watersheds!R$12/(Watacresall!R$2-SUM(Watacresall!R$90:R$102))</f>
        <v>0</v>
      </c>
      <c r="S142" s="564">
        <f>Watacresall!S90*Watersheds!S$12/(Watacresall!S$2-SUM(Watacresall!S$90:S$102))</f>
        <v>0</v>
      </c>
      <c r="T142" s="564">
        <f>Watacresall!T90*Watersheds!T$12/(Watacresall!T$2-SUM(Watacresall!T$90:T$102))</f>
        <v>0</v>
      </c>
      <c r="U142" s="564">
        <f>Watacresall!U90*Watersheds!U$12/(Watacresall!U$2-SUM(Watacresall!U$90:U$102))</f>
        <v>0</v>
      </c>
      <c r="V142" s="564">
        <f>Watacresall!V90*Watersheds!V$12/(Watacresall!V$2-SUM(Watacresall!V$90:V$102))</f>
        <v>0</v>
      </c>
      <c r="W142" s="564">
        <f>Watacresall!W90*Watersheds!W$12/(Watacresall!W$2-SUM(Watacresall!W$90:W$102))</f>
        <v>0</v>
      </c>
      <c r="X142" s="564">
        <f>Watacresall!X90*Watersheds!X$12/(Watacresall!X$2-SUM(Watacresall!X$90:X$102))</f>
        <v>0</v>
      </c>
      <c r="Y142" s="564">
        <f>Watacresall!Y90*Watersheds!Y$12/(Watacresall!Y$2-SUM(Watacresall!Y$90:Y$102))</f>
        <v>0</v>
      </c>
      <c r="Z142" s="564">
        <f>Watacresall!Z90*Watersheds!Z$12/(Watacresall!Z$2-SUM(Watacresall!Z$90:Z$102))</f>
        <v>0</v>
      </c>
      <c r="AA142" s="564">
        <f>Watacresall!AA90*Watersheds!AA$12/(Watacresall!AA$2-SUM(Watacresall!AA$90:AA$102))</f>
        <v>0</v>
      </c>
      <c r="AB142" s="564">
        <f>Watacresall!AB90*Watersheds!AB$12/(Watacresall!AB$2-SUM(Watacresall!AB$90:AB$102))</f>
        <v>0</v>
      </c>
      <c r="AC142" s="564">
        <f>Watacresall!AC90*Watersheds!AC$12/(Watacresall!AC$2-SUM(Watacresall!AC$90:AC$102))</f>
        <v>0</v>
      </c>
      <c r="AD142" s="564">
        <f>Watacresall!AD90*Watersheds!AD$12/(Watacresall!AD$2-SUM(Watacresall!AD$90:AD$102))</f>
        <v>0</v>
      </c>
      <c r="AE142" s="564">
        <f>Watacresall!AE90*Watersheds!AE$12/(Watacresall!AE$2-SUM(Watacresall!AE$90:AE$102))</f>
        <v>0</v>
      </c>
      <c r="AF142" s="564">
        <f>Watacresall!AF90*Watersheds!AF$12/(Watacresall!AF$2-SUM(Watacresall!AF$90:AF$102))</f>
        <v>0</v>
      </c>
      <c r="AG142" s="564">
        <f>Watacresall!AG90*Watersheds!AG$12/(Watacresall!AG$2-SUM(Watacresall!AG$90:AG$102))</f>
        <v>0</v>
      </c>
      <c r="AH142" s="564">
        <f>Watacresall!AH90*Watersheds!AH$12/(Watacresall!AH$2-SUM(Watacresall!AH$90:AH$102))</f>
        <v>0</v>
      </c>
      <c r="AI142" s="564">
        <f>Watacresall!AI90*Watersheds!AI$12/(Watacresall!AI$2-SUM(Watacresall!AI$90:AI$102))</f>
        <v>0</v>
      </c>
      <c r="AJ142" s="564">
        <f>Watacresall!AJ90*Watersheds!AJ$12/(Watacresall!AJ$2-SUM(Watacresall!AJ$90:AJ$102))</f>
        <v>0</v>
      </c>
      <c r="AK142" s="564">
        <f>Watacresall!AK90*Watersheds!AK$12/(Watacresall!AK$2-SUM(Watacresall!AK$90:AK$102))</f>
        <v>0</v>
      </c>
      <c r="AL142" s="564">
        <f>Watacresall!AL90*Watersheds!AL$12/(Watacresall!AL$2-SUM(Watacresall!AL$90:AL$102))</f>
        <v>0</v>
      </c>
      <c r="AM142" s="564">
        <f>Watacresall!AM90*Watersheds!AM$12/(Watacresall!AM$2-SUM(Watacresall!AM$90:AM$102))</f>
        <v>0</v>
      </c>
      <c r="AN142" s="564">
        <f>Watacresall!AN90*Watersheds!AN$12/(Watacresall!AN$2-SUM(Watacresall!AN$90:AN$102))</f>
        <v>0</v>
      </c>
      <c r="AO142" s="99"/>
      <c r="AP142" s="99">
        <f t="shared" ref="AP142:AP154" si="22">SUM(B142:AN142)</f>
        <v>87114.860206834666</v>
      </c>
    </row>
    <row r="143" spans="1:42" ht="15" x14ac:dyDescent="0.25">
      <c r="A143" s="563" t="s">
        <v>974</v>
      </c>
      <c r="B143" s="564">
        <f>Watacresall!B91*Watersheds!B$12/(Watacresall!B$2-SUM(Watacresall!B$90:B$102))</f>
        <v>11.606472820243592</v>
      </c>
      <c r="C143" s="564">
        <f>Watacresall!C91*Watersheds!C$12/(Watacresall!C$2-SUM(Watacresall!C$90:C$102))</f>
        <v>0</v>
      </c>
      <c r="D143" s="564">
        <f>Watacresall!D91*Watersheds!D$12/(Watacresall!D$2-SUM(Watacresall!D$90:D$102))</f>
        <v>0</v>
      </c>
      <c r="E143" s="564">
        <f>Watacresall!E91*Watersheds!E$12/(Watacresall!E$2-SUM(Watacresall!E$90:E$102))</f>
        <v>0</v>
      </c>
      <c r="F143" s="564">
        <f>Watacresall!F91*Watersheds!F$12/(Watacresall!F$2-SUM(Watacresall!F$90:F$102))</f>
        <v>0</v>
      </c>
      <c r="G143" s="564">
        <f>Watacresall!G91*Watersheds!G$12/(Watacresall!G$2-SUM(Watacresall!G$90:G$102))</f>
        <v>99999.586006238998</v>
      </c>
      <c r="H143" s="564">
        <f>Watacresall!H91*Watersheds!H$12/(Watacresall!H$2-SUM(Watacresall!H$90:H$102))</f>
        <v>0</v>
      </c>
      <c r="I143" s="564">
        <f>Watacresall!I91*Watersheds!I$12/(Watacresall!I$2-SUM(Watacresall!I$90:I$102))</f>
        <v>0</v>
      </c>
      <c r="J143" s="564">
        <f>Watacresall!J91*Watersheds!J$12/(Watacresall!J$2-SUM(Watacresall!J$90:J$102))</f>
        <v>0</v>
      </c>
      <c r="K143" s="564">
        <f>Watacresall!K91*Watersheds!K$12/(Watacresall!K$2-SUM(Watacresall!K$90:K$102))</f>
        <v>0</v>
      </c>
      <c r="L143" s="564">
        <f>Watacresall!L91*Watersheds!L$12/(Watacresall!L$2-SUM(Watacresall!L$90:L$102))</f>
        <v>0</v>
      </c>
      <c r="M143" s="564">
        <f>Watacresall!M91*Watersheds!M$12/(Watacresall!M$2-SUM(Watacresall!M$90:M$102))</f>
        <v>12838.219592202819</v>
      </c>
      <c r="N143" s="564">
        <f>Watacresall!N91*Watersheds!N$12/(Watacresall!N$2-SUM(Watacresall!N$90:N$102))</f>
        <v>0</v>
      </c>
      <c r="O143" s="564">
        <f>Watacresall!O91*Watersheds!O$12/(Watacresall!O$2-SUM(Watacresall!O$90:O$102))</f>
        <v>0</v>
      </c>
      <c r="P143" s="564">
        <f>Watacresall!P91*Watersheds!P$12/(Watacresall!P$2-SUM(Watacresall!P$90:P$102))</f>
        <v>0</v>
      </c>
      <c r="Q143" s="564">
        <f>Watacresall!Q91*Watersheds!Q$12/(Watacresall!Q$2-SUM(Watacresall!Q$90:Q$102))</f>
        <v>0</v>
      </c>
      <c r="R143" s="564">
        <f>Watacresall!R91*Watersheds!R$12/(Watacresall!R$2-SUM(Watacresall!R$90:R$102))</f>
        <v>0</v>
      </c>
      <c r="S143" s="564">
        <f>Watacresall!S91*Watersheds!S$12/(Watacresall!S$2-SUM(Watacresall!S$90:S$102))</f>
        <v>226.27448145393956</v>
      </c>
      <c r="T143" s="564">
        <f>Watacresall!T91*Watersheds!T$12/(Watacresall!T$2-SUM(Watacresall!T$90:T$102))</f>
        <v>0</v>
      </c>
      <c r="U143" s="564">
        <f>Watacresall!U91*Watersheds!U$12/(Watacresall!U$2-SUM(Watacresall!U$90:U$102))</f>
        <v>0</v>
      </c>
      <c r="V143" s="564">
        <f>Watacresall!V91*Watersheds!V$12/(Watacresall!V$2-SUM(Watacresall!V$90:V$102))</f>
        <v>0</v>
      </c>
      <c r="W143" s="564">
        <f>Watacresall!W91*Watersheds!W$12/(Watacresall!W$2-SUM(Watacresall!W$90:W$102))</f>
        <v>0</v>
      </c>
      <c r="X143" s="564">
        <f>Watacresall!X91*Watersheds!X$12/(Watacresall!X$2-SUM(Watacresall!X$90:X$102))</f>
        <v>0</v>
      </c>
      <c r="Y143" s="564">
        <f>Watacresall!Y91*Watersheds!Y$12/(Watacresall!Y$2-SUM(Watacresall!Y$90:Y$102))</f>
        <v>0</v>
      </c>
      <c r="Z143" s="564">
        <f>Watacresall!Z91*Watersheds!Z$12/(Watacresall!Z$2-SUM(Watacresall!Z$90:Z$102))</f>
        <v>0</v>
      </c>
      <c r="AA143" s="564">
        <f>Watacresall!AA91*Watersheds!AA$12/(Watacresall!AA$2-SUM(Watacresall!AA$90:AA$102))</f>
        <v>0</v>
      </c>
      <c r="AB143" s="564">
        <f>Watacresall!AB91*Watersheds!AB$12/(Watacresall!AB$2-SUM(Watacresall!AB$90:AB$102))</f>
        <v>0</v>
      </c>
      <c r="AC143" s="564">
        <f>Watacresall!AC91*Watersheds!AC$12/(Watacresall!AC$2-SUM(Watacresall!AC$90:AC$102))</f>
        <v>0</v>
      </c>
      <c r="AD143" s="564">
        <f>Watacresall!AD91*Watersheds!AD$12/(Watacresall!AD$2-SUM(Watacresall!AD$90:AD$102))</f>
        <v>0</v>
      </c>
      <c r="AE143" s="564">
        <f>Watacresall!AE91*Watersheds!AE$12/(Watacresall!AE$2-SUM(Watacresall!AE$90:AE$102))</f>
        <v>0</v>
      </c>
      <c r="AF143" s="564">
        <f>Watacresall!AF91*Watersheds!AF$12/(Watacresall!AF$2-SUM(Watacresall!AF$90:AF$102))</f>
        <v>0</v>
      </c>
      <c r="AG143" s="564">
        <f>Watacresall!AG91*Watersheds!AG$12/(Watacresall!AG$2-SUM(Watacresall!AG$90:AG$102))</f>
        <v>0</v>
      </c>
      <c r="AH143" s="564">
        <f>Watacresall!AH91*Watersheds!AH$12/(Watacresall!AH$2-SUM(Watacresall!AH$90:AH$102))</f>
        <v>0</v>
      </c>
      <c r="AI143" s="564">
        <f>Watacresall!AI91*Watersheds!AI$12/(Watacresall!AI$2-SUM(Watacresall!AI$90:AI$102))</f>
        <v>0</v>
      </c>
      <c r="AJ143" s="564">
        <f>Watacresall!AJ91*Watersheds!AJ$12/(Watacresall!AJ$2-SUM(Watacresall!AJ$90:AJ$102))</f>
        <v>0</v>
      </c>
      <c r="AK143" s="564">
        <f>Watacresall!AK91*Watersheds!AK$12/(Watacresall!AK$2-SUM(Watacresall!AK$90:AK$102))</f>
        <v>0</v>
      </c>
      <c r="AL143" s="564">
        <f>Watacresall!AL91*Watersheds!AL$12/(Watacresall!AL$2-SUM(Watacresall!AL$90:AL$102))</f>
        <v>0</v>
      </c>
      <c r="AM143" s="564">
        <f>Watacresall!AM91*Watersheds!AM$12/(Watacresall!AM$2-SUM(Watacresall!AM$90:AM$102))</f>
        <v>0</v>
      </c>
      <c r="AN143" s="564">
        <f>Watacresall!AN91*Watersheds!AN$12/(Watacresall!AN$2-SUM(Watacresall!AN$90:AN$102))</f>
        <v>0</v>
      </c>
      <c r="AO143" s="99"/>
      <c r="AP143" s="99">
        <f t="shared" si="22"/>
        <v>113075.686552716</v>
      </c>
    </row>
    <row r="144" spans="1:42" ht="15" x14ac:dyDescent="0.25">
      <c r="A144" s="563" t="s">
        <v>975</v>
      </c>
      <c r="B144" s="564">
        <f>Watacresall!B92*Watersheds!B$12/(Watacresall!B$2-SUM(Watacresall!B$90:B$102))</f>
        <v>21767.248942057671</v>
      </c>
      <c r="C144" s="564">
        <f>Watacresall!C92*Watersheds!C$12/(Watacresall!C$2-SUM(Watacresall!C$90:C$102))</f>
        <v>0</v>
      </c>
      <c r="D144" s="564">
        <f>Watacresall!D92*Watersheds!D$12/(Watacresall!D$2-SUM(Watacresall!D$90:D$102))</f>
        <v>0</v>
      </c>
      <c r="E144" s="564">
        <f>Watacresall!E92*Watersheds!E$12/(Watacresall!E$2-SUM(Watacresall!E$90:E$102))</f>
        <v>0</v>
      </c>
      <c r="F144" s="564">
        <f>Watacresall!F92*Watersheds!F$12/(Watacresall!F$2-SUM(Watacresall!F$90:F$102))</f>
        <v>0</v>
      </c>
      <c r="G144" s="564">
        <f>Watacresall!G92*Watersheds!G$12/(Watacresall!G$2-SUM(Watacresall!G$90:G$102))</f>
        <v>325726.9281838563</v>
      </c>
      <c r="H144" s="564">
        <f>Watacresall!H92*Watersheds!H$12/(Watacresall!H$2-SUM(Watacresall!H$90:H$102))</f>
        <v>0</v>
      </c>
      <c r="I144" s="564">
        <f>Watacresall!I92*Watersheds!I$12/(Watacresall!I$2-SUM(Watacresall!I$90:I$102))</f>
        <v>0</v>
      </c>
      <c r="J144" s="564">
        <f>Watacresall!J92*Watersheds!J$12/(Watacresall!J$2-SUM(Watacresall!J$90:J$102))</f>
        <v>0</v>
      </c>
      <c r="K144" s="564">
        <f>Watacresall!K92*Watersheds!K$12/(Watacresall!K$2-SUM(Watacresall!K$90:K$102))</f>
        <v>0</v>
      </c>
      <c r="L144" s="564">
        <f>Watacresall!L92*Watersheds!L$12/(Watacresall!L$2-SUM(Watacresall!L$90:L$102))</f>
        <v>0</v>
      </c>
      <c r="M144" s="564">
        <f>Watacresall!M92*Watersheds!M$12/(Watacresall!M$2-SUM(Watacresall!M$90:M$102))</f>
        <v>12345.759326688547</v>
      </c>
      <c r="N144" s="564">
        <f>Watacresall!N92*Watersheds!N$12/(Watacresall!N$2-SUM(Watacresall!N$90:N$102))</f>
        <v>0</v>
      </c>
      <c r="O144" s="564">
        <f>Watacresall!O92*Watersheds!O$12/(Watacresall!O$2-SUM(Watacresall!O$90:O$102))</f>
        <v>0</v>
      </c>
      <c r="P144" s="564">
        <f>Watacresall!P92*Watersheds!P$12/(Watacresall!P$2-SUM(Watacresall!P$90:P$102))</f>
        <v>0</v>
      </c>
      <c r="Q144" s="564">
        <f>Watacresall!Q92*Watersheds!Q$12/(Watacresall!Q$2-SUM(Watacresall!Q$90:Q$102))</f>
        <v>0</v>
      </c>
      <c r="R144" s="564">
        <f>Watacresall!R92*Watersheds!R$12/(Watacresall!R$2-SUM(Watacresall!R$90:R$102))</f>
        <v>3010.4615372768144</v>
      </c>
      <c r="S144" s="564">
        <f>Watacresall!S92*Watersheds!S$12/(Watacresall!S$2-SUM(Watacresall!S$90:S$102))</f>
        <v>11871.101421169049</v>
      </c>
      <c r="T144" s="564">
        <f>Watacresall!T92*Watersheds!T$12/(Watacresall!T$2-SUM(Watacresall!T$90:T$102))</f>
        <v>0</v>
      </c>
      <c r="U144" s="564">
        <f>Watacresall!U92*Watersheds!U$12/(Watacresall!U$2-SUM(Watacresall!U$90:U$102))</f>
        <v>0</v>
      </c>
      <c r="V144" s="564">
        <f>Watacresall!V92*Watersheds!V$12/(Watacresall!V$2-SUM(Watacresall!V$90:V$102))</f>
        <v>0</v>
      </c>
      <c r="W144" s="564">
        <f>Watacresall!W92*Watersheds!W$12/(Watacresall!W$2-SUM(Watacresall!W$90:W$102))</f>
        <v>0</v>
      </c>
      <c r="X144" s="564">
        <f>Watacresall!X92*Watersheds!X$12/(Watacresall!X$2-SUM(Watacresall!X$90:X$102))</f>
        <v>0</v>
      </c>
      <c r="Y144" s="564">
        <f>Watacresall!Y92*Watersheds!Y$12/(Watacresall!Y$2-SUM(Watacresall!Y$90:Y$102))</f>
        <v>0</v>
      </c>
      <c r="Z144" s="564">
        <f>Watacresall!Z92*Watersheds!Z$12/(Watacresall!Z$2-SUM(Watacresall!Z$90:Z$102))</f>
        <v>0</v>
      </c>
      <c r="AA144" s="564">
        <f>Watacresall!AA92*Watersheds!AA$12/(Watacresall!AA$2-SUM(Watacresall!AA$90:AA$102))</f>
        <v>0</v>
      </c>
      <c r="AB144" s="564">
        <f>Watacresall!AB92*Watersheds!AB$12/(Watacresall!AB$2-SUM(Watacresall!AB$90:AB$102))</f>
        <v>0</v>
      </c>
      <c r="AC144" s="564">
        <f>Watacresall!AC92*Watersheds!AC$12/(Watacresall!AC$2-SUM(Watacresall!AC$90:AC$102))</f>
        <v>0</v>
      </c>
      <c r="AD144" s="564">
        <f>Watacresall!AD92*Watersheds!AD$12/(Watacresall!AD$2-SUM(Watacresall!AD$90:AD$102))</f>
        <v>0</v>
      </c>
      <c r="AE144" s="564">
        <f>Watacresall!AE92*Watersheds!AE$12/(Watacresall!AE$2-SUM(Watacresall!AE$90:AE$102))</f>
        <v>0</v>
      </c>
      <c r="AF144" s="564">
        <f>Watacresall!AF92*Watersheds!AF$12/(Watacresall!AF$2-SUM(Watacresall!AF$90:AF$102))</f>
        <v>0</v>
      </c>
      <c r="AG144" s="564">
        <f>Watacresall!AG92*Watersheds!AG$12/(Watacresall!AG$2-SUM(Watacresall!AG$90:AG$102))</f>
        <v>0</v>
      </c>
      <c r="AH144" s="564">
        <f>Watacresall!AH92*Watersheds!AH$12/(Watacresall!AH$2-SUM(Watacresall!AH$90:AH$102))</f>
        <v>0</v>
      </c>
      <c r="AI144" s="564">
        <f>Watacresall!AI92*Watersheds!AI$12/(Watacresall!AI$2-SUM(Watacresall!AI$90:AI$102))</f>
        <v>0</v>
      </c>
      <c r="AJ144" s="564">
        <f>Watacresall!AJ92*Watersheds!AJ$12/(Watacresall!AJ$2-SUM(Watacresall!AJ$90:AJ$102))</f>
        <v>0</v>
      </c>
      <c r="AK144" s="564">
        <f>Watacresall!AK92*Watersheds!AK$12/(Watacresall!AK$2-SUM(Watacresall!AK$90:AK$102))</f>
        <v>0</v>
      </c>
      <c r="AL144" s="564">
        <f>Watacresall!AL92*Watersheds!AL$12/(Watacresall!AL$2-SUM(Watacresall!AL$90:AL$102))</f>
        <v>0</v>
      </c>
      <c r="AM144" s="564">
        <f>Watacresall!AM92*Watersheds!AM$12/(Watacresall!AM$2-SUM(Watacresall!AM$90:AM$102))</f>
        <v>0</v>
      </c>
      <c r="AN144" s="564">
        <f>Watacresall!AN92*Watersheds!AN$12/(Watacresall!AN$2-SUM(Watacresall!AN$90:AN$102))</f>
        <v>0</v>
      </c>
      <c r="AO144" s="99"/>
      <c r="AP144" s="99">
        <f t="shared" si="22"/>
        <v>374721.49941104837</v>
      </c>
    </row>
    <row r="145" spans="1:42" ht="15" x14ac:dyDescent="0.25">
      <c r="A145" s="563" t="s">
        <v>976</v>
      </c>
      <c r="B145" s="564">
        <f>Watacresall!B93*Watersheds!B$12/(Watacresall!B$2-SUM(Watacresall!B$90:B$102))</f>
        <v>20589.125719105938</v>
      </c>
      <c r="C145" s="564">
        <f>Watacresall!C93*Watersheds!C$12/(Watacresall!C$2-SUM(Watacresall!C$90:C$102))</f>
        <v>0</v>
      </c>
      <c r="D145" s="564">
        <f>Watacresall!D93*Watersheds!D$12/(Watacresall!D$2-SUM(Watacresall!D$90:D$102))</f>
        <v>0</v>
      </c>
      <c r="E145" s="564">
        <f>Watacresall!E93*Watersheds!E$12/(Watacresall!E$2-SUM(Watacresall!E$90:E$102))</f>
        <v>0</v>
      </c>
      <c r="F145" s="564">
        <f>Watacresall!F93*Watersheds!F$12/(Watacresall!F$2-SUM(Watacresall!F$90:F$102))</f>
        <v>0</v>
      </c>
      <c r="G145" s="564">
        <f>Watacresall!G93*Watersheds!G$12/(Watacresall!G$2-SUM(Watacresall!G$90:G$102))</f>
        <v>131730.76829941027</v>
      </c>
      <c r="H145" s="564">
        <f>Watacresall!H93*Watersheds!H$12/(Watacresall!H$2-SUM(Watacresall!H$90:H$102))</f>
        <v>0</v>
      </c>
      <c r="I145" s="564">
        <f>Watacresall!I93*Watersheds!I$12/(Watacresall!I$2-SUM(Watacresall!I$90:I$102))</f>
        <v>0</v>
      </c>
      <c r="J145" s="564">
        <f>Watacresall!J93*Watersheds!J$12/(Watacresall!J$2-SUM(Watacresall!J$90:J$102))</f>
        <v>0</v>
      </c>
      <c r="K145" s="564">
        <f>Watacresall!K93*Watersheds!K$12/(Watacresall!K$2-SUM(Watacresall!K$90:K$102))</f>
        <v>0</v>
      </c>
      <c r="L145" s="564">
        <f>Watacresall!L93*Watersheds!L$12/(Watacresall!L$2-SUM(Watacresall!L$90:L$102))</f>
        <v>0</v>
      </c>
      <c r="M145" s="564">
        <f>Watacresall!M93*Watersheds!M$12/(Watacresall!M$2-SUM(Watacresall!M$90:M$102))</f>
        <v>1845.8864879215944</v>
      </c>
      <c r="N145" s="564">
        <f>Watacresall!N93*Watersheds!N$12/(Watacresall!N$2-SUM(Watacresall!N$90:N$102))</f>
        <v>0</v>
      </c>
      <c r="O145" s="564">
        <f>Watacresall!O93*Watersheds!O$12/(Watacresall!O$2-SUM(Watacresall!O$90:O$102))</f>
        <v>0</v>
      </c>
      <c r="P145" s="564">
        <f>Watacresall!P93*Watersheds!P$12/(Watacresall!P$2-SUM(Watacresall!P$90:P$102))</f>
        <v>0</v>
      </c>
      <c r="Q145" s="564">
        <f>Watacresall!Q93*Watersheds!Q$12/(Watacresall!Q$2-SUM(Watacresall!Q$90:Q$102))</f>
        <v>0</v>
      </c>
      <c r="R145" s="564">
        <f>Watacresall!R93*Watersheds!R$12/(Watacresall!R$2-SUM(Watacresall!R$90:R$102))</f>
        <v>1237.754791972199</v>
      </c>
      <c r="S145" s="564">
        <f>Watacresall!S93*Watersheds!S$12/(Watacresall!S$2-SUM(Watacresall!S$90:S$102))</f>
        <v>3.1652106679318948</v>
      </c>
      <c r="T145" s="564">
        <f>Watacresall!T93*Watersheds!T$12/(Watacresall!T$2-SUM(Watacresall!T$90:T$102))</f>
        <v>0</v>
      </c>
      <c r="U145" s="564">
        <f>Watacresall!U93*Watersheds!U$12/(Watacresall!U$2-SUM(Watacresall!U$90:U$102))</f>
        <v>0</v>
      </c>
      <c r="V145" s="564">
        <f>Watacresall!V93*Watersheds!V$12/(Watacresall!V$2-SUM(Watacresall!V$90:V$102))</f>
        <v>0</v>
      </c>
      <c r="W145" s="564">
        <f>Watacresall!W93*Watersheds!W$12/(Watacresall!W$2-SUM(Watacresall!W$90:W$102))</f>
        <v>0</v>
      </c>
      <c r="X145" s="564">
        <f>Watacresall!X93*Watersheds!X$12/(Watacresall!X$2-SUM(Watacresall!X$90:X$102))</f>
        <v>0</v>
      </c>
      <c r="Y145" s="564">
        <f>Watacresall!Y93*Watersheds!Y$12/(Watacresall!Y$2-SUM(Watacresall!Y$90:Y$102))</f>
        <v>0</v>
      </c>
      <c r="Z145" s="564">
        <f>Watacresall!Z93*Watersheds!Z$12/(Watacresall!Z$2-SUM(Watacresall!Z$90:Z$102))</f>
        <v>0</v>
      </c>
      <c r="AA145" s="564">
        <f>Watacresall!AA93*Watersheds!AA$12/(Watacresall!AA$2-SUM(Watacresall!AA$90:AA$102))</f>
        <v>0</v>
      </c>
      <c r="AB145" s="564">
        <f>Watacresall!AB93*Watersheds!AB$12/(Watacresall!AB$2-SUM(Watacresall!AB$90:AB$102))</f>
        <v>0</v>
      </c>
      <c r="AC145" s="564">
        <f>Watacresall!AC93*Watersheds!AC$12/(Watacresall!AC$2-SUM(Watacresall!AC$90:AC$102))</f>
        <v>0</v>
      </c>
      <c r="AD145" s="564">
        <f>Watacresall!AD93*Watersheds!AD$12/(Watacresall!AD$2-SUM(Watacresall!AD$90:AD$102))</f>
        <v>0</v>
      </c>
      <c r="AE145" s="564">
        <f>Watacresall!AE93*Watersheds!AE$12/(Watacresall!AE$2-SUM(Watacresall!AE$90:AE$102))</f>
        <v>0</v>
      </c>
      <c r="AF145" s="564">
        <f>Watacresall!AF93*Watersheds!AF$12/(Watacresall!AF$2-SUM(Watacresall!AF$90:AF$102))</f>
        <v>0</v>
      </c>
      <c r="AG145" s="564">
        <f>Watacresall!AG93*Watersheds!AG$12/(Watacresall!AG$2-SUM(Watacresall!AG$90:AG$102))</f>
        <v>0</v>
      </c>
      <c r="AH145" s="564">
        <f>Watacresall!AH93*Watersheds!AH$12/(Watacresall!AH$2-SUM(Watacresall!AH$90:AH$102))</f>
        <v>0</v>
      </c>
      <c r="AI145" s="564">
        <f>Watacresall!AI93*Watersheds!AI$12/(Watacresall!AI$2-SUM(Watacresall!AI$90:AI$102))</f>
        <v>0</v>
      </c>
      <c r="AJ145" s="564">
        <f>Watacresall!AJ93*Watersheds!AJ$12/(Watacresall!AJ$2-SUM(Watacresall!AJ$90:AJ$102))</f>
        <v>0</v>
      </c>
      <c r="AK145" s="564">
        <f>Watacresall!AK93*Watersheds!AK$12/(Watacresall!AK$2-SUM(Watacresall!AK$90:AK$102))</f>
        <v>0</v>
      </c>
      <c r="AL145" s="564">
        <f>Watacresall!AL93*Watersheds!AL$12/(Watacresall!AL$2-SUM(Watacresall!AL$90:AL$102))</f>
        <v>0</v>
      </c>
      <c r="AM145" s="564">
        <f>Watacresall!AM93*Watersheds!AM$12/(Watacresall!AM$2-SUM(Watacresall!AM$90:AM$102))</f>
        <v>0</v>
      </c>
      <c r="AN145" s="564">
        <f>Watacresall!AN93*Watersheds!AN$12/(Watacresall!AN$2-SUM(Watacresall!AN$90:AN$102))</f>
        <v>0</v>
      </c>
      <c r="AO145" s="99"/>
      <c r="AP145" s="99">
        <f t="shared" si="22"/>
        <v>155406.70050907793</v>
      </c>
    </row>
    <row r="146" spans="1:42" ht="15" x14ac:dyDescent="0.25">
      <c r="A146" s="563" t="s">
        <v>977</v>
      </c>
      <c r="B146" s="564">
        <f>Watacresall!B94*Watersheds!B$12/(Watacresall!B$2-SUM(Watacresall!B$90:B$102))</f>
        <v>16441.243969123821</v>
      </c>
      <c r="C146" s="564">
        <f>Watacresall!C94*Watersheds!C$12/(Watacresall!C$2-SUM(Watacresall!C$90:C$102))</f>
        <v>0</v>
      </c>
      <c r="D146" s="564">
        <f>Watacresall!D94*Watersheds!D$12/(Watacresall!D$2-SUM(Watacresall!D$90:D$102))</f>
        <v>0</v>
      </c>
      <c r="E146" s="564">
        <f>Watacresall!E94*Watersheds!E$12/(Watacresall!E$2-SUM(Watacresall!E$90:E$102))</f>
        <v>0</v>
      </c>
      <c r="F146" s="564">
        <f>Watacresall!F94*Watersheds!F$12/(Watacresall!F$2-SUM(Watacresall!F$90:F$102))</f>
        <v>0</v>
      </c>
      <c r="G146" s="564">
        <f>Watacresall!G94*Watersheds!G$12/(Watacresall!G$2-SUM(Watacresall!G$90:G$102))</f>
        <v>0</v>
      </c>
      <c r="H146" s="564">
        <f>Watacresall!H94*Watersheds!H$12/(Watacresall!H$2-SUM(Watacresall!H$90:H$102))</f>
        <v>0</v>
      </c>
      <c r="I146" s="564">
        <f>Watacresall!I94*Watersheds!I$12/(Watacresall!I$2-SUM(Watacresall!I$90:I$102))</f>
        <v>0</v>
      </c>
      <c r="J146" s="564">
        <f>Watacresall!J94*Watersheds!J$12/(Watacresall!J$2-SUM(Watacresall!J$90:J$102))</f>
        <v>0</v>
      </c>
      <c r="K146" s="564">
        <f>Watacresall!K94*Watersheds!K$12/(Watacresall!K$2-SUM(Watacresall!K$90:K$102))</f>
        <v>0</v>
      </c>
      <c r="L146" s="564">
        <f>Watacresall!L94*Watersheds!L$12/(Watacresall!L$2-SUM(Watacresall!L$90:L$102))</f>
        <v>0</v>
      </c>
      <c r="M146" s="564">
        <f>Watacresall!M94*Watersheds!M$12/(Watacresall!M$2-SUM(Watacresall!M$90:M$102))</f>
        <v>27123.706277630205</v>
      </c>
      <c r="N146" s="564">
        <f>Watacresall!N94*Watersheds!N$12/(Watacresall!N$2-SUM(Watacresall!N$90:N$102))</f>
        <v>0</v>
      </c>
      <c r="O146" s="564">
        <f>Watacresall!O94*Watersheds!O$12/(Watacresall!O$2-SUM(Watacresall!O$90:O$102))</f>
        <v>0</v>
      </c>
      <c r="P146" s="564">
        <f>Watacresall!P94*Watersheds!P$12/(Watacresall!P$2-SUM(Watacresall!P$90:P$102))</f>
        <v>0</v>
      </c>
      <c r="Q146" s="564">
        <f>Watacresall!Q94*Watersheds!Q$12/(Watacresall!Q$2-SUM(Watacresall!Q$90:Q$102))</f>
        <v>0</v>
      </c>
      <c r="R146" s="564">
        <f>Watacresall!R94*Watersheds!R$12/(Watacresall!R$2-SUM(Watacresall!R$90:R$102))</f>
        <v>0</v>
      </c>
      <c r="S146" s="564">
        <f>Watacresall!S94*Watersheds!S$12/(Watacresall!S$2-SUM(Watacresall!S$90:S$102))</f>
        <v>11515.059826905235</v>
      </c>
      <c r="T146" s="564">
        <f>Watacresall!T94*Watersheds!T$12/(Watacresall!T$2-SUM(Watacresall!T$90:T$102))</f>
        <v>0</v>
      </c>
      <c r="U146" s="564">
        <f>Watacresall!U94*Watersheds!U$12/(Watacresall!U$2-SUM(Watacresall!U$90:U$102))</f>
        <v>101796.86445330166</v>
      </c>
      <c r="V146" s="564">
        <f>Watacresall!V94*Watersheds!V$12/(Watacresall!V$2-SUM(Watacresall!V$90:V$102))</f>
        <v>0</v>
      </c>
      <c r="W146" s="564">
        <f>Watacresall!W94*Watersheds!W$12/(Watacresall!W$2-SUM(Watacresall!W$90:W$102))</f>
        <v>0</v>
      </c>
      <c r="X146" s="564">
        <f>Watacresall!X94*Watersheds!X$12/(Watacresall!X$2-SUM(Watacresall!X$90:X$102))</f>
        <v>7341.014957688767</v>
      </c>
      <c r="Y146" s="564">
        <f>Watacresall!Y94*Watersheds!Y$12/(Watacresall!Y$2-SUM(Watacresall!Y$90:Y$102))</f>
        <v>0</v>
      </c>
      <c r="Z146" s="564">
        <f>Watacresall!Z94*Watersheds!Z$12/(Watacresall!Z$2-SUM(Watacresall!Z$90:Z$102))</f>
        <v>0</v>
      </c>
      <c r="AA146" s="564">
        <f>Watacresall!AA94*Watersheds!AA$12/(Watacresall!AA$2-SUM(Watacresall!AA$90:AA$102))</f>
        <v>28187.515636841217</v>
      </c>
      <c r="AB146" s="564">
        <f>Watacresall!AB94*Watersheds!AB$12/(Watacresall!AB$2-SUM(Watacresall!AB$90:AB$102))</f>
        <v>0</v>
      </c>
      <c r="AC146" s="564">
        <f>Watacresall!AC94*Watersheds!AC$12/(Watacresall!AC$2-SUM(Watacresall!AC$90:AC$102))</f>
        <v>0</v>
      </c>
      <c r="AD146" s="564">
        <f>Watacresall!AD94*Watersheds!AD$12/(Watacresall!AD$2-SUM(Watacresall!AD$90:AD$102))</f>
        <v>0</v>
      </c>
      <c r="AE146" s="564">
        <f>Watacresall!AE94*Watersheds!AE$12/(Watacresall!AE$2-SUM(Watacresall!AE$90:AE$102))</f>
        <v>0</v>
      </c>
      <c r="AF146" s="564">
        <f>Watacresall!AF94*Watersheds!AF$12/(Watacresall!AF$2-SUM(Watacresall!AF$90:AF$102))</f>
        <v>0</v>
      </c>
      <c r="AG146" s="564">
        <f>Watacresall!AG94*Watersheds!AG$12/(Watacresall!AG$2-SUM(Watacresall!AG$90:AG$102))</f>
        <v>0</v>
      </c>
      <c r="AH146" s="564">
        <f>Watacresall!AH94*Watersheds!AH$12/(Watacresall!AH$2-SUM(Watacresall!AH$90:AH$102))</f>
        <v>0</v>
      </c>
      <c r="AI146" s="564">
        <f>Watacresall!AI94*Watersheds!AI$12/(Watacresall!AI$2-SUM(Watacresall!AI$90:AI$102))</f>
        <v>0</v>
      </c>
      <c r="AJ146" s="564">
        <f>Watacresall!AJ94*Watersheds!AJ$12/(Watacresall!AJ$2-SUM(Watacresall!AJ$90:AJ$102))</f>
        <v>0</v>
      </c>
      <c r="AK146" s="564">
        <f>Watacresall!AK94*Watersheds!AK$12/(Watacresall!AK$2-SUM(Watacresall!AK$90:AK$102))</f>
        <v>0</v>
      </c>
      <c r="AL146" s="564">
        <f>Watacresall!AL94*Watersheds!AL$12/(Watacresall!AL$2-SUM(Watacresall!AL$90:AL$102))</f>
        <v>0</v>
      </c>
      <c r="AM146" s="564">
        <f>Watacresall!AM94*Watersheds!AM$12/(Watacresall!AM$2-SUM(Watacresall!AM$90:AM$102))</f>
        <v>0</v>
      </c>
      <c r="AN146" s="564">
        <f>Watacresall!AN94*Watersheds!AN$12/(Watacresall!AN$2-SUM(Watacresall!AN$90:AN$102))</f>
        <v>0</v>
      </c>
      <c r="AO146" s="99"/>
      <c r="AP146" s="99">
        <f t="shared" si="22"/>
        <v>192405.40512149091</v>
      </c>
    </row>
    <row r="147" spans="1:42" ht="15" x14ac:dyDescent="0.25">
      <c r="A147" s="563" t="s">
        <v>978</v>
      </c>
      <c r="B147" s="564">
        <f>Watacresall!B95*Watersheds!B$12/(Watacresall!B$2-SUM(Watacresall!B$90:B$102))</f>
        <v>0</v>
      </c>
      <c r="C147" s="564">
        <f>Watacresall!C95*Watersheds!C$12/(Watacresall!C$2-SUM(Watacresall!C$90:C$102))</f>
        <v>0</v>
      </c>
      <c r="D147" s="564">
        <f>Watacresall!D95*Watersheds!D$12/(Watacresall!D$2-SUM(Watacresall!D$90:D$102))</f>
        <v>0</v>
      </c>
      <c r="E147" s="564">
        <f>Watacresall!E95*Watersheds!E$12/(Watacresall!E$2-SUM(Watacresall!E$90:E$102))</f>
        <v>0</v>
      </c>
      <c r="F147" s="564">
        <f>Watacresall!F95*Watersheds!F$12/(Watacresall!F$2-SUM(Watacresall!F$90:F$102))</f>
        <v>0</v>
      </c>
      <c r="G147" s="564">
        <f>Watacresall!G95*Watersheds!G$12/(Watacresall!G$2-SUM(Watacresall!G$90:G$102))</f>
        <v>0</v>
      </c>
      <c r="H147" s="564">
        <f>Watacresall!H95*Watersheds!H$12/(Watacresall!H$2-SUM(Watacresall!H$90:H$102))</f>
        <v>0</v>
      </c>
      <c r="I147" s="564">
        <f>Watacresall!I95*Watersheds!I$12/(Watacresall!I$2-SUM(Watacresall!I$90:I$102))</f>
        <v>0</v>
      </c>
      <c r="J147" s="564">
        <f>Watacresall!J95*Watersheds!J$12/(Watacresall!J$2-SUM(Watacresall!J$90:J$102))</f>
        <v>0</v>
      </c>
      <c r="K147" s="564">
        <f>Watacresall!K95*Watersheds!K$12/(Watacresall!K$2-SUM(Watacresall!K$90:K$102))</f>
        <v>0</v>
      </c>
      <c r="L147" s="564">
        <f>Watacresall!L95*Watersheds!L$12/(Watacresall!L$2-SUM(Watacresall!L$90:L$102))</f>
        <v>0</v>
      </c>
      <c r="M147" s="564">
        <f>Watacresall!M95*Watersheds!M$12/(Watacresall!M$2-SUM(Watacresall!M$90:M$102))</f>
        <v>0</v>
      </c>
      <c r="N147" s="564">
        <f>Watacresall!N95*Watersheds!N$12/(Watacresall!N$2-SUM(Watacresall!N$90:N$102))</f>
        <v>0</v>
      </c>
      <c r="O147" s="564">
        <f>Watacresall!O95*Watersheds!O$12/(Watacresall!O$2-SUM(Watacresall!O$90:O$102))</f>
        <v>0</v>
      </c>
      <c r="P147" s="564">
        <f>Watacresall!P95*Watersheds!P$12/(Watacresall!P$2-SUM(Watacresall!P$90:P$102))</f>
        <v>0</v>
      </c>
      <c r="Q147" s="564">
        <f>Watacresall!Q95*Watersheds!Q$12/(Watacresall!Q$2-SUM(Watacresall!Q$90:Q$102))</f>
        <v>0</v>
      </c>
      <c r="R147" s="564">
        <f>Watacresall!R95*Watersheds!R$12/(Watacresall!R$2-SUM(Watacresall!R$90:R$102))</f>
        <v>0</v>
      </c>
      <c r="S147" s="564">
        <f>Watacresall!S95*Watersheds!S$12/(Watacresall!S$2-SUM(Watacresall!S$90:S$102))</f>
        <v>0</v>
      </c>
      <c r="T147" s="564">
        <f>Watacresall!T95*Watersheds!T$12/(Watacresall!T$2-SUM(Watacresall!T$90:T$102))</f>
        <v>0</v>
      </c>
      <c r="U147" s="564">
        <f>Watacresall!U95*Watersheds!U$12/(Watacresall!U$2-SUM(Watacresall!U$90:U$102))</f>
        <v>91487.246940965983</v>
      </c>
      <c r="V147" s="564">
        <f>Watacresall!V95*Watersheds!V$12/(Watacresall!V$2-SUM(Watacresall!V$90:V$102))</f>
        <v>0</v>
      </c>
      <c r="W147" s="564">
        <f>Watacresall!W95*Watersheds!W$12/(Watacresall!W$2-SUM(Watacresall!W$90:W$102))</f>
        <v>0</v>
      </c>
      <c r="X147" s="564">
        <f>Watacresall!X95*Watersheds!X$12/(Watacresall!X$2-SUM(Watacresall!X$90:X$102))</f>
        <v>0</v>
      </c>
      <c r="Y147" s="564">
        <f>Watacresall!Y95*Watersheds!Y$12/(Watacresall!Y$2-SUM(Watacresall!Y$90:Y$102))</f>
        <v>0</v>
      </c>
      <c r="Z147" s="564">
        <f>Watacresall!Z95*Watersheds!Z$12/(Watacresall!Z$2-SUM(Watacresall!Z$90:Z$102))</f>
        <v>0</v>
      </c>
      <c r="AA147" s="564">
        <f>Watacresall!AA95*Watersheds!AA$12/(Watacresall!AA$2-SUM(Watacresall!AA$90:AA$102))</f>
        <v>93658.573641437208</v>
      </c>
      <c r="AB147" s="564">
        <f>Watacresall!AB95*Watersheds!AB$12/(Watacresall!AB$2-SUM(Watacresall!AB$90:AB$102))</f>
        <v>0</v>
      </c>
      <c r="AC147" s="564">
        <f>Watacresall!AC95*Watersheds!AC$12/(Watacresall!AC$2-SUM(Watacresall!AC$90:AC$102))</f>
        <v>0</v>
      </c>
      <c r="AD147" s="564">
        <f>Watacresall!AD95*Watersheds!AD$12/(Watacresall!AD$2-SUM(Watacresall!AD$90:AD$102))</f>
        <v>0</v>
      </c>
      <c r="AE147" s="564">
        <f>Watacresall!AE95*Watersheds!AE$12/(Watacresall!AE$2-SUM(Watacresall!AE$90:AE$102))</f>
        <v>0</v>
      </c>
      <c r="AF147" s="564">
        <f>Watacresall!AF95*Watersheds!AF$12/(Watacresall!AF$2-SUM(Watacresall!AF$90:AF$102))</f>
        <v>0</v>
      </c>
      <c r="AG147" s="564">
        <f>Watacresall!AG95*Watersheds!AG$12/(Watacresall!AG$2-SUM(Watacresall!AG$90:AG$102))</f>
        <v>0</v>
      </c>
      <c r="AH147" s="564">
        <f>Watacresall!AH95*Watersheds!AH$12/(Watacresall!AH$2-SUM(Watacresall!AH$90:AH$102))</f>
        <v>0</v>
      </c>
      <c r="AI147" s="564">
        <f>Watacresall!AI95*Watersheds!AI$12/(Watacresall!AI$2-SUM(Watacresall!AI$90:AI$102))</f>
        <v>0</v>
      </c>
      <c r="AJ147" s="564">
        <f>Watacresall!AJ95*Watersheds!AJ$12/(Watacresall!AJ$2-SUM(Watacresall!AJ$90:AJ$102))</f>
        <v>0</v>
      </c>
      <c r="AK147" s="564">
        <f>Watacresall!AK95*Watersheds!AK$12/(Watacresall!AK$2-SUM(Watacresall!AK$90:AK$102))</f>
        <v>0</v>
      </c>
      <c r="AL147" s="564">
        <f>Watacresall!AL95*Watersheds!AL$12/(Watacresall!AL$2-SUM(Watacresall!AL$90:AL$102))</f>
        <v>0</v>
      </c>
      <c r="AM147" s="564">
        <f>Watacresall!AM95*Watersheds!AM$12/(Watacresall!AM$2-SUM(Watacresall!AM$90:AM$102))</f>
        <v>0</v>
      </c>
      <c r="AN147" s="564">
        <f>Watacresall!AN95*Watersheds!AN$12/(Watacresall!AN$2-SUM(Watacresall!AN$90:AN$102))</f>
        <v>0</v>
      </c>
      <c r="AO147" s="99"/>
      <c r="AP147" s="99">
        <f t="shared" si="22"/>
        <v>185145.82058240319</v>
      </c>
    </row>
    <row r="148" spans="1:42" ht="15" x14ac:dyDescent="0.25">
      <c r="A148" s="563" t="s">
        <v>979</v>
      </c>
      <c r="B148" s="564">
        <f>Watacresall!B96*Watersheds!B$12/(Watacresall!B$2-SUM(Watacresall!B$90:B$102))</f>
        <v>6869.6309567109029</v>
      </c>
      <c r="C148" s="564">
        <f>Watacresall!C96*Watersheds!C$12/(Watacresall!C$2-SUM(Watacresall!C$90:C$102))</f>
        <v>4189.1375532761285</v>
      </c>
      <c r="D148" s="564">
        <f>Watacresall!D96*Watersheds!D$12/(Watacresall!D$2-SUM(Watacresall!D$90:D$102))</f>
        <v>0</v>
      </c>
      <c r="E148" s="564">
        <f>Watacresall!E96*Watersheds!E$12/(Watacresall!E$2-SUM(Watacresall!E$90:E$102))</f>
        <v>0</v>
      </c>
      <c r="F148" s="564">
        <f>Watacresall!F96*Watersheds!F$12/(Watacresall!F$2-SUM(Watacresall!F$90:F$102))</f>
        <v>0</v>
      </c>
      <c r="G148" s="564">
        <f>Watacresall!G96*Watersheds!G$12/(Watacresall!G$2-SUM(Watacresall!G$90:G$102))</f>
        <v>0</v>
      </c>
      <c r="H148" s="564">
        <f>Watacresall!H96*Watersheds!H$12/(Watacresall!H$2-SUM(Watacresall!H$90:H$102))</f>
        <v>0</v>
      </c>
      <c r="I148" s="564">
        <f>Watacresall!I96*Watersheds!I$12/(Watacresall!I$2-SUM(Watacresall!I$90:I$102))</f>
        <v>0</v>
      </c>
      <c r="J148" s="564">
        <f>Watacresall!J96*Watersheds!J$12/(Watacresall!J$2-SUM(Watacresall!J$90:J$102))</f>
        <v>0</v>
      </c>
      <c r="K148" s="564">
        <f>Watacresall!K96*Watersheds!K$12/(Watacresall!K$2-SUM(Watacresall!K$90:K$102))</f>
        <v>0</v>
      </c>
      <c r="L148" s="564">
        <f>Watacresall!L96*Watersheds!L$12/(Watacresall!L$2-SUM(Watacresall!L$90:L$102))</f>
        <v>0</v>
      </c>
      <c r="M148" s="564">
        <f>Watacresall!M96*Watersheds!M$12/(Watacresall!M$2-SUM(Watacresall!M$90:M$102))</f>
        <v>49657.16915658064</v>
      </c>
      <c r="N148" s="564">
        <f>Watacresall!N96*Watersheds!N$12/(Watacresall!N$2-SUM(Watacresall!N$90:N$102))</f>
        <v>0</v>
      </c>
      <c r="O148" s="564">
        <f>Watacresall!O96*Watersheds!O$12/(Watacresall!O$2-SUM(Watacresall!O$90:O$102))</f>
        <v>0</v>
      </c>
      <c r="P148" s="564">
        <f>Watacresall!P96*Watersheds!P$12/(Watacresall!P$2-SUM(Watacresall!P$90:P$102))</f>
        <v>0</v>
      </c>
      <c r="Q148" s="564">
        <f>Watacresall!Q96*Watersheds!Q$12/(Watacresall!Q$2-SUM(Watacresall!Q$90:Q$102))</f>
        <v>0</v>
      </c>
      <c r="R148" s="564">
        <f>Watacresall!R96*Watersheds!R$12/(Watacresall!R$2-SUM(Watacresall!R$90:R$102))</f>
        <v>0</v>
      </c>
      <c r="S148" s="564">
        <f>Watacresall!S96*Watersheds!S$12/(Watacresall!S$2-SUM(Watacresall!S$90:S$102))</f>
        <v>36831.059060414846</v>
      </c>
      <c r="T148" s="564">
        <f>Watacresall!T96*Watersheds!T$12/(Watacresall!T$2-SUM(Watacresall!T$90:T$102))</f>
        <v>0</v>
      </c>
      <c r="U148" s="564">
        <f>Watacresall!U96*Watersheds!U$12/(Watacresall!U$2-SUM(Watacresall!U$90:U$102))</f>
        <v>0</v>
      </c>
      <c r="V148" s="564">
        <f>Watacresall!V96*Watersheds!V$12/(Watacresall!V$2-SUM(Watacresall!V$90:V$102))</f>
        <v>0</v>
      </c>
      <c r="W148" s="564">
        <f>Watacresall!W96*Watersheds!W$12/(Watacresall!W$2-SUM(Watacresall!W$90:W$102))</f>
        <v>0</v>
      </c>
      <c r="X148" s="564">
        <f>Watacresall!X96*Watersheds!X$12/(Watacresall!X$2-SUM(Watacresall!X$90:X$102))</f>
        <v>0</v>
      </c>
      <c r="Y148" s="564">
        <f>Watacresall!Y96*Watersheds!Y$12/(Watacresall!Y$2-SUM(Watacresall!Y$90:Y$102))</f>
        <v>0</v>
      </c>
      <c r="Z148" s="564">
        <f>Watacresall!Z96*Watersheds!Z$12/(Watacresall!Z$2-SUM(Watacresall!Z$90:Z$102))</f>
        <v>0</v>
      </c>
      <c r="AA148" s="564">
        <f>Watacresall!AA96*Watersheds!AA$12/(Watacresall!AA$2-SUM(Watacresall!AA$90:AA$102))</f>
        <v>24831.917606443389</v>
      </c>
      <c r="AB148" s="564">
        <f>Watacresall!AB96*Watersheds!AB$12/(Watacresall!AB$2-SUM(Watacresall!AB$90:AB$102))</f>
        <v>0</v>
      </c>
      <c r="AC148" s="564">
        <f>Watacresall!AC96*Watersheds!AC$12/(Watacresall!AC$2-SUM(Watacresall!AC$90:AC$102))</f>
        <v>0</v>
      </c>
      <c r="AD148" s="564">
        <f>Watacresall!AD96*Watersheds!AD$12/(Watacresall!AD$2-SUM(Watacresall!AD$90:AD$102))</f>
        <v>0</v>
      </c>
      <c r="AE148" s="564">
        <f>Watacresall!AE96*Watersheds!AE$12/(Watacresall!AE$2-SUM(Watacresall!AE$90:AE$102))</f>
        <v>0</v>
      </c>
      <c r="AF148" s="564">
        <f>Watacresall!AF96*Watersheds!AF$12/(Watacresall!AF$2-SUM(Watacresall!AF$90:AF$102))</f>
        <v>0</v>
      </c>
      <c r="AG148" s="564">
        <f>Watacresall!AG96*Watersheds!AG$12/(Watacresall!AG$2-SUM(Watacresall!AG$90:AG$102))</f>
        <v>0</v>
      </c>
      <c r="AH148" s="564">
        <f>Watacresall!AH96*Watersheds!AH$12/(Watacresall!AH$2-SUM(Watacresall!AH$90:AH$102))</f>
        <v>0</v>
      </c>
      <c r="AI148" s="564">
        <f>Watacresall!AI96*Watersheds!AI$12/(Watacresall!AI$2-SUM(Watacresall!AI$90:AI$102))</f>
        <v>0</v>
      </c>
      <c r="AJ148" s="564">
        <f>Watacresall!AJ96*Watersheds!AJ$12/(Watacresall!AJ$2-SUM(Watacresall!AJ$90:AJ$102))</f>
        <v>0</v>
      </c>
      <c r="AK148" s="564">
        <f>Watacresall!AK96*Watersheds!AK$12/(Watacresall!AK$2-SUM(Watacresall!AK$90:AK$102))</f>
        <v>0</v>
      </c>
      <c r="AL148" s="564">
        <f>Watacresall!AL96*Watersheds!AL$12/(Watacresall!AL$2-SUM(Watacresall!AL$90:AL$102))</f>
        <v>0</v>
      </c>
      <c r="AM148" s="564">
        <f>Watacresall!AM96*Watersheds!AM$12/(Watacresall!AM$2-SUM(Watacresall!AM$90:AM$102))</f>
        <v>0</v>
      </c>
      <c r="AN148" s="564">
        <f>Watacresall!AN96*Watersheds!AN$12/(Watacresall!AN$2-SUM(Watacresall!AN$90:AN$102))</f>
        <v>0</v>
      </c>
      <c r="AO148" s="99"/>
      <c r="AP148" s="99">
        <f t="shared" si="22"/>
        <v>122378.9143334259</v>
      </c>
    </row>
    <row r="149" spans="1:42" ht="15" x14ac:dyDescent="0.25">
      <c r="A149" s="563" t="s">
        <v>980</v>
      </c>
      <c r="B149" s="564">
        <f>Watacresall!B97*Watersheds!B$12/(Watacresall!B$2-SUM(Watacresall!B$90:B$102))</f>
        <v>0</v>
      </c>
      <c r="C149" s="564">
        <f>Watacresall!C97*Watersheds!C$12/(Watacresall!C$2-SUM(Watacresall!C$90:C$102))</f>
        <v>0</v>
      </c>
      <c r="D149" s="564">
        <f>Watacresall!D97*Watersheds!D$12/(Watacresall!D$2-SUM(Watacresall!D$90:D$102))</f>
        <v>0</v>
      </c>
      <c r="E149" s="564">
        <f>Watacresall!E97*Watersheds!E$12/(Watacresall!E$2-SUM(Watacresall!E$90:E$102))</f>
        <v>0</v>
      </c>
      <c r="F149" s="564">
        <f>Watacresall!F97*Watersheds!F$12/(Watacresall!F$2-SUM(Watacresall!F$90:F$102))</f>
        <v>0</v>
      </c>
      <c r="G149" s="564">
        <f>Watacresall!G97*Watersheds!G$12/(Watacresall!G$2-SUM(Watacresall!G$90:G$102))</f>
        <v>0</v>
      </c>
      <c r="H149" s="564">
        <f>Watacresall!H97*Watersheds!H$12/(Watacresall!H$2-SUM(Watacresall!H$90:H$102))</f>
        <v>0</v>
      </c>
      <c r="I149" s="564">
        <f>Watacresall!I97*Watersheds!I$12/(Watacresall!I$2-SUM(Watacresall!I$90:I$102))</f>
        <v>0</v>
      </c>
      <c r="J149" s="564">
        <f>Watacresall!J97*Watersheds!J$12/(Watacresall!J$2-SUM(Watacresall!J$90:J$102))</f>
        <v>0</v>
      </c>
      <c r="K149" s="564">
        <f>Watacresall!K97*Watersheds!K$12/(Watacresall!K$2-SUM(Watacresall!K$90:K$102))</f>
        <v>0</v>
      </c>
      <c r="L149" s="564">
        <f>Watacresall!L97*Watersheds!L$12/(Watacresall!L$2-SUM(Watacresall!L$90:L$102))</f>
        <v>0</v>
      </c>
      <c r="M149" s="564">
        <f>Watacresall!M97*Watersheds!M$12/(Watacresall!M$2-SUM(Watacresall!M$90:M$102))</f>
        <v>0</v>
      </c>
      <c r="N149" s="564">
        <f>Watacresall!N97*Watersheds!N$12/(Watacresall!N$2-SUM(Watacresall!N$90:N$102))</f>
        <v>0</v>
      </c>
      <c r="O149" s="564">
        <f>Watacresall!O97*Watersheds!O$12/(Watacresall!O$2-SUM(Watacresall!O$90:O$102))</f>
        <v>0</v>
      </c>
      <c r="P149" s="564">
        <f>Watacresall!P97*Watersheds!P$12/(Watacresall!P$2-SUM(Watacresall!P$90:P$102))</f>
        <v>0</v>
      </c>
      <c r="Q149" s="564">
        <f>Watacresall!Q97*Watersheds!Q$12/(Watacresall!Q$2-SUM(Watacresall!Q$90:Q$102))</f>
        <v>0</v>
      </c>
      <c r="R149" s="564">
        <f>Watacresall!R97*Watersheds!R$12/(Watacresall!R$2-SUM(Watacresall!R$90:R$102))</f>
        <v>0</v>
      </c>
      <c r="S149" s="564">
        <f>Watacresall!S97*Watersheds!S$12/(Watacresall!S$2-SUM(Watacresall!S$90:S$102))</f>
        <v>0</v>
      </c>
      <c r="T149" s="564">
        <f>Watacresall!T97*Watersheds!T$12/(Watacresall!T$2-SUM(Watacresall!T$90:T$102))</f>
        <v>0</v>
      </c>
      <c r="U149" s="564">
        <f>Watacresall!U97*Watersheds!U$12/(Watacresall!U$2-SUM(Watacresall!U$90:U$102))</f>
        <v>61131.850587581626</v>
      </c>
      <c r="V149" s="564">
        <f>Watacresall!V97*Watersheds!V$12/(Watacresall!V$2-SUM(Watacresall!V$90:V$102))</f>
        <v>0</v>
      </c>
      <c r="W149" s="564">
        <f>Watacresall!W97*Watersheds!W$12/(Watacresall!W$2-SUM(Watacresall!W$90:W$102))</f>
        <v>0</v>
      </c>
      <c r="X149" s="564">
        <f>Watacresall!X97*Watersheds!X$12/(Watacresall!X$2-SUM(Watacresall!X$90:X$102))</f>
        <v>0</v>
      </c>
      <c r="Y149" s="564">
        <f>Watacresall!Y97*Watersheds!Y$12/(Watacresall!Y$2-SUM(Watacresall!Y$90:Y$102))</f>
        <v>0</v>
      </c>
      <c r="Z149" s="564">
        <f>Watacresall!Z97*Watersheds!Z$12/(Watacresall!Z$2-SUM(Watacresall!Z$90:Z$102))</f>
        <v>0</v>
      </c>
      <c r="AA149" s="564">
        <f>Watacresall!AA97*Watersheds!AA$12/(Watacresall!AA$2-SUM(Watacresall!AA$90:AA$102))</f>
        <v>0</v>
      </c>
      <c r="AB149" s="564">
        <f>Watacresall!AB97*Watersheds!AB$12/(Watacresall!AB$2-SUM(Watacresall!AB$90:AB$102))</f>
        <v>0</v>
      </c>
      <c r="AC149" s="564">
        <f>Watacresall!AC97*Watersheds!AC$12/(Watacresall!AC$2-SUM(Watacresall!AC$90:AC$102))</f>
        <v>0</v>
      </c>
      <c r="AD149" s="564">
        <f>Watacresall!AD97*Watersheds!AD$12/(Watacresall!AD$2-SUM(Watacresall!AD$90:AD$102))</f>
        <v>0</v>
      </c>
      <c r="AE149" s="564">
        <f>Watacresall!AE97*Watersheds!AE$12/(Watacresall!AE$2-SUM(Watacresall!AE$90:AE$102))</f>
        <v>0</v>
      </c>
      <c r="AF149" s="564">
        <f>Watacresall!AF97*Watersheds!AF$12/(Watacresall!AF$2-SUM(Watacresall!AF$90:AF$102))</f>
        <v>0</v>
      </c>
      <c r="AG149" s="564">
        <f>Watacresall!AG97*Watersheds!AG$12/(Watacresall!AG$2-SUM(Watacresall!AG$90:AG$102))</f>
        <v>0</v>
      </c>
      <c r="AH149" s="564">
        <f>Watacresall!AH97*Watersheds!AH$12/(Watacresall!AH$2-SUM(Watacresall!AH$90:AH$102))</f>
        <v>0</v>
      </c>
      <c r="AI149" s="564">
        <f>Watacresall!AI97*Watersheds!AI$12/(Watacresall!AI$2-SUM(Watacresall!AI$90:AI$102))</f>
        <v>0</v>
      </c>
      <c r="AJ149" s="564">
        <f>Watacresall!AJ97*Watersheds!AJ$12/(Watacresall!AJ$2-SUM(Watacresall!AJ$90:AJ$102))</f>
        <v>0</v>
      </c>
      <c r="AK149" s="564">
        <f>Watacresall!AK97*Watersheds!AK$12/(Watacresall!AK$2-SUM(Watacresall!AK$90:AK$102))</f>
        <v>0</v>
      </c>
      <c r="AL149" s="564">
        <f>Watacresall!AL97*Watersheds!AL$12/(Watacresall!AL$2-SUM(Watacresall!AL$90:AL$102))</f>
        <v>0</v>
      </c>
      <c r="AM149" s="564">
        <f>Watacresall!AM97*Watersheds!AM$12/(Watacresall!AM$2-SUM(Watacresall!AM$90:AM$102))</f>
        <v>0</v>
      </c>
      <c r="AN149" s="564">
        <f>Watacresall!AN97*Watersheds!AN$12/(Watacresall!AN$2-SUM(Watacresall!AN$90:AN$102))</f>
        <v>0</v>
      </c>
      <c r="AO149" s="99"/>
      <c r="AP149" s="99">
        <f t="shared" si="22"/>
        <v>61131.850587581626</v>
      </c>
    </row>
    <row r="150" spans="1:42" ht="15" x14ac:dyDescent="0.25">
      <c r="A150" s="563" t="s">
        <v>981</v>
      </c>
      <c r="B150" s="564">
        <f>Watacresall!B98*Watersheds!B$12/(Watacresall!B$2-SUM(Watacresall!B$90:B$102))</f>
        <v>0</v>
      </c>
      <c r="C150" s="564">
        <f>Watacresall!C98*Watersheds!C$12/(Watacresall!C$2-SUM(Watacresall!C$90:C$102))</f>
        <v>0</v>
      </c>
      <c r="D150" s="564">
        <f>Watacresall!D98*Watersheds!D$12/(Watacresall!D$2-SUM(Watacresall!D$90:D$102))</f>
        <v>0</v>
      </c>
      <c r="E150" s="564">
        <f>Watacresall!E98*Watersheds!E$12/(Watacresall!E$2-SUM(Watacresall!E$90:E$102))</f>
        <v>0</v>
      </c>
      <c r="F150" s="564">
        <f>Watacresall!F98*Watersheds!F$12/(Watacresall!F$2-SUM(Watacresall!F$90:F$102))</f>
        <v>0</v>
      </c>
      <c r="G150" s="564">
        <f>Watacresall!G98*Watersheds!G$12/(Watacresall!G$2-SUM(Watacresall!G$90:G$102))</f>
        <v>0</v>
      </c>
      <c r="H150" s="564">
        <f>Watacresall!H98*Watersheds!H$12/(Watacresall!H$2-SUM(Watacresall!H$90:H$102))</f>
        <v>0</v>
      </c>
      <c r="I150" s="564">
        <f>Watacresall!I98*Watersheds!I$12/(Watacresall!I$2-SUM(Watacresall!I$90:I$102))</f>
        <v>0</v>
      </c>
      <c r="J150" s="564">
        <f>Watacresall!J98*Watersheds!J$12/(Watacresall!J$2-SUM(Watacresall!J$90:J$102))</f>
        <v>0</v>
      </c>
      <c r="K150" s="564">
        <f>Watacresall!K98*Watersheds!K$12/(Watacresall!K$2-SUM(Watacresall!K$90:K$102))</f>
        <v>0</v>
      </c>
      <c r="L150" s="564">
        <f>Watacresall!L98*Watersheds!L$12/(Watacresall!L$2-SUM(Watacresall!L$90:L$102))</f>
        <v>0</v>
      </c>
      <c r="M150" s="564">
        <f>Watacresall!M98*Watersheds!M$12/(Watacresall!M$2-SUM(Watacresall!M$90:M$102))</f>
        <v>0</v>
      </c>
      <c r="N150" s="564">
        <f>Watacresall!N98*Watersheds!N$12/(Watacresall!N$2-SUM(Watacresall!N$90:N$102))</f>
        <v>0</v>
      </c>
      <c r="O150" s="564">
        <f>Watacresall!O98*Watersheds!O$12/(Watacresall!O$2-SUM(Watacresall!O$90:O$102))</f>
        <v>0</v>
      </c>
      <c r="P150" s="564">
        <f>Watacresall!P98*Watersheds!P$12/(Watacresall!P$2-SUM(Watacresall!P$90:P$102))</f>
        <v>0</v>
      </c>
      <c r="Q150" s="564">
        <f>Watacresall!Q98*Watersheds!Q$12/(Watacresall!Q$2-SUM(Watacresall!Q$90:Q$102))</f>
        <v>0</v>
      </c>
      <c r="R150" s="564">
        <f>Watacresall!R98*Watersheds!R$12/(Watacresall!R$2-SUM(Watacresall!R$90:R$102))</f>
        <v>0</v>
      </c>
      <c r="S150" s="564">
        <f>Watacresall!S98*Watersheds!S$12/(Watacresall!S$2-SUM(Watacresall!S$90:S$102))</f>
        <v>0</v>
      </c>
      <c r="T150" s="564">
        <f>Watacresall!T98*Watersheds!T$12/(Watacresall!T$2-SUM(Watacresall!T$90:T$102))</f>
        <v>0</v>
      </c>
      <c r="U150" s="564">
        <f>Watacresall!U98*Watersheds!U$12/(Watacresall!U$2-SUM(Watacresall!U$90:U$102))</f>
        <v>113005.52934775666</v>
      </c>
      <c r="V150" s="564">
        <f>Watacresall!V98*Watersheds!V$12/(Watacresall!V$2-SUM(Watacresall!V$90:V$102))</f>
        <v>0</v>
      </c>
      <c r="W150" s="564">
        <f>Watacresall!W98*Watersheds!W$12/(Watacresall!W$2-SUM(Watacresall!W$90:W$102))</f>
        <v>0</v>
      </c>
      <c r="X150" s="564">
        <f>Watacresall!X98*Watersheds!X$12/(Watacresall!X$2-SUM(Watacresall!X$90:X$102))</f>
        <v>0</v>
      </c>
      <c r="Y150" s="564">
        <f>Watacresall!Y98*Watersheds!Y$12/(Watacresall!Y$2-SUM(Watacresall!Y$90:Y$102))</f>
        <v>0</v>
      </c>
      <c r="Z150" s="564">
        <f>Watacresall!Z98*Watersheds!Z$12/(Watacresall!Z$2-SUM(Watacresall!Z$90:Z$102))</f>
        <v>0</v>
      </c>
      <c r="AA150" s="564">
        <f>Watacresall!AA98*Watersheds!AA$12/(Watacresall!AA$2-SUM(Watacresall!AA$90:AA$102))</f>
        <v>0</v>
      </c>
      <c r="AB150" s="564">
        <f>Watacresall!AB98*Watersheds!AB$12/(Watacresall!AB$2-SUM(Watacresall!AB$90:AB$102))</f>
        <v>0</v>
      </c>
      <c r="AC150" s="564">
        <f>Watacresall!AC98*Watersheds!AC$12/(Watacresall!AC$2-SUM(Watacresall!AC$90:AC$102))</f>
        <v>0</v>
      </c>
      <c r="AD150" s="564">
        <f>Watacresall!AD98*Watersheds!AD$12/(Watacresall!AD$2-SUM(Watacresall!AD$90:AD$102))</f>
        <v>0</v>
      </c>
      <c r="AE150" s="564">
        <f>Watacresall!AE98*Watersheds!AE$12/(Watacresall!AE$2-SUM(Watacresall!AE$90:AE$102))</f>
        <v>0</v>
      </c>
      <c r="AF150" s="564">
        <f>Watacresall!AF98*Watersheds!AF$12/(Watacresall!AF$2-SUM(Watacresall!AF$90:AF$102))</f>
        <v>0</v>
      </c>
      <c r="AG150" s="564">
        <f>Watacresall!AG98*Watersheds!AG$12/(Watacresall!AG$2-SUM(Watacresall!AG$90:AG$102))</f>
        <v>0</v>
      </c>
      <c r="AH150" s="564">
        <f>Watacresall!AH98*Watersheds!AH$12/(Watacresall!AH$2-SUM(Watacresall!AH$90:AH$102))</f>
        <v>0</v>
      </c>
      <c r="AI150" s="564">
        <f>Watacresall!AI98*Watersheds!AI$12/(Watacresall!AI$2-SUM(Watacresall!AI$90:AI$102))</f>
        <v>0</v>
      </c>
      <c r="AJ150" s="564">
        <f>Watacresall!AJ98*Watersheds!AJ$12/(Watacresall!AJ$2-SUM(Watacresall!AJ$90:AJ$102))</f>
        <v>0</v>
      </c>
      <c r="AK150" s="564">
        <f>Watacresall!AK98*Watersheds!AK$12/(Watacresall!AK$2-SUM(Watacresall!AK$90:AK$102))</f>
        <v>0</v>
      </c>
      <c r="AL150" s="564">
        <f>Watacresall!AL98*Watersheds!AL$12/(Watacresall!AL$2-SUM(Watacresall!AL$90:AL$102))</f>
        <v>0</v>
      </c>
      <c r="AM150" s="564">
        <f>Watacresall!AM98*Watersheds!AM$12/(Watacresall!AM$2-SUM(Watacresall!AM$90:AM$102))</f>
        <v>0</v>
      </c>
      <c r="AN150" s="564">
        <f>Watacresall!AN98*Watersheds!AN$12/(Watacresall!AN$2-SUM(Watacresall!AN$90:AN$102))</f>
        <v>0</v>
      </c>
      <c r="AO150" s="99"/>
      <c r="AP150" s="99">
        <f t="shared" si="22"/>
        <v>113005.52934775666</v>
      </c>
    </row>
    <row r="151" spans="1:42" ht="15" x14ac:dyDescent="0.25">
      <c r="A151" s="563" t="s">
        <v>982</v>
      </c>
      <c r="B151" s="564">
        <f>Watacresall!B99*Watersheds!B$12/(Watacresall!B$2-SUM(Watacresall!B$90:B$102))</f>
        <v>0</v>
      </c>
      <c r="C151" s="564">
        <f>Watacresall!C99*Watersheds!C$12/(Watacresall!C$2-SUM(Watacresall!C$90:C$102))</f>
        <v>0</v>
      </c>
      <c r="D151" s="564">
        <f>Watacresall!D99*Watersheds!D$12/(Watacresall!D$2-SUM(Watacresall!D$90:D$102))</f>
        <v>0</v>
      </c>
      <c r="E151" s="564">
        <f>Watacresall!E99*Watersheds!E$12/(Watacresall!E$2-SUM(Watacresall!E$90:E$102))</f>
        <v>0</v>
      </c>
      <c r="F151" s="564">
        <f>Watacresall!F99*Watersheds!F$12/(Watacresall!F$2-SUM(Watacresall!F$90:F$102))</f>
        <v>0</v>
      </c>
      <c r="G151" s="564">
        <f>Watacresall!G99*Watersheds!G$12/(Watacresall!G$2-SUM(Watacresall!G$90:G$102))</f>
        <v>0</v>
      </c>
      <c r="H151" s="564">
        <f>Watacresall!H99*Watersheds!H$12/(Watacresall!H$2-SUM(Watacresall!H$90:H$102))</f>
        <v>0</v>
      </c>
      <c r="I151" s="564">
        <f>Watacresall!I99*Watersheds!I$12/(Watacresall!I$2-SUM(Watacresall!I$90:I$102))</f>
        <v>0</v>
      </c>
      <c r="J151" s="564">
        <f>Watacresall!J99*Watersheds!J$12/(Watacresall!J$2-SUM(Watacresall!J$90:J$102))</f>
        <v>0</v>
      </c>
      <c r="K151" s="564">
        <f>Watacresall!K99*Watersheds!K$12/(Watacresall!K$2-SUM(Watacresall!K$90:K$102))</f>
        <v>0</v>
      </c>
      <c r="L151" s="564">
        <f>Watacresall!L99*Watersheds!L$12/(Watacresall!L$2-SUM(Watacresall!L$90:L$102))</f>
        <v>0</v>
      </c>
      <c r="M151" s="564">
        <f>Watacresall!M99*Watersheds!M$12/(Watacresall!M$2-SUM(Watacresall!M$90:M$102))</f>
        <v>0</v>
      </c>
      <c r="N151" s="564">
        <f>Watacresall!N99*Watersheds!N$12/(Watacresall!N$2-SUM(Watacresall!N$90:N$102))</f>
        <v>0</v>
      </c>
      <c r="O151" s="564">
        <f>Watacresall!O99*Watersheds!O$12/(Watacresall!O$2-SUM(Watacresall!O$90:O$102))</f>
        <v>0</v>
      </c>
      <c r="P151" s="564">
        <f>Watacresall!P99*Watersheds!P$12/(Watacresall!P$2-SUM(Watacresall!P$90:P$102))</f>
        <v>0</v>
      </c>
      <c r="Q151" s="564">
        <f>Watacresall!Q99*Watersheds!Q$12/(Watacresall!Q$2-SUM(Watacresall!Q$90:Q$102))</f>
        <v>0</v>
      </c>
      <c r="R151" s="564">
        <f>Watacresall!R99*Watersheds!R$12/(Watacresall!R$2-SUM(Watacresall!R$90:R$102))</f>
        <v>0</v>
      </c>
      <c r="S151" s="564">
        <f>Watacresall!S99*Watersheds!S$12/(Watacresall!S$2-SUM(Watacresall!S$90:S$102))</f>
        <v>0</v>
      </c>
      <c r="T151" s="564">
        <f>Watacresall!T99*Watersheds!T$12/(Watacresall!T$2-SUM(Watacresall!T$90:T$102))</f>
        <v>0</v>
      </c>
      <c r="U151" s="564">
        <f>Watacresall!U99*Watersheds!U$12/(Watacresall!U$2-SUM(Watacresall!U$90:U$102))</f>
        <v>299726.78969115781</v>
      </c>
      <c r="V151" s="564">
        <f>Watacresall!V99*Watersheds!V$12/(Watacresall!V$2-SUM(Watacresall!V$90:V$102))</f>
        <v>0</v>
      </c>
      <c r="W151" s="564">
        <f>Watacresall!W99*Watersheds!W$12/(Watacresall!W$2-SUM(Watacresall!W$90:W$102))</f>
        <v>0</v>
      </c>
      <c r="X151" s="564">
        <f>Watacresall!X99*Watersheds!X$12/(Watacresall!X$2-SUM(Watacresall!X$90:X$102))</f>
        <v>256.44458512171229</v>
      </c>
      <c r="Y151" s="564">
        <f>Watacresall!Y99*Watersheds!Y$12/(Watacresall!Y$2-SUM(Watacresall!Y$90:Y$102))</f>
        <v>0</v>
      </c>
      <c r="Z151" s="564">
        <f>Watacresall!Z99*Watersheds!Z$12/(Watacresall!Z$2-SUM(Watacresall!Z$90:Z$102))</f>
        <v>0</v>
      </c>
      <c r="AA151" s="564">
        <f>Watacresall!AA99*Watersheds!AA$12/(Watacresall!AA$2-SUM(Watacresall!AA$90:AA$102))</f>
        <v>0</v>
      </c>
      <c r="AB151" s="564">
        <f>Watacresall!AB99*Watersheds!AB$12/(Watacresall!AB$2-SUM(Watacresall!AB$90:AB$102))</f>
        <v>0</v>
      </c>
      <c r="AC151" s="564">
        <f>Watacresall!AC99*Watersheds!AC$12/(Watacresall!AC$2-SUM(Watacresall!AC$90:AC$102))</f>
        <v>0</v>
      </c>
      <c r="AD151" s="564">
        <f>Watacresall!AD99*Watersheds!AD$12/(Watacresall!AD$2-SUM(Watacresall!AD$90:AD$102))</f>
        <v>0</v>
      </c>
      <c r="AE151" s="564">
        <f>Watacresall!AE99*Watersheds!AE$12/(Watacresall!AE$2-SUM(Watacresall!AE$90:AE$102))</f>
        <v>0</v>
      </c>
      <c r="AF151" s="564">
        <f>Watacresall!AF99*Watersheds!AF$12/(Watacresall!AF$2-SUM(Watacresall!AF$90:AF$102))</f>
        <v>0</v>
      </c>
      <c r="AG151" s="564">
        <f>Watacresall!AG99*Watersheds!AG$12/(Watacresall!AG$2-SUM(Watacresall!AG$90:AG$102))</f>
        <v>0</v>
      </c>
      <c r="AH151" s="564">
        <f>Watacresall!AH99*Watersheds!AH$12/(Watacresall!AH$2-SUM(Watacresall!AH$90:AH$102))</f>
        <v>0</v>
      </c>
      <c r="AI151" s="564">
        <f>Watacresall!AI99*Watersheds!AI$12/(Watacresall!AI$2-SUM(Watacresall!AI$90:AI$102))</f>
        <v>0</v>
      </c>
      <c r="AJ151" s="564">
        <f>Watacresall!AJ99*Watersheds!AJ$12/(Watacresall!AJ$2-SUM(Watacresall!AJ$90:AJ$102))</f>
        <v>0</v>
      </c>
      <c r="AK151" s="564">
        <f>Watacresall!AK99*Watersheds!AK$12/(Watacresall!AK$2-SUM(Watacresall!AK$90:AK$102))</f>
        <v>0</v>
      </c>
      <c r="AL151" s="564">
        <f>Watacresall!AL99*Watersheds!AL$12/(Watacresall!AL$2-SUM(Watacresall!AL$90:AL$102))</f>
        <v>0</v>
      </c>
      <c r="AM151" s="564">
        <f>Watacresall!AM99*Watersheds!AM$12/(Watacresall!AM$2-SUM(Watacresall!AM$90:AM$102))</f>
        <v>0</v>
      </c>
      <c r="AN151" s="564">
        <f>Watacresall!AN99*Watersheds!AN$12/(Watacresall!AN$2-SUM(Watacresall!AN$90:AN$102))</f>
        <v>0</v>
      </c>
      <c r="AO151" s="99"/>
      <c r="AP151" s="99">
        <f t="shared" si="22"/>
        <v>299983.23427627952</v>
      </c>
    </row>
    <row r="152" spans="1:42" ht="15" x14ac:dyDescent="0.25">
      <c r="A152" s="563" t="s">
        <v>983</v>
      </c>
      <c r="B152" s="564">
        <f>Watacresall!B100*Watersheds!B$12/(Watacresall!B$2-SUM(Watacresall!B$90:B$102))</f>
        <v>0</v>
      </c>
      <c r="C152" s="564">
        <f>Watacresall!C100*Watersheds!C$12/(Watacresall!C$2-SUM(Watacresall!C$90:C$102))</f>
        <v>0</v>
      </c>
      <c r="D152" s="564">
        <f>Watacresall!D100*Watersheds!D$12/(Watacresall!D$2-SUM(Watacresall!D$90:D$102))</f>
        <v>0</v>
      </c>
      <c r="E152" s="564">
        <f>Watacresall!E100*Watersheds!E$12/(Watacresall!E$2-SUM(Watacresall!E$90:E$102))</f>
        <v>0</v>
      </c>
      <c r="F152" s="564">
        <f>Watacresall!F100*Watersheds!F$12/(Watacresall!F$2-SUM(Watacresall!F$90:F$102))</f>
        <v>0</v>
      </c>
      <c r="G152" s="564">
        <f>Watacresall!G100*Watersheds!G$12/(Watacresall!G$2-SUM(Watacresall!G$90:G$102))</f>
        <v>0</v>
      </c>
      <c r="H152" s="564">
        <f>Watacresall!H100*Watersheds!H$12/(Watacresall!H$2-SUM(Watacresall!H$90:H$102))</f>
        <v>0</v>
      </c>
      <c r="I152" s="564">
        <f>Watacresall!I100*Watersheds!I$12/(Watacresall!I$2-SUM(Watacresall!I$90:I$102))</f>
        <v>0</v>
      </c>
      <c r="J152" s="564">
        <f>Watacresall!J100*Watersheds!J$12/(Watacresall!J$2-SUM(Watacresall!J$90:J$102))</f>
        <v>0</v>
      </c>
      <c r="K152" s="564">
        <f>Watacresall!K100*Watersheds!K$12/(Watacresall!K$2-SUM(Watacresall!K$90:K$102))</f>
        <v>0</v>
      </c>
      <c r="L152" s="564">
        <f>Watacresall!L100*Watersheds!L$12/(Watacresall!L$2-SUM(Watacresall!L$90:L$102))</f>
        <v>0</v>
      </c>
      <c r="M152" s="564">
        <f>Watacresall!M100*Watersheds!M$12/(Watacresall!M$2-SUM(Watacresall!M$90:M$102))</f>
        <v>0</v>
      </c>
      <c r="N152" s="564">
        <f>Watacresall!N100*Watersheds!N$12/(Watacresall!N$2-SUM(Watacresall!N$90:N$102))</f>
        <v>0</v>
      </c>
      <c r="O152" s="564">
        <f>Watacresall!O100*Watersheds!O$12/(Watacresall!O$2-SUM(Watacresall!O$90:O$102))</f>
        <v>9605.7630507798476</v>
      </c>
      <c r="P152" s="564">
        <f>Watacresall!P100*Watersheds!P$12/(Watacresall!P$2-SUM(Watacresall!P$90:P$102))</f>
        <v>0</v>
      </c>
      <c r="Q152" s="564">
        <f>Watacresall!Q100*Watersheds!Q$12/(Watacresall!Q$2-SUM(Watacresall!Q$90:Q$102))</f>
        <v>0</v>
      </c>
      <c r="R152" s="564">
        <f>Watacresall!R100*Watersheds!R$12/(Watacresall!R$2-SUM(Watacresall!R$90:R$102))</f>
        <v>0</v>
      </c>
      <c r="S152" s="564">
        <f>Watacresall!S100*Watersheds!S$12/(Watacresall!S$2-SUM(Watacresall!S$90:S$102))</f>
        <v>0</v>
      </c>
      <c r="T152" s="564">
        <f>Watacresall!T100*Watersheds!T$12/(Watacresall!T$2-SUM(Watacresall!T$90:T$102))</f>
        <v>0</v>
      </c>
      <c r="U152" s="564">
        <f>Watacresall!U100*Watersheds!U$12/(Watacresall!U$2-SUM(Watacresall!U$90:U$102))</f>
        <v>146689.39825136084</v>
      </c>
      <c r="V152" s="564">
        <f>Watacresall!V100*Watersheds!V$12/(Watacresall!V$2-SUM(Watacresall!V$90:V$102))</f>
        <v>0</v>
      </c>
      <c r="W152" s="564">
        <f>Watacresall!W100*Watersheds!W$12/(Watacresall!W$2-SUM(Watacresall!W$90:W$102))</f>
        <v>0</v>
      </c>
      <c r="X152" s="564">
        <f>Watacresall!X100*Watersheds!X$12/(Watacresall!X$2-SUM(Watacresall!X$90:X$102))</f>
        <v>0</v>
      </c>
      <c r="Y152" s="564">
        <f>Watacresall!Y100*Watersheds!Y$12/(Watacresall!Y$2-SUM(Watacresall!Y$90:Y$102))</f>
        <v>0</v>
      </c>
      <c r="Z152" s="564">
        <f>Watacresall!Z100*Watersheds!Z$12/(Watacresall!Z$2-SUM(Watacresall!Z$90:Z$102))</f>
        <v>0</v>
      </c>
      <c r="AA152" s="564">
        <f>Watacresall!AA100*Watersheds!AA$12/(Watacresall!AA$2-SUM(Watacresall!AA$90:AA$102))</f>
        <v>89445.718294521823</v>
      </c>
      <c r="AB152" s="564">
        <f>Watacresall!AB100*Watersheds!AB$12/(Watacresall!AB$2-SUM(Watacresall!AB$90:AB$102))</f>
        <v>0</v>
      </c>
      <c r="AC152" s="564">
        <f>Watacresall!AC100*Watersheds!AC$12/(Watacresall!AC$2-SUM(Watacresall!AC$90:AC$102))</f>
        <v>0</v>
      </c>
      <c r="AD152" s="564">
        <f>Watacresall!AD100*Watersheds!AD$12/(Watacresall!AD$2-SUM(Watacresall!AD$90:AD$102))</f>
        <v>0</v>
      </c>
      <c r="AE152" s="564">
        <f>Watacresall!AE100*Watersheds!AE$12/(Watacresall!AE$2-SUM(Watacresall!AE$90:AE$102))</f>
        <v>0</v>
      </c>
      <c r="AF152" s="564">
        <f>Watacresall!AF100*Watersheds!AF$12/(Watacresall!AF$2-SUM(Watacresall!AF$90:AF$102))</f>
        <v>0</v>
      </c>
      <c r="AG152" s="564">
        <f>Watacresall!AG100*Watersheds!AG$12/(Watacresall!AG$2-SUM(Watacresall!AG$90:AG$102))</f>
        <v>0</v>
      </c>
      <c r="AH152" s="564">
        <f>Watacresall!AH100*Watersheds!AH$12/(Watacresall!AH$2-SUM(Watacresall!AH$90:AH$102))</f>
        <v>0</v>
      </c>
      <c r="AI152" s="564">
        <f>Watacresall!AI100*Watersheds!AI$12/(Watacresall!AI$2-SUM(Watacresall!AI$90:AI$102))</f>
        <v>0</v>
      </c>
      <c r="AJ152" s="564">
        <f>Watacresall!AJ100*Watersheds!AJ$12/(Watacresall!AJ$2-SUM(Watacresall!AJ$90:AJ$102))</f>
        <v>0</v>
      </c>
      <c r="AK152" s="564">
        <f>Watacresall!AK100*Watersheds!AK$12/(Watacresall!AK$2-SUM(Watacresall!AK$90:AK$102))</f>
        <v>0</v>
      </c>
      <c r="AL152" s="564">
        <f>Watacresall!AL100*Watersheds!AL$12/(Watacresall!AL$2-SUM(Watacresall!AL$90:AL$102))</f>
        <v>2717.8529448734275</v>
      </c>
      <c r="AM152" s="564">
        <f>Watacresall!AM100*Watersheds!AM$12/(Watacresall!AM$2-SUM(Watacresall!AM$90:AM$102))</f>
        <v>0</v>
      </c>
      <c r="AN152" s="564">
        <f>Watacresall!AN100*Watersheds!AN$12/(Watacresall!AN$2-SUM(Watacresall!AN$90:AN$102))</f>
        <v>0</v>
      </c>
      <c r="AO152" s="99"/>
      <c r="AP152" s="99">
        <f t="shared" si="22"/>
        <v>248458.73254153592</v>
      </c>
    </row>
    <row r="153" spans="1:42" ht="15" x14ac:dyDescent="0.25">
      <c r="A153" s="563" t="s">
        <v>984</v>
      </c>
      <c r="B153" s="564">
        <f>Watacresall!B101*Watersheds!B$12/(Watacresall!B$2-SUM(Watacresall!B$90:B$102))</f>
        <v>27628.812956907241</v>
      </c>
      <c r="C153" s="564">
        <f>Watacresall!C101*Watersheds!C$12/(Watacresall!C$2-SUM(Watacresall!C$90:C$102))</f>
        <v>0</v>
      </c>
      <c r="D153" s="564">
        <f>Watacresall!D101*Watersheds!D$12/(Watacresall!D$2-SUM(Watacresall!D$90:D$102))</f>
        <v>0</v>
      </c>
      <c r="E153" s="564">
        <f>Watacresall!E101*Watersheds!E$12/(Watacresall!E$2-SUM(Watacresall!E$90:E$102))</f>
        <v>0</v>
      </c>
      <c r="F153" s="564">
        <f>Watacresall!F101*Watersheds!F$12/(Watacresall!F$2-SUM(Watacresall!F$90:F$102))</f>
        <v>0</v>
      </c>
      <c r="G153" s="564">
        <f>Watacresall!G101*Watersheds!G$12/(Watacresall!G$2-SUM(Watacresall!G$90:G$102))</f>
        <v>2426.5769725267205</v>
      </c>
      <c r="H153" s="564">
        <f>Watacresall!H101*Watersheds!H$12/(Watacresall!H$2-SUM(Watacresall!H$90:H$102))</f>
        <v>116.1585457357825</v>
      </c>
      <c r="I153" s="564">
        <f>Watacresall!I101*Watersheds!I$12/(Watacresall!I$2-SUM(Watacresall!I$90:I$102))</f>
        <v>0</v>
      </c>
      <c r="J153" s="564">
        <f>Watacresall!J101*Watersheds!J$12/(Watacresall!J$2-SUM(Watacresall!J$90:J$102))</f>
        <v>0</v>
      </c>
      <c r="K153" s="564">
        <f>Watacresall!K101*Watersheds!K$12/(Watacresall!K$2-SUM(Watacresall!K$90:K$102))</f>
        <v>0</v>
      </c>
      <c r="L153" s="564">
        <f>Watacresall!L101*Watersheds!L$12/(Watacresall!L$2-SUM(Watacresall!L$90:L$102))</f>
        <v>0</v>
      </c>
      <c r="M153" s="564">
        <f>Watacresall!M101*Watersheds!M$12/(Watacresall!M$2-SUM(Watacresall!M$90:M$102))</f>
        <v>7242.7297863041904</v>
      </c>
      <c r="N153" s="564">
        <f>Watacresall!N101*Watersheds!N$12/(Watacresall!N$2-SUM(Watacresall!N$90:N$102))</f>
        <v>0</v>
      </c>
      <c r="O153" s="564">
        <f>Watacresall!O101*Watersheds!O$12/(Watacresall!O$2-SUM(Watacresall!O$90:O$102))</f>
        <v>0</v>
      </c>
      <c r="P153" s="564">
        <f>Watacresall!P101*Watersheds!P$12/(Watacresall!P$2-SUM(Watacresall!P$90:P$102))</f>
        <v>0</v>
      </c>
      <c r="Q153" s="564">
        <f>Watacresall!Q101*Watersheds!Q$12/(Watacresall!Q$2-SUM(Watacresall!Q$90:Q$102))</f>
        <v>0</v>
      </c>
      <c r="R153" s="564">
        <f>Watacresall!R101*Watersheds!R$12/(Watacresall!R$2-SUM(Watacresall!R$90:R$102))</f>
        <v>11463.531550095191</v>
      </c>
      <c r="S153" s="564">
        <f>Watacresall!S101*Watersheds!S$12/(Watacresall!S$2-SUM(Watacresall!S$90:S$102))</f>
        <v>77760.690842945216</v>
      </c>
      <c r="T153" s="564">
        <f>Watacresall!T101*Watersheds!T$12/(Watacresall!T$2-SUM(Watacresall!T$90:T$102))</f>
        <v>0</v>
      </c>
      <c r="U153" s="564">
        <f>Watacresall!U101*Watersheds!U$12/(Watacresall!U$2-SUM(Watacresall!U$90:U$102))</f>
        <v>0</v>
      </c>
      <c r="V153" s="564">
        <f>Watacresall!V101*Watersheds!V$12/(Watacresall!V$2-SUM(Watacresall!V$90:V$102))</f>
        <v>0</v>
      </c>
      <c r="W153" s="564">
        <f>Watacresall!W101*Watersheds!W$12/(Watacresall!W$2-SUM(Watacresall!W$90:W$102))</f>
        <v>0</v>
      </c>
      <c r="X153" s="564">
        <f>Watacresall!X101*Watersheds!X$12/(Watacresall!X$2-SUM(Watacresall!X$90:X$102))</f>
        <v>0</v>
      </c>
      <c r="Y153" s="564">
        <f>Watacresall!Y101*Watersheds!Y$12/(Watacresall!Y$2-SUM(Watacresall!Y$90:Y$102))</f>
        <v>0</v>
      </c>
      <c r="Z153" s="564">
        <f>Watacresall!Z101*Watersheds!Z$12/(Watacresall!Z$2-SUM(Watacresall!Z$90:Z$102))</f>
        <v>0</v>
      </c>
      <c r="AA153" s="564">
        <f>Watacresall!AA101*Watersheds!AA$12/(Watacresall!AA$2-SUM(Watacresall!AA$90:AA$102))</f>
        <v>169904.78746420977</v>
      </c>
      <c r="AB153" s="564">
        <f>Watacresall!AB101*Watersheds!AB$12/(Watacresall!AB$2-SUM(Watacresall!AB$90:AB$102))</f>
        <v>0</v>
      </c>
      <c r="AC153" s="564">
        <f>Watacresall!AC101*Watersheds!AC$12/(Watacresall!AC$2-SUM(Watacresall!AC$90:AC$102))</f>
        <v>0.4011650794904591</v>
      </c>
      <c r="AD153" s="564">
        <f>Watacresall!AD101*Watersheds!AD$12/(Watacresall!AD$2-SUM(Watacresall!AD$90:AD$102))</f>
        <v>0</v>
      </c>
      <c r="AE153" s="564">
        <f>Watacresall!AE101*Watersheds!AE$12/(Watacresall!AE$2-SUM(Watacresall!AE$90:AE$102))</f>
        <v>0</v>
      </c>
      <c r="AF153" s="564">
        <f>Watacresall!AF101*Watersheds!AF$12/(Watacresall!AF$2-SUM(Watacresall!AF$90:AF$102))</f>
        <v>0</v>
      </c>
      <c r="AG153" s="564">
        <f>Watacresall!AG101*Watersheds!AG$12/(Watacresall!AG$2-SUM(Watacresall!AG$90:AG$102))</f>
        <v>0</v>
      </c>
      <c r="AH153" s="564">
        <f>Watacresall!AH101*Watersheds!AH$12/(Watacresall!AH$2-SUM(Watacresall!AH$90:AH$102))</f>
        <v>0</v>
      </c>
      <c r="AI153" s="564">
        <f>Watacresall!AI101*Watersheds!AI$12/(Watacresall!AI$2-SUM(Watacresall!AI$90:AI$102))</f>
        <v>0</v>
      </c>
      <c r="AJ153" s="564">
        <f>Watacresall!AJ101*Watersheds!AJ$12/(Watacresall!AJ$2-SUM(Watacresall!AJ$90:AJ$102))</f>
        <v>0</v>
      </c>
      <c r="AK153" s="564">
        <f>Watacresall!AK101*Watersheds!AK$12/(Watacresall!AK$2-SUM(Watacresall!AK$90:AK$102))</f>
        <v>0</v>
      </c>
      <c r="AL153" s="564">
        <f>Watacresall!AL101*Watersheds!AL$12/(Watacresall!AL$2-SUM(Watacresall!AL$90:AL$102))</f>
        <v>0</v>
      </c>
      <c r="AM153" s="564">
        <f>Watacresall!AM101*Watersheds!AM$12/(Watacresall!AM$2-SUM(Watacresall!AM$90:AM$102))</f>
        <v>0</v>
      </c>
      <c r="AN153" s="564">
        <f>Watacresall!AN101*Watersheds!AN$12/(Watacresall!AN$2-SUM(Watacresall!AN$90:AN$102))</f>
        <v>0</v>
      </c>
      <c r="AO153" s="99"/>
      <c r="AP153" s="99">
        <f t="shared" si="22"/>
        <v>296543.68928380363</v>
      </c>
    </row>
    <row r="154" spans="1:42" ht="15" x14ac:dyDescent="0.25">
      <c r="A154" s="563" t="s">
        <v>985</v>
      </c>
      <c r="B154" s="564">
        <f>Watacresall!B102*Watersheds!B$12/(Watacresall!B$2-SUM(Watacresall!B$90:B$102))</f>
        <v>0</v>
      </c>
      <c r="C154" s="564">
        <f>Watacresall!C102*Watersheds!C$12/(Watacresall!C$2-SUM(Watacresall!C$90:C$102))</f>
        <v>0</v>
      </c>
      <c r="D154" s="564">
        <f>Watacresall!D102*Watersheds!D$12/(Watacresall!D$2-SUM(Watacresall!D$90:D$102))</f>
        <v>0</v>
      </c>
      <c r="E154" s="564">
        <f>Watacresall!E102*Watersheds!E$12/(Watacresall!E$2-SUM(Watacresall!E$90:E$102))</f>
        <v>0</v>
      </c>
      <c r="F154" s="564">
        <f>Watacresall!F102*Watersheds!F$12/(Watacresall!F$2-SUM(Watacresall!F$90:F$102))</f>
        <v>0</v>
      </c>
      <c r="G154" s="564">
        <f>Watacresall!G102*Watersheds!G$12/(Watacresall!G$2-SUM(Watacresall!G$90:G$102))</f>
        <v>0</v>
      </c>
      <c r="H154" s="564">
        <f>Watacresall!H102*Watersheds!H$12/(Watacresall!H$2-SUM(Watacresall!H$90:H$102))</f>
        <v>0</v>
      </c>
      <c r="I154" s="564">
        <f>Watacresall!I102*Watersheds!I$12/(Watacresall!I$2-SUM(Watacresall!I$90:I$102))</f>
        <v>0</v>
      </c>
      <c r="J154" s="564">
        <f>Watacresall!J102*Watersheds!J$12/(Watacresall!J$2-SUM(Watacresall!J$90:J$102))</f>
        <v>0</v>
      </c>
      <c r="K154" s="564">
        <f>Watacresall!K102*Watersheds!K$12/(Watacresall!K$2-SUM(Watacresall!K$90:K$102))</f>
        <v>0</v>
      </c>
      <c r="L154" s="564">
        <f>Watacresall!L102*Watersheds!L$12/(Watacresall!L$2-SUM(Watacresall!L$90:L$102))</f>
        <v>0</v>
      </c>
      <c r="M154" s="564">
        <f>Watacresall!M102*Watersheds!M$12/(Watacresall!M$2-SUM(Watacresall!M$90:M$102))</f>
        <v>14380.968475811982</v>
      </c>
      <c r="N154" s="564">
        <f>Watacresall!N102*Watersheds!N$12/(Watacresall!N$2-SUM(Watacresall!N$90:N$102))</f>
        <v>0</v>
      </c>
      <c r="O154" s="564">
        <f>Watacresall!O102*Watersheds!O$12/(Watacresall!O$2-SUM(Watacresall!O$90:O$102))</f>
        <v>0</v>
      </c>
      <c r="P154" s="564">
        <f>Watacresall!P102*Watersheds!P$12/(Watacresall!P$2-SUM(Watacresall!P$90:P$102))</f>
        <v>0</v>
      </c>
      <c r="Q154" s="564">
        <f>Watacresall!Q102*Watersheds!Q$12/(Watacresall!Q$2-SUM(Watacresall!Q$90:Q$102))</f>
        <v>0</v>
      </c>
      <c r="R154" s="564">
        <f>Watacresall!R102*Watersheds!R$12/(Watacresall!R$2-SUM(Watacresall!R$90:R$102))</f>
        <v>0</v>
      </c>
      <c r="S154" s="564">
        <f>Watacresall!S102*Watersheds!S$12/(Watacresall!S$2-SUM(Watacresall!S$90:S$102))</f>
        <v>35941.549315456454</v>
      </c>
      <c r="T154" s="564">
        <f>Watacresall!T102*Watersheds!T$12/(Watacresall!T$2-SUM(Watacresall!T$90:T$102))</f>
        <v>0</v>
      </c>
      <c r="U154" s="564">
        <f>Watacresall!U102*Watersheds!U$12/(Watacresall!U$2-SUM(Watacresall!U$90:U$102))</f>
        <v>226970.78671336439</v>
      </c>
      <c r="V154" s="564">
        <f>Watacresall!V102*Watersheds!V$12/(Watacresall!V$2-SUM(Watacresall!V$90:V$102))</f>
        <v>0</v>
      </c>
      <c r="W154" s="564">
        <f>Watacresall!W102*Watersheds!W$12/(Watacresall!W$2-SUM(Watacresall!W$90:W$102))</f>
        <v>0</v>
      </c>
      <c r="X154" s="564">
        <f>Watacresall!X102*Watersheds!X$12/(Watacresall!X$2-SUM(Watacresall!X$90:X$102))</f>
        <v>67945.47798725852</v>
      </c>
      <c r="Y154" s="564">
        <f>Watacresall!Y102*Watersheds!Y$12/(Watacresall!Y$2-SUM(Watacresall!Y$90:Y$102))</f>
        <v>0</v>
      </c>
      <c r="Z154" s="564">
        <f>Watacresall!Z102*Watersheds!Z$12/(Watacresall!Z$2-SUM(Watacresall!Z$90:Z$102))</f>
        <v>0</v>
      </c>
      <c r="AA154" s="564">
        <f>Watacresall!AA102*Watersheds!AA$12/(Watacresall!AA$2-SUM(Watacresall!AA$90:AA$102))</f>
        <v>0</v>
      </c>
      <c r="AB154" s="564">
        <f>Watacresall!AB102*Watersheds!AB$12/(Watacresall!AB$2-SUM(Watacresall!AB$90:AB$102))</f>
        <v>0</v>
      </c>
      <c r="AC154" s="564">
        <f>Watacresall!AC102*Watersheds!AC$12/(Watacresall!AC$2-SUM(Watacresall!AC$90:AC$102))</f>
        <v>0</v>
      </c>
      <c r="AD154" s="564">
        <f>Watacresall!AD102*Watersheds!AD$12/(Watacresall!AD$2-SUM(Watacresall!AD$90:AD$102))</f>
        <v>0</v>
      </c>
      <c r="AE154" s="564">
        <f>Watacresall!AE102*Watersheds!AE$12/(Watacresall!AE$2-SUM(Watacresall!AE$90:AE$102))</f>
        <v>0</v>
      </c>
      <c r="AF154" s="564">
        <f>Watacresall!AF102*Watersheds!AF$12/(Watacresall!AF$2-SUM(Watacresall!AF$90:AF$102))</f>
        <v>0</v>
      </c>
      <c r="AG154" s="564">
        <f>Watacresall!AG102*Watersheds!AG$12/(Watacresall!AG$2-SUM(Watacresall!AG$90:AG$102))</f>
        <v>0</v>
      </c>
      <c r="AH154" s="564">
        <f>Watacresall!AH102*Watersheds!AH$12/(Watacresall!AH$2-SUM(Watacresall!AH$90:AH$102))</f>
        <v>0</v>
      </c>
      <c r="AI154" s="564">
        <f>Watacresall!AI102*Watersheds!AI$12/(Watacresall!AI$2-SUM(Watacresall!AI$90:AI$102))</f>
        <v>0</v>
      </c>
      <c r="AJ154" s="564">
        <f>Watacresall!AJ102*Watersheds!AJ$12/(Watacresall!AJ$2-SUM(Watacresall!AJ$90:AJ$102))</f>
        <v>0</v>
      </c>
      <c r="AK154" s="564">
        <f>Watacresall!AK102*Watersheds!AK$12/(Watacresall!AK$2-SUM(Watacresall!AK$90:AK$102))</f>
        <v>0</v>
      </c>
      <c r="AL154" s="564">
        <f>Watacresall!AL102*Watersheds!AL$12/(Watacresall!AL$2-SUM(Watacresall!AL$90:AL$102))</f>
        <v>0</v>
      </c>
      <c r="AM154" s="564">
        <f>Watacresall!AM102*Watersheds!AM$12/(Watacresall!AM$2-SUM(Watacresall!AM$90:AM$102))</f>
        <v>0</v>
      </c>
      <c r="AN154" s="564">
        <f>Watacresall!AN102*Watersheds!AN$12/(Watacresall!AN$2-SUM(Watacresall!AN$90:AN$102))</f>
        <v>0</v>
      </c>
      <c r="AO154" s="99"/>
      <c r="AP154" s="99">
        <f t="shared" si="22"/>
        <v>345238.78249189135</v>
      </c>
    </row>
  </sheetData>
  <sheetProtection algorithmName="SHA-512" hashValue="2e7ghcpXQrjnR2SEloaR+Eyw40Ie9XfsLCQ+YYSBU0YiJ6QT+D19RCBGAK5xGG46zWgE4LilJGscfm5md/7Pgw==" saltValue="6JDAG/mKTHuHjugQoTkWWA==" spinCount="100000" sheet="1" objects="1" scenarios="1"/>
  <conditionalFormatting sqref="B3:K3 M3:Q3 S3 U3:AN3">
    <cfRule type="expression" dxfId="75" priority="48">
      <formula>#REF!=0</formula>
    </cfRule>
  </conditionalFormatting>
  <conditionalFormatting sqref="B10:AN22 B9:K9 M9:Q9 S9 U9:AN9 B25 C23:AN23 D25:AN25 C37 C25:C26">
    <cfRule type="expression" dxfId="74" priority="47">
      <formula>#REF!=0</formula>
    </cfRule>
  </conditionalFormatting>
  <conditionalFormatting sqref="D37:AN37 B26:B37 D26:AN26 C27:AN28 C35:AN35">
    <cfRule type="expression" dxfId="73" priority="45">
      <formula>#REF!=0</formula>
    </cfRule>
  </conditionalFormatting>
  <conditionalFormatting sqref="B119">
    <cfRule type="expression" dxfId="72" priority="44">
      <formula>#REF!=0</formula>
    </cfRule>
  </conditionalFormatting>
  <conditionalFormatting sqref="B118">
    <cfRule type="expression" dxfId="71" priority="42">
      <formula>#REF!=0</formula>
    </cfRule>
  </conditionalFormatting>
  <conditionalFormatting sqref="B121:K121 S121 U121:AN121 M121:Q121">
    <cfRule type="expression" dxfId="70" priority="41">
      <formula>#REF!=0</formula>
    </cfRule>
  </conditionalFormatting>
  <conditionalFormatting sqref="B122:AN122">
    <cfRule type="expression" dxfId="69" priority="40">
      <formula>#REF!=0</formula>
    </cfRule>
  </conditionalFormatting>
  <conditionalFormatting sqref="L3">
    <cfRule type="expression" dxfId="68" priority="37">
      <formula>#REF!=0</formula>
    </cfRule>
  </conditionalFormatting>
  <conditionalFormatting sqref="L9">
    <cfRule type="expression" dxfId="67" priority="36">
      <formula>#REF!=0</formula>
    </cfRule>
  </conditionalFormatting>
  <conditionalFormatting sqref="R9">
    <cfRule type="expression" dxfId="66" priority="34">
      <formula>#REF!=0</formula>
    </cfRule>
  </conditionalFormatting>
  <conditionalFormatting sqref="R3">
    <cfRule type="expression" dxfId="65" priority="35">
      <formula>#REF!=0</formula>
    </cfRule>
  </conditionalFormatting>
  <conditionalFormatting sqref="T3">
    <cfRule type="expression" dxfId="64" priority="33">
      <formula>#REF!=0</formula>
    </cfRule>
  </conditionalFormatting>
  <conditionalFormatting sqref="T9">
    <cfRule type="expression" dxfId="63" priority="32">
      <formula>#REF!=0</formula>
    </cfRule>
  </conditionalFormatting>
  <conditionalFormatting sqref="B38:B117 C39:AN117">
    <cfRule type="expression" dxfId="62" priority="31">
      <formula>#REF!=0</formula>
    </cfRule>
  </conditionalFormatting>
  <conditionalFormatting sqref="B23">
    <cfRule type="expression" dxfId="61" priority="30">
      <formula>#REF!=0</formula>
    </cfRule>
  </conditionalFormatting>
  <conditionalFormatting sqref="T121">
    <cfRule type="expression" dxfId="60" priority="22">
      <formula>#REF!=0</formula>
    </cfRule>
  </conditionalFormatting>
  <conditionalFormatting sqref="L121">
    <cfRule type="expression" dxfId="59" priority="20">
      <formula>#REF!=0</formula>
    </cfRule>
  </conditionalFormatting>
  <conditionalFormatting sqref="D118:AN118">
    <cfRule type="expression" dxfId="58" priority="25">
      <formula>#REF!=0</formula>
    </cfRule>
  </conditionalFormatting>
  <conditionalFormatting sqref="R121">
    <cfRule type="expression" dxfId="57" priority="24">
      <formula>#REF!=0</formula>
    </cfRule>
  </conditionalFormatting>
  <conditionalFormatting sqref="C29:AN30 C36:AN36">
    <cfRule type="expression" dxfId="56" priority="15">
      <formula>#REF!=0</formula>
    </cfRule>
  </conditionalFormatting>
  <conditionalFormatting sqref="C118">
    <cfRule type="expression" dxfId="55" priority="16">
      <formula>#REF!=0</formula>
    </cfRule>
  </conditionalFormatting>
  <conditionalFormatting sqref="C31:AN34">
    <cfRule type="expression" dxfId="54" priority="14">
      <formula>#REF!=0</formula>
    </cfRule>
  </conditionalFormatting>
  <conditionalFormatting sqref="B24:AN24">
    <cfRule type="expression" dxfId="53" priority="13">
      <formula>#REF!=0</formula>
    </cfRule>
  </conditionalFormatting>
  <conditionalFormatting sqref="C38:AN38">
    <cfRule type="expression" dxfId="52" priority="7">
      <formula>#REF!=0</formula>
    </cfRule>
  </conditionalFormatting>
  <conditionalFormatting sqref="AP122">
    <cfRule type="expression" dxfId="51" priority="5">
      <formula>#REF!=0</formula>
    </cfRule>
  </conditionalFormatting>
  <conditionalFormatting sqref="B142:B154">
    <cfRule type="expression" dxfId="50" priority="4">
      <formula>#REF!=0</formula>
    </cfRule>
  </conditionalFormatting>
  <conditionalFormatting sqref="C142:AN154">
    <cfRule type="expression" dxfId="49" priority="2">
      <formula>#REF!=0</formula>
    </cfRule>
  </conditionalFormatting>
  <conditionalFormatting sqref="C119:AN119">
    <cfRule type="expression" dxfId="48" priority="1">
      <formula>#REF!=0</formula>
    </cfRule>
  </conditionalFormatting>
  <pageMargins left="0.7" right="0.7" top="0.75" bottom="0.75" header="0.3" footer="0.3"/>
  <legacyDrawing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dimension ref="A1:AW102"/>
  <sheetViews>
    <sheetView workbookViewId="0"/>
  </sheetViews>
  <sheetFormatPr defaultRowHeight="12.75" x14ac:dyDescent="0.2"/>
  <cols>
    <col min="1" max="1" width="46.85546875" style="98" customWidth="1"/>
    <col min="2" max="2" width="13.42578125" style="98" bestFit="1" customWidth="1"/>
    <col min="3" max="3" width="11.42578125" style="98" bestFit="1" customWidth="1"/>
    <col min="4" max="9" width="13" style="98" bestFit="1" customWidth="1"/>
    <col min="10" max="10" width="11.42578125" style="98" bestFit="1" customWidth="1"/>
    <col min="11" max="11" width="13" style="98" bestFit="1" customWidth="1"/>
    <col min="12" max="12" width="12.85546875" style="98" customWidth="1"/>
    <col min="13" max="13" width="13" style="98" bestFit="1" customWidth="1"/>
    <col min="14" max="14" width="11.42578125" style="98" bestFit="1" customWidth="1"/>
    <col min="15" max="15" width="13" style="98" bestFit="1" customWidth="1"/>
    <col min="16" max="17" width="11.42578125" style="98" bestFit="1" customWidth="1"/>
    <col min="18" max="18" width="11.28515625" style="98" customWidth="1"/>
    <col min="19" max="19" width="13" style="98" bestFit="1" customWidth="1"/>
    <col min="20" max="20" width="12.85546875" style="98" customWidth="1"/>
    <col min="21" max="21" width="13" style="98" bestFit="1" customWidth="1"/>
    <col min="22" max="22" width="10.42578125" style="98" bestFit="1" customWidth="1"/>
    <col min="23" max="25" width="11.42578125" style="98" bestFit="1" customWidth="1"/>
    <col min="26" max="28" width="13" style="98" bestFit="1" customWidth="1"/>
    <col min="29" max="29" width="11.42578125" style="98" bestFit="1" customWidth="1"/>
    <col min="30" max="30" width="13.5703125" style="98" bestFit="1" customWidth="1"/>
    <col min="31" max="32" width="11.42578125" style="98" bestFit="1" customWidth="1"/>
    <col min="33" max="33" width="10.42578125" style="98" bestFit="1" customWidth="1"/>
    <col min="34" max="34" width="13" style="98" bestFit="1" customWidth="1"/>
    <col min="35" max="37" width="11.42578125" style="98" bestFit="1" customWidth="1"/>
    <col min="38" max="38" width="13" style="98" bestFit="1" customWidth="1"/>
    <col min="39" max="39" width="11.42578125" style="98" bestFit="1" customWidth="1"/>
    <col min="40" max="40" width="13" style="98" bestFit="1" customWidth="1"/>
    <col min="41" max="41" width="9.140625" style="98"/>
    <col min="42" max="42" width="14.28515625" style="98" bestFit="1" customWidth="1"/>
    <col min="43" max="43" width="13.140625" style="98" customWidth="1"/>
    <col min="44" max="45" width="9.140625" style="98"/>
    <col min="46" max="46" width="17.28515625" style="98" customWidth="1"/>
    <col min="47" max="47" width="9.28515625" style="98" bestFit="1" customWidth="1"/>
    <col min="48" max="48" width="9.140625" style="98"/>
    <col min="49" max="49" width="9.28515625" style="98" bestFit="1" customWidth="1"/>
    <col min="50" max="259" width="9.140625" style="98"/>
    <col min="260" max="260" width="46.85546875" style="98" customWidth="1"/>
    <col min="261" max="261" width="12.85546875" style="98" bestFit="1" customWidth="1"/>
    <col min="262" max="262" width="11.28515625" style="98" bestFit="1" customWidth="1"/>
    <col min="263" max="268" width="12.85546875" style="98" bestFit="1" customWidth="1"/>
    <col min="269" max="269" width="11.28515625" style="98" bestFit="1" customWidth="1"/>
    <col min="270" max="271" width="12.85546875" style="98" bestFit="1" customWidth="1"/>
    <col min="272" max="272" width="11.28515625" style="98" bestFit="1" customWidth="1"/>
    <col min="273" max="273" width="12.85546875" style="98" bestFit="1" customWidth="1"/>
    <col min="274" max="275" width="11.28515625" style="98" bestFit="1" customWidth="1"/>
    <col min="276" max="277" width="12.85546875" style="98" bestFit="1" customWidth="1"/>
    <col min="278" max="278" width="10.28515625" style="98" bestFit="1" customWidth="1"/>
    <col min="279" max="281" width="11.28515625" style="98" bestFit="1" customWidth="1"/>
    <col min="282" max="284" width="12.85546875" style="98" bestFit="1" customWidth="1"/>
    <col min="285" max="288" width="11.28515625" style="98" bestFit="1" customWidth="1"/>
    <col min="289" max="289" width="10.28515625" style="98" bestFit="1" customWidth="1"/>
    <col min="290" max="290" width="12.85546875" style="98" bestFit="1" customWidth="1"/>
    <col min="291" max="293" width="11.28515625" style="98" bestFit="1" customWidth="1"/>
    <col min="294" max="294" width="12.85546875" style="98" bestFit="1" customWidth="1"/>
    <col min="295" max="295" width="11.28515625" style="98" bestFit="1" customWidth="1"/>
    <col min="296" max="296" width="12.85546875" style="98" bestFit="1" customWidth="1"/>
    <col min="297" max="297" width="9.140625" style="98"/>
    <col min="298" max="298" width="14" style="98" bestFit="1" customWidth="1"/>
    <col min="299" max="515" width="9.140625" style="98"/>
    <col min="516" max="516" width="46.85546875" style="98" customWidth="1"/>
    <col min="517" max="517" width="12.85546875" style="98" bestFit="1" customWidth="1"/>
    <col min="518" max="518" width="11.28515625" style="98" bestFit="1" customWidth="1"/>
    <col min="519" max="524" width="12.85546875" style="98" bestFit="1" customWidth="1"/>
    <col min="525" max="525" width="11.28515625" style="98" bestFit="1" customWidth="1"/>
    <col min="526" max="527" width="12.85546875" style="98" bestFit="1" customWidth="1"/>
    <col min="528" max="528" width="11.28515625" style="98" bestFit="1" customWidth="1"/>
    <col min="529" max="529" width="12.85546875" style="98" bestFit="1" customWidth="1"/>
    <col min="530" max="531" width="11.28515625" style="98" bestFit="1" customWidth="1"/>
    <col min="532" max="533" width="12.85546875" style="98" bestFit="1" customWidth="1"/>
    <col min="534" max="534" width="10.28515625" style="98" bestFit="1" customWidth="1"/>
    <col min="535" max="537" width="11.28515625" style="98" bestFit="1" customWidth="1"/>
    <col min="538" max="540" width="12.85546875" style="98" bestFit="1" customWidth="1"/>
    <col min="541" max="544" width="11.28515625" style="98" bestFit="1" customWidth="1"/>
    <col min="545" max="545" width="10.28515625" style="98" bestFit="1" customWidth="1"/>
    <col min="546" max="546" width="12.85546875" style="98" bestFit="1" customWidth="1"/>
    <col min="547" max="549" width="11.28515625" style="98" bestFit="1" customWidth="1"/>
    <col min="550" max="550" width="12.85546875" style="98" bestFit="1" customWidth="1"/>
    <col min="551" max="551" width="11.28515625" style="98" bestFit="1" customWidth="1"/>
    <col min="552" max="552" width="12.85546875" style="98" bestFit="1" customWidth="1"/>
    <col min="553" max="553" width="9.140625" style="98"/>
    <col min="554" max="554" width="14" style="98" bestFit="1" customWidth="1"/>
    <col min="555" max="771" width="9.140625" style="98"/>
    <col min="772" max="772" width="46.85546875" style="98" customWidth="1"/>
    <col min="773" max="773" width="12.85546875" style="98" bestFit="1" customWidth="1"/>
    <col min="774" max="774" width="11.28515625" style="98" bestFit="1" customWidth="1"/>
    <col min="775" max="780" width="12.85546875" style="98" bestFit="1" customWidth="1"/>
    <col min="781" max="781" width="11.28515625" style="98" bestFit="1" customWidth="1"/>
    <col min="782" max="783" width="12.85546875" style="98" bestFit="1" customWidth="1"/>
    <col min="784" max="784" width="11.28515625" style="98" bestFit="1" customWidth="1"/>
    <col min="785" max="785" width="12.85546875" style="98" bestFit="1" customWidth="1"/>
    <col min="786" max="787" width="11.28515625" style="98" bestFit="1" customWidth="1"/>
    <col min="788" max="789" width="12.85546875" style="98" bestFit="1" customWidth="1"/>
    <col min="790" max="790" width="10.28515625" style="98" bestFit="1" customWidth="1"/>
    <col min="791" max="793" width="11.28515625" style="98" bestFit="1" customWidth="1"/>
    <col min="794" max="796" width="12.85546875" style="98" bestFit="1" customWidth="1"/>
    <col min="797" max="800" width="11.28515625" style="98" bestFit="1" customWidth="1"/>
    <col min="801" max="801" width="10.28515625" style="98" bestFit="1" customWidth="1"/>
    <col min="802" max="802" width="12.85546875" style="98" bestFit="1" customWidth="1"/>
    <col min="803" max="805" width="11.28515625" style="98" bestFit="1" customWidth="1"/>
    <col min="806" max="806" width="12.85546875" style="98" bestFit="1" customWidth="1"/>
    <col min="807" max="807" width="11.28515625" style="98" bestFit="1" customWidth="1"/>
    <col min="808" max="808" width="12.85546875" style="98" bestFit="1" customWidth="1"/>
    <col min="809" max="809" width="9.140625" style="98"/>
    <col min="810" max="810" width="14" style="98" bestFit="1" customWidth="1"/>
    <col min="811" max="1027" width="9.140625" style="98"/>
    <col min="1028" max="1028" width="46.85546875" style="98" customWidth="1"/>
    <col min="1029" max="1029" width="12.85546875" style="98" bestFit="1" customWidth="1"/>
    <col min="1030" max="1030" width="11.28515625" style="98" bestFit="1" customWidth="1"/>
    <col min="1031" max="1036" width="12.85546875" style="98" bestFit="1" customWidth="1"/>
    <col min="1037" max="1037" width="11.28515625" style="98" bestFit="1" customWidth="1"/>
    <col min="1038" max="1039" width="12.85546875" style="98" bestFit="1" customWidth="1"/>
    <col min="1040" max="1040" width="11.28515625" style="98" bestFit="1" customWidth="1"/>
    <col min="1041" max="1041" width="12.85546875" style="98" bestFit="1" customWidth="1"/>
    <col min="1042" max="1043" width="11.28515625" style="98" bestFit="1" customWidth="1"/>
    <col min="1044" max="1045" width="12.85546875" style="98" bestFit="1" customWidth="1"/>
    <col min="1046" max="1046" width="10.28515625" style="98" bestFit="1" customWidth="1"/>
    <col min="1047" max="1049" width="11.28515625" style="98" bestFit="1" customWidth="1"/>
    <col min="1050" max="1052" width="12.85546875" style="98" bestFit="1" customWidth="1"/>
    <col min="1053" max="1056" width="11.28515625" style="98" bestFit="1" customWidth="1"/>
    <col min="1057" max="1057" width="10.28515625" style="98" bestFit="1" customWidth="1"/>
    <col min="1058" max="1058" width="12.85546875" style="98" bestFit="1" customWidth="1"/>
    <col min="1059" max="1061" width="11.28515625" style="98" bestFit="1" customWidth="1"/>
    <col min="1062" max="1062" width="12.85546875" style="98" bestFit="1" customWidth="1"/>
    <col min="1063" max="1063" width="11.28515625" style="98" bestFit="1" customWidth="1"/>
    <col min="1064" max="1064" width="12.85546875" style="98" bestFit="1" customWidth="1"/>
    <col min="1065" max="1065" width="9.140625" style="98"/>
    <col min="1066" max="1066" width="14" style="98" bestFit="1" customWidth="1"/>
    <col min="1067" max="1283" width="9.140625" style="98"/>
    <col min="1284" max="1284" width="46.85546875" style="98" customWidth="1"/>
    <col min="1285" max="1285" width="12.85546875" style="98" bestFit="1" customWidth="1"/>
    <col min="1286" max="1286" width="11.28515625" style="98" bestFit="1" customWidth="1"/>
    <col min="1287" max="1292" width="12.85546875" style="98" bestFit="1" customWidth="1"/>
    <col min="1293" max="1293" width="11.28515625" style="98" bestFit="1" customWidth="1"/>
    <col min="1294" max="1295" width="12.85546875" style="98" bestFit="1" customWidth="1"/>
    <col min="1296" max="1296" width="11.28515625" style="98" bestFit="1" customWidth="1"/>
    <col min="1297" max="1297" width="12.85546875" style="98" bestFit="1" customWidth="1"/>
    <col min="1298" max="1299" width="11.28515625" style="98" bestFit="1" customWidth="1"/>
    <col min="1300" max="1301" width="12.85546875" style="98" bestFit="1" customWidth="1"/>
    <col min="1302" max="1302" width="10.28515625" style="98" bestFit="1" customWidth="1"/>
    <col min="1303" max="1305" width="11.28515625" style="98" bestFit="1" customWidth="1"/>
    <col min="1306" max="1308" width="12.85546875" style="98" bestFit="1" customWidth="1"/>
    <col min="1309" max="1312" width="11.28515625" style="98" bestFit="1" customWidth="1"/>
    <col min="1313" max="1313" width="10.28515625" style="98" bestFit="1" customWidth="1"/>
    <col min="1314" max="1314" width="12.85546875" style="98" bestFit="1" customWidth="1"/>
    <col min="1315" max="1317" width="11.28515625" style="98" bestFit="1" customWidth="1"/>
    <col min="1318" max="1318" width="12.85546875" style="98" bestFit="1" customWidth="1"/>
    <col min="1319" max="1319" width="11.28515625" style="98" bestFit="1" customWidth="1"/>
    <col min="1320" max="1320" width="12.85546875" style="98" bestFit="1" customWidth="1"/>
    <col min="1321" max="1321" width="9.140625" style="98"/>
    <col min="1322" max="1322" width="14" style="98" bestFit="1" customWidth="1"/>
    <col min="1323" max="1539" width="9.140625" style="98"/>
    <col min="1540" max="1540" width="46.85546875" style="98" customWidth="1"/>
    <col min="1541" max="1541" width="12.85546875" style="98" bestFit="1" customWidth="1"/>
    <col min="1542" max="1542" width="11.28515625" style="98" bestFit="1" customWidth="1"/>
    <col min="1543" max="1548" width="12.85546875" style="98" bestFit="1" customWidth="1"/>
    <col min="1549" max="1549" width="11.28515625" style="98" bestFit="1" customWidth="1"/>
    <col min="1550" max="1551" width="12.85546875" style="98" bestFit="1" customWidth="1"/>
    <col min="1552" max="1552" width="11.28515625" style="98" bestFit="1" customWidth="1"/>
    <col min="1553" max="1553" width="12.85546875" style="98" bestFit="1" customWidth="1"/>
    <col min="1554" max="1555" width="11.28515625" style="98" bestFit="1" customWidth="1"/>
    <col min="1556" max="1557" width="12.85546875" style="98" bestFit="1" customWidth="1"/>
    <col min="1558" max="1558" width="10.28515625" style="98" bestFit="1" customWidth="1"/>
    <col min="1559" max="1561" width="11.28515625" style="98" bestFit="1" customWidth="1"/>
    <col min="1562" max="1564" width="12.85546875" style="98" bestFit="1" customWidth="1"/>
    <col min="1565" max="1568" width="11.28515625" style="98" bestFit="1" customWidth="1"/>
    <col min="1569" max="1569" width="10.28515625" style="98" bestFit="1" customWidth="1"/>
    <col min="1570" max="1570" width="12.85546875" style="98" bestFit="1" customWidth="1"/>
    <col min="1571" max="1573" width="11.28515625" style="98" bestFit="1" customWidth="1"/>
    <col min="1574" max="1574" width="12.85546875" style="98" bestFit="1" customWidth="1"/>
    <col min="1575" max="1575" width="11.28515625" style="98" bestFit="1" customWidth="1"/>
    <col min="1576" max="1576" width="12.85546875" style="98" bestFit="1" customWidth="1"/>
    <col min="1577" max="1577" width="9.140625" style="98"/>
    <col min="1578" max="1578" width="14" style="98" bestFit="1" customWidth="1"/>
    <col min="1579" max="1795" width="9.140625" style="98"/>
    <col min="1796" max="1796" width="46.85546875" style="98" customWidth="1"/>
    <col min="1797" max="1797" width="12.85546875" style="98" bestFit="1" customWidth="1"/>
    <col min="1798" max="1798" width="11.28515625" style="98" bestFit="1" customWidth="1"/>
    <col min="1799" max="1804" width="12.85546875" style="98" bestFit="1" customWidth="1"/>
    <col min="1805" max="1805" width="11.28515625" style="98" bestFit="1" customWidth="1"/>
    <col min="1806" max="1807" width="12.85546875" style="98" bestFit="1" customWidth="1"/>
    <col min="1808" max="1808" width="11.28515625" style="98" bestFit="1" customWidth="1"/>
    <col min="1809" max="1809" width="12.85546875" style="98" bestFit="1" customWidth="1"/>
    <col min="1810" max="1811" width="11.28515625" style="98" bestFit="1" customWidth="1"/>
    <col min="1812" max="1813" width="12.85546875" style="98" bestFit="1" customWidth="1"/>
    <col min="1814" max="1814" width="10.28515625" style="98" bestFit="1" customWidth="1"/>
    <col min="1815" max="1817" width="11.28515625" style="98" bestFit="1" customWidth="1"/>
    <col min="1818" max="1820" width="12.85546875" style="98" bestFit="1" customWidth="1"/>
    <col min="1821" max="1824" width="11.28515625" style="98" bestFit="1" customWidth="1"/>
    <col min="1825" max="1825" width="10.28515625" style="98" bestFit="1" customWidth="1"/>
    <col min="1826" max="1826" width="12.85546875" style="98" bestFit="1" customWidth="1"/>
    <col min="1827" max="1829" width="11.28515625" style="98" bestFit="1" customWidth="1"/>
    <col min="1830" max="1830" width="12.85546875" style="98" bestFit="1" customWidth="1"/>
    <col min="1831" max="1831" width="11.28515625" style="98" bestFit="1" customWidth="1"/>
    <col min="1832" max="1832" width="12.85546875" style="98" bestFit="1" customWidth="1"/>
    <col min="1833" max="1833" width="9.140625" style="98"/>
    <col min="1834" max="1834" width="14" style="98" bestFit="1" customWidth="1"/>
    <col min="1835" max="2051" width="9.140625" style="98"/>
    <col min="2052" max="2052" width="46.85546875" style="98" customWidth="1"/>
    <col min="2053" max="2053" width="12.85546875" style="98" bestFit="1" customWidth="1"/>
    <col min="2054" max="2054" width="11.28515625" style="98" bestFit="1" customWidth="1"/>
    <col min="2055" max="2060" width="12.85546875" style="98" bestFit="1" customWidth="1"/>
    <col min="2061" max="2061" width="11.28515625" style="98" bestFit="1" customWidth="1"/>
    <col min="2062" max="2063" width="12.85546875" style="98" bestFit="1" customWidth="1"/>
    <col min="2064" max="2064" width="11.28515625" style="98" bestFit="1" customWidth="1"/>
    <col min="2065" max="2065" width="12.85546875" style="98" bestFit="1" customWidth="1"/>
    <col min="2066" max="2067" width="11.28515625" style="98" bestFit="1" customWidth="1"/>
    <col min="2068" max="2069" width="12.85546875" style="98" bestFit="1" customWidth="1"/>
    <col min="2070" max="2070" width="10.28515625" style="98" bestFit="1" customWidth="1"/>
    <col min="2071" max="2073" width="11.28515625" style="98" bestFit="1" customWidth="1"/>
    <col min="2074" max="2076" width="12.85546875" style="98" bestFit="1" customWidth="1"/>
    <col min="2077" max="2080" width="11.28515625" style="98" bestFit="1" customWidth="1"/>
    <col min="2081" max="2081" width="10.28515625" style="98" bestFit="1" customWidth="1"/>
    <col min="2082" max="2082" width="12.85546875" style="98" bestFit="1" customWidth="1"/>
    <col min="2083" max="2085" width="11.28515625" style="98" bestFit="1" customWidth="1"/>
    <col min="2086" max="2086" width="12.85546875" style="98" bestFit="1" customWidth="1"/>
    <col min="2087" max="2087" width="11.28515625" style="98" bestFit="1" customWidth="1"/>
    <col min="2088" max="2088" width="12.85546875" style="98" bestFit="1" customWidth="1"/>
    <col min="2089" max="2089" width="9.140625" style="98"/>
    <col min="2090" max="2090" width="14" style="98" bestFit="1" customWidth="1"/>
    <col min="2091" max="2307" width="9.140625" style="98"/>
    <col min="2308" max="2308" width="46.85546875" style="98" customWidth="1"/>
    <col min="2309" max="2309" width="12.85546875" style="98" bestFit="1" customWidth="1"/>
    <col min="2310" max="2310" width="11.28515625" style="98" bestFit="1" customWidth="1"/>
    <col min="2311" max="2316" width="12.85546875" style="98" bestFit="1" customWidth="1"/>
    <col min="2317" max="2317" width="11.28515625" style="98" bestFit="1" customWidth="1"/>
    <col min="2318" max="2319" width="12.85546875" style="98" bestFit="1" customWidth="1"/>
    <col min="2320" max="2320" width="11.28515625" style="98" bestFit="1" customWidth="1"/>
    <col min="2321" max="2321" width="12.85546875" style="98" bestFit="1" customWidth="1"/>
    <col min="2322" max="2323" width="11.28515625" style="98" bestFit="1" customWidth="1"/>
    <col min="2324" max="2325" width="12.85546875" style="98" bestFit="1" customWidth="1"/>
    <col min="2326" max="2326" width="10.28515625" style="98" bestFit="1" customWidth="1"/>
    <col min="2327" max="2329" width="11.28515625" style="98" bestFit="1" customWidth="1"/>
    <col min="2330" max="2332" width="12.85546875" style="98" bestFit="1" customWidth="1"/>
    <col min="2333" max="2336" width="11.28515625" style="98" bestFit="1" customWidth="1"/>
    <col min="2337" max="2337" width="10.28515625" style="98" bestFit="1" customWidth="1"/>
    <col min="2338" max="2338" width="12.85546875" style="98" bestFit="1" customWidth="1"/>
    <col min="2339" max="2341" width="11.28515625" style="98" bestFit="1" customWidth="1"/>
    <col min="2342" max="2342" width="12.85546875" style="98" bestFit="1" customWidth="1"/>
    <col min="2343" max="2343" width="11.28515625" style="98" bestFit="1" customWidth="1"/>
    <col min="2344" max="2344" width="12.85546875" style="98" bestFit="1" customWidth="1"/>
    <col min="2345" max="2345" width="9.140625" style="98"/>
    <col min="2346" max="2346" width="14" style="98" bestFit="1" customWidth="1"/>
    <col min="2347" max="2563" width="9.140625" style="98"/>
    <col min="2564" max="2564" width="46.85546875" style="98" customWidth="1"/>
    <col min="2565" max="2565" width="12.85546875" style="98" bestFit="1" customWidth="1"/>
    <col min="2566" max="2566" width="11.28515625" style="98" bestFit="1" customWidth="1"/>
    <col min="2567" max="2572" width="12.85546875" style="98" bestFit="1" customWidth="1"/>
    <col min="2573" max="2573" width="11.28515625" style="98" bestFit="1" customWidth="1"/>
    <col min="2574" max="2575" width="12.85546875" style="98" bestFit="1" customWidth="1"/>
    <col min="2576" max="2576" width="11.28515625" style="98" bestFit="1" customWidth="1"/>
    <col min="2577" max="2577" width="12.85546875" style="98" bestFit="1" customWidth="1"/>
    <col min="2578" max="2579" width="11.28515625" style="98" bestFit="1" customWidth="1"/>
    <col min="2580" max="2581" width="12.85546875" style="98" bestFit="1" customWidth="1"/>
    <col min="2582" max="2582" width="10.28515625" style="98" bestFit="1" customWidth="1"/>
    <col min="2583" max="2585" width="11.28515625" style="98" bestFit="1" customWidth="1"/>
    <col min="2586" max="2588" width="12.85546875" style="98" bestFit="1" customWidth="1"/>
    <col min="2589" max="2592" width="11.28515625" style="98" bestFit="1" customWidth="1"/>
    <col min="2593" max="2593" width="10.28515625" style="98" bestFit="1" customWidth="1"/>
    <col min="2594" max="2594" width="12.85546875" style="98" bestFit="1" customWidth="1"/>
    <col min="2595" max="2597" width="11.28515625" style="98" bestFit="1" customWidth="1"/>
    <col min="2598" max="2598" width="12.85546875" style="98" bestFit="1" customWidth="1"/>
    <col min="2599" max="2599" width="11.28515625" style="98" bestFit="1" customWidth="1"/>
    <col min="2600" max="2600" width="12.85546875" style="98" bestFit="1" customWidth="1"/>
    <col min="2601" max="2601" width="9.140625" style="98"/>
    <col min="2602" max="2602" width="14" style="98" bestFit="1" customWidth="1"/>
    <col min="2603" max="2819" width="9.140625" style="98"/>
    <col min="2820" max="2820" width="46.85546875" style="98" customWidth="1"/>
    <col min="2821" max="2821" width="12.85546875" style="98" bestFit="1" customWidth="1"/>
    <col min="2822" max="2822" width="11.28515625" style="98" bestFit="1" customWidth="1"/>
    <col min="2823" max="2828" width="12.85546875" style="98" bestFit="1" customWidth="1"/>
    <col min="2829" max="2829" width="11.28515625" style="98" bestFit="1" customWidth="1"/>
    <col min="2830" max="2831" width="12.85546875" style="98" bestFit="1" customWidth="1"/>
    <col min="2832" max="2832" width="11.28515625" style="98" bestFit="1" customWidth="1"/>
    <col min="2833" max="2833" width="12.85546875" style="98" bestFit="1" customWidth="1"/>
    <col min="2834" max="2835" width="11.28515625" style="98" bestFit="1" customWidth="1"/>
    <col min="2836" max="2837" width="12.85546875" style="98" bestFit="1" customWidth="1"/>
    <col min="2838" max="2838" width="10.28515625" style="98" bestFit="1" customWidth="1"/>
    <col min="2839" max="2841" width="11.28515625" style="98" bestFit="1" customWidth="1"/>
    <col min="2842" max="2844" width="12.85546875" style="98" bestFit="1" customWidth="1"/>
    <col min="2845" max="2848" width="11.28515625" style="98" bestFit="1" customWidth="1"/>
    <col min="2849" max="2849" width="10.28515625" style="98" bestFit="1" customWidth="1"/>
    <col min="2850" max="2850" width="12.85546875" style="98" bestFit="1" customWidth="1"/>
    <col min="2851" max="2853" width="11.28515625" style="98" bestFit="1" customWidth="1"/>
    <col min="2854" max="2854" width="12.85546875" style="98" bestFit="1" customWidth="1"/>
    <col min="2855" max="2855" width="11.28515625" style="98" bestFit="1" customWidth="1"/>
    <col min="2856" max="2856" width="12.85546875" style="98" bestFit="1" customWidth="1"/>
    <col min="2857" max="2857" width="9.140625" style="98"/>
    <col min="2858" max="2858" width="14" style="98" bestFit="1" customWidth="1"/>
    <col min="2859" max="3075" width="9.140625" style="98"/>
    <col min="3076" max="3076" width="46.85546875" style="98" customWidth="1"/>
    <col min="3077" max="3077" width="12.85546875" style="98" bestFit="1" customWidth="1"/>
    <col min="3078" max="3078" width="11.28515625" style="98" bestFit="1" customWidth="1"/>
    <col min="3079" max="3084" width="12.85546875" style="98" bestFit="1" customWidth="1"/>
    <col min="3085" max="3085" width="11.28515625" style="98" bestFit="1" customWidth="1"/>
    <col min="3086" max="3087" width="12.85546875" style="98" bestFit="1" customWidth="1"/>
    <col min="3088" max="3088" width="11.28515625" style="98" bestFit="1" customWidth="1"/>
    <col min="3089" max="3089" width="12.85546875" style="98" bestFit="1" customWidth="1"/>
    <col min="3090" max="3091" width="11.28515625" style="98" bestFit="1" customWidth="1"/>
    <col min="3092" max="3093" width="12.85546875" style="98" bestFit="1" customWidth="1"/>
    <col min="3094" max="3094" width="10.28515625" style="98" bestFit="1" customWidth="1"/>
    <col min="3095" max="3097" width="11.28515625" style="98" bestFit="1" customWidth="1"/>
    <col min="3098" max="3100" width="12.85546875" style="98" bestFit="1" customWidth="1"/>
    <col min="3101" max="3104" width="11.28515625" style="98" bestFit="1" customWidth="1"/>
    <col min="3105" max="3105" width="10.28515625" style="98" bestFit="1" customWidth="1"/>
    <col min="3106" max="3106" width="12.85546875" style="98" bestFit="1" customWidth="1"/>
    <col min="3107" max="3109" width="11.28515625" style="98" bestFit="1" customWidth="1"/>
    <col min="3110" max="3110" width="12.85546875" style="98" bestFit="1" customWidth="1"/>
    <col min="3111" max="3111" width="11.28515625" style="98" bestFit="1" customWidth="1"/>
    <col min="3112" max="3112" width="12.85546875" style="98" bestFit="1" customWidth="1"/>
    <col min="3113" max="3113" width="9.140625" style="98"/>
    <col min="3114" max="3114" width="14" style="98" bestFit="1" customWidth="1"/>
    <col min="3115" max="3331" width="9.140625" style="98"/>
    <col min="3332" max="3332" width="46.85546875" style="98" customWidth="1"/>
    <col min="3333" max="3333" width="12.85546875" style="98" bestFit="1" customWidth="1"/>
    <col min="3334" max="3334" width="11.28515625" style="98" bestFit="1" customWidth="1"/>
    <col min="3335" max="3340" width="12.85546875" style="98" bestFit="1" customWidth="1"/>
    <col min="3341" max="3341" width="11.28515625" style="98" bestFit="1" customWidth="1"/>
    <col min="3342" max="3343" width="12.85546875" style="98" bestFit="1" customWidth="1"/>
    <col min="3344" max="3344" width="11.28515625" style="98" bestFit="1" customWidth="1"/>
    <col min="3345" max="3345" width="12.85546875" style="98" bestFit="1" customWidth="1"/>
    <col min="3346" max="3347" width="11.28515625" style="98" bestFit="1" customWidth="1"/>
    <col min="3348" max="3349" width="12.85546875" style="98" bestFit="1" customWidth="1"/>
    <col min="3350" max="3350" width="10.28515625" style="98" bestFit="1" customWidth="1"/>
    <col min="3351" max="3353" width="11.28515625" style="98" bestFit="1" customWidth="1"/>
    <col min="3354" max="3356" width="12.85546875" style="98" bestFit="1" customWidth="1"/>
    <col min="3357" max="3360" width="11.28515625" style="98" bestFit="1" customWidth="1"/>
    <col min="3361" max="3361" width="10.28515625" style="98" bestFit="1" customWidth="1"/>
    <col min="3362" max="3362" width="12.85546875" style="98" bestFit="1" customWidth="1"/>
    <col min="3363" max="3365" width="11.28515625" style="98" bestFit="1" customWidth="1"/>
    <col min="3366" max="3366" width="12.85546875" style="98" bestFit="1" customWidth="1"/>
    <col min="3367" max="3367" width="11.28515625" style="98" bestFit="1" customWidth="1"/>
    <col min="3368" max="3368" width="12.85546875" style="98" bestFit="1" customWidth="1"/>
    <col min="3369" max="3369" width="9.140625" style="98"/>
    <col min="3370" max="3370" width="14" style="98" bestFit="1" customWidth="1"/>
    <col min="3371" max="3587" width="9.140625" style="98"/>
    <col min="3588" max="3588" width="46.85546875" style="98" customWidth="1"/>
    <col min="3589" max="3589" width="12.85546875" style="98" bestFit="1" customWidth="1"/>
    <col min="3590" max="3590" width="11.28515625" style="98" bestFit="1" customWidth="1"/>
    <col min="3591" max="3596" width="12.85546875" style="98" bestFit="1" customWidth="1"/>
    <col min="3597" max="3597" width="11.28515625" style="98" bestFit="1" customWidth="1"/>
    <col min="3598" max="3599" width="12.85546875" style="98" bestFit="1" customWidth="1"/>
    <col min="3600" max="3600" width="11.28515625" style="98" bestFit="1" customWidth="1"/>
    <col min="3601" max="3601" width="12.85546875" style="98" bestFit="1" customWidth="1"/>
    <col min="3602" max="3603" width="11.28515625" style="98" bestFit="1" customWidth="1"/>
    <col min="3604" max="3605" width="12.85546875" style="98" bestFit="1" customWidth="1"/>
    <col min="3606" max="3606" width="10.28515625" style="98" bestFit="1" customWidth="1"/>
    <col min="3607" max="3609" width="11.28515625" style="98" bestFit="1" customWidth="1"/>
    <col min="3610" max="3612" width="12.85546875" style="98" bestFit="1" customWidth="1"/>
    <col min="3613" max="3616" width="11.28515625" style="98" bestFit="1" customWidth="1"/>
    <col min="3617" max="3617" width="10.28515625" style="98" bestFit="1" customWidth="1"/>
    <col min="3618" max="3618" width="12.85546875" style="98" bestFit="1" customWidth="1"/>
    <col min="3619" max="3621" width="11.28515625" style="98" bestFit="1" customWidth="1"/>
    <col min="3622" max="3622" width="12.85546875" style="98" bestFit="1" customWidth="1"/>
    <col min="3623" max="3623" width="11.28515625" style="98" bestFit="1" customWidth="1"/>
    <col min="3624" max="3624" width="12.85546875" style="98" bestFit="1" customWidth="1"/>
    <col min="3625" max="3625" width="9.140625" style="98"/>
    <col min="3626" max="3626" width="14" style="98" bestFit="1" customWidth="1"/>
    <col min="3627" max="3843" width="9.140625" style="98"/>
    <col min="3844" max="3844" width="46.85546875" style="98" customWidth="1"/>
    <col min="3845" max="3845" width="12.85546875" style="98" bestFit="1" customWidth="1"/>
    <col min="3846" max="3846" width="11.28515625" style="98" bestFit="1" customWidth="1"/>
    <col min="3847" max="3852" width="12.85546875" style="98" bestFit="1" customWidth="1"/>
    <col min="3853" max="3853" width="11.28515625" style="98" bestFit="1" customWidth="1"/>
    <col min="3854" max="3855" width="12.85546875" style="98" bestFit="1" customWidth="1"/>
    <col min="3856" max="3856" width="11.28515625" style="98" bestFit="1" customWidth="1"/>
    <col min="3857" max="3857" width="12.85546875" style="98" bestFit="1" customWidth="1"/>
    <col min="3858" max="3859" width="11.28515625" style="98" bestFit="1" customWidth="1"/>
    <col min="3860" max="3861" width="12.85546875" style="98" bestFit="1" customWidth="1"/>
    <col min="3862" max="3862" width="10.28515625" style="98" bestFit="1" customWidth="1"/>
    <col min="3863" max="3865" width="11.28515625" style="98" bestFit="1" customWidth="1"/>
    <col min="3866" max="3868" width="12.85546875" style="98" bestFit="1" customWidth="1"/>
    <col min="3869" max="3872" width="11.28515625" style="98" bestFit="1" customWidth="1"/>
    <col min="3873" max="3873" width="10.28515625" style="98" bestFit="1" customWidth="1"/>
    <col min="3874" max="3874" width="12.85546875" style="98" bestFit="1" customWidth="1"/>
    <col min="3875" max="3877" width="11.28515625" style="98" bestFit="1" customWidth="1"/>
    <col min="3878" max="3878" width="12.85546875" style="98" bestFit="1" customWidth="1"/>
    <col min="3879" max="3879" width="11.28515625" style="98" bestFit="1" customWidth="1"/>
    <col min="3880" max="3880" width="12.85546875" style="98" bestFit="1" customWidth="1"/>
    <col min="3881" max="3881" width="9.140625" style="98"/>
    <col min="3882" max="3882" width="14" style="98" bestFit="1" customWidth="1"/>
    <col min="3883" max="4099" width="9.140625" style="98"/>
    <col min="4100" max="4100" width="46.85546875" style="98" customWidth="1"/>
    <col min="4101" max="4101" width="12.85546875" style="98" bestFit="1" customWidth="1"/>
    <col min="4102" max="4102" width="11.28515625" style="98" bestFit="1" customWidth="1"/>
    <col min="4103" max="4108" width="12.85546875" style="98" bestFit="1" customWidth="1"/>
    <col min="4109" max="4109" width="11.28515625" style="98" bestFit="1" customWidth="1"/>
    <col min="4110" max="4111" width="12.85546875" style="98" bestFit="1" customWidth="1"/>
    <col min="4112" max="4112" width="11.28515625" style="98" bestFit="1" customWidth="1"/>
    <col min="4113" max="4113" width="12.85546875" style="98" bestFit="1" customWidth="1"/>
    <col min="4114" max="4115" width="11.28515625" style="98" bestFit="1" customWidth="1"/>
    <col min="4116" max="4117" width="12.85546875" style="98" bestFit="1" customWidth="1"/>
    <col min="4118" max="4118" width="10.28515625" style="98" bestFit="1" customWidth="1"/>
    <col min="4119" max="4121" width="11.28515625" style="98" bestFit="1" customWidth="1"/>
    <col min="4122" max="4124" width="12.85546875" style="98" bestFit="1" customWidth="1"/>
    <col min="4125" max="4128" width="11.28515625" style="98" bestFit="1" customWidth="1"/>
    <col min="4129" max="4129" width="10.28515625" style="98" bestFit="1" customWidth="1"/>
    <col min="4130" max="4130" width="12.85546875" style="98" bestFit="1" customWidth="1"/>
    <col min="4131" max="4133" width="11.28515625" style="98" bestFit="1" customWidth="1"/>
    <col min="4134" max="4134" width="12.85546875" style="98" bestFit="1" customWidth="1"/>
    <col min="4135" max="4135" width="11.28515625" style="98" bestFit="1" customWidth="1"/>
    <col min="4136" max="4136" width="12.85546875" style="98" bestFit="1" customWidth="1"/>
    <col min="4137" max="4137" width="9.140625" style="98"/>
    <col min="4138" max="4138" width="14" style="98" bestFit="1" customWidth="1"/>
    <col min="4139" max="4355" width="9.140625" style="98"/>
    <col min="4356" max="4356" width="46.85546875" style="98" customWidth="1"/>
    <col min="4357" max="4357" width="12.85546875" style="98" bestFit="1" customWidth="1"/>
    <col min="4358" max="4358" width="11.28515625" style="98" bestFit="1" customWidth="1"/>
    <col min="4359" max="4364" width="12.85546875" style="98" bestFit="1" customWidth="1"/>
    <col min="4365" max="4365" width="11.28515625" style="98" bestFit="1" customWidth="1"/>
    <col min="4366" max="4367" width="12.85546875" style="98" bestFit="1" customWidth="1"/>
    <col min="4368" max="4368" width="11.28515625" style="98" bestFit="1" customWidth="1"/>
    <col min="4369" max="4369" width="12.85546875" style="98" bestFit="1" customWidth="1"/>
    <col min="4370" max="4371" width="11.28515625" style="98" bestFit="1" customWidth="1"/>
    <col min="4372" max="4373" width="12.85546875" style="98" bestFit="1" customWidth="1"/>
    <col min="4374" max="4374" width="10.28515625" style="98" bestFit="1" customWidth="1"/>
    <col min="4375" max="4377" width="11.28515625" style="98" bestFit="1" customWidth="1"/>
    <col min="4378" max="4380" width="12.85546875" style="98" bestFit="1" customWidth="1"/>
    <col min="4381" max="4384" width="11.28515625" style="98" bestFit="1" customWidth="1"/>
    <col min="4385" max="4385" width="10.28515625" style="98" bestFit="1" customWidth="1"/>
    <col min="4386" max="4386" width="12.85546875" style="98" bestFit="1" customWidth="1"/>
    <col min="4387" max="4389" width="11.28515625" style="98" bestFit="1" customWidth="1"/>
    <col min="4390" max="4390" width="12.85546875" style="98" bestFit="1" customWidth="1"/>
    <col min="4391" max="4391" width="11.28515625" style="98" bestFit="1" customWidth="1"/>
    <col min="4392" max="4392" width="12.85546875" style="98" bestFit="1" customWidth="1"/>
    <col min="4393" max="4393" width="9.140625" style="98"/>
    <col min="4394" max="4394" width="14" style="98" bestFit="1" customWidth="1"/>
    <col min="4395" max="4611" width="9.140625" style="98"/>
    <col min="4612" max="4612" width="46.85546875" style="98" customWidth="1"/>
    <col min="4613" max="4613" width="12.85546875" style="98" bestFit="1" customWidth="1"/>
    <col min="4614" max="4614" width="11.28515625" style="98" bestFit="1" customWidth="1"/>
    <col min="4615" max="4620" width="12.85546875" style="98" bestFit="1" customWidth="1"/>
    <col min="4621" max="4621" width="11.28515625" style="98" bestFit="1" customWidth="1"/>
    <col min="4622" max="4623" width="12.85546875" style="98" bestFit="1" customWidth="1"/>
    <col min="4624" max="4624" width="11.28515625" style="98" bestFit="1" customWidth="1"/>
    <col min="4625" max="4625" width="12.85546875" style="98" bestFit="1" customWidth="1"/>
    <col min="4626" max="4627" width="11.28515625" style="98" bestFit="1" customWidth="1"/>
    <col min="4628" max="4629" width="12.85546875" style="98" bestFit="1" customWidth="1"/>
    <col min="4630" max="4630" width="10.28515625" style="98" bestFit="1" customWidth="1"/>
    <col min="4631" max="4633" width="11.28515625" style="98" bestFit="1" customWidth="1"/>
    <col min="4634" max="4636" width="12.85546875" style="98" bestFit="1" customWidth="1"/>
    <col min="4637" max="4640" width="11.28515625" style="98" bestFit="1" customWidth="1"/>
    <col min="4641" max="4641" width="10.28515625" style="98" bestFit="1" customWidth="1"/>
    <col min="4642" max="4642" width="12.85546875" style="98" bestFit="1" customWidth="1"/>
    <col min="4643" max="4645" width="11.28515625" style="98" bestFit="1" customWidth="1"/>
    <col min="4646" max="4646" width="12.85546875" style="98" bestFit="1" customWidth="1"/>
    <col min="4647" max="4647" width="11.28515625" style="98" bestFit="1" customWidth="1"/>
    <col min="4648" max="4648" width="12.85546875" style="98" bestFit="1" customWidth="1"/>
    <col min="4649" max="4649" width="9.140625" style="98"/>
    <col min="4650" max="4650" width="14" style="98" bestFit="1" customWidth="1"/>
    <col min="4651" max="4867" width="9.140625" style="98"/>
    <col min="4868" max="4868" width="46.85546875" style="98" customWidth="1"/>
    <col min="4869" max="4869" width="12.85546875" style="98" bestFit="1" customWidth="1"/>
    <col min="4870" max="4870" width="11.28515625" style="98" bestFit="1" customWidth="1"/>
    <col min="4871" max="4876" width="12.85546875" style="98" bestFit="1" customWidth="1"/>
    <col min="4877" max="4877" width="11.28515625" style="98" bestFit="1" customWidth="1"/>
    <col min="4878" max="4879" width="12.85546875" style="98" bestFit="1" customWidth="1"/>
    <col min="4880" max="4880" width="11.28515625" style="98" bestFit="1" customWidth="1"/>
    <col min="4881" max="4881" width="12.85546875" style="98" bestFit="1" customWidth="1"/>
    <col min="4882" max="4883" width="11.28515625" style="98" bestFit="1" customWidth="1"/>
    <col min="4884" max="4885" width="12.85546875" style="98" bestFit="1" customWidth="1"/>
    <col min="4886" max="4886" width="10.28515625" style="98" bestFit="1" customWidth="1"/>
    <col min="4887" max="4889" width="11.28515625" style="98" bestFit="1" customWidth="1"/>
    <col min="4890" max="4892" width="12.85546875" style="98" bestFit="1" customWidth="1"/>
    <col min="4893" max="4896" width="11.28515625" style="98" bestFit="1" customWidth="1"/>
    <col min="4897" max="4897" width="10.28515625" style="98" bestFit="1" customWidth="1"/>
    <col min="4898" max="4898" width="12.85546875" style="98" bestFit="1" customWidth="1"/>
    <col min="4899" max="4901" width="11.28515625" style="98" bestFit="1" customWidth="1"/>
    <col min="4902" max="4902" width="12.85546875" style="98" bestFit="1" customWidth="1"/>
    <col min="4903" max="4903" width="11.28515625" style="98" bestFit="1" customWidth="1"/>
    <col min="4904" max="4904" width="12.85546875" style="98" bestFit="1" customWidth="1"/>
    <col min="4905" max="4905" width="9.140625" style="98"/>
    <col min="4906" max="4906" width="14" style="98" bestFit="1" customWidth="1"/>
    <col min="4907" max="5123" width="9.140625" style="98"/>
    <col min="5124" max="5124" width="46.85546875" style="98" customWidth="1"/>
    <col min="5125" max="5125" width="12.85546875" style="98" bestFit="1" customWidth="1"/>
    <col min="5126" max="5126" width="11.28515625" style="98" bestFit="1" customWidth="1"/>
    <col min="5127" max="5132" width="12.85546875" style="98" bestFit="1" customWidth="1"/>
    <col min="5133" max="5133" width="11.28515625" style="98" bestFit="1" customWidth="1"/>
    <col min="5134" max="5135" width="12.85546875" style="98" bestFit="1" customWidth="1"/>
    <col min="5136" max="5136" width="11.28515625" style="98" bestFit="1" customWidth="1"/>
    <col min="5137" max="5137" width="12.85546875" style="98" bestFit="1" customWidth="1"/>
    <col min="5138" max="5139" width="11.28515625" style="98" bestFit="1" customWidth="1"/>
    <col min="5140" max="5141" width="12.85546875" style="98" bestFit="1" customWidth="1"/>
    <col min="5142" max="5142" width="10.28515625" style="98" bestFit="1" customWidth="1"/>
    <col min="5143" max="5145" width="11.28515625" style="98" bestFit="1" customWidth="1"/>
    <col min="5146" max="5148" width="12.85546875" style="98" bestFit="1" customWidth="1"/>
    <col min="5149" max="5152" width="11.28515625" style="98" bestFit="1" customWidth="1"/>
    <col min="5153" max="5153" width="10.28515625" style="98" bestFit="1" customWidth="1"/>
    <col min="5154" max="5154" width="12.85546875" style="98" bestFit="1" customWidth="1"/>
    <col min="5155" max="5157" width="11.28515625" style="98" bestFit="1" customWidth="1"/>
    <col min="5158" max="5158" width="12.85546875" style="98" bestFit="1" customWidth="1"/>
    <col min="5159" max="5159" width="11.28515625" style="98" bestFit="1" customWidth="1"/>
    <col min="5160" max="5160" width="12.85546875" style="98" bestFit="1" customWidth="1"/>
    <col min="5161" max="5161" width="9.140625" style="98"/>
    <col min="5162" max="5162" width="14" style="98" bestFit="1" customWidth="1"/>
    <col min="5163" max="5379" width="9.140625" style="98"/>
    <col min="5380" max="5380" width="46.85546875" style="98" customWidth="1"/>
    <col min="5381" max="5381" width="12.85546875" style="98" bestFit="1" customWidth="1"/>
    <col min="5382" max="5382" width="11.28515625" style="98" bestFit="1" customWidth="1"/>
    <col min="5383" max="5388" width="12.85546875" style="98" bestFit="1" customWidth="1"/>
    <col min="5389" max="5389" width="11.28515625" style="98" bestFit="1" customWidth="1"/>
    <col min="5390" max="5391" width="12.85546875" style="98" bestFit="1" customWidth="1"/>
    <col min="5392" max="5392" width="11.28515625" style="98" bestFit="1" customWidth="1"/>
    <col min="5393" max="5393" width="12.85546875" style="98" bestFit="1" customWidth="1"/>
    <col min="5394" max="5395" width="11.28515625" style="98" bestFit="1" customWidth="1"/>
    <col min="5396" max="5397" width="12.85546875" style="98" bestFit="1" customWidth="1"/>
    <col min="5398" max="5398" width="10.28515625" style="98" bestFit="1" customWidth="1"/>
    <col min="5399" max="5401" width="11.28515625" style="98" bestFit="1" customWidth="1"/>
    <col min="5402" max="5404" width="12.85546875" style="98" bestFit="1" customWidth="1"/>
    <col min="5405" max="5408" width="11.28515625" style="98" bestFit="1" customWidth="1"/>
    <col min="5409" max="5409" width="10.28515625" style="98" bestFit="1" customWidth="1"/>
    <col min="5410" max="5410" width="12.85546875" style="98" bestFit="1" customWidth="1"/>
    <col min="5411" max="5413" width="11.28515625" style="98" bestFit="1" customWidth="1"/>
    <col min="5414" max="5414" width="12.85546875" style="98" bestFit="1" customWidth="1"/>
    <col min="5415" max="5415" width="11.28515625" style="98" bestFit="1" customWidth="1"/>
    <col min="5416" max="5416" width="12.85546875" style="98" bestFit="1" customWidth="1"/>
    <col min="5417" max="5417" width="9.140625" style="98"/>
    <col min="5418" max="5418" width="14" style="98" bestFit="1" customWidth="1"/>
    <col min="5419" max="5635" width="9.140625" style="98"/>
    <col min="5636" max="5636" width="46.85546875" style="98" customWidth="1"/>
    <col min="5637" max="5637" width="12.85546875" style="98" bestFit="1" customWidth="1"/>
    <col min="5638" max="5638" width="11.28515625" style="98" bestFit="1" customWidth="1"/>
    <col min="5639" max="5644" width="12.85546875" style="98" bestFit="1" customWidth="1"/>
    <col min="5645" max="5645" width="11.28515625" style="98" bestFit="1" customWidth="1"/>
    <col min="5646" max="5647" width="12.85546875" style="98" bestFit="1" customWidth="1"/>
    <col min="5648" max="5648" width="11.28515625" style="98" bestFit="1" customWidth="1"/>
    <col min="5649" max="5649" width="12.85546875" style="98" bestFit="1" customWidth="1"/>
    <col min="5650" max="5651" width="11.28515625" style="98" bestFit="1" customWidth="1"/>
    <col min="5652" max="5653" width="12.85546875" style="98" bestFit="1" customWidth="1"/>
    <col min="5654" max="5654" width="10.28515625" style="98" bestFit="1" customWidth="1"/>
    <col min="5655" max="5657" width="11.28515625" style="98" bestFit="1" customWidth="1"/>
    <col min="5658" max="5660" width="12.85546875" style="98" bestFit="1" customWidth="1"/>
    <col min="5661" max="5664" width="11.28515625" style="98" bestFit="1" customWidth="1"/>
    <col min="5665" max="5665" width="10.28515625" style="98" bestFit="1" customWidth="1"/>
    <col min="5666" max="5666" width="12.85546875" style="98" bestFit="1" customWidth="1"/>
    <col min="5667" max="5669" width="11.28515625" style="98" bestFit="1" customWidth="1"/>
    <col min="5670" max="5670" width="12.85546875" style="98" bestFit="1" customWidth="1"/>
    <col min="5671" max="5671" width="11.28515625" style="98" bestFit="1" customWidth="1"/>
    <col min="5672" max="5672" width="12.85546875" style="98" bestFit="1" customWidth="1"/>
    <col min="5673" max="5673" width="9.140625" style="98"/>
    <col min="5674" max="5674" width="14" style="98" bestFit="1" customWidth="1"/>
    <col min="5675" max="5891" width="9.140625" style="98"/>
    <col min="5892" max="5892" width="46.85546875" style="98" customWidth="1"/>
    <col min="5893" max="5893" width="12.85546875" style="98" bestFit="1" customWidth="1"/>
    <col min="5894" max="5894" width="11.28515625" style="98" bestFit="1" customWidth="1"/>
    <col min="5895" max="5900" width="12.85546875" style="98" bestFit="1" customWidth="1"/>
    <col min="5901" max="5901" width="11.28515625" style="98" bestFit="1" customWidth="1"/>
    <col min="5902" max="5903" width="12.85546875" style="98" bestFit="1" customWidth="1"/>
    <col min="5904" max="5904" width="11.28515625" style="98" bestFit="1" customWidth="1"/>
    <col min="5905" max="5905" width="12.85546875" style="98" bestFit="1" customWidth="1"/>
    <col min="5906" max="5907" width="11.28515625" style="98" bestFit="1" customWidth="1"/>
    <col min="5908" max="5909" width="12.85546875" style="98" bestFit="1" customWidth="1"/>
    <col min="5910" max="5910" width="10.28515625" style="98" bestFit="1" customWidth="1"/>
    <col min="5911" max="5913" width="11.28515625" style="98" bestFit="1" customWidth="1"/>
    <col min="5914" max="5916" width="12.85546875" style="98" bestFit="1" customWidth="1"/>
    <col min="5917" max="5920" width="11.28515625" style="98" bestFit="1" customWidth="1"/>
    <col min="5921" max="5921" width="10.28515625" style="98" bestFit="1" customWidth="1"/>
    <col min="5922" max="5922" width="12.85546875" style="98" bestFit="1" customWidth="1"/>
    <col min="5923" max="5925" width="11.28515625" style="98" bestFit="1" customWidth="1"/>
    <col min="5926" max="5926" width="12.85546875" style="98" bestFit="1" customWidth="1"/>
    <col min="5927" max="5927" width="11.28515625" style="98" bestFit="1" customWidth="1"/>
    <col min="5928" max="5928" width="12.85546875" style="98" bestFit="1" customWidth="1"/>
    <col min="5929" max="5929" width="9.140625" style="98"/>
    <col min="5930" max="5930" width="14" style="98" bestFit="1" customWidth="1"/>
    <col min="5931" max="6147" width="9.140625" style="98"/>
    <col min="6148" max="6148" width="46.85546875" style="98" customWidth="1"/>
    <col min="6149" max="6149" width="12.85546875" style="98" bestFit="1" customWidth="1"/>
    <col min="6150" max="6150" width="11.28515625" style="98" bestFit="1" customWidth="1"/>
    <col min="6151" max="6156" width="12.85546875" style="98" bestFit="1" customWidth="1"/>
    <col min="6157" max="6157" width="11.28515625" style="98" bestFit="1" customWidth="1"/>
    <col min="6158" max="6159" width="12.85546875" style="98" bestFit="1" customWidth="1"/>
    <col min="6160" max="6160" width="11.28515625" style="98" bestFit="1" customWidth="1"/>
    <col min="6161" max="6161" width="12.85546875" style="98" bestFit="1" customWidth="1"/>
    <col min="6162" max="6163" width="11.28515625" style="98" bestFit="1" customWidth="1"/>
    <col min="6164" max="6165" width="12.85546875" style="98" bestFit="1" customWidth="1"/>
    <col min="6166" max="6166" width="10.28515625" style="98" bestFit="1" customWidth="1"/>
    <col min="6167" max="6169" width="11.28515625" style="98" bestFit="1" customWidth="1"/>
    <col min="6170" max="6172" width="12.85546875" style="98" bestFit="1" customWidth="1"/>
    <col min="6173" max="6176" width="11.28515625" style="98" bestFit="1" customWidth="1"/>
    <col min="6177" max="6177" width="10.28515625" style="98" bestFit="1" customWidth="1"/>
    <col min="6178" max="6178" width="12.85546875" style="98" bestFit="1" customWidth="1"/>
    <col min="6179" max="6181" width="11.28515625" style="98" bestFit="1" customWidth="1"/>
    <col min="6182" max="6182" width="12.85546875" style="98" bestFit="1" customWidth="1"/>
    <col min="6183" max="6183" width="11.28515625" style="98" bestFit="1" customWidth="1"/>
    <col min="6184" max="6184" width="12.85546875" style="98" bestFit="1" customWidth="1"/>
    <col min="6185" max="6185" width="9.140625" style="98"/>
    <col min="6186" max="6186" width="14" style="98" bestFit="1" customWidth="1"/>
    <col min="6187" max="6403" width="9.140625" style="98"/>
    <col min="6404" max="6404" width="46.85546875" style="98" customWidth="1"/>
    <col min="6405" max="6405" width="12.85546875" style="98" bestFit="1" customWidth="1"/>
    <col min="6406" max="6406" width="11.28515625" style="98" bestFit="1" customWidth="1"/>
    <col min="6407" max="6412" width="12.85546875" style="98" bestFit="1" customWidth="1"/>
    <col min="6413" max="6413" width="11.28515625" style="98" bestFit="1" customWidth="1"/>
    <col min="6414" max="6415" width="12.85546875" style="98" bestFit="1" customWidth="1"/>
    <col min="6416" max="6416" width="11.28515625" style="98" bestFit="1" customWidth="1"/>
    <col min="6417" max="6417" width="12.85546875" style="98" bestFit="1" customWidth="1"/>
    <col min="6418" max="6419" width="11.28515625" style="98" bestFit="1" customWidth="1"/>
    <col min="6420" max="6421" width="12.85546875" style="98" bestFit="1" customWidth="1"/>
    <col min="6422" max="6422" width="10.28515625" style="98" bestFit="1" customWidth="1"/>
    <col min="6423" max="6425" width="11.28515625" style="98" bestFit="1" customWidth="1"/>
    <col min="6426" max="6428" width="12.85546875" style="98" bestFit="1" customWidth="1"/>
    <col min="6429" max="6432" width="11.28515625" style="98" bestFit="1" customWidth="1"/>
    <col min="6433" max="6433" width="10.28515625" style="98" bestFit="1" customWidth="1"/>
    <col min="6434" max="6434" width="12.85546875" style="98" bestFit="1" customWidth="1"/>
    <col min="6435" max="6437" width="11.28515625" style="98" bestFit="1" customWidth="1"/>
    <col min="6438" max="6438" width="12.85546875" style="98" bestFit="1" customWidth="1"/>
    <col min="6439" max="6439" width="11.28515625" style="98" bestFit="1" customWidth="1"/>
    <col min="6440" max="6440" width="12.85546875" style="98" bestFit="1" customWidth="1"/>
    <col min="6441" max="6441" width="9.140625" style="98"/>
    <col min="6442" max="6442" width="14" style="98" bestFit="1" customWidth="1"/>
    <col min="6443" max="6659" width="9.140625" style="98"/>
    <col min="6660" max="6660" width="46.85546875" style="98" customWidth="1"/>
    <col min="6661" max="6661" width="12.85546875" style="98" bestFit="1" customWidth="1"/>
    <col min="6662" max="6662" width="11.28515625" style="98" bestFit="1" customWidth="1"/>
    <col min="6663" max="6668" width="12.85546875" style="98" bestFit="1" customWidth="1"/>
    <col min="6669" max="6669" width="11.28515625" style="98" bestFit="1" customWidth="1"/>
    <col min="6670" max="6671" width="12.85546875" style="98" bestFit="1" customWidth="1"/>
    <col min="6672" max="6672" width="11.28515625" style="98" bestFit="1" customWidth="1"/>
    <col min="6673" max="6673" width="12.85546875" style="98" bestFit="1" customWidth="1"/>
    <col min="6674" max="6675" width="11.28515625" style="98" bestFit="1" customWidth="1"/>
    <col min="6676" max="6677" width="12.85546875" style="98" bestFit="1" customWidth="1"/>
    <col min="6678" max="6678" width="10.28515625" style="98" bestFit="1" customWidth="1"/>
    <col min="6679" max="6681" width="11.28515625" style="98" bestFit="1" customWidth="1"/>
    <col min="6682" max="6684" width="12.85546875" style="98" bestFit="1" customWidth="1"/>
    <col min="6685" max="6688" width="11.28515625" style="98" bestFit="1" customWidth="1"/>
    <col min="6689" max="6689" width="10.28515625" style="98" bestFit="1" customWidth="1"/>
    <col min="6690" max="6690" width="12.85546875" style="98" bestFit="1" customWidth="1"/>
    <col min="6691" max="6693" width="11.28515625" style="98" bestFit="1" customWidth="1"/>
    <col min="6694" max="6694" width="12.85546875" style="98" bestFit="1" customWidth="1"/>
    <col min="6695" max="6695" width="11.28515625" style="98" bestFit="1" customWidth="1"/>
    <col min="6696" max="6696" width="12.85546875" style="98" bestFit="1" customWidth="1"/>
    <col min="6697" max="6697" width="9.140625" style="98"/>
    <col min="6698" max="6698" width="14" style="98" bestFit="1" customWidth="1"/>
    <col min="6699" max="6915" width="9.140625" style="98"/>
    <col min="6916" max="6916" width="46.85546875" style="98" customWidth="1"/>
    <col min="6917" max="6917" width="12.85546875" style="98" bestFit="1" customWidth="1"/>
    <col min="6918" max="6918" width="11.28515625" style="98" bestFit="1" customWidth="1"/>
    <col min="6919" max="6924" width="12.85546875" style="98" bestFit="1" customWidth="1"/>
    <col min="6925" max="6925" width="11.28515625" style="98" bestFit="1" customWidth="1"/>
    <col min="6926" max="6927" width="12.85546875" style="98" bestFit="1" customWidth="1"/>
    <col min="6928" max="6928" width="11.28515625" style="98" bestFit="1" customWidth="1"/>
    <col min="6929" max="6929" width="12.85546875" style="98" bestFit="1" customWidth="1"/>
    <col min="6930" max="6931" width="11.28515625" style="98" bestFit="1" customWidth="1"/>
    <col min="6932" max="6933" width="12.85546875" style="98" bestFit="1" customWidth="1"/>
    <col min="6934" max="6934" width="10.28515625" style="98" bestFit="1" customWidth="1"/>
    <col min="6935" max="6937" width="11.28515625" style="98" bestFit="1" customWidth="1"/>
    <col min="6938" max="6940" width="12.85546875" style="98" bestFit="1" customWidth="1"/>
    <col min="6941" max="6944" width="11.28515625" style="98" bestFit="1" customWidth="1"/>
    <col min="6945" max="6945" width="10.28515625" style="98" bestFit="1" customWidth="1"/>
    <col min="6946" max="6946" width="12.85546875" style="98" bestFit="1" customWidth="1"/>
    <col min="6947" max="6949" width="11.28515625" style="98" bestFit="1" customWidth="1"/>
    <col min="6950" max="6950" width="12.85546875" style="98" bestFit="1" customWidth="1"/>
    <col min="6951" max="6951" width="11.28515625" style="98" bestFit="1" customWidth="1"/>
    <col min="6952" max="6952" width="12.85546875" style="98" bestFit="1" customWidth="1"/>
    <col min="6953" max="6953" width="9.140625" style="98"/>
    <col min="6954" max="6954" width="14" style="98" bestFit="1" customWidth="1"/>
    <col min="6955" max="7171" width="9.140625" style="98"/>
    <col min="7172" max="7172" width="46.85546875" style="98" customWidth="1"/>
    <col min="7173" max="7173" width="12.85546875" style="98" bestFit="1" customWidth="1"/>
    <col min="7174" max="7174" width="11.28515625" style="98" bestFit="1" customWidth="1"/>
    <col min="7175" max="7180" width="12.85546875" style="98" bestFit="1" customWidth="1"/>
    <col min="7181" max="7181" width="11.28515625" style="98" bestFit="1" customWidth="1"/>
    <col min="7182" max="7183" width="12.85546875" style="98" bestFit="1" customWidth="1"/>
    <col min="7184" max="7184" width="11.28515625" style="98" bestFit="1" customWidth="1"/>
    <col min="7185" max="7185" width="12.85546875" style="98" bestFit="1" customWidth="1"/>
    <col min="7186" max="7187" width="11.28515625" style="98" bestFit="1" customWidth="1"/>
    <col min="7188" max="7189" width="12.85546875" style="98" bestFit="1" customWidth="1"/>
    <col min="7190" max="7190" width="10.28515625" style="98" bestFit="1" customWidth="1"/>
    <col min="7191" max="7193" width="11.28515625" style="98" bestFit="1" customWidth="1"/>
    <col min="7194" max="7196" width="12.85546875" style="98" bestFit="1" customWidth="1"/>
    <col min="7197" max="7200" width="11.28515625" style="98" bestFit="1" customWidth="1"/>
    <col min="7201" max="7201" width="10.28515625" style="98" bestFit="1" customWidth="1"/>
    <col min="7202" max="7202" width="12.85546875" style="98" bestFit="1" customWidth="1"/>
    <col min="7203" max="7205" width="11.28515625" style="98" bestFit="1" customWidth="1"/>
    <col min="7206" max="7206" width="12.85546875" style="98" bestFit="1" customWidth="1"/>
    <col min="7207" max="7207" width="11.28515625" style="98" bestFit="1" customWidth="1"/>
    <col min="7208" max="7208" width="12.85546875" style="98" bestFit="1" customWidth="1"/>
    <col min="7209" max="7209" width="9.140625" style="98"/>
    <col min="7210" max="7210" width="14" style="98" bestFit="1" customWidth="1"/>
    <col min="7211" max="7427" width="9.140625" style="98"/>
    <col min="7428" max="7428" width="46.85546875" style="98" customWidth="1"/>
    <col min="7429" max="7429" width="12.85546875" style="98" bestFit="1" customWidth="1"/>
    <col min="7430" max="7430" width="11.28515625" style="98" bestFit="1" customWidth="1"/>
    <col min="7431" max="7436" width="12.85546875" style="98" bestFit="1" customWidth="1"/>
    <col min="7437" max="7437" width="11.28515625" style="98" bestFit="1" customWidth="1"/>
    <col min="7438" max="7439" width="12.85546875" style="98" bestFit="1" customWidth="1"/>
    <col min="7440" max="7440" width="11.28515625" style="98" bestFit="1" customWidth="1"/>
    <col min="7441" max="7441" width="12.85546875" style="98" bestFit="1" customWidth="1"/>
    <col min="7442" max="7443" width="11.28515625" style="98" bestFit="1" customWidth="1"/>
    <col min="7444" max="7445" width="12.85546875" style="98" bestFit="1" customWidth="1"/>
    <col min="7446" max="7446" width="10.28515625" style="98" bestFit="1" customWidth="1"/>
    <col min="7447" max="7449" width="11.28515625" style="98" bestFit="1" customWidth="1"/>
    <col min="7450" max="7452" width="12.85546875" style="98" bestFit="1" customWidth="1"/>
    <col min="7453" max="7456" width="11.28515625" style="98" bestFit="1" customWidth="1"/>
    <col min="7457" max="7457" width="10.28515625" style="98" bestFit="1" customWidth="1"/>
    <col min="7458" max="7458" width="12.85546875" style="98" bestFit="1" customWidth="1"/>
    <col min="7459" max="7461" width="11.28515625" style="98" bestFit="1" customWidth="1"/>
    <col min="7462" max="7462" width="12.85546875" style="98" bestFit="1" customWidth="1"/>
    <col min="7463" max="7463" width="11.28515625" style="98" bestFit="1" customWidth="1"/>
    <col min="7464" max="7464" width="12.85546875" style="98" bestFit="1" customWidth="1"/>
    <col min="7465" max="7465" width="9.140625" style="98"/>
    <col min="7466" max="7466" width="14" style="98" bestFit="1" customWidth="1"/>
    <col min="7467" max="7683" width="9.140625" style="98"/>
    <col min="7684" max="7684" width="46.85546875" style="98" customWidth="1"/>
    <col min="7685" max="7685" width="12.85546875" style="98" bestFit="1" customWidth="1"/>
    <col min="7686" max="7686" width="11.28515625" style="98" bestFit="1" customWidth="1"/>
    <col min="7687" max="7692" width="12.85546875" style="98" bestFit="1" customWidth="1"/>
    <col min="7693" max="7693" width="11.28515625" style="98" bestFit="1" customWidth="1"/>
    <col min="7694" max="7695" width="12.85546875" style="98" bestFit="1" customWidth="1"/>
    <col min="7696" max="7696" width="11.28515625" style="98" bestFit="1" customWidth="1"/>
    <col min="7697" max="7697" width="12.85546875" style="98" bestFit="1" customWidth="1"/>
    <col min="7698" max="7699" width="11.28515625" style="98" bestFit="1" customWidth="1"/>
    <col min="7700" max="7701" width="12.85546875" style="98" bestFit="1" customWidth="1"/>
    <col min="7702" max="7702" width="10.28515625" style="98" bestFit="1" customWidth="1"/>
    <col min="7703" max="7705" width="11.28515625" style="98" bestFit="1" customWidth="1"/>
    <col min="7706" max="7708" width="12.85546875" style="98" bestFit="1" customWidth="1"/>
    <col min="7709" max="7712" width="11.28515625" style="98" bestFit="1" customWidth="1"/>
    <col min="7713" max="7713" width="10.28515625" style="98" bestFit="1" customWidth="1"/>
    <col min="7714" max="7714" width="12.85546875" style="98" bestFit="1" customWidth="1"/>
    <col min="7715" max="7717" width="11.28515625" style="98" bestFit="1" customWidth="1"/>
    <col min="7718" max="7718" width="12.85546875" style="98" bestFit="1" customWidth="1"/>
    <col min="7719" max="7719" width="11.28515625" style="98" bestFit="1" customWidth="1"/>
    <col min="7720" max="7720" width="12.85546875" style="98" bestFit="1" customWidth="1"/>
    <col min="7721" max="7721" width="9.140625" style="98"/>
    <col min="7722" max="7722" width="14" style="98" bestFit="1" customWidth="1"/>
    <col min="7723" max="7939" width="9.140625" style="98"/>
    <col min="7940" max="7940" width="46.85546875" style="98" customWidth="1"/>
    <col min="7941" max="7941" width="12.85546875" style="98" bestFit="1" customWidth="1"/>
    <col min="7942" max="7942" width="11.28515625" style="98" bestFit="1" customWidth="1"/>
    <col min="7943" max="7948" width="12.85546875" style="98" bestFit="1" customWidth="1"/>
    <col min="7949" max="7949" width="11.28515625" style="98" bestFit="1" customWidth="1"/>
    <col min="7950" max="7951" width="12.85546875" style="98" bestFit="1" customWidth="1"/>
    <col min="7952" max="7952" width="11.28515625" style="98" bestFit="1" customWidth="1"/>
    <col min="7953" max="7953" width="12.85546875" style="98" bestFit="1" customWidth="1"/>
    <col min="7954" max="7955" width="11.28515625" style="98" bestFit="1" customWidth="1"/>
    <col min="7956" max="7957" width="12.85546875" style="98" bestFit="1" customWidth="1"/>
    <col min="7958" max="7958" width="10.28515625" style="98" bestFit="1" customWidth="1"/>
    <col min="7959" max="7961" width="11.28515625" style="98" bestFit="1" customWidth="1"/>
    <col min="7962" max="7964" width="12.85546875" style="98" bestFit="1" customWidth="1"/>
    <col min="7965" max="7968" width="11.28515625" style="98" bestFit="1" customWidth="1"/>
    <col min="7969" max="7969" width="10.28515625" style="98" bestFit="1" customWidth="1"/>
    <col min="7970" max="7970" width="12.85546875" style="98" bestFit="1" customWidth="1"/>
    <col min="7971" max="7973" width="11.28515625" style="98" bestFit="1" customWidth="1"/>
    <col min="7974" max="7974" width="12.85546875" style="98" bestFit="1" customWidth="1"/>
    <col min="7975" max="7975" width="11.28515625" style="98" bestFit="1" customWidth="1"/>
    <col min="7976" max="7976" width="12.85546875" style="98" bestFit="1" customWidth="1"/>
    <col min="7977" max="7977" width="9.140625" style="98"/>
    <col min="7978" max="7978" width="14" style="98" bestFit="1" customWidth="1"/>
    <col min="7979" max="8195" width="9.140625" style="98"/>
    <col min="8196" max="8196" width="46.85546875" style="98" customWidth="1"/>
    <col min="8197" max="8197" width="12.85546875" style="98" bestFit="1" customWidth="1"/>
    <col min="8198" max="8198" width="11.28515625" style="98" bestFit="1" customWidth="1"/>
    <col min="8199" max="8204" width="12.85546875" style="98" bestFit="1" customWidth="1"/>
    <col min="8205" max="8205" width="11.28515625" style="98" bestFit="1" customWidth="1"/>
    <col min="8206" max="8207" width="12.85546875" style="98" bestFit="1" customWidth="1"/>
    <col min="8208" max="8208" width="11.28515625" style="98" bestFit="1" customWidth="1"/>
    <col min="8209" max="8209" width="12.85546875" style="98" bestFit="1" customWidth="1"/>
    <col min="8210" max="8211" width="11.28515625" style="98" bestFit="1" customWidth="1"/>
    <col min="8212" max="8213" width="12.85546875" style="98" bestFit="1" customWidth="1"/>
    <col min="8214" max="8214" width="10.28515625" style="98" bestFit="1" customWidth="1"/>
    <col min="8215" max="8217" width="11.28515625" style="98" bestFit="1" customWidth="1"/>
    <col min="8218" max="8220" width="12.85546875" style="98" bestFit="1" customWidth="1"/>
    <col min="8221" max="8224" width="11.28515625" style="98" bestFit="1" customWidth="1"/>
    <col min="8225" max="8225" width="10.28515625" style="98" bestFit="1" customWidth="1"/>
    <col min="8226" max="8226" width="12.85546875" style="98" bestFit="1" customWidth="1"/>
    <col min="8227" max="8229" width="11.28515625" style="98" bestFit="1" customWidth="1"/>
    <col min="8230" max="8230" width="12.85546875" style="98" bestFit="1" customWidth="1"/>
    <col min="8231" max="8231" width="11.28515625" style="98" bestFit="1" customWidth="1"/>
    <col min="8232" max="8232" width="12.85546875" style="98" bestFit="1" customWidth="1"/>
    <col min="8233" max="8233" width="9.140625" style="98"/>
    <col min="8234" max="8234" width="14" style="98" bestFit="1" customWidth="1"/>
    <col min="8235" max="8451" width="9.140625" style="98"/>
    <col min="8452" max="8452" width="46.85546875" style="98" customWidth="1"/>
    <col min="8453" max="8453" width="12.85546875" style="98" bestFit="1" customWidth="1"/>
    <col min="8454" max="8454" width="11.28515625" style="98" bestFit="1" customWidth="1"/>
    <col min="8455" max="8460" width="12.85546875" style="98" bestFit="1" customWidth="1"/>
    <col min="8461" max="8461" width="11.28515625" style="98" bestFit="1" customWidth="1"/>
    <col min="8462" max="8463" width="12.85546875" style="98" bestFit="1" customWidth="1"/>
    <col min="8464" max="8464" width="11.28515625" style="98" bestFit="1" customWidth="1"/>
    <col min="8465" max="8465" width="12.85546875" style="98" bestFit="1" customWidth="1"/>
    <col min="8466" max="8467" width="11.28515625" style="98" bestFit="1" customWidth="1"/>
    <col min="8468" max="8469" width="12.85546875" style="98" bestFit="1" customWidth="1"/>
    <col min="8470" max="8470" width="10.28515625" style="98" bestFit="1" customWidth="1"/>
    <col min="8471" max="8473" width="11.28515625" style="98" bestFit="1" customWidth="1"/>
    <col min="8474" max="8476" width="12.85546875" style="98" bestFit="1" customWidth="1"/>
    <col min="8477" max="8480" width="11.28515625" style="98" bestFit="1" customWidth="1"/>
    <col min="8481" max="8481" width="10.28515625" style="98" bestFit="1" customWidth="1"/>
    <col min="8482" max="8482" width="12.85546875" style="98" bestFit="1" customWidth="1"/>
    <col min="8483" max="8485" width="11.28515625" style="98" bestFit="1" customWidth="1"/>
    <col min="8486" max="8486" width="12.85546875" style="98" bestFit="1" customWidth="1"/>
    <col min="8487" max="8487" width="11.28515625" style="98" bestFit="1" customWidth="1"/>
    <col min="8488" max="8488" width="12.85546875" style="98" bestFit="1" customWidth="1"/>
    <col min="8489" max="8489" width="9.140625" style="98"/>
    <col min="8490" max="8490" width="14" style="98" bestFit="1" customWidth="1"/>
    <col min="8491" max="8707" width="9.140625" style="98"/>
    <col min="8708" max="8708" width="46.85546875" style="98" customWidth="1"/>
    <col min="8709" max="8709" width="12.85546875" style="98" bestFit="1" customWidth="1"/>
    <col min="8710" max="8710" width="11.28515625" style="98" bestFit="1" customWidth="1"/>
    <col min="8711" max="8716" width="12.85546875" style="98" bestFit="1" customWidth="1"/>
    <col min="8717" max="8717" width="11.28515625" style="98" bestFit="1" customWidth="1"/>
    <col min="8718" max="8719" width="12.85546875" style="98" bestFit="1" customWidth="1"/>
    <col min="8720" max="8720" width="11.28515625" style="98" bestFit="1" customWidth="1"/>
    <col min="8721" max="8721" width="12.85546875" style="98" bestFit="1" customWidth="1"/>
    <col min="8722" max="8723" width="11.28515625" style="98" bestFit="1" customWidth="1"/>
    <col min="8724" max="8725" width="12.85546875" style="98" bestFit="1" customWidth="1"/>
    <col min="8726" max="8726" width="10.28515625" style="98" bestFit="1" customWidth="1"/>
    <col min="8727" max="8729" width="11.28515625" style="98" bestFit="1" customWidth="1"/>
    <col min="8730" max="8732" width="12.85546875" style="98" bestFit="1" customWidth="1"/>
    <col min="8733" max="8736" width="11.28515625" style="98" bestFit="1" customWidth="1"/>
    <col min="8737" max="8737" width="10.28515625" style="98" bestFit="1" customWidth="1"/>
    <col min="8738" max="8738" width="12.85546875" style="98" bestFit="1" customWidth="1"/>
    <col min="8739" max="8741" width="11.28515625" style="98" bestFit="1" customWidth="1"/>
    <col min="8742" max="8742" width="12.85546875" style="98" bestFit="1" customWidth="1"/>
    <col min="8743" max="8743" width="11.28515625" style="98" bestFit="1" customWidth="1"/>
    <col min="8744" max="8744" width="12.85546875" style="98" bestFit="1" customWidth="1"/>
    <col min="8745" max="8745" width="9.140625" style="98"/>
    <col min="8746" max="8746" width="14" style="98" bestFit="1" customWidth="1"/>
    <col min="8747" max="8963" width="9.140625" style="98"/>
    <col min="8964" max="8964" width="46.85546875" style="98" customWidth="1"/>
    <col min="8965" max="8965" width="12.85546875" style="98" bestFit="1" customWidth="1"/>
    <col min="8966" max="8966" width="11.28515625" style="98" bestFit="1" customWidth="1"/>
    <col min="8967" max="8972" width="12.85546875" style="98" bestFit="1" customWidth="1"/>
    <col min="8973" max="8973" width="11.28515625" style="98" bestFit="1" customWidth="1"/>
    <col min="8974" max="8975" width="12.85546875" style="98" bestFit="1" customWidth="1"/>
    <col min="8976" max="8976" width="11.28515625" style="98" bestFit="1" customWidth="1"/>
    <col min="8977" max="8977" width="12.85546875" style="98" bestFit="1" customWidth="1"/>
    <col min="8978" max="8979" width="11.28515625" style="98" bestFit="1" customWidth="1"/>
    <col min="8980" max="8981" width="12.85546875" style="98" bestFit="1" customWidth="1"/>
    <col min="8982" max="8982" width="10.28515625" style="98" bestFit="1" customWidth="1"/>
    <col min="8983" max="8985" width="11.28515625" style="98" bestFit="1" customWidth="1"/>
    <col min="8986" max="8988" width="12.85546875" style="98" bestFit="1" customWidth="1"/>
    <col min="8989" max="8992" width="11.28515625" style="98" bestFit="1" customWidth="1"/>
    <col min="8993" max="8993" width="10.28515625" style="98" bestFit="1" customWidth="1"/>
    <col min="8994" max="8994" width="12.85546875" style="98" bestFit="1" customWidth="1"/>
    <col min="8995" max="8997" width="11.28515625" style="98" bestFit="1" customWidth="1"/>
    <col min="8998" max="8998" width="12.85546875" style="98" bestFit="1" customWidth="1"/>
    <col min="8999" max="8999" width="11.28515625" style="98" bestFit="1" customWidth="1"/>
    <col min="9000" max="9000" width="12.85546875" style="98" bestFit="1" customWidth="1"/>
    <col min="9001" max="9001" width="9.140625" style="98"/>
    <col min="9002" max="9002" width="14" style="98" bestFit="1" customWidth="1"/>
    <col min="9003" max="9219" width="9.140625" style="98"/>
    <col min="9220" max="9220" width="46.85546875" style="98" customWidth="1"/>
    <col min="9221" max="9221" width="12.85546875" style="98" bestFit="1" customWidth="1"/>
    <col min="9222" max="9222" width="11.28515625" style="98" bestFit="1" customWidth="1"/>
    <col min="9223" max="9228" width="12.85546875" style="98" bestFit="1" customWidth="1"/>
    <col min="9229" max="9229" width="11.28515625" style="98" bestFit="1" customWidth="1"/>
    <col min="9230" max="9231" width="12.85546875" style="98" bestFit="1" customWidth="1"/>
    <col min="9232" max="9232" width="11.28515625" style="98" bestFit="1" customWidth="1"/>
    <col min="9233" max="9233" width="12.85546875" style="98" bestFit="1" customWidth="1"/>
    <col min="9234" max="9235" width="11.28515625" style="98" bestFit="1" customWidth="1"/>
    <col min="9236" max="9237" width="12.85546875" style="98" bestFit="1" customWidth="1"/>
    <col min="9238" max="9238" width="10.28515625" style="98" bestFit="1" customWidth="1"/>
    <col min="9239" max="9241" width="11.28515625" style="98" bestFit="1" customWidth="1"/>
    <col min="9242" max="9244" width="12.85546875" style="98" bestFit="1" customWidth="1"/>
    <col min="9245" max="9248" width="11.28515625" style="98" bestFit="1" customWidth="1"/>
    <col min="9249" max="9249" width="10.28515625" style="98" bestFit="1" customWidth="1"/>
    <col min="9250" max="9250" width="12.85546875" style="98" bestFit="1" customWidth="1"/>
    <col min="9251" max="9253" width="11.28515625" style="98" bestFit="1" customWidth="1"/>
    <col min="9254" max="9254" width="12.85546875" style="98" bestFit="1" customWidth="1"/>
    <col min="9255" max="9255" width="11.28515625" style="98" bestFit="1" customWidth="1"/>
    <col min="9256" max="9256" width="12.85546875" style="98" bestFit="1" customWidth="1"/>
    <col min="9257" max="9257" width="9.140625" style="98"/>
    <col min="9258" max="9258" width="14" style="98" bestFit="1" customWidth="1"/>
    <col min="9259" max="9475" width="9.140625" style="98"/>
    <col min="9476" max="9476" width="46.85546875" style="98" customWidth="1"/>
    <col min="9477" max="9477" width="12.85546875" style="98" bestFit="1" customWidth="1"/>
    <col min="9478" max="9478" width="11.28515625" style="98" bestFit="1" customWidth="1"/>
    <col min="9479" max="9484" width="12.85546875" style="98" bestFit="1" customWidth="1"/>
    <col min="9485" max="9485" width="11.28515625" style="98" bestFit="1" customWidth="1"/>
    <col min="9486" max="9487" width="12.85546875" style="98" bestFit="1" customWidth="1"/>
    <col min="9488" max="9488" width="11.28515625" style="98" bestFit="1" customWidth="1"/>
    <col min="9489" max="9489" width="12.85546875" style="98" bestFit="1" customWidth="1"/>
    <col min="9490" max="9491" width="11.28515625" style="98" bestFit="1" customWidth="1"/>
    <col min="9492" max="9493" width="12.85546875" style="98" bestFit="1" customWidth="1"/>
    <col min="9494" max="9494" width="10.28515625" style="98" bestFit="1" customWidth="1"/>
    <col min="9495" max="9497" width="11.28515625" style="98" bestFit="1" customWidth="1"/>
    <col min="9498" max="9500" width="12.85546875" style="98" bestFit="1" customWidth="1"/>
    <col min="9501" max="9504" width="11.28515625" style="98" bestFit="1" customWidth="1"/>
    <col min="9505" max="9505" width="10.28515625" style="98" bestFit="1" customWidth="1"/>
    <col min="9506" max="9506" width="12.85546875" style="98" bestFit="1" customWidth="1"/>
    <col min="9507" max="9509" width="11.28515625" style="98" bestFit="1" customWidth="1"/>
    <col min="9510" max="9510" width="12.85546875" style="98" bestFit="1" customWidth="1"/>
    <col min="9511" max="9511" width="11.28515625" style="98" bestFit="1" customWidth="1"/>
    <col min="9512" max="9512" width="12.85546875" style="98" bestFit="1" customWidth="1"/>
    <col min="9513" max="9513" width="9.140625" style="98"/>
    <col min="9514" max="9514" width="14" style="98" bestFit="1" customWidth="1"/>
    <col min="9515" max="9731" width="9.140625" style="98"/>
    <col min="9732" max="9732" width="46.85546875" style="98" customWidth="1"/>
    <col min="9733" max="9733" width="12.85546875" style="98" bestFit="1" customWidth="1"/>
    <col min="9734" max="9734" width="11.28515625" style="98" bestFit="1" customWidth="1"/>
    <col min="9735" max="9740" width="12.85546875" style="98" bestFit="1" customWidth="1"/>
    <col min="9741" max="9741" width="11.28515625" style="98" bestFit="1" customWidth="1"/>
    <col min="9742" max="9743" width="12.85546875" style="98" bestFit="1" customWidth="1"/>
    <col min="9744" max="9744" width="11.28515625" style="98" bestFit="1" customWidth="1"/>
    <col min="9745" max="9745" width="12.85546875" style="98" bestFit="1" customWidth="1"/>
    <col min="9746" max="9747" width="11.28515625" style="98" bestFit="1" customWidth="1"/>
    <col min="9748" max="9749" width="12.85546875" style="98" bestFit="1" customWidth="1"/>
    <col min="9750" max="9750" width="10.28515625" style="98" bestFit="1" customWidth="1"/>
    <col min="9751" max="9753" width="11.28515625" style="98" bestFit="1" customWidth="1"/>
    <col min="9754" max="9756" width="12.85546875" style="98" bestFit="1" customWidth="1"/>
    <col min="9757" max="9760" width="11.28515625" style="98" bestFit="1" customWidth="1"/>
    <col min="9761" max="9761" width="10.28515625" style="98" bestFit="1" customWidth="1"/>
    <col min="9762" max="9762" width="12.85546875" style="98" bestFit="1" customWidth="1"/>
    <col min="9763" max="9765" width="11.28515625" style="98" bestFit="1" customWidth="1"/>
    <col min="9766" max="9766" width="12.85546875" style="98" bestFit="1" customWidth="1"/>
    <col min="9767" max="9767" width="11.28515625" style="98" bestFit="1" customWidth="1"/>
    <col min="9768" max="9768" width="12.85546875" style="98" bestFit="1" customWidth="1"/>
    <col min="9769" max="9769" width="9.140625" style="98"/>
    <col min="9770" max="9770" width="14" style="98" bestFit="1" customWidth="1"/>
    <col min="9771" max="9987" width="9.140625" style="98"/>
    <col min="9988" max="9988" width="46.85546875" style="98" customWidth="1"/>
    <col min="9989" max="9989" width="12.85546875" style="98" bestFit="1" customWidth="1"/>
    <col min="9990" max="9990" width="11.28515625" style="98" bestFit="1" customWidth="1"/>
    <col min="9991" max="9996" width="12.85546875" style="98" bestFit="1" customWidth="1"/>
    <col min="9997" max="9997" width="11.28515625" style="98" bestFit="1" customWidth="1"/>
    <col min="9998" max="9999" width="12.85546875" style="98" bestFit="1" customWidth="1"/>
    <col min="10000" max="10000" width="11.28515625" style="98" bestFit="1" customWidth="1"/>
    <col min="10001" max="10001" width="12.85546875" style="98" bestFit="1" customWidth="1"/>
    <col min="10002" max="10003" width="11.28515625" style="98" bestFit="1" customWidth="1"/>
    <col min="10004" max="10005" width="12.85546875" style="98" bestFit="1" customWidth="1"/>
    <col min="10006" max="10006" width="10.28515625" style="98" bestFit="1" customWidth="1"/>
    <col min="10007" max="10009" width="11.28515625" style="98" bestFit="1" customWidth="1"/>
    <col min="10010" max="10012" width="12.85546875" style="98" bestFit="1" customWidth="1"/>
    <col min="10013" max="10016" width="11.28515625" style="98" bestFit="1" customWidth="1"/>
    <col min="10017" max="10017" width="10.28515625" style="98" bestFit="1" customWidth="1"/>
    <col min="10018" max="10018" width="12.85546875" style="98" bestFit="1" customWidth="1"/>
    <col min="10019" max="10021" width="11.28515625" style="98" bestFit="1" customWidth="1"/>
    <col min="10022" max="10022" width="12.85546875" style="98" bestFit="1" customWidth="1"/>
    <col min="10023" max="10023" width="11.28515625" style="98" bestFit="1" customWidth="1"/>
    <col min="10024" max="10024" width="12.85546875" style="98" bestFit="1" customWidth="1"/>
    <col min="10025" max="10025" width="9.140625" style="98"/>
    <col min="10026" max="10026" width="14" style="98" bestFit="1" customWidth="1"/>
    <col min="10027" max="10243" width="9.140625" style="98"/>
    <col min="10244" max="10244" width="46.85546875" style="98" customWidth="1"/>
    <col min="10245" max="10245" width="12.85546875" style="98" bestFit="1" customWidth="1"/>
    <col min="10246" max="10246" width="11.28515625" style="98" bestFit="1" customWidth="1"/>
    <col min="10247" max="10252" width="12.85546875" style="98" bestFit="1" customWidth="1"/>
    <col min="10253" max="10253" width="11.28515625" style="98" bestFit="1" customWidth="1"/>
    <col min="10254" max="10255" width="12.85546875" style="98" bestFit="1" customWidth="1"/>
    <col min="10256" max="10256" width="11.28515625" style="98" bestFit="1" customWidth="1"/>
    <col min="10257" max="10257" width="12.85546875" style="98" bestFit="1" customWidth="1"/>
    <col min="10258" max="10259" width="11.28515625" style="98" bestFit="1" customWidth="1"/>
    <col min="10260" max="10261" width="12.85546875" style="98" bestFit="1" customWidth="1"/>
    <col min="10262" max="10262" width="10.28515625" style="98" bestFit="1" customWidth="1"/>
    <col min="10263" max="10265" width="11.28515625" style="98" bestFit="1" customWidth="1"/>
    <col min="10266" max="10268" width="12.85546875" style="98" bestFit="1" customWidth="1"/>
    <col min="10269" max="10272" width="11.28515625" style="98" bestFit="1" customWidth="1"/>
    <col min="10273" max="10273" width="10.28515625" style="98" bestFit="1" customWidth="1"/>
    <col min="10274" max="10274" width="12.85546875" style="98" bestFit="1" customWidth="1"/>
    <col min="10275" max="10277" width="11.28515625" style="98" bestFit="1" customWidth="1"/>
    <col min="10278" max="10278" width="12.85546875" style="98" bestFit="1" customWidth="1"/>
    <col min="10279" max="10279" width="11.28515625" style="98" bestFit="1" customWidth="1"/>
    <col min="10280" max="10280" width="12.85546875" style="98" bestFit="1" customWidth="1"/>
    <col min="10281" max="10281" width="9.140625" style="98"/>
    <col min="10282" max="10282" width="14" style="98" bestFit="1" customWidth="1"/>
    <col min="10283" max="10499" width="9.140625" style="98"/>
    <col min="10500" max="10500" width="46.85546875" style="98" customWidth="1"/>
    <col min="10501" max="10501" width="12.85546875" style="98" bestFit="1" customWidth="1"/>
    <col min="10502" max="10502" width="11.28515625" style="98" bestFit="1" customWidth="1"/>
    <col min="10503" max="10508" width="12.85546875" style="98" bestFit="1" customWidth="1"/>
    <col min="10509" max="10509" width="11.28515625" style="98" bestFit="1" customWidth="1"/>
    <col min="10510" max="10511" width="12.85546875" style="98" bestFit="1" customWidth="1"/>
    <col min="10512" max="10512" width="11.28515625" style="98" bestFit="1" customWidth="1"/>
    <col min="10513" max="10513" width="12.85546875" style="98" bestFit="1" customWidth="1"/>
    <col min="10514" max="10515" width="11.28515625" style="98" bestFit="1" customWidth="1"/>
    <col min="10516" max="10517" width="12.85546875" style="98" bestFit="1" customWidth="1"/>
    <col min="10518" max="10518" width="10.28515625" style="98" bestFit="1" customWidth="1"/>
    <col min="10519" max="10521" width="11.28515625" style="98" bestFit="1" customWidth="1"/>
    <col min="10522" max="10524" width="12.85546875" style="98" bestFit="1" customWidth="1"/>
    <col min="10525" max="10528" width="11.28515625" style="98" bestFit="1" customWidth="1"/>
    <col min="10529" max="10529" width="10.28515625" style="98" bestFit="1" customWidth="1"/>
    <col min="10530" max="10530" width="12.85546875" style="98" bestFit="1" customWidth="1"/>
    <col min="10531" max="10533" width="11.28515625" style="98" bestFit="1" customWidth="1"/>
    <col min="10534" max="10534" width="12.85546875" style="98" bestFit="1" customWidth="1"/>
    <col min="10535" max="10535" width="11.28515625" style="98" bestFit="1" customWidth="1"/>
    <col min="10536" max="10536" width="12.85546875" style="98" bestFit="1" customWidth="1"/>
    <col min="10537" max="10537" width="9.140625" style="98"/>
    <col min="10538" max="10538" width="14" style="98" bestFit="1" customWidth="1"/>
    <col min="10539" max="10755" width="9.140625" style="98"/>
    <col min="10756" max="10756" width="46.85546875" style="98" customWidth="1"/>
    <col min="10757" max="10757" width="12.85546875" style="98" bestFit="1" customWidth="1"/>
    <col min="10758" max="10758" width="11.28515625" style="98" bestFit="1" customWidth="1"/>
    <col min="10759" max="10764" width="12.85546875" style="98" bestFit="1" customWidth="1"/>
    <col min="10765" max="10765" width="11.28515625" style="98" bestFit="1" customWidth="1"/>
    <col min="10766" max="10767" width="12.85546875" style="98" bestFit="1" customWidth="1"/>
    <col min="10768" max="10768" width="11.28515625" style="98" bestFit="1" customWidth="1"/>
    <col min="10769" max="10769" width="12.85546875" style="98" bestFit="1" customWidth="1"/>
    <col min="10770" max="10771" width="11.28515625" style="98" bestFit="1" customWidth="1"/>
    <col min="10772" max="10773" width="12.85546875" style="98" bestFit="1" customWidth="1"/>
    <col min="10774" max="10774" width="10.28515625" style="98" bestFit="1" customWidth="1"/>
    <col min="10775" max="10777" width="11.28515625" style="98" bestFit="1" customWidth="1"/>
    <col min="10778" max="10780" width="12.85546875" style="98" bestFit="1" customWidth="1"/>
    <col min="10781" max="10784" width="11.28515625" style="98" bestFit="1" customWidth="1"/>
    <col min="10785" max="10785" width="10.28515625" style="98" bestFit="1" customWidth="1"/>
    <col min="10786" max="10786" width="12.85546875" style="98" bestFit="1" customWidth="1"/>
    <col min="10787" max="10789" width="11.28515625" style="98" bestFit="1" customWidth="1"/>
    <col min="10790" max="10790" width="12.85546875" style="98" bestFit="1" customWidth="1"/>
    <col min="10791" max="10791" width="11.28515625" style="98" bestFit="1" customWidth="1"/>
    <col min="10792" max="10792" width="12.85546875" style="98" bestFit="1" customWidth="1"/>
    <col min="10793" max="10793" width="9.140625" style="98"/>
    <col min="10794" max="10794" width="14" style="98" bestFit="1" customWidth="1"/>
    <col min="10795" max="11011" width="9.140625" style="98"/>
    <col min="11012" max="11012" width="46.85546875" style="98" customWidth="1"/>
    <col min="11013" max="11013" width="12.85546875" style="98" bestFit="1" customWidth="1"/>
    <col min="11014" max="11014" width="11.28515625" style="98" bestFit="1" customWidth="1"/>
    <col min="11015" max="11020" width="12.85546875" style="98" bestFit="1" customWidth="1"/>
    <col min="11021" max="11021" width="11.28515625" style="98" bestFit="1" customWidth="1"/>
    <col min="11022" max="11023" width="12.85546875" style="98" bestFit="1" customWidth="1"/>
    <col min="11024" max="11024" width="11.28515625" style="98" bestFit="1" customWidth="1"/>
    <col min="11025" max="11025" width="12.85546875" style="98" bestFit="1" customWidth="1"/>
    <col min="11026" max="11027" width="11.28515625" style="98" bestFit="1" customWidth="1"/>
    <col min="11028" max="11029" width="12.85546875" style="98" bestFit="1" customWidth="1"/>
    <col min="11030" max="11030" width="10.28515625" style="98" bestFit="1" customWidth="1"/>
    <col min="11031" max="11033" width="11.28515625" style="98" bestFit="1" customWidth="1"/>
    <col min="11034" max="11036" width="12.85546875" style="98" bestFit="1" customWidth="1"/>
    <col min="11037" max="11040" width="11.28515625" style="98" bestFit="1" customWidth="1"/>
    <col min="11041" max="11041" width="10.28515625" style="98" bestFit="1" customWidth="1"/>
    <col min="11042" max="11042" width="12.85546875" style="98" bestFit="1" customWidth="1"/>
    <col min="11043" max="11045" width="11.28515625" style="98" bestFit="1" customWidth="1"/>
    <col min="11046" max="11046" width="12.85546875" style="98" bestFit="1" customWidth="1"/>
    <col min="11047" max="11047" width="11.28515625" style="98" bestFit="1" customWidth="1"/>
    <col min="11048" max="11048" width="12.85546875" style="98" bestFit="1" customWidth="1"/>
    <col min="11049" max="11049" width="9.140625" style="98"/>
    <col min="11050" max="11050" width="14" style="98" bestFit="1" customWidth="1"/>
    <col min="11051" max="11267" width="9.140625" style="98"/>
    <col min="11268" max="11268" width="46.85546875" style="98" customWidth="1"/>
    <col min="11269" max="11269" width="12.85546875" style="98" bestFit="1" customWidth="1"/>
    <col min="11270" max="11270" width="11.28515625" style="98" bestFit="1" customWidth="1"/>
    <col min="11271" max="11276" width="12.85546875" style="98" bestFit="1" customWidth="1"/>
    <col min="11277" max="11277" width="11.28515625" style="98" bestFit="1" customWidth="1"/>
    <col min="11278" max="11279" width="12.85546875" style="98" bestFit="1" customWidth="1"/>
    <col min="11280" max="11280" width="11.28515625" style="98" bestFit="1" customWidth="1"/>
    <col min="11281" max="11281" width="12.85546875" style="98" bestFit="1" customWidth="1"/>
    <col min="11282" max="11283" width="11.28515625" style="98" bestFit="1" customWidth="1"/>
    <col min="11284" max="11285" width="12.85546875" style="98" bestFit="1" customWidth="1"/>
    <col min="11286" max="11286" width="10.28515625" style="98" bestFit="1" customWidth="1"/>
    <col min="11287" max="11289" width="11.28515625" style="98" bestFit="1" customWidth="1"/>
    <col min="11290" max="11292" width="12.85546875" style="98" bestFit="1" customWidth="1"/>
    <col min="11293" max="11296" width="11.28515625" style="98" bestFit="1" customWidth="1"/>
    <col min="11297" max="11297" width="10.28515625" style="98" bestFit="1" customWidth="1"/>
    <col min="11298" max="11298" width="12.85546875" style="98" bestFit="1" customWidth="1"/>
    <col min="11299" max="11301" width="11.28515625" style="98" bestFit="1" customWidth="1"/>
    <col min="11302" max="11302" width="12.85546875" style="98" bestFit="1" customWidth="1"/>
    <col min="11303" max="11303" width="11.28515625" style="98" bestFit="1" customWidth="1"/>
    <col min="11304" max="11304" width="12.85546875" style="98" bestFit="1" customWidth="1"/>
    <col min="11305" max="11305" width="9.140625" style="98"/>
    <col min="11306" max="11306" width="14" style="98" bestFit="1" customWidth="1"/>
    <col min="11307" max="11523" width="9.140625" style="98"/>
    <col min="11524" max="11524" width="46.85546875" style="98" customWidth="1"/>
    <col min="11525" max="11525" width="12.85546875" style="98" bestFit="1" customWidth="1"/>
    <col min="11526" max="11526" width="11.28515625" style="98" bestFit="1" customWidth="1"/>
    <col min="11527" max="11532" width="12.85546875" style="98" bestFit="1" customWidth="1"/>
    <col min="11533" max="11533" width="11.28515625" style="98" bestFit="1" customWidth="1"/>
    <col min="11534" max="11535" width="12.85546875" style="98" bestFit="1" customWidth="1"/>
    <col min="11536" max="11536" width="11.28515625" style="98" bestFit="1" customWidth="1"/>
    <col min="11537" max="11537" width="12.85546875" style="98" bestFit="1" customWidth="1"/>
    <col min="11538" max="11539" width="11.28515625" style="98" bestFit="1" customWidth="1"/>
    <col min="11540" max="11541" width="12.85546875" style="98" bestFit="1" customWidth="1"/>
    <col min="11542" max="11542" width="10.28515625" style="98" bestFit="1" customWidth="1"/>
    <col min="11543" max="11545" width="11.28515625" style="98" bestFit="1" customWidth="1"/>
    <col min="11546" max="11548" width="12.85546875" style="98" bestFit="1" customWidth="1"/>
    <col min="11549" max="11552" width="11.28515625" style="98" bestFit="1" customWidth="1"/>
    <col min="11553" max="11553" width="10.28515625" style="98" bestFit="1" customWidth="1"/>
    <col min="11554" max="11554" width="12.85546875" style="98" bestFit="1" customWidth="1"/>
    <col min="11555" max="11557" width="11.28515625" style="98" bestFit="1" customWidth="1"/>
    <col min="11558" max="11558" width="12.85546875" style="98" bestFit="1" customWidth="1"/>
    <col min="11559" max="11559" width="11.28515625" style="98" bestFit="1" customWidth="1"/>
    <col min="11560" max="11560" width="12.85546875" style="98" bestFit="1" customWidth="1"/>
    <col min="11561" max="11561" width="9.140625" style="98"/>
    <col min="11562" max="11562" width="14" style="98" bestFit="1" customWidth="1"/>
    <col min="11563" max="11779" width="9.140625" style="98"/>
    <col min="11780" max="11780" width="46.85546875" style="98" customWidth="1"/>
    <col min="11781" max="11781" width="12.85546875" style="98" bestFit="1" customWidth="1"/>
    <col min="11782" max="11782" width="11.28515625" style="98" bestFit="1" customWidth="1"/>
    <col min="11783" max="11788" width="12.85546875" style="98" bestFit="1" customWidth="1"/>
    <col min="11789" max="11789" width="11.28515625" style="98" bestFit="1" customWidth="1"/>
    <col min="11790" max="11791" width="12.85546875" style="98" bestFit="1" customWidth="1"/>
    <col min="11792" max="11792" width="11.28515625" style="98" bestFit="1" customWidth="1"/>
    <col min="11793" max="11793" width="12.85546875" style="98" bestFit="1" customWidth="1"/>
    <col min="11794" max="11795" width="11.28515625" style="98" bestFit="1" customWidth="1"/>
    <col min="11796" max="11797" width="12.85546875" style="98" bestFit="1" customWidth="1"/>
    <col min="11798" max="11798" width="10.28515625" style="98" bestFit="1" customWidth="1"/>
    <col min="11799" max="11801" width="11.28515625" style="98" bestFit="1" customWidth="1"/>
    <col min="11802" max="11804" width="12.85546875" style="98" bestFit="1" customWidth="1"/>
    <col min="11805" max="11808" width="11.28515625" style="98" bestFit="1" customWidth="1"/>
    <col min="11809" max="11809" width="10.28515625" style="98" bestFit="1" customWidth="1"/>
    <col min="11810" max="11810" width="12.85546875" style="98" bestFit="1" customWidth="1"/>
    <col min="11811" max="11813" width="11.28515625" style="98" bestFit="1" customWidth="1"/>
    <col min="11814" max="11814" width="12.85546875" style="98" bestFit="1" customWidth="1"/>
    <col min="11815" max="11815" width="11.28515625" style="98" bestFit="1" customWidth="1"/>
    <col min="11816" max="11816" width="12.85546875" style="98" bestFit="1" customWidth="1"/>
    <col min="11817" max="11817" width="9.140625" style="98"/>
    <col min="11818" max="11818" width="14" style="98" bestFit="1" customWidth="1"/>
    <col min="11819" max="12035" width="9.140625" style="98"/>
    <col min="12036" max="12036" width="46.85546875" style="98" customWidth="1"/>
    <col min="12037" max="12037" width="12.85546875" style="98" bestFit="1" customWidth="1"/>
    <col min="12038" max="12038" width="11.28515625" style="98" bestFit="1" customWidth="1"/>
    <col min="12039" max="12044" width="12.85546875" style="98" bestFit="1" customWidth="1"/>
    <col min="12045" max="12045" width="11.28515625" style="98" bestFit="1" customWidth="1"/>
    <col min="12046" max="12047" width="12.85546875" style="98" bestFit="1" customWidth="1"/>
    <col min="12048" max="12048" width="11.28515625" style="98" bestFit="1" customWidth="1"/>
    <col min="12049" max="12049" width="12.85546875" style="98" bestFit="1" customWidth="1"/>
    <col min="12050" max="12051" width="11.28515625" style="98" bestFit="1" customWidth="1"/>
    <col min="12052" max="12053" width="12.85546875" style="98" bestFit="1" customWidth="1"/>
    <col min="12054" max="12054" width="10.28515625" style="98" bestFit="1" customWidth="1"/>
    <col min="12055" max="12057" width="11.28515625" style="98" bestFit="1" customWidth="1"/>
    <col min="12058" max="12060" width="12.85546875" style="98" bestFit="1" customWidth="1"/>
    <col min="12061" max="12064" width="11.28515625" style="98" bestFit="1" customWidth="1"/>
    <col min="12065" max="12065" width="10.28515625" style="98" bestFit="1" customWidth="1"/>
    <col min="12066" max="12066" width="12.85546875" style="98" bestFit="1" customWidth="1"/>
    <col min="12067" max="12069" width="11.28515625" style="98" bestFit="1" customWidth="1"/>
    <col min="12070" max="12070" width="12.85546875" style="98" bestFit="1" customWidth="1"/>
    <col min="12071" max="12071" width="11.28515625" style="98" bestFit="1" customWidth="1"/>
    <col min="12072" max="12072" width="12.85546875" style="98" bestFit="1" customWidth="1"/>
    <col min="12073" max="12073" width="9.140625" style="98"/>
    <col min="12074" max="12074" width="14" style="98" bestFit="1" customWidth="1"/>
    <col min="12075" max="12291" width="9.140625" style="98"/>
    <col min="12292" max="12292" width="46.85546875" style="98" customWidth="1"/>
    <col min="12293" max="12293" width="12.85546875" style="98" bestFit="1" customWidth="1"/>
    <col min="12294" max="12294" width="11.28515625" style="98" bestFit="1" customWidth="1"/>
    <col min="12295" max="12300" width="12.85546875" style="98" bestFit="1" customWidth="1"/>
    <col min="12301" max="12301" width="11.28515625" style="98" bestFit="1" customWidth="1"/>
    <col min="12302" max="12303" width="12.85546875" style="98" bestFit="1" customWidth="1"/>
    <col min="12304" max="12304" width="11.28515625" style="98" bestFit="1" customWidth="1"/>
    <col min="12305" max="12305" width="12.85546875" style="98" bestFit="1" customWidth="1"/>
    <col min="12306" max="12307" width="11.28515625" style="98" bestFit="1" customWidth="1"/>
    <col min="12308" max="12309" width="12.85546875" style="98" bestFit="1" customWidth="1"/>
    <col min="12310" max="12310" width="10.28515625" style="98" bestFit="1" customWidth="1"/>
    <col min="12311" max="12313" width="11.28515625" style="98" bestFit="1" customWidth="1"/>
    <col min="12314" max="12316" width="12.85546875" style="98" bestFit="1" customWidth="1"/>
    <col min="12317" max="12320" width="11.28515625" style="98" bestFit="1" customWidth="1"/>
    <col min="12321" max="12321" width="10.28515625" style="98" bestFit="1" customWidth="1"/>
    <col min="12322" max="12322" width="12.85546875" style="98" bestFit="1" customWidth="1"/>
    <col min="12323" max="12325" width="11.28515625" style="98" bestFit="1" customWidth="1"/>
    <col min="12326" max="12326" width="12.85546875" style="98" bestFit="1" customWidth="1"/>
    <col min="12327" max="12327" width="11.28515625" style="98" bestFit="1" customWidth="1"/>
    <col min="12328" max="12328" width="12.85546875" style="98" bestFit="1" customWidth="1"/>
    <col min="12329" max="12329" width="9.140625" style="98"/>
    <col min="12330" max="12330" width="14" style="98" bestFit="1" customWidth="1"/>
    <col min="12331" max="12547" width="9.140625" style="98"/>
    <col min="12548" max="12548" width="46.85546875" style="98" customWidth="1"/>
    <col min="12549" max="12549" width="12.85546875" style="98" bestFit="1" customWidth="1"/>
    <col min="12550" max="12550" width="11.28515625" style="98" bestFit="1" customWidth="1"/>
    <col min="12551" max="12556" width="12.85546875" style="98" bestFit="1" customWidth="1"/>
    <col min="12557" max="12557" width="11.28515625" style="98" bestFit="1" customWidth="1"/>
    <col min="12558" max="12559" width="12.85546875" style="98" bestFit="1" customWidth="1"/>
    <col min="12560" max="12560" width="11.28515625" style="98" bestFit="1" customWidth="1"/>
    <col min="12561" max="12561" width="12.85546875" style="98" bestFit="1" customWidth="1"/>
    <col min="12562" max="12563" width="11.28515625" style="98" bestFit="1" customWidth="1"/>
    <col min="12564" max="12565" width="12.85546875" style="98" bestFit="1" customWidth="1"/>
    <col min="12566" max="12566" width="10.28515625" style="98" bestFit="1" customWidth="1"/>
    <col min="12567" max="12569" width="11.28515625" style="98" bestFit="1" customWidth="1"/>
    <col min="12570" max="12572" width="12.85546875" style="98" bestFit="1" customWidth="1"/>
    <col min="12573" max="12576" width="11.28515625" style="98" bestFit="1" customWidth="1"/>
    <col min="12577" max="12577" width="10.28515625" style="98" bestFit="1" customWidth="1"/>
    <col min="12578" max="12578" width="12.85546875" style="98" bestFit="1" customWidth="1"/>
    <col min="12579" max="12581" width="11.28515625" style="98" bestFit="1" customWidth="1"/>
    <col min="12582" max="12582" width="12.85546875" style="98" bestFit="1" customWidth="1"/>
    <col min="12583" max="12583" width="11.28515625" style="98" bestFit="1" customWidth="1"/>
    <col min="12584" max="12584" width="12.85546875" style="98" bestFit="1" customWidth="1"/>
    <col min="12585" max="12585" width="9.140625" style="98"/>
    <col min="12586" max="12586" width="14" style="98" bestFit="1" customWidth="1"/>
    <col min="12587" max="12803" width="9.140625" style="98"/>
    <col min="12804" max="12804" width="46.85546875" style="98" customWidth="1"/>
    <col min="12805" max="12805" width="12.85546875" style="98" bestFit="1" customWidth="1"/>
    <col min="12806" max="12806" width="11.28515625" style="98" bestFit="1" customWidth="1"/>
    <col min="12807" max="12812" width="12.85546875" style="98" bestFit="1" customWidth="1"/>
    <col min="12813" max="12813" width="11.28515625" style="98" bestFit="1" customWidth="1"/>
    <col min="12814" max="12815" width="12.85546875" style="98" bestFit="1" customWidth="1"/>
    <col min="12816" max="12816" width="11.28515625" style="98" bestFit="1" customWidth="1"/>
    <col min="12817" max="12817" width="12.85546875" style="98" bestFit="1" customWidth="1"/>
    <col min="12818" max="12819" width="11.28515625" style="98" bestFit="1" customWidth="1"/>
    <col min="12820" max="12821" width="12.85546875" style="98" bestFit="1" customWidth="1"/>
    <col min="12822" max="12822" width="10.28515625" style="98" bestFit="1" customWidth="1"/>
    <col min="12823" max="12825" width="11.28515625" style="98" bestFit="1" customWidth="1"/>
    <col min="12826" max="12828" width="12.85546875" style="98" bestFit="1" customWidth="1"/>
    <col min="12829" max="12832" width="11.28515625" style="98" bestFit="1" customWidth="1"/>
    <col min="12833" max="12833" width="10.28515625" style="98" bestFit="1" customWidth="1"/>
    <col min="12834" max="12834" width="12.85546875" style="98" bestFit="1" customWidth="1"/>
    <col min="12835" max="12837" width="11.28515625" style="98" bestFit="1" customWidth="1"/>
    <col min="12838" max="12838" width="12.85546875" style="98" bestFit="1" customWidth="1"/>
    <col min="12839" max="12839" width="11.28515625" style="98" bestFit="1" customWidth="1"/>
    <col min="12840" max="12840" width="12.85546875" style="98" bestFit="1" customWidth="1"/>
    <col min="12841" max="12841" width="9.140625" style="98"/>
    <col min="12842" max="12842" width="14" style="98" bestFit="1" customWidth="1"/>
    <col min="12843" max="13059" width="9.140625" style="98"/>
    <col min="13060" max="13060" width="46.85546875" style="98" customWidth="1"/>
    <col min="13061" max="13061" width="12.85546875" style="98" bestFit="1" customWidth="1"/>
    <col min="13062" max="13062" width="11.28515625" style="98" bestFit="1" customWidth="1"/>
    <col min="13063" max="13068" width="12.85546875" style="98" bestFit="1" customWidth="1"/>
    <col min="13069" max="13069" width="11.28515625" style="98" bestFit="1" customWidth="1"/>
    <col min="13070" max="13071" width="12.85546875" style="98" bestFit="1" customWidth="1"/>
    <col min="13072" max="13072" width="11.28515625" style="98" bestFit="1" customWidth="1"/>
    <col min="13073" max="13073" width="12.85546875" style="98" bestFit="1" customWidth="1"/>
    <col min="13074" max="13075" width="11.28515625" style="98" bestFit="1" customWidth="1"/>
    <col min="13076" max="13077" width="12.85546875" style="98" bestFit="1" customWidth="1"/>
    <col min="13078" max="13078" width="10.28515625" style="98" bestFit="1" customWidth="1"/>
    <col min="13079" max="13081" width="11.28515625" style="98" bestFit="1" customWidth="1"/>
    <col min="13082" max="13084" width="12.85546875" style="98" bestFit="1" customWidth="1"/>
    <col min="13085" max="13088" width="11.28515625" style="98" bestFit="1" customWidth="1"/>
    <col min="13089" max="13089" width="10.28515625" style="98" bestFit="1" customWidth="1"/>
    <col min="13090" max="13090" width="12.85546875" style="98" bestFit="1" customWidth="1"/>
    <col min="13091" max="13093" width="11.28515625" style="98" bestFit="1" customWidth="1"/>
    <col min="13094" max="13094" width="12.85546875" style="98" bestFit="1" customWidth="1"/>
    <col min="13095" max="13095" width="11.28515625" style="98" bestFit="1" customWidth="1"/>
    <col min="13096" max="13096" width="12.85546875" style="98" bestFit="1" customWidth="1"/>
    <col min="13097" max="13097" width="9.140625" style="98"/>
    <col min="13098" max="13098" width="14" style="98" bestFit="1" customWidth="1"/>
    <col min="13099" max="13315" width="9.140625" style="98"/>
    <col min="13316" max="13316" width="46.85546875" style="98" customWidth="1"/>
    <col min="13317" max="13317" width="12.85546875" style="98" bestFit="1" customWidth="1"/>
    <col min="13318" max="13318" width="11.28515625" style="98" bestFit="1" customWidth="1"/>
    <col min="13319" max="13324" width="12.85546875" style="98" bestFit="1" customWidth="1"/>
    <col min="13325" max="13325" width="11.28515625" style="98" bestFit="1" customWidth="1"/>
    <col min="13326" max="13327" width="12.85546875" style="98" bestFit="1" customWidth="1"/>
    <col min="13328" max="13328" width="11.28515625" style="98" bestFit="1" customWidth="1"/>
    <col min="13329" max="13329" width="12.85546875" style="98" bestFit="1" customWidth="1"/>
    <col min="13330" max="13331" width="11.28515625" style="98" bestFit="1" customWidth="1"/>
    <col min="13332" max="13333" width="12.85546875" style="98" bestFit="1" customWidth="1"/>
    <col min="13334" max="13334" width="10.28515625" style="98" bestFit="1" customWidth="1"/>
    <col min="13335" max="13337" width="11.28515625" style="98" bestFit="1" customWidth="1"/>
    <col min="13338" max="13340" width="12.85546875" style="98" bestFit="1" customWidth="1"/>
    <col min="13341" max="13344" width="11.28515625" style="98" bestFit="1" customWidth="1"/>
    <col min="13345" max="13345" width="10.28515625" style="98" bestFit="1" customWidth="1"/>
    <col min="13346" max="13346" width="12.85546875" style="98" bestFit="1" customWidth="1"/>
    <col min="13347" max="13349" width="11.28515625" style="98" bestFit="1" customWidth="1"/>
    <col min="13350" max="13350" width="12.85546875" style="98" bestFit="1" customWidth="1"/>
    <col min="13351" max="13351" width="11.28515625" style="98" bestFit="1" customWidth="1"/>
    <col min="13352" max="13352" width="12.85546875" style="98" bestFit="1" customWidth="1"/>
    <col min="13353" max="13353" width="9.140625" style="98"/>
    <col min="13354" max="13354" width="14" style="98" bestFit="1" customWidth="1"/>
    <col min="13355" max="13571" width="9.140625" style="98"/>
    <col min="13572" max="13572" width="46.85546875" style="98" customWidth="1"/>
    <col min="13573" max="13573" width="12.85546875" style="98" bestFit="1" customWidth="1"/>
    <col min="13574" max="13574" width="11.28515625" style="98" bestFit="1" customWidth="1"/>
    <col min="13575" max="13580" width="12.85546875" style="98" bestFit="1" customWidth="1"/>
    <col min="13581" max="13581" width="11.28515625" style="98" bestFit="1" customWidth="1"/>
    <col min="13582" max="13583" width="12.85546875" style="98" bestFit="1" customWidth="1"/>
    <col min="13584" max="13584" width="11.28515625" style="98" bestFit="1" customWidth="1"/>
    <col min="13585" max="13585" width="12.85546875" style="98" bestFit="1" customWidth="1"/>
    <col min="13586" max="13587" width="11.28515625" style="98" bestFit="1" customWidth="1"/>
    <col min="13588" max="13589" width="12.85546875" style="98" bestFit="1" customWidth="1"/>
    <col min="13590" max="13590" width="10.28515625" style="98" bestFit="1" customWidth="1"/>
    <col min="13591" max="13593" width="11.28515625" style="98" bestFit="1" customWidth="1"/>
    <col min="13594" max="13596" width="12.85546875" style="98" bestFit="1" customWidth="1"/>
    <col min="13597" max="13600" width="11.28515625" style="98" bestFit="1" customWidth="1"/>
    <col min="13601" max="13601" width="10.28515625" style="98" bestFit="1" customWidth="1"/>
    <col min="13602" max="13602" width="12.85546875" style="98" bestFit="1" customWidth="1"/>
    <col min="13603" max="13605" width="11.28515625" style="98" bestFit="1" customWidth="1"/>
    <col min="13606" max="13606" width="12.85546875" style="98" bestFit="1" customWidth="1"/>
    <col min="13607" max="13607" width="11.28515625" style="98" bestFit="1" customWidth="1"/>
    <col min="13608" max="13608" width="12.85546875" style="98" bestFit="1" customWidth="1"/>
    <col min="13609" max="13609" width="9.140625" style="98"/>
    <col min="13610" max="13610" width="14" style="98" bestFit="1" customWidth="1"/>
    <col min="13611" max="13827" width="9.140625" style="98"/>
    <col min="13828" max="13828" width="46.85546875" style="98" customWidth="1"/>
    <col min="13829" max="13829" width="12.85546875" style="98" bestFit="1" customWidth="1"/>
    <col min="13830" max="13830" width="11.28515625" style="98" bestFit="1" customWidth="1"/>
    <col min="13831" max="13836" width="12.85546875" style="98" bestFit="1" customWidth="1"/>
    <col min="13837" max="13837" width="11.28515625" style="98" bestFit="1" customWidth="1"/>
    <col min="13838" max="13839" width="12.85546875" style="98" bestFit="1" customWidth="1"/>
    <col min="13840" max="13840" width="11.28515625" style="98" bestFit="1" customWidth="1"/>
    <col min="13841" max="13841" width="12.85546875" style="98" bestFit="1" customWidth="1"/>
    <col min="13842" max="13843" width="11.28515625" style="98" bestFit="1" customWidth="1"/>
    <col min="13844" max="13845" width="12.85546875" style="98" bestFit="1" customWidth="1"/>
    <col min="13846" max="13846" width="10.28515625" style="98" bestFit="1" customWidth="1"/>
    <col min="13847" max="13849" width="11.28515625" style="98" bestFit="1" customWidth="1"/>
    <col min="13850" max="13852" width="12.85546875" style="98" bestFit="1" customWidth="1"/>
    <col min="13853" max="13856" width="11.28515625" style="98" bestFit="1" customWidth="1"/>
    <col min="13857" max="13857" width="10.28515625" style="98" bestFit="1" customWidth="1"/>
    <col min="13858" max="13858" width="12.85546875" style="98" bestFit="1" customWidth="1"/>
    <col min="13859" max="13861" width="11.28515625" style="98" bestFit="1" customWidth="1"/>
    <col min="13862" max="13862" width="12.85546875" style="98" bestFit="1" customWidth="1"/>
    <col min="13863" max="13863" width="11.28515625" style="98" bestFit="1" customWidth="1"/>
    <col min="13864" max="13864" width="12.85546875" style="98" bestFit="1" customWidth="1"/>
    <col min="13865" max="13865" width="9.140625" style="98"/>
    <col min="13866" max="13866" width="14" style="98" bestFit="1" customWidth="1"/>
    <col min="13867" max="14083" width="9.140625" style="98"/>
    <col min="14084" max="14084" width="46.85546875" style="98" customWidth="1"/>
    <col min="14085" max="14085" width="12.85546875" style="98" bestFit="1" customWidth="1"/>
    <col min="14086" max="14086" width="11.28515625" style="98" bestFit="1" customWidth="1"/>
    <col min="14087" max="14092" width="12.85546875" style="98" bestFit="1" customWidth="1"/>
    <col min="14093" max="14093" width="11.28515625" style="98" bestFit="1" customWidth="1"/>
    <col min="14094" max="14095" width="12.85546875" style="98" bestFit="1" customWidth="1"/>
    <col min="14096" max="14096" width="11.28515625" style="98" bestFit="1" customWidth="1"/>
    <col min="14097" max="14097" width="12.85546875" style="98" bestFit="1" customWidth="1"/>
    <col min="14098" max="14099" width="11.28515625" style="98" bestFit="1" customWidth="1"/>
    <col min="14100" max="14101" width="12.85546875" style="98" bestFit="1" customWidth="1"/>
    <col min="14102" max="14102" width="10.28515625" style="98" bestFit="1" customWidth="1"/>
    <col min="14103" max="14105" width="11.28515625" style="98" bestFit="1" customWidth="1"/>
    <col min="14106" max="14108" width="12.85546875" style="98" bestFit="1" customWidth="1"/>
    <col min="14109" max="14112" width="11.28515625" style="98" bestFit="1" customWidth="1"/>
    <col min="14113" max="14113" width="10.28515625" style="98" bestFit="1" customWidth="1"/>
    <col min="14114" max="14114" width="12.85546875" style="98" bestFit="1" customWidth="1"/>
    <col min="14115" max="14117" width="11.28515625" style="98" bestFit="1" customWidth="1"/>
    <col min="14118" max="14118" width="12.85546875" style="98" bestFit="1" customWidth="1"/>
    <col min="14119" max="14119" width="11.28515625" style="98" bestFit="1" customWidth="1"/>
    <col min="14120" max="14120" width="12.85546875" style="98" bestFit="1" customWidth="1"/>
    <col min="14121" max="14121" width="9.140625" style="98"/>
    <col min="14122" max="14122" width="14" style="98" bestFit="1" customWidth="1"/>
    <col min="14123" max="14339" width="9.140625" style="98"/>
    <col min="14340" max="14340" width="46.85546875" style="98" customWidth="1"/>
    <col min="14341" max="14341" width="12.85546875" style="98" bestFit="1" customWidth="1"/>
    <col min="14342" max="14342" width="11.28515625" style="98" bestFit="1" customWidth="1"/>
    <col min="14343" max="14348" width="12.85546875" style="98" bestFit="1" customWidth="1"/>
    <col min="14349" max="14349" width="11.28515625" style="98" bestFit="1" customWidth="1"/>
    <col min="14350" max="14351" width="12.85546875" style="98" bestFit="1" customWidth="1"/>
    <col min="14352" max="14352" width="11.28515625" style="98" bestFit="1" customWidth="1"/>
    <col min="14353" max="14353" width="12.85546875" style="98" bestFit="1" customWidth="1"/>
    <col min="14354" max="14355" width="11.28515625" style="98" bestFit="1" customWidth="1"/>
    <col min="14356" max="14357" width="12.85546875" style="98" bestFit="1" customWidth="1"/>
    <col min="14358" max="14358" width="10.28515625" style="98" bestFit="1" customWidth="1"/>
    <col min="14359" max="14361" width="11.28515625" style="98" bestFit="1" customWidth="1"/>
    <col min="14362" max="14364" width="12.85546875" style="98" bestFit="1" customWidth="1"/>
    <col min="14365" max="14368" width="11.28515625" style="98" bestFit="1" customWidth="1"/>
    <col min="14369" max="14369" width="10.28515625" style="98" bestFit="1" customWidth="1"/>
    <col min="14370" max="14370" width="12.85546875" style="98" bestFit="1" customWidth="1"/>
    <col min="14371" max="14373" width="11.28515625" style="98" bestFit="1" customWidth="1"/>
    <col min="14374" max="14374" width="12.85546875" style="98" bestFit="1" customWidth="1"/>
    <col min="14375" max="14375" width="11.28515625" style="98" bestFit="1" customWidth="1"/>
    <col min="14376" max="14376" width="12.85546875" style="98" bestFit="1" customWidth="1"/>
    <col min="14377" max="14377" width="9.140625" style="98"/>
    <col min="14378" max="14378" width="14" style="98" bestFit="1" customWidth="1"/>
    <col min="14379" max="14595" width="9.140625" style="98"/>
    <col min="14596" max="14596" width="46.85546875" style="98" customWidth="1"/>
    <col min="14597" max="14597" width="12.85546875" style="98" bestFit="1" customWidth="1"/>
    <col min="14598" max="14598" width="11.28515625" style="98" bestFit="1" customWidth="1"/>
    <col min="14599" max="14604" width="12.85546875" style="98" bestFit="1" customWidth="1"/>
    <col min="14605" max="14605" width="11.28515625" style="98" bestFit="1" customWidth="1"/>
    <col min="14606" max="14607" width="12.85546875" style="98" bestFit="1" customWidth="1"/>
    <col min="14608" max="14608" width="11.28515625" style="98" bestFit="1" customWidth="1"/>
    <col min="14609" max="14609" width="12.85546875" style="98" bestFit="1" customWidth="1"/>
    <col min="14610" max="14611" width="11.28515625" style="98" bestFit="1" customWidth="1"/>
    <col min="14612" max="14613" width="12.85546875" style="98" bestFit="1" customWidth="1"/>
    <col min="14614" max="14614" width="10.28515625" style="98" bestFit="1" customWidth="1"/>
    <col min="14615" max="14617" width="11.28515625" style="98" bestFit="1" customWidth="1"/>
    <col min="14618" max="14620" width="12.85546875" style="98" bestFit="1" customWidth="1"/>
    <col min="14621" max="14624" width="11.28515625" style="98" bestFit="1" customWidth="1"/>
    <col min="14625" max="14625" width="10.28515625" style="98" bestFit="1" customWidth="1"/>
    <col min="14626" max="14626" width="12.85546875" style="98" bestFit="1" customWidth="1"/>
    <col min="14627" max="14629" width="11.28515625" style="98" bestFit="1" customWidth="1"/>
    <col min="14630" max="14630" width="12.85546875" style="98" bestFit="1" customWidth="1"/>
    <col min="14631" max="14631" width="11.28515625" style="98" bestFit="1" customWidth="1"/>
    <col min="14632" max="14632" width="12.85546875" style="98" bestFit="1" customWidth="1"/>
    <col min="14633" max="14633" width="9.140625" style="98"/>
    <col min="14634" max="14634" width="14" style="98" bestFit="1" customWidth="1"/>
    <col min="14635" max="14851" width="9.140625" style="98"/>
    <col min="14852" max="14852" width="46.85546875" style="98" customWidth="1"/>
    <col min="14853" max="14853" width="12.85546875" style="98" bestFit="1" customWidth="1"/>
    <col min="14854" max="14854" width="11.28515625" style="98" bestFit="1" customWidth="1"/>
    <col min="14855" max="14860" width="12.85546875" style="98" bestFit="1" customWidth="1"/>
    <col min="14861" max="14861" width="11.28515625" style="98" bestFit="1" customWidth="1"/>
    <col min="14862" max="14863" width="12.85546875" style="98" bestFit="1" customWidth="1"/>
    <col min="14864" max="14864" width="11.28515625" style="98" bestFit="1" customWidth="1"/>
    <col min="14865" max="14865" width="12.85546875" style="98" bestFit="1" customWidth="1"/>
    <col min="14866" max="14867" width="11.28515625" style="98" bestFit="1" customWidth="1"/>
    <col min="14868" max="14869" width="12.85546875" style="98" bestFit="1" customWidth="1"/>
    <col min="14870" max="14870" width="10.28515625" style="98" bestFit="1" customWidth="1"/>
    <col min="14871" max="14873" width="11.28515625" style="98" bestFit="1" customWidth="1"/>
    <col min="14874" max="14876" width="12.85546875" style="98" bestFit="1" customWidth="1"/>
    <col min="14877" max="14880" width="11.28515625" style="98" bestFit="1" customWidth="1"/>
    <col min="14881" max="14881" width="10.28515625" style="98" bestFit="1" customWidth="1"/>
    <col min="14882" max="14882" width="12.85546875" style="98" bestFit="1" customWidth="1"/>
    <col min="14883" max="14885" width="11.28515625" style="98" bestFit="1" customWidth="1"/>
    <col min="14886" max="14886" width="12.85546875" style="98" bestFit="1" customWidth="1"/>
    <col min="14887" max="14887" width="11.28515625" style="98" bestFit="1" customWidth="1"/>
    <col min="14888" max="14888" width="12.85546875" style="98" bestFit="1" customWidth="1"/>
    <col min="14889" max="14889" width="9.140625" style="98"/>
    <col min="14890" max="14890" width="14" style="98" bestFit="1" customWidth="1"/>
    <col min="14891" max="15107" width="9.140625" style="98"/>
    <col min="15108" max="15108" width="46.85546875" style="98" customWidth="1"/>
    <col min="15109" max="15109" width="12.85546875" style="98" bestFit="1" customWidth="1"/>
    <col min="15110" max="15110" width="11.28515625" style="98" bestFit="1" customWidth="1"/>
    <col min="15111" max="15116" width="12.85546875" style="98" bestFit="1" customWidth="1"/>
    <col min="15117" max="15117" width="11.28515625" style="98" bestFit="1" customWidth="1"/>
    <col min="15118" max="15119" width="12.85546875" style="98" bestFit="1" customWidth="1"/>
    <col min="15120" max="15120" width="11.28515625" style="98" bestFit="1" customWidth="1"/>
    <col min="15121" max="15121" width="12.85546875" style="98" bestFit="1" customWidth="1"/>
    <col min="15122" max="15123" width="11.28515625" style="98" bestFit="1" customWidth="1"/>
    <col min="15124" max="15125" width="12.85546875" style="98" bestFit="1" customWidth="1"/>
    <col min="15126" max="15126" width="10.28515625" style="98" bestFit="1" customWidth="1"/>
    <col min="15127" max="15129" width="11.28515625" style="98" bestFit="1" customWidth="1"/>
    <col min="15130" max="15132" width="12.85546875" style="98" bestFit="1" customWidth="1"/>
    <col min="15133" max="15136" width="11.28515625" style="98" bestFit="1" customWidth="1"/>
    <col min="15137" max="15137" width="10.28515625" style="98" bestFit="1" customWidth="1"/>
    <col min="15138" max="15138" width="12.85546875" style="98" bestFit="1" customWidth="1"/>
    <col min="15139" max="15141" width="11.28515625" style="98" bestFit="1" customWidth="1"/>
    <col min="15142" max="15142" width="12.85546875" style="98" bestFit="1" customWidth="1"/>
    <col min="15143" max="15143" width="11.28515625" style="98" bestFit="1" customWidth="1"/>
    <col min="15144" max="15144" width="12.85546875" style="98" bestFit="1" customWidth="1"/>
    <col min="15145" max="15145" width="9.140625" style="98"/>
    <col min="15146" max="15146" width="14" style="98" bestFit="1" customWidth="1"/>
    <col min="15147" max="15363" width="9.140625" style="98"/>
    <col min="15364" max="15364" width="46.85546875" style="98" customWidth="1"/>
    <col min="15365" max="15365" width="12.85546875" style="98" bestFit="1" customWidth="1"/>
    <col min="15366" max="15366" width="11.28515625" style="98" bestFit="1" customWidth="1"/>
    <col min="15367" max="15372" width="12.85546875" style="98" bestFit="1" customWidth="1"/>
    <col min="15373" max="15373" width="11.28515625" style="98" bestFit="1" customWidth="1"/>
    <col min="15374" max="15375" width="12.85546875" style="98" bestFit="1" customWidth="1"/>
    <col min="15376" max="15376" width="11.28515625" style="98" bestFit="1" customWidth="1"/>
    <col min="15377" max="15377" width="12.85546875" style="98" bestFit="1" customWidth="1"/>
    <col min="15378" max="15379" width="11.28515625" style="98" bestFit="1" customWidth="1"/>
    <col min="15380" max="15381" width="12.85546875" style="98" bestFit="1" customWidth="1"/>
    <col min="15382" max="15382" width="10.28515625" style="98" bestFit="1" customWidth="1"/>
    <col min="15383" max="15385" width="11.28515625" style="98" bestFit="1" customWidth="1"/>
    <col min="15386" max="15388" width="12.85546875" style="98" bestFit="1" customWidth="1"/>
    <col min="15389" max="15392" width="11.28515625" style="98" bestFit="1" customWidth="1"/>
    <col min="15393" max="15393" width="10.28515625" style="98" bestFit="1" customWidth="1"/>
    <col min="15394" max="15394" width="12.85546875" style="98" bestFit="1" customWidth="1"/>
    <col min="15395" max="15397" width="11.28515625" style="98" bestFit="1" customWidth="1"/>
    <col min="15398" max="15398" width="12.85546875" style="98" bestFit="1" customWidth="1"/>
    <col min="15399" max="15399" width="11.28515625" style="98" bestFit="1" customWidth="1"/>
    <col min="15400" max="15400" width="12.85546875" style="98" bestFit="1" customWidth="1"/>
    <col min="15401" max="15401" width="9.140625" style="98"/>
    <col min="15402" max="15402" width="14" style="98" bestFit="1" customWidth="1"/>
    <col min="15403" max="15619" width="9.140625" style="98"/>
    <col min="15620" max="15620" width="46.85546875" style="98" customWidth="1"/>
    <col min="15621" max="15621" width="12.85546875" style="98" bestFit="1" customWidth="1"/>
    <col min="15622" max="15622" width="11.28515625" style="98" bestFit="1" customWidth="1"/>
    <col min="15623" max="15628" width="12.85546875" style="98" bestFit="1" customWidth="1"/>
    <col min="15629" max="15629" width="11.28515625" style="98" bestFit="1" customWidth="1"/>
    <col min="15630" max="15631" width="12.85546875" style="98" bestFit="1" customWidth="1"/>
    <col min="15632" max="15632" width="11.28515625" style="98" bestFit="1" customWidth="1"/>
    <col min="15633" max="15633" width="12.85546875" style="98" bestFit="1" customWidth="1"/>
    <col min="15634" max="15635" width="11.28515625" style="98" bestFit="1" customWidth="1"/>
    <col min="15636" max="15637" width="12.85546875" style="98" bestFit="1" customWidth="1"/>
    <col min="15638" max="15638" width="10.28515625" style="98" bestFit="1" customWidth="1"/>
    <col min="15639" max="15641" width="11.28515625" style="98" bestFit="1" customWidth="1"/>
    <col min="15642" max="15644" width="12.85546875" style="98" bestFit="1" customWidth="1"/>
    <col min="15645" max="15648" width="11.28515625" style="98" bestFit="1" customWidth="1"/>
    <col min="15649" max="15649" width="10.28515625" style="98" bestFit="1" customWidth="1"/>
    <col min="15650" max="15650" width="12.85546875" style="98" bestFit="1" customWidth="1"/>
    <col min="15651" max="15653" width="11.28515625" style="98" bestFit="1" customWidth="1"/>
    <col min="15654" max="15654" width="12.85546875" style="98" bestFit="1" customWidth="1"/>
    <col min="15655" max="15655" width="11.28515625" style="98" bestFit="1" customWidth="1"/>
    <col min="15656" max="15656" width="12.85546875" style="98" bestFit="1" customWidth="1"/>
    <col min="15657" max="15657" width="9.140625" style="98"/>
    <col min="15658" max="15658" width="14" style="98" bestFit="1" customWidth="1"/>
    <col min="15659" max="15875" width="9.140625" style="98"/>
    <col min="15876" max="15876" width="46.85546875" style="98" customWidth="1"/>
    <col min="15877" max="15877" width="12.85546875" style="98" bestFit="1" customWidth="1"/>
    <col min="15878" max="15878" width="11.28515625" style="98" bestFit="1" customWidth="1"/>
    <col min="15879" max="15884" width="12.85546875" style="98" bestFit="1" customWidth="1"/>
    <col min="15885" max="15885" width="11.28515625" style="98" bestFit="1" customWidth="1"/>
    <col min="15886" max="15887" width="12.85546875" style="98" bestFit="1" customWidth="1"/>
    <col min="15888" max="15888" width="11.28515625" style="98" bestFit="1" customWidth="1"/>
    <col min="15889" max="15889" width="12.85546875" style="98" bestFit="1" customWidth="1"/>
    <col min="15890" max="15891" width="11.28515625" style="98" bestFit="1" customWidth="1"/>
    <col min="15892" max="15893" width="12.85546875" style="98" bestFit="1" customWidth="1"/>
    <col min="15894" max="15894" width="10.28515625" style="98" bestFit="1" customWidth="1"/>
    <col min="15895" max="15897" width="11.28515625" style="98" bestFit="1" customWidth="1"/>
    <col min="15898" max="15900" width="12.85546875" style="98" bestFit="1" customWidth="1"/>
    <col min="15901" max="15904" width="11.28515625" style="98" bestFit="1" customWidth="1"/>
    <col min="15905" max="15905" width="10.28515625" style="98" bestFit="1" customWidth="1"/>
    <col min="15906" max="15906" width="12.85546875" style="98" bestFit="1" customWidth="1"/>
    <col min="15907" max="15909" width="11.28515625" style="98" bestFit="1" customWidth="1"/>
    <col min="15910" max="15910" width="12.85546875" style="98" bestFit="1" customWidth="1"/>
    <col min="15911" max="15911" width="11.28515625" style="98" bestFit="1" customWidth="1"/>
    <col min="15912" max="15912" width="12.85546875" style="98" bestFit="1" customWidth="1"/>
    <col min="15913" max="15913" width="9.140625" style="98"/>
    <col min="15914" max="15914" width="14" style="98" bestFit="1" customWidth="1"/>
    <col min="15915" max="16131" width="9.140625" style="98"/>
    <col min="16132" max="16132" width="46.85546875" style="98" customWidth="1"/>
    <col min="16133" max="16133" width="12.85546875" style="98" bestFit="1" customWidth="1"/>
    <col min="16134" max="16134" width="11.28515625" style="98" bestFit="1" customWidth="1"/>
    <col min="16135" max="16140" width="12.85546875" style="98" bestFit="1" customWidth="1"/>
    <col min="16141" max="16141" width="11.28515625" style="98" bestFit="1" customWidth="1"/>
    <col min="16142" max="16143" width="12.85546875" style="98" bestFit="1" customWidth="1"/>
    <col min="16144" max="16144" width="11.28515625" style="98" bestFit="1" customWidth="1"/>
    <col min="16145" max="16145" width="12.85546875" style="98" bestFit="1" customWidth="1"/>
    <col min="16146" max="16147" width="11.28515625" style="98" bestFit="1" customWidth="1"/>
    <col min="16148" max="16149" width="12.85546875" style="98" bestFit="1" customWidth="1"/>
    <col min="16150" max="16150" width="10.28515625" style="98" bestFit="1" customWidth="1"/>
    <col min="16151" max="16153" width="11.28515625" style="98" bestFit="1" customWidth="1"/>
    <col min="16154" max="16156" width="12.85546875" style="98" bestFit="1" customWidth="1"/>
    <col min="16157" max="16160" width="11.28515625" style="98" bestFit="1" customWidth="1"/>
    <col min="16161" max="16161" width="10.28515625" style="98" bestFit="1" customWidth="1"/>
    <col min="16162" max="16162" width="12.85546875" style="98" bestFit="1" customWidth="1"/>
    <col min="16163" max="16165" width="11.28515625" style="98" bestFit="1" customWidth="1"/>
    <col min="16166" max="16166" width="12.85546875" style="98" bestFit="1" customWidth="1"/>
    <col min="16167" max="16167" width="11.28515625" style="98" bestFit="1" customWidth="1"/>
    <col min="16168" max="16168" width="12.85546875" style="98" bestFit="1" customWidth="1"/>
    <col min="16169" max="16169" width="9.140625" style="98"/>
    <col min="16170" max="16170" width="14" style="98" bestFit="1" customWidth="1"/>
    <col min="16171" max="16384" width="9.140625" style="98"/>
  </cols>
  <sheetData>
    <row r="1" spans="1:49" ht="51.75" x14ac:dyDescent="0.25">
      <c r="B1" s="144" t="s">
        <v>60</v>
      </c>
      <c r="C1" s="143" t="s">
        <v>59</v>
      </c>
      <c r="D1" s="143" t="s">
        <v>58</v>
      </c>
      <c r="E1" s="143" t="s">
        <v>57</v>
      </c>
      <c r="F1" s="143" t="s">
        <v>56</v>
      </c>
      <c r="G1" s="143" t="s">
        <v>55</v>
      </c>
      <c r="H1" s="143" t="s">
        <v>54</v>
      </c>
      <c r="I1" s="143" t="s">
        <v>53</v>
      </c>
      <c r="J1" s="143" t="s">
        <v>52</v>
      </c>
      <c r="K1" s="143" t="s">
        <v>51</v>
      </c>
      <c r="L1" s="458" t="s">
        <v>50</v>
      </c>
      <c r="M1" s="143" t="s">
        <v>49</v>
      </c>
      <c r="N1" s="143" t="s">
        <v>48</v>
      </c>
      <c r="O1" s="143" t="s">
        <v>47</v>
      </c>
      <c r="P1" s="143" t="s">
        <v>46</v>
      </c>
      <c r="Q1" s="143" t="s">
        <v>45</v>
      </c>
      <c r="R1" s="59" t="s">
        <v>44</v>
      </c>
      <c r="S1" s="143" t="s">
        <v>43</v>
      </c>
      <c r="T1" s="59" t="s">
        <v>42</v>
      </c>
      <c r="U1" s="143" t="s">
        <v>41</v>
      </c>
      <c r="V1" s="143" t="s">
        <v>40</v>
      </c>
      <c r="W1" s="143" t="s">
        <v>39</v>
      </c>
      <c r="X1" s="143" t="s">
        <v>38</v>
      </c>
      <c r="Y1" s="143" t="s">
        <v>37</v>
      </c>
      <c r="Z1" s="143" t="s">
        <v>36</v>
      </c>
      <c r="AA1" s="143" t="s">
        <v>35</v>
      </c>
      <c r="AB1" s="143" t="s">
        <v>34</v>
      </c>
      <c r="AC1" s="143" t="s">
        <v>33</v>
      </c>
      <c r="AD1" s="143" t="s">
        <v>32</v>
      </c>
      <c r="AE1" s="143" t="s">
        <v>31</v>
      </c>
      <c r="AF1" s="143" t="s">
        <v>30</v>
      </c>
      <c r="AG1" s="143" t="s">
        <v>29</v>
      </c>
      <c r="AH1" s="143" t="s">
        <v>28</v>
      </c>
      <c r="AI1" s="143" t="s">
        <v>27</v>
      </c>
      <c r="AJ1" s="143" t="s">
        <v>26</v>
      </c>
      <c r="AK1" s="143" t="s">
        <v>25</v>
      </c>
      <c r="AL1" s="143" t="s">
        <v>24</v>
      </c>
      <c r="AM1" s="143" t="s">
        <v>23</v>
      </c>
      <c r="AN1" s="143" t="s">
        <v>22</v>
      </c>
    </row>
    <row r="2" spans="1:49" s="451" customFormat="1" ht="15" x14ac:dyDescent="0.25">
      <c r="A2" s="451" t="s">
        <v>355</v>
      </c>
      <c r="B2" s="455">
        <f t="shared" ref="B2:AN2" si="0">B83</f>
        <v>4898942.0256999992</v>
      </c>
      <c r="C2" s="455">
        <f t="shared" si="0"/>
        <v>889570.0808</v>
      </c>
      <c r="D2" s="455">
        <f t="shared" si="0"/>
        <v>1186680.1310000001</v>
      </c>
      <c r="E2" s="455">
        <f t="shared" si="0"/>
        <v>1821880.2945000001</v>
      </c>
      <c r="F2" s="455">
        <f t="shared" si="0"/>
        <v>1454343.4743999997</v>
      </c>
      <c r="G2" s="455">
        <f t="shared" si="0"/>
        <v>2611960.7000000002</v>
      </c>
      <c r="H2" s="455">
        <f t="shared" si="0"/>
        <v>2321974.1684000003</v>
      </c>
      <c r="I2" s="455">
        <f t="shared" si="0"/>
        <v>2126000.0233999998</v>
      </c>
      <c r="J2" s="455">
        <f t="shared" si="0"/>
        <v>584596.44469999999</v>
      </c>
      <c r="K2" s="455">
        <f t="shared" si="0"/>
        <v>1079797.6813000001</v>
      </c>
      <c r="L2" s="455">
        <f t="shared" si="0"/>
        <v>954467.3406</v>
      </c>
      <c r="M2" s="455">
        <f t="shared" si="0"/>
        <v>3141559.7400000007</v>
      </c>
      <c r="N2" s="455">
        <f t="shared" si="0"/>
        <v>974238.72979999997</v>
      </c>
      <c r="O2" s="455">
        <f t="shared" si="0"/>
        <v>1653500.4481000002</v>
      </c>
      <c r="P2" s="455">
        <f t="shared" si="0"/>
        <v>285874.31099999999</v>
      </c>
      <c r="Q2" s="455">
        <f t="shared" si="0"/>
        <v>246680.7764</v>
      </c>
      <c r="R2" s="455">
        <f t="shared" si="0"/>
        <v>285874.31099999999</v>
      </c>
      <c r="S2" s="455">
        <f t="shared" si="0"/>
        <v>2759936.9018000006</v>
      </c>
      <c r="T2" s="455">
        <f t="shared" si="0"/>
        <v>1033306.2174000001</v>
      </c>
      <c r="U2" s="455">
        <f t="shared" si="0"/>
        <v>2140507.6406999999</v>
      </c>
      <c r="V2" s="455">
        <f t="shared" si="0"/>
        <v>80418.438900000008</v>
      </c>
      <c r="W2" s="455">
        <f t="shared" si="0"/>
        <v>655004.67810000014</v>
      </c>
      <c r="X2" s="455">
        <f t="shared" si="0"/>
        <v>918074.98210000002</v>
      </c>
      <c r="Y2" s="455">
        <f t="shared" si="0"/>
        <v>841415.56420000002</v>
      </c>
      <c r="Z2" s="455">
        <f t="shared" si="0"/>
        <v>2821959.3370000003</v>
      </c>
      <c r="AA2" s="455">
        <f t="shared" si="0"/>
        <v>3057641.4007999999</v>
      </c>
      <c r="AB2" s="455">
        <f t="shared" si="0"/>
        <v>2556541.1527999993</v>
      </c>
      <c r="AC2" s="455">
        <f t="shared" si="0"/>
        <v>643071.96830000007</v>
      </c>
      <c r="AD2" s="455">
        <f t="shared" si="0"/>
        <v>112716.5036</v>
      </c>
      <c r="AE2" s="455">
        <f t="shared" si="0"/>
        <v>208422.65519999998</v>
      </c>
      <c r="AF2" s="455">
        <f t="shared" si="0"/>
        <v>676114.48750000005</v>
      </c>
      <c r="AG2" s="455">
        <f t="shared" si="0"/>
        <v>84071.104699999996</v>
      </c>
      <c r="AH2" s="455">
        <f t="shared" si="0"/>
        <v>1737675.7558999998</v>
      </c>
      <c r="AI2" s="455">
        <f t="shared" si="0"/>
        <v>196962.8812</v>
      </c>
      <c r="AJ2" s="455">
        <f t="shared" si="0"/>
        <v>869723.12519999989</v>
      </c>
      <c r="AK2" s="455">
        <f t="shared" si="0"/>
        <v>629857.62620000006</v>
      </c>
      <c r="AL2" s="455">
        <f t="shared" si="0"/>
        <v>1991555.9445000002</v>
      </c>
      <c r="AM2" s="455">
        <f t="shared" si="0"/>
        <v>929199.38840000005</v>
      </c>
      <c r="AN2" s="455">
        <f t="shared" si="0"/>
        <v>1108849.9942999999</v>
      </c>
      <c r="AP2" s="49">
        <f t="shared" ref="AP2:AP33" si="1">SUM(B2:AN2)</f>
        <v>52570968.429900005</v>
      </c>
      <c r="AT2" s="49" t="str">
        <f t="shared" ref="AT2:AT65" si="2">A2</f>
        <v>Statewide</v>
      </c>
      <c r="AU2" s="456">
        <v>1</v>
      </c>
      <c r="AV2" s="49"/>
      <c r="AW2" s="456">
        <v>1</v>
      </c>
    </row>
    <row r="3" spans="1:49" ht="15" x14ac:dyDescent="0.25">
      <c r="A3" s="116" t="s">
        <v>354</v>
      </c>
      <c r="B3" s="109">
        <v>1185.2230999999999</v>
      </c>
      <c r="C3" s="123">
        <v>0</v>
      </c>
      <c r="D3" s="109">
        <v>0</v>
      </c>
      <c r="E3" s="109">
        <v>0</v>
      </c>
      <c r="F3" s="109">
        <v>0</v>
      </c>
      <c r="G3" s="109">
        <v>0</v>
      </c>
      <c r="H3" s="109">
        <v>0</v>
      </c>
      <c r="I3" s="109">
        <v>3244.8195000000001</v>
      </c>
      <c r="J3" s="109">
        <v>0</v>
      </c>
      <c r="K3" s="109">
        <v>0</v>
      </c>
      <c r="L3" s="109">
        <v>0</v>
      </c>
      <c r="M3" s="109">
        <v>0</v>
      </c>
      <c r="N3" s="109">
        <v>0</v>
      </c>
      <c r="O3" s="109">
        <v>0</v>
      </c>
      <c r="P3" s="109">
        <v>0</v>
      </c>
      <c r="Q3" s="109">
        <v>0</v>
      </c>
      <c r="R3" s="109">
        <v>0</v>
      </c>
      <c r="S3" s="109"/>
      <c r="T3" s="109">
        <v>0</v>
      </c>
      <c r="U3" s="109"/>
      <c r="V3" s="109">
        <v>0</v>
      </c>
      <c r="W3" s="109">
        <v>0</v>
      </c>
      <c r="X3" s="109">
        <v>0</v>
      </c>
      <c r="Y3" s="109">
        <v>0</v>
      </c>
      <c r="Z3" s="109">
        <v>133243.9295</v>
      </c>
      <c r="AA3" s="109">
        <v>0</v>
      </c>
      <c r="AB3" s="109">
        <v>0</v>
      </c>
      <c r="AC3" s="109">
        <v>0</v>
      </c>
      <c r="AD3" s="109">
        <v>71502.935500000007</v>
      </c>
      <c r="AE3" s="109">
        <v>0</v>
      </c>
      <c r="AF3" s="109">
        <v>0</v>
      </c>
      <c r="AG3" s="109">
        <v>0</v>
      </c>
      <c r="AH3" s="109">
        <v>0</v>
      </c>
      <c r="AI3" s="109">
        <v>0</v>
      </c>
      <c r="AJ3" s="109">
        <v>0</v>
      </c>
      <c r="AK3" s="109">
        <v>0</v>
      </c>
      <c r="AL3" s="109">
        <v>0</v>
      </c>
      <c r="AM3" s="109">
        <v>338017.31520000001</v>
      </c>
      <c r="AN3" s="109">
        <v>228920.91459999999</v>
      </c>
      <c r="AO3" s="111"/>
      <c r="AP3" s="104">
        <f t="shared" si="1"/>
        <v>776115.13740000001</v>
      </c>
      <c r="AT3" t="str">
        <f t="shared" si="2"/>
        <v>Blue Earth River</v>
      </c>
      <c r="AU3" s="113">
        <v>2</v>
      </c>
      <c r="AV3"/>
      <c r="AW3" s="113">
        <v>10</v>
      </c>
    </row>
    <row r="4" spans="1:49" ht="15" x14ac:dyDescent="0.25">
      <c r="A4" s="116" t="s">
        <v>353</v>
      </c>
      <c r="B4" s="109">
        <v>15.618600000000001</v>
      </c>
      <c r="C4" s="123">
        <v>0</v>
      </c>
      <c r="D4" s="109">
        <v>0</v>
      </c>
      <c r="E4" s="109">
        <v>0</v>
      </c>
      <c r="F4" s="109">
        <v>0</v>
      </c>
      <c r="G4" s="109">
        <v>0</v>
      </c>
      <c r="H4" s="109">
        <v>0</v>
      </c>
      <c r="I4" s="109">
        <v>0</v>
      </c>
      <c r="J4" s="109">
        <v>0</v>
      </c>
      <c r="K4" s="109">
        <v>45230.839699999997</v>
      </c>
      <c r="L4" s="109">
        <v>0</v>
      </c>
      <c r="M4" s="109">
        <v>0</v>
      </c>
      <c r="N4" s="109">
        <v>0</v>
      </c>
      <c r="O4" s="109">
        <v>20562.3027</v>
      </c>
      <c r="P4" s="109">
        <v>0</v>
      </c>
      <c r="Q4" s="109">
        <v>0</v>
      </c>
      <c r="R4" s="109">
        <v>0</v>
      </c>
      <c r="S4" s="109"/>
      <c r="T4" s="109">
        <v>0</v>
      </c>
      <c r="U4" s="109"/>
      <c r="V4" s="109">
        <v>0</v>
      </c>
      <c r="W4" s="109">
        <v>258548.57070000001</v>
      </c>
      <c r="X4" s="109">
        <v>0</v>
      </c>
      <c r="Y4" s="109">
        <v>0</v>
      </c>
      <c r="Z4" s="109">
        <v>0</v>
      </c>
      <c r="AA4" s="109">
        <v>0</v>
      </c>
      <c r="AB4" s="109">
        <v>0</v>
      </c>
      <c r="AC4" s="109">
        <v>0</v>
      </c>
      <c r="AD4" s="109">
        <v>0</v>
      </c>
      <c r="AE4" s="109">
        <v>0</v>
      </c>
      <c r="AF4" s="109">
        <v>0</v>
      </c>
      <c r="AG4" s="109">
        <v>0</v>
      </c>
      <c r="AH4" s="109">
        <v>845.00059999999996</v>
      </c>
      <c r="AI4" s="109">
        <v>0</v>
      </c>
      <c r="AJ4" s="109">
        <v>2819.1983</v>
      </c>
      <c r="AK4" s="109">
        <v>0</v>
      </c>
      <c r="AL4" s="109">
        <v>26507.1348</v>
      </c>
      <c r="AM4" s="109">
        <v>0</v>
      </c>
      <c r="AN4" s="109">
        <v>0</v>
      </c>
      <c r="AO4" s="111"/>
      <c r="AP4" s="104">
        <f t="shared" si="1"/>
        <v>354528.6654</v>
      </c>
      <c r="AT4" t="str">
        <f t="shared" si="2"/>
        <v>Bois de Sioux River</v>
      </c>
      <c r="AU4" s="113">
        <v>3</v>
      </c>
      <c r="AV4"/>
      <c r="AW4" s="113">
        <v>55</v>
      </c>
    </row>
    <row r="5" spans="1:49" ht="15" x14ac:dyDescent="0.25">
      <c r="A5" s="116" t="s">
        <v>352</v>
      </c>
      <c r="B5" s="109">
        <v>0</v>
      </c>
      <c r="C5" s="123">
        <v>0</v>
      </c>
      <c r="D5" s="109">
        <v>0</v>
      </c>
      <c r="E5" s="109">
        <v>0</v>
      </c>
      <c r="F5" s="109">
        <v>0</v>
      </c>
      <c r="G5" s="109">
        <v>0</v>
      </c>
      <c r="H5" s="109">
        <v>0</v>
      </c>
      <c r="I5" s="109">
        <v>0</v>
      </c>
      <c r="J5" s="109">
        <v>0</v>
      </c>
      <c r="K5" s="109">
        <v>207665.21530000001</v>
      </c>
      <c r="L5" s="109">
        <v>0</v>
      </c>
      <c r="M5" s="109">
        <v>34003.036399999997</v>
      </c>
      <c r="N5" s="109">
        <v>0</v>
      </c>
      <c r="O5" s="109">
        <v>115119.2294</v>
      </c>
      <c r="P5" s="109">
        <v>0</v>
      </c>
      <c r="Q5" s="109">
        <v>22447.558199999999</v>
      </c>
      <c r="R5" s="109">
        <v>0</v>
      </c>
      <c r="S5" s="109">
        <v>10822.2353</v>
      </c>
      <c r="T5" s="109">
        <v>0</v>
      </c>
      <c r="U5" s="109">
        <v>0</v>
      </c>
      <c r="V5" s="109">
        <v>0</v>
      </c>
      <c r="W5" s="109">
        <v>83225.806100000002</v>
      </c>
      <c r="X5" s="109">
        <v>0</v>
      </c>
      <c r="Y5" s="109">
        <v>0</v>
      </c>
      <c r="Z5" s="109">
        <v>0</v>
      </c>
      <c r="AA5" s="109">
        <v>0</v>
      </c>
      <c r="AB5" s="109">
        <v>119275.4423</v>
      </c>
      <c r="AC5" s="109">
        <v>0</v>
      </c>
      <c r="AD5" s="109">
        <v>0</v>
      </c>
      <c r="AE5" s="109">
        <v>0</v>
      </c>
      <c r="AF5" s="109">
        <v>0</v>
      </c>
      <c r="AG5" s="109">
        <v>0</v>
      </c>
      <c r="AH5" s="109">
        <v>0</v>
      </c>
      <c r="AI5" s="109">
        <v>0</v>
      </c>
      <c r="AJ5" s="109">
        <v>17147.088400000001</v>
      </c>
      <c r="AK5" s="109">
        <v>0</v>
      </c>
      <c r="AL5" s="109">
        <v>114391.39810000001</v>
      </c>
      <c r="AM5" s="109">
        <v>0</v>
      </c>
      <c r="AN5" s="109">
        <v>0</v>
      </c>
      <c r="AO5" s="111"/>
      <c r="AP5" s="104">
        <f t="shared" si="1"/>
        <v>724097.00950000004</v>
      </c>
      <c r="AT5" t="str">
        <f t="shared" si="2"/>
        <v>Buffalo River</v>
      </c>
      <c r="AU5" s="113">
        <v>4</v>
      </c>
      <c r="AV5"/>
      <c r="AW5" s="113">
        <v>59</v>
      </c>
    </row>
    <row r="6" spans="1:49" ht="15" x14ac:dyDescent="0.25">
      <c r="A6" s="116" t="s">
        <v>351</v>
      </c>
      <c r="B6" s="109">
        <v>142261.62349999999</v>
      </c>
      <c r="C6" s="123">
        <v>0</v>
      </c>
      <c r="D6" s="109">
        <v>67537.184399999998</v>
      </c>
      <c r="E6" s="109">
        <v>0</v>
      </c>
      <c r="F6" s="109">
        <v>0</v>
      </c>
      <c r="G6" s="109">
        <v>0</v>
      </c>
      <c r="H6" s="109">
        <v>0</v>
      </c>
      <c r="I6" s="109">
        <v>0</v>
      </c>
      <c r="J6" s="109">
        <v>0</v>
      </c>
      <c r="K6" s="109">
        <v>0</v>
      </c>
      <c r="L6" s="109">
        <v>0</v>
      </c>
      <c r="M6" s="109">
        <v>0</v>
      </c>
      <c r="N6" s="109">
        <v>0</v>
      </c>
      <c r="O6" s="109">
        <v>0</v>
      </c>
      <c r="P6" s="109">
        <v>1967.2572</v>
      </c>
      <c r="Q6" s="109">
        <v>0</v>
      </c>
      <c r="R6" s="109">
        <v>0</v>
      </c>
      <c r="S6" s="109">
        <v>0</v>
      </c>
      <c r="T6" s="109">
        <v>0</v>
      </c>
      <c r="U6" s="109">
        <v>0</v>
      </c>
      <c r="V6" s="109">
        <v>0</v>
      </c>
      <c r="W6" s="109">
        <v>0</v>
      </c>
      <c r="X6" s="109">
        <v>0</v>
      </c>
      <c r="Y6" s="109">
        <v>56145.102200000001</v>
      </c>
      <c r="Z6" s="109">
        <v>640713.98459999997</v>
      </c>
      <c r="AA6" s="109">
        <v>0</v>
      </c>
      <c r="AB6" s="109">
        <v>0</v>
      </c>
      <c r="AC6" s="109">
        <v>0</v>
      </c>
      <c r="AD6" s="109">
        <v>0</v>
      </c>
      <c r="AE6" s="109">
        <v>0</v>
      </c>
      <c r="AF6" s="109">
        <v>547.59659999999997</v>
      </c>
      <c r="AG6" s="109">
        <v>10927.388800000001</v>
      </c>
      <c r="AH6" s="109">
        <v>0</v>
      </c>
      <c r="AI6" s="109">
        <v>0</v>
      </c>
      <c r="AJ6" s="109">
        <v>0</v>
      </c>
      <c r="AK6" s="109">
        <v>20290.703000000001</v>
      </c>
      <c r="AL6" s="109">
        <v>0</v>
      </c>
      <c r="AM6" s="109">
        <v>0</v>
      </c>
      <c r="AN6" s="109">
        <v>0</v>
      </c>
      <c r="AO6" s="111"/>
      <c r="AP6" s="104">
        <f t="shared" si="1"/>
        <v>940390.84029999992</v>
      </c>
      <c r="AT6" t="str">
        <f t="shared" si="2"/>
        <v>Cannon River</v>
      </c>
      <c r="AU6" s="113">
        <v>5</v>
      </c>
      <c r="AV6"/>
      <c r="AW6" s="113">
        <v>14</v>
      </c>
    </row>
    <row r="7" spans="1:49" ht="15" x14ac:dyDescent="0.25">
      <c r="A7" s="116" t="s">
        <v>350</v>
      </c>
      <c r="B7" s="109">
        <v>87496.3073</v>
      </c>
      <c r="C7" s="123">
        <v>0</v>
      </c>
      <c r="D7" s="109">
        <v>0</v>
      </c>
      <c r="E7" s="109">
        <v>0</v>
      </c>
      <c r="F7" s="109">
        <v>0</v>
      </c>
      <c r="G7" s="109">
        <v>0</v>
      </c>
      <c r="H7" s="109">
        <v>0</v>
      </c>
      <c r="I7" s="109">
        <v>0</v>
      </c>
      <c r="J7" s="109">
        <v>0</v>
      </c>
      <c r="K7" s="109">
        <v>0</v>
      </c>
      <c r="L7" s="109">
        <v>0</v>
      </c>
      <c r="M7" s="109">
        <v>0</v>
      </c>
      <c r="N7" s="109">
        <v>0</v>
      </c>
      <c r="O7" s="109">
        <v>0</v>
      </c>
      <c r="P7" s="109">
        <v>145441.6336</v>
      </c>
      <c r="Q7" s="109">
        <v>0</v>
      </c>
      <c r="R7" s="109">
        <v>0</v>
      </c>
      <c r="S7" s="109">
        <v>0</v>
      </c>
      <c r="T7" s="109">
        <v>0</v>
      </c>
      <c r="U7" s="109">
        <v>0</v>
      </c>
      <c r="V7" s="109">
        <v>0</v>
      </c>
      <c r="W7" s="109">
        <v>0</v>
      </c>
      <c r="X7" s="109">
        <v>0</v>
      </c>
      <c r="Y7" s="109">
        <v>0</v>
      </c>
      <c r="Z7" s="109">
        <v>119032.9832</v>
      </c>
      <c r="AA7" s="109">
        <v>0</v>
      </c>
      <c r="AB7" s="109">
        <v>0</v>
      </c>
      <c r="AC7" s="109">
        <v>0</v>
      </c>
      <c r="AD7" s="109">
        <v>0</v>
      </c>
      <c r="AE7" s="109">
        <v>0</v>
      </c>
      <c r="AF7" s="109">
        <v>0</v>
      </c>
      <c r="AG7" s="109">
        <v>0</v>
      </c>
      <c r="AH7" s="109">
        <v>0</v>
      </c>
      <c r="AI7" s="109">
        <v>0</v>
      </c>
      <c r="AJ7" s="109">
        <v>0</v>
      </c>
      <c r="AK7" s="109">
        <v>98950.9908</v>
      </c>
      <c r="AL7" s="109">
        <v>0</v>
      </c>
      <c r="AM7" s="109">
        <v>0</v>
      </c>
      <c r="AN7" s="109">
        <v>0</v>
      </c>
      <c r="AO7" s="111"/>
      <c r="AP7" s="104">
        <f t="shared" si="1"/>
        <v>450921.91489999997</v>
      </c>
      <c r="AT7" t="str">
        <f t="shared" si="2"/>
        <v>Cedar River</v>
      </c>
      <c r="AU7" s="113">
        <v>6</v>
      </c>
      <c r="AV7"/>
      <c r="AW7" s="113">
        <v>17</v>
      </c>
    </row>
    <row r="8" spans="1:49" ht="15" x14ac:dyDescent="0.25">
      <c r="A8" s="116" t="s">
        <v>349</v>
      </c>
      <c r="B8" s="109">
        <v>242199.85879999999</v>
      </c>
      <c r="C8" s="123">
        <v>0</v>
      </c>
      <c r="D8" s="109">
        <v>0</v>
      </c>
      <c r="E8" s="109">
        <v>660.98609999999996</v>
      </c>
      <c r="F8" s="109">
        <v>0</v>
      </c>
      <c r="G8" s="109">
        <v>0</v>
      </c>
      <c r="H8" s="109">
        <v>0</v>
      </c>
      <c r="I8" s="109">
        <v>0.73499999999999999</v>
      </c>
      <c r="J8" s="109">
        <v>264460.636</v>
      </c>
      <c r="K8" s="109">
        <v>0</v>
      </c>
      <c r="L8" s="109">
        <v>0</v>
      </c>
      <c r="M8" s="109">
        <v>0</v>
      </c>
      <c r="N8" s="109">
        <v>0</v>
      </c>
      <c r="O8" s="109">
        <v>0</v>
      </c>
      <c r="P8" s="109">
        <v>0</v>
      </c>
      <c r="Q8" s="109">
        <v>0</v>
      </c>
      <c r="R8" s="109">
        <v>0</v>
      </c>
      <c r="S8" s="109">
        <v>0</v>
      </c>
      <c r="T8" s="109">
        <v>0</v>
      </c>
      <c r="U8" s="109">
        <v>0</v>
      </c>
      <c r="V8" s="109">
        <v>0</v>
      </c>
      <c r="W8" s="109">
        <v>0</v>
      </c>
      <c r="X8" s="109">
        <v>0</v>
      </c>
      <c r="Y8" s="109">
        <v>0</v>
      </c>
      <c r="Z8" s="109">
        <v>0</v>
      </c>
      <c r="AA8" s="109">
        <v>0</v>
      </c>
      <c r="AB8" s="109">
        <v>594463.56889999995</v>
      </c>
      <c r="AC8" s="109">
        <v>0</v>
      </c>
      <c r="AD8" s="109">
        <v>0</v>
      </c>
      <c r="AE8" s="109">
        <v>12456.558300000001</v>
      </c>
      <c r="AF8" s="109">
        <v>0</v>
      </c>
      <c r="AG8" s="109">
        <v>0</v>
      </c>
      <c r="AH8" s="109">
        <v>199692.59179999999</v>
      </c>
      <c r="AI8" s="109">
        <v>16217.8624</v>
      </c>
      <c r="AJ8" s="109">
        <v>0</v>
      </c>
      <c r="AK8" s="109">
        <v>0</v>
      </c>
      <c r="AL8" s="109">
        <v>0</v>
      </c>
      <c r="AM8" s="109">
        <v>0</v>
      </c>
      <c r="AN8" s="109">
        <v>0</v>
      </c>
      <c r="AO8" s="111"/>
      <c r="AP8" s="104">
        <f t="shared" si="1"/>
        <v>1330152.7973</v>
      </c>
      <c r="AT8" t="str">
        <f t="shared" si="2"/>
        <v>Chippewa River</v>
      </c>
      <c r="AU8" s="113">
        <v>7</v>
      </c>
      <c r="AV8"/>
      <c r="AW8" s="113">
        <v>7</v>
      </c>
    </row>
    <row r="9" spans="1:49" ht="15" x14ac:dyDescent="0.25">
      <c r="A9" s="116" t="s">
        <v>348</v>
      </c>
      <c r="B9" s="109">
        <v>763.79629999999997</v>
      </c>
      <c r="C9" s="123">
        <v>0</v>
      </c>
      <c r="D9" s="109">
        <v>0</v>
      </c>
      <c r="E9" s="109">
        <v>0</v>
      </c>
      <c r="F9" s="109">
        <v>0</v>
      </c>
      <c r="G9" s="109">
        <v>0</v>
      </c>
      <c r="H9" s="109">
        <v>0</v>
      </c>
      <c r="I9" s="109">
        <v>0</v>
      </c>
      <c r="J9" s="109">
        <v>0</v>
      </c>
      <c r="K9" s="109">
        <v>134589.78649999999</v>
      </c>
      <c r="L9" s="109">
        <v>0</v>
      </c>
      <c r="M9" s="109">
        <v>156468.89050000001</v>
      </c>
      <c r="N9" s="109">
        <v>0</v>
      </c>
      <c r="O9" s="109">
        <v>123438.3279</v>
      </c>
      <c r="P9" s="109">
        <v>0</v>
      </c>
      <c r="Q9" s="109">
        <v>10200.381100000001</v>
      </c>
      <c r="R9" s="109">
        <v>0</v>
      </c>
      <c r="S9" s="109">
        <v>32417.967799999999</v>
      </c>
      <c r="T9" s="109">
        <v>0</v>
      </c>
      <c r="U9" s="109">
        <v>0</v>
      </c>
      <c r="V9" s="109">
        <v>0</v>
      </c>
      <c r="W9" s="109">
        <v>0</v>
      </c>
      <c r="X9" s="109">
        <v>139644.41260000001</v>
      </c>
      <c r="Y9" s="109">
        <v>0</v>
      </c>
      <c r="Z9" s="109">
        <v>0</v>
      </c>
      <c r="AA9" s="109">
        <v>0</v>
      </c>
      <c r="AB9" s="109">
        <v>110088.867</v>
      </c>
      <c r="AC9" s="109">
        <v>0</v>
      </c>
      <c r="AD9" s="109">
        <v>0</v>
      </c>
      <c r="AE9" s="109">
        <v>0</v>
      </c>
      <c r="AF9" s="109">
        <v>0</v>
      </c>
      <c r="AG9" s="109">
        <v>0</v>
      </c>
      <c r="AH9" s="109">
        <v>0</v>
      </c>
      <c r="AI9" s="109">
        <v>0</v>
      </c>
      <c r="AJ9" s="109">
        <v>0</v>
      </c>
      <c r="AK9" s="109">
        <v>0</v>
      </c>
      <c r="AL9" s="109">
        <v>161850.57810000001</v>
      </c>
      <c r="AM9" s="109">
        <v>0</v>
      </c>
      <c r="AN9" s="109">
        <v>0</v>
      </c>
      <c r="AO9" s="111"/>
      <c r="AP9" s="104">
        <f t="shared" si="1"/>
        <v>869463.00780000002</v>
      </c>
      <c r="AT9" t="str">
        <f t="shared" si="2"/>
        <v>Clearwater River</v>
      </c>
      <c r="AU9" s="113">
        <v>8</v>
      </c>
      <c r="AV9"/>
      <c r="AW9" s="113">
        <v>66</v>
      </c>
    </row>
    <row r="10" spans="1:49" ht="15" x14ac:dyDescent="0.25">
      <c r="A10" s="116" t="s">
        <v>347</v>
      </c>
      <c r="B10" s="109">
        <v>115495.4096</v>
      </c>
      <c r="C10" s="123">
        <v>0</v>
      </c>
      <c r="D10" s="109">
        <v>0</v>
      </c>
      <c r="E10" s="109">
        <v>0</v>
      </c>
      <c r="F10" s="109">
        <v>0</v>
      </c>
      <c r="G10" s="109">
        <v>0</v>
      </c>
      <c r="H10" s="109">
        <v>0</v>
      </c>
      <c r="I10" s="109">
        <v>0</v>
      </c>
      <c r="J10" s="109">
        <v>0</v>
      </c>
      <c r="K10" s="109">
        <v>0</v>
      </c>
      <c r="L10" s="109">
        <v>0</v>
      </c>
      <c r="M10" s="109">
        <v>0</v>
      </c>
      <c r="N10" s="109">
        <v>0</v>
      </c>
      <c r="O10" s="109">
        <v>0</v>
      </c>
      <c r="P10" s="109">
        <v>0</v>
      </c>
      <c r="Q10" s="109">
        <v>0</v>
      </c>
      <c r="R10" s="109">
        <v>0</v>
      </c>
      <c r="S10" s="109">
        <v>230952.06469999999</v>
      </c>
      <c r="T10" s="109">
        <v>152799</v>
      </c>
      <c r="U10" s="109">
        <v>0</v>
      </c>
      <c r="V10" s="109">
        <v>0</v>
      </c>
      <c r="W10" s="109">
        <v>0</v>
      </c>
      <c r="X10" s="109">
        <v>0</v>
      </c>
      <c r="Y10" s="109">
        <v>0</v>
      </c>
      <c r="Z10" s="109">
        <v>0</v>
      </c>
      <c r="AA10" s="109">
        <v>8322.7237000000005</v>
      </c>
      <c r="AB10" s="109">
        <v>0</v>
      </c>
      <c r="AC10" s="109">
        <v>0</v>
      </c>
      <c r="AD10" s="109">
        <v>0</v>
      </c>
      <c r="AE10" s="109">
        <v>0</v>
      </c>
      <c r="AF10" s="109">
        <v>0</v>
      </c>
      <c r="AG10" s="109">
        <v>0</v>
      </c>
      <c r="AH10" s="109">
        <v>0</v>
      </c>
      <c r="AI10" s="109">
        <v>0</v>
      </c>
      <c r="AJ10" s="109">
        <v>0</v>
      </c>
      <c r="AK10" s="109">
        <v>0</v>
      </c>
      <c r="AL10" s="109">
        <v>0</v>
      </c>
      <c r="AM10" s="109">
        <v>0</v>
      </c>
      <c r="AN10" s="109">
        <v>0</v>
      </c>
      <c r="AO10" s="111"/>
      <c r="AP10" s="104">
        <f t="shared" si="1"/>
        <v>507569.19799999997</v>
      </c>
      <c r="AT10" t="str">
        <f t="shared" si="2"/>
        <v>Cloquet River</v>
      </c>
      <c r="AU10" s="113">
        <v>9</v>
      </c>
      <c r="AV10"/>
      <c r="AW10" s="113">
        <v>22</v>
      </c>
    </row>
    <row r="11" spans="1:49" ht="15" x14ac:dyDescent="0.25">
      <c r="A11" s="116" t="s">
        <v>346</v>
      </c>
      <c r="B11" s="109">
        <v>23638.008900000001</v>
      </c>
      <c r="C11" s="123">
        <v>0</v>
      </c>
      <c r="D11" s="109">
        <v>0</v>
      </c>
      <c r="E11" s="109">
        <v>0</v>
      </c>
      <c r="F11" s="109">
        <v>322802.27519999997</v>
      </c>
      <c r="G11" s="109">
        <v>0</v>
      </c>
      <c r="H11" s="109">
        <v>0</v>
      </c>
      <c r="I11" s="109">
        <v>376303.99530000001</v>
      </c>
      <c r="J11" s="109">
        <v>0</v>
      </c>
      <c r="K11" s="109">
        <v>0</v>
      </c>
      <c r="L11" s="109">
        <v>0</v>
      </c>
      <c r="M11" s="109">
        <v>0</v>
      </c>
      <c r="N11" s="109">
        <v>0</v>
      </c>
      <c r="O11" s="109">
        <v>0</v>
      </c>
      <c r="P11" s="109">
        <v>0</v>
      </c>
      <c r="Q11" s="109">
        <v>0</v>
      </c>
      <c r="R11" s="109">
        <v>0</v>
      </c>
      <c r="S11" s="109">
        <v>0</v>
      </c>
      <c r="T11" s="109">
        <v>0</v>
      </c>
      <c r="U11" s="109">
        <v>0</v>
      </c>
      <c r="V11" s="109">
        <v>0</v>
      </c>
      <c r="W11" s="109">
        <v>0</v>
      </c>
      <c r="X11" s="109">
        <v>0</v>
      </c>
      <c r="Y11" s="109">
        <v>0</v>
      </c>
      <c r="Z11" s="109">
        <v>0</v>
      </c>
      <c r="AA11" s="109">
        <v>0</v>
      </c>
      <c r="AB11" s="109">
        <v>0</v>
      </c>
      <c r="AC11" s="109">
        <v>0</v>
      </c>
      <c r="AD11" s="109">
        <v>10180.7652</v>
      </c>
      <c r="AE11" s="109">
        <v>1057.5043000000001</v>
      </c>
      <c r="AF11" s="109">
        <v>0</v>
      </c>
      <c r="AG11" s="109">
        <v>0</v>
      </c>
      <c r="AH11" s="109">
        <v>0</v>
      </c>
      <c r="AI11" s="109">
        <v>526.44349999999997</v>
      </c>
      <c r="AJ11" s="109">
        <v>0</v>
      </c>
      <c r="AK11" s="109">
        <v>0</v>
      </c>
      <c r="AL11" s="109">
        <v>0</v>
      </c>
      <c r="AM11" s="109">
        <v>106275.9566</v>
      </c>
      <c r="AN11" s="109">
        <v>0</v>
      </c>
      <c r="AO11" s="111"/>
      <c r="AP11" s="104">
        <f t="shared" si="1"/>
        <v>840784.94900000014</v>
      </c>
      <c r="AT11" t="str">
        <f t="shared" si="2"/>
        <v>Cottonwood River</v>
      </c>
      <c r="AU11" s="113">
        <v>10</v>
      </c>
      <c r="AV11"/>
      <c r="AW11" s="113">
        <v>9</v>
      </c>
    </row>
    <row r="12" spans="1:49" ht="15" x14ac:dyDescent="0.25">
      <c r="A12" s="116" t="s">
        <v>345</v>
      </c>
      <c r="B12" s="109">
        <v>690970.99639999995</v>
      </c>
      <c r="C12" s="123">
        <v>0</v>
      </c>
      <c r="D12" s="109">
        <v>0</v>
      </c>
      <c r="E12" s="109">
        <v>4022.4335000000001</v>
      </c>
      <c r="F12" s="109">
        <v>0</v>
      </c>
      <c r="G12" s="109">
        <v>0</v>
      </c>
      <c r="H12" s="109">
        <v>288581.75929999998</v>
      </c>
      <c r="I12" s="109">
        <v>0</v>
      </c>
      <c r="J12" s="109">
        <v>0</v>
      </c>
      <c r="K12" s="109">
        <v>0</v>
      </c>
      <c r="L12" s="109">
        <v>0</v>
      </c>
      <c r="M12" s="109">
        <v>278326.39350000001</v>
      </c>
      <c r="N12" s="109">
        <v>0</v>
      </c>
      <c r="O12" s="109">
        <v>0</v>
      </c>
      <c r="P12" s="109">
        <v>0</v>
      </c>
      <c r="Q12" s="109">
        <v>0</v>
      </c>
      <c r="R12" s="109">
        <v>0</v>
      </c>
      <c r="S12" s="109">
        <v>7057.6252999999997</v>
      </c>
      <c r="T12" s="109">
        <v>0</v>
      </c>
      <c r="U12" s="109">
        <v>0</v>
      </c>
      <c r="V12" s="109">
        <v>0</v>
      </c>
      <c r="W12" s="109">
        <v>0</v>
      </c>
      <c r="X12" s="109">
        <v>0</v>
      </c>
      <c r="Y12" s="109">
        <v>0</v>
      </c>
      <c r="Z12" s="109">
        <v>0</v>
      </c>
      <c r="AA12" s="109">
        <v>0</v>
      </c>
      <c r="AB12" s="109">
        <v>0</v>
      </c>
      <c r="AC12" s="109">
        <v>0</v>
      </c>
      <c r="AD12" s="109">
        <v>0</v>
      </c>
      <c r="AE12" s="109">
        <v>0</v>
      </c>
      <c r="AF12" s="109">
        <v>0</v>
      </c>
      <c r="AG12" s="109">
        <v>0</v>
      </c>
      <c r="AH12" s="109">
        <v>0</v>
      </c>
      <c r="AI12" s="109">
        <v>0</v>
      </c>
      <c r="AJ12" s="109">
        <v>0</v>
      </c>
      <c r="AK12" s="109">
        <v>0</v>
      </c>
      <c r="AL12" s="109">
        <v>0</v>
      </c>
      <c r="AM12" s="109">
        <v>0</v>
      </c>
      <c r="AN12" s="109">
        <v>0</v>
      </c>
      <c r="AO12" s="111"/>
      <c r="AP12" s="104">
        <f t="shared" si="1"/>
        <v>1268959.2079999999</v>
      </c>
      <c r="AT12" t="str">
        <f t="shared" si="2"/>
        <v>Crow Wing River</v>
      </c>
      <c r="AU12" s="113">
        <v>11</v>
      </c>
      <c r="AV12"/>
      <c r="AW12" s="113">
        <v>29</v>
      </c>
    </row>
    <row r="13" spans="1:49" ht="15" x14ac:dyDescent="0.25">
      <c r="A13" s="116" t="s">
        <v>344</v>
      </c>
      <c r="B13" s="109">
        <v>0</v>
      </c>
      <c r="C13" s="123">
        <v>0</v>
      </c>
      <c r="D13" s="109">
        <v>0</v>
      </c>
      <c r="E13" s="109">
        <v>0</v>
      </c>
      <c r="F13" s="109">
        <v>457699.16519999999</v>
      </c>
      <c r="G13" s="109">
        <v>0</v>
      </c>
      <c r="H13" s="109">
        <v>0</v>
      </c>
      <c r="I13" s="109">
        <v>216574.66469999999</v>
      </c>
      <c r="J13" s="109">
        <v>0</v>
      </c>
      <c r="K13" s="109">
        <v>0</v>
      </c>
      <c r="L13" s="109">
        <v>0</v>
      </c>
      <c r="M13" s="109">
        <v>0</v>
      </c>
      <c r="N13" s="109">
        <v>43712.927600000003</v>
      </c>
      <c r="O13" s="109">
        <v>0</v>
      </c>
      <c r="P13" s="109">
        <v>0</v>
      </c>
      <c r="Q13" s="109">
        <v>0</v>
      </c>
      <c r="R13" s="109">
        <v>0</v>
      </c>
      <c r="S13" s="109">
        <v>0</v>
      </c>
      <c r="T13" s="109">
        <v>0</v>
      </c>
      <c r="U13" s="109">
        <v>0</v>
      </c>
      <c r="V13" s="109">
        <v>79228.282900000006</v>
      </c>
      <c r="W13" s="109">
        <v>0</v>
      </c>
      <c r="X13" s="109">
        <v>0</v>
      </c>
      <c r="Y13" s="109">
        <v>0</v>
      </c>
      <c r="Z13" s="109">
        <v>0</v>
      </c>
      <c r="AA13" s="109">
        <v>0</v>
      </c>
      <c r="AB13" s="109">
        <v>0</v>
      </c>
      <c r="AC13" s="109">
        <v>0</v>
      </c>
      <c r="AD13" s="109">
        <v>0</v>
      </c>
      <c r="AE13" s="109">
        <v>0</v>
      </c>
      <c r="AF13" s="109">
        <v>0</v>
      </c>
      <c r="AG13" s="109">
        <v>0</v>
      </c>
      <c r="AH13" s="109">
        <v>0</v>
      </c>
      <c r="AI13" s="109">
        <v>0</v>
      </c>
      <c r="AJ13" s="109">
        <v>0</v>
      </c>
      <c r="AK13" s="109">
        <v>0</v>
      </c>
      <c r="AL13" s="109">
        <v>0</v>
      </c>
      <c r="AM13" s="109">
        <v>1383.1581000000001</v>
      </c>
      <c r="AN13" s="109">
        <v>0</v>
      </c>
      <c r="AO13" s="111"/>
      <c r="AP13" s="104">
        <f t="shared" si="1"/>
        <v>798598.19850000006</v>
      </c>
      <c r="AT13" t="str">
        <f t="shared" si="2"/>
        <v>Des Moines River - Headwaters</v>
      </c>
      <c r="AU13" s="113">
        <v>12</v>
      </c>
      <c r="AV13"/>
      <c r="AW13" s="113">
        <v>18</v>
      </c>
    </row>
    <row r="14" spans="1:49" ht="15" x14ac:dyDescent="0.25">
      <c r="A14" s="116" t="s">
        <v>343</v>
      </c>
      <c r="B14" s="109">
        <v>0</v>
      </c>
      <c r="C14" s="123">
        <v>0</v>
      </c>
      <c r="D14" s="109">
        <v>0</v>
      </c>
      <c r="E14" s="109">
        <v>0</v>
      </c>
      <c r="F14" s="109">
        <v>0</v>
      </c>
      <c r="G14" s="109">
        <v>0</v>
      </c>
      <c r="H14" s="109">
        <v>0</v>
      </c>
      <c r="I14" s="109">
        <v>127971.982</v>
      </c>
      <c r="J14" s="109">
        <v>0</v>
      </c>
      <c r="K14" s="109">
        <v>0</v>
      </c>
      <c r="L14" s="109">
        <v>0</v>
      </c>
      <c r="M14" s="109">
        <v>0</v>
      </c>
      <c r="N14" s="109">
        <v>0</v>
      </c>
      <c r="O14" s="109">
        <v>0</v>
      </c>
      <c r="P14" s="109">
        <v>0</v>
      </c>
      <c r="Q14" s="109">
        <v>0</v>
      </c>
      <c r="R14" s="109">
        <v>0</v>
      </c>
      <c r="S14" s="109">
        <v>0</v>
      </c>
      <c r="T14" s="109">
        <v>0</v>
      </c>
      <c r="U14" s="109">
        <v>0</v>
      </c>
      <c r="V14" s="109">
        <v>0</v>
      </c>
      <c r="W14" s="109">
        <v>0</v>
      </c>
      <c r="X14" s="109">
        <v>0</v>
      </c>
      <c r="Y14" s="109">
        <v>0</v>
      </c>
      <c r="Z14" s="109">
        <v>0</v>
      </c>
      <c r="AA14" s="109">
        <v>0</v>
      </c>
      <c r="AB14" s="109">
        <v>0</v>
      </c>
      <c r="AC14" s="109">
        <v>0</v>
      </c>
      <c r="AD14" s="109">
        <v>0</v>
      </c>
      <c r="AE14" s="109">
        <v>0</v>
      </c>
      <c r="AF14" s="109">
        <v>0</v>
      </c>
      <c r="AG14" s="109">
        <v>0</v>
      </c>
      <c r="AH14" s="109">
        <v>0</v>
      </c>
      <c r="AI14" s="109">
        <v>0</v>
      </c>
      <c r="AJ14" s="109">
        <v>0</v>
      </c>
      <c r="AK14" s="109">
        <v>0</v>
      </c>
      <c r="AL14" s="109">
        <v>0</v>
      </c>
      <c r="AM14" s="109">
        <v>1218.7003999999999</v>
      </c>
      <c r="AN14" s="109">
        <v>0</v>
      </c>
      <c r="AO14" s="111"/>
      <c r="AP14" s="104">
        <f t="shared" si="1"/>
        <v>129190.68240000001</v>
      </c>
      <c r="AT14" t="str">
        <f t="shared" si="2"/>
        <v>East Fork Des Moines River</v>
      </c>
      <c r="AU14" s="113">
        <v>13</v>
      </c>
      <c r="AV14"/>
      <c r="AW14" s="113">
        <v>54</v>
      </c>
    </row>
    <row r="15" spans="1:49" ht="15" x14ac:dyDescent="0.25">
      <c r="A15" s="116" t="s">
        <v>342</v>
      </c>
      <c r="B15" s="109">
        <v>90286.598899999997</v>
      </c>
      <c r="C15" s="123">
        <v>0</v>
      </c>
      <c r="D15" s="109">
        <v>0</v>
      </c>
      <c r="E15" s="109">
        <v>252811.36429999999</v>
      </c>
      <c r="F15" s="109">
        <v>0</v>
      </c>
      <c r="G15" s="109">
        <v>0</v>
      </c>
      <c r="H15" s="109">
        <v>221703.27609999999</v>
      </c>
      <c r="I15" s="109">
        <v>0</v>
      </c>
      <c r="J15" s="109">
        <v>0</v>
      </c>
      <c r="K15" s="109">
        <v>0</v>
      </c>
      <c r="L15" s="109">
        <v>0</v>
      </c>
      <c r="M15" s="109">
        <v>1088.4436000000001</v>
      </c>
      <c r="N15" s="109">
        <v>0</v>
      </c>
      <c r="O15" s="109">
        <v>0</v>
      </c>
      <c r="P15" s="109">
        <v>0</v>
      </c>
      <c r="Q15" s="109">
        <v>0</v>
      </c>
      <c r="R15" s="109">
        <v>0</v>
      </c>
      <c r="S15" s="109">
        <v>7474.5658000000003</v>
      </c>
      <c r="T15" s="109">
        <v>0</v>
      </c>
      <c r="U15" s="109">
        <v>0</v>
      </c>
      <c r="V15" s="109">
        <v>0</v>
      </c>
      <c r="W15" s="109">
        <v>0</v>
      </c>
      <c r="X15" s="109">
        <v>0</v>
      </c>
      <c r="Y15" s="109">
        <v>0</v>
      </c>
      <c r="Z15" s="109">
        <v>0</v>
      </c>
      <c r="AA15" s="109">
        <v>17.4619</v>
      </c>
      <c r="AB15" s="109">
        <v>0</v>
      </c>
      <c r="AC15" s="109">
        <v>99545.247300000003</v>
      </c>
      <c r="AD15" s="109">
        <v>0</v>
      </c>
      <c r="AE15" s="109">
        <v>0</v>
      </c>
      <c r="AF15" s="109">
        <v>0</v>
      </c>
      <c r="AG15" s="109">
        <v>0</v>
      </c>
      <c r="AH15" s="109">
        <v>0</v>
      </c>
      <c r="AI15" s="109">
        <v>0</v>
      </c>
      <c r="AJ15" s="109">
        <v>0</v>
      </c>
      <c r="AK15" s="109">
        <v>0</v>
      </c>
      <c r="AL15" s="109">
        <v>0</v>
      </c>
      <c r="AM15" s="109">
        <v>0</v>
      </c>
      <c r="AN15" s="109">
        <v>0</v>
      </c>
      <c r="AO15" s="111"/>
      <c r="AP15" s="104">
        <f t="shared" si="1"/>
        <v>672926.95790000004</v>
      </c>
      <c r="AT15" t="str">
        <f t="shared" si="2"/>
        <v>Kettle River</v>
      </c>
      <c r="AU15" s="113">
        <v>14</v>
      </c>
      <c r="AV15"/>
      <c r="AW15" s="113">
        <v>42</v>
      </c>
    </row>
    <row r="16" spans="1:49" ht="15" x14ac:dyDescent="0.25">
      <c r="A16" s="116" t="s">
        <v>341</v>
      </c>
      <c r="B16" s="109">
        <v>0</v>
      </c>
      <c r="C16" s="123">
        <v>0</v>
      </c>
      <c r="D16" s="109">
        <v>0</v>
      </c>
      <c r="E16" s="109">
        <v>0</v>
      </c>
      <c r="F16" s="109">
        <v>110427.4029</v>
      </c>
      <c r="G16" s="109">
        <v>0</v>
      </c>
      <c r="H16" s="109">
        <v>0</v>
      </c>
      <c r="I16" s="109">
        <v>315871.94420000003</v>
      </c>
      <c r="J16" s="109">
        <v>0</v>
      </c>
      <c r="K16" s="109">
        <v>0</v>
      </c>
      <c r="L16" s="109">
        <v>0</v>
      </c>
      <c r="M16" s="109">
        <v>0</v>
      </c>
      <c r="N16" s="109">
        <v>0</v>
      </c>
      <c r="O16" s="109">
        <v>0</v>
      </c>
      <c r="P16" s="109">
        <v>0</v>
      </c>
      <c r="Q16" s="109">
        <v>0</v>
      </c>
      <c r="R16" s="109">
        <v>0</v>
      </c>
      <c r="S16" s="109">
        <v>0</v>
      </c>
      <c r="T16" s="109">
        <v>0</v>
      </c>
      <c r="U16" s="109">
        <v>0</v>
      </c>
      <c r="V16" s="109">
        <v>0</v>
      </c>
      <c r="W16" s="109">
        <v>0</v>
      </c>
      <c r="X16" s="109">
        <v>0</v>
      </c>
      <c r="Y16" s="109">
        <v>0</v>
      </c>
      <c r="Z16" s="109">
        <v>0</v>
      </c>
      <c r="AA16" s="109">
        <v>0</v>
      </c>
      <c r="AB16" s="109">
        <v>0</v>
      </c>
      <c r="AC16" s="109">
        <v>0</v>
      </c>
      <c r="AD16" s="109">
        <v>0</v>
      </c>
      <c r="AE16" s="109">
        <v>915.44880000000001</v>
      </c>
      <c r="AF16" s="109">
        <v>0</v>
      </c>
      <c r="AG16" s="109">
        <v>0</v>
      </c>
      <c r="AH16" s="109">
        <v>0</v>
      </c>
      <c r="AI16" s="109">
        <v>58580.215300000003</v>
      </c>
      <c r="AJ16" s="109">
        <v>0</v>
      </c>
      <c r="AK16" s="109">
        <v>0</v>
      </c>
      <c r="AL16" s="109">
        <v>0</v>
      </c>
      <c r="AM16" s="109">
        <v>0</v>
      </c>
      <c r="AN16" s="109">
        <v>0</v>
      </c>
      <c r="AO16" s="111"/>
      <c r="AP16" s="104">
        <f t="shared" si="1"/>
        <v>485795.01120000001</v>
      </c>
      <c r="AT16" t="str">
        <f t="shared" si="2"/>
        <v>Lac Qui Parle River</v>
      </c>
      <c r="AU16" s="113">
        <v>15</v>
      </c>
      <c r="AV16"/>
      <c r="AW16" s="113">
        <v>39</v>
      </c>
    </row>
    <row r="17" spans="1:49" ht="15" x14ac:dyDescent="0.25">
      <c r="A17" s="116" t="s">
        <v>340</v>
      </c>
      <c r="B17" s="109">
        <v>2507.3542000000002</v>
      </c>
      <c r="C17" s="123">
        <v>0</v>
      </c>
      <c r="D17" s="109">
        <v>0</v>
      </c>
      <c r="E17" s="109">
        <v>0</v>
      </c>
      <c r="F17" s="109">
        <v>0</v>
      </c>
      <c r="G17" s="109">
        <v>118.61060000000001</v>
      </c>
      <c r="H17" s="109">
        <v>0</v>
      </c>
      <c r="I17" s="109">
        <v>0</v>
      </c>
      <c r="J17" s="109">
        <v>0</v>
      </c>
      <c r="K17" s="109">
        <v>0</v>
      </c>
      <c r="L17" s="109">
        <v>105750.5833</v>
      </c>
      <c r="M17" s="109">
        <v>0</v>
      </c>
      <c r="N17" s="109">
        <v>0</v>
      </c>
      <c r="O17" s="109">
        <v>0</v>
      </c>
      <c r="P17" s="109">
        <v>0</v>
      </c>
      <c r="Q17" s="109">
        <v>0</v>
      </c>
      <c r="R17" s="109">
        <v>0</v>
      </c>
      <c r="S17" s="109">
        <v>0</v>
      </c>
      <c r="T17" s="109">
        <f>290167+518969</f>
        <v>809136</v>
      </c>
      <c r="U17" s="109">
        <v>0</v>
      </c>
      <c r="V17" s="109">
        <v>0</v>
      </c>
      <c r="W17" s="109">
        <v>0</v>
      </c>
      <c r="X17" s="109">
        <v>0</v>
      </c>
      <c r="Y17" s="109">
        <v>0</v>
      </c>
      <c r="Z17" s="109">
        <v>0</v>
      </c>
      <c r="AA17" s="109">
        <v>0</v>
      </c>
      <c r="AB17" s="109">
        <v>0</v>
      </c>
      <c r="AC17" s="109">
        <v>0</v>
      </c>
      <c r="AD17" s="109">
        <v>0</v>
      </c>
      <c r="AE17" s="109">
        <v>0</v>
      </c>
      <c r="AF17" s="109">
        <v>0</v>
      </c>
      <c r="AG17" s="109">
        <v>0</v>
      </c>
      <c r="AH17" s="109">
        <v>0</v>
      </c>
      <c r="AI17" s="109">
        <v>0</v>
      </c>
      <c r="AJ17" s="109">
        <v>0</v>
      </c>
      <c r="AK17" s="109">
        <v>0</v>
      </c>
      <c r="AL17" s="109">
        <v>0</v>
      </c>
      <c r="AM17" s="109">
        <v>0</v>
      </c>
      <c r="AN17" s="109">
        <v>0</v>
      </c>
      <c r="AO17" s="111"/>
      <c r="AP17" s="104">
        <f t="shared" si="1"/>
        <v>917512.54810000001</v>
      </c>
      <c r="AT17" t="str">
        <f t="shared" si="2"/>
        <v>Lake Superior - South</v>
      </c>
      <c r="AU17" s="113">
        <v>16</v>
      </c>
      <c r="AV17"/>
      <c r="AW17" s="113">
        <v>20</v>
      </c>
    </row>
    <row r="18" spans="1:49" ht="15" x14ac:dyDescent="0.25">
      <c r="A18" s="116" t="s">
        <v>339</v>
      </c>
      <c r="B18" s="109">
        <v>276.12709999999998</v>
      </c>
      <c r="C18" s="123">
        <v>0</v>
      </c>
      <c r="D18" s="109">
        <v>0</v>
      </c>
      <c r="E18" s="109">
        <v>0</v>
      </c>
      <c r="F18" s="109">
        <v>0</v>
      </c>
      <c r="G18" s="109">
        <v>0</v>
      </c>
      <c r="H18" s="109">
        <v>0</v>
      </c>
      <c r="I18" s="109">
        <v>0</v>
      </c>
      <c r="J18" s="109">
        <v>0</v>
      </c>
      <c r="K18" s="109">
        <v>0</v>
      </c>
      <c r="L18" s="109">
        <v>0</v>
      </c>
      <c r="M18" s="109">
        <v>0</v>
      </c>
      <c r="N18" s="109">
        <v>0</v>
      </c>
      <c r="O18" s="109">
        <v>0</v>
      </c>
      <c r="P18" s="109">
        <v>0</v>
      </c>
      <c r="Q18" s="109">
        <v>0</v>
      </c>
      <c r="R18" s="109">
        <v>0</v>
      </c>
      <c r="S18" s="109">
        <v>0</v>
      </c>
      <c r="T18" s="109">
        <v>0</v>
      </c>
      <c r="U18" s="109">
        <v>0</v>
      </c>
      <c r="V18" s="109">
        <v>0</v>
      </c>
      <c r="W18" s="109">
        <v>0</v>
      </c>
      <c r="X18" s="109">
        <v>0</v>
      </c>
      <c r="Y18" s="109">
        <v>0</v>
      </c>
      <c r="Z18" s="109">
        <v>312939.73820000002</v>
      </c>
      <c r="AA18" s="109">
        <v>0</v>
      </c>
      <c r="AB18" s="109">
        <v>0</v>
      </c>
      <c r="AC18" s="109">
        <v>0</v>
      </c>
      <c r="AD18" s="109">
        <v>25288.962800000001</v>
      </c>
      <c r="AE18" s="109">
        <v>0</v>
      </c>
      <c r="AF18" s="109">
        <v>0</v>
      </c>
      <c r="AG18" s="109">
        <v>0</v>
      </c>
      <c r="AH18" s="109">
        <v>0</v>
      </c>
      <c r="AI18" s="109">
        <v>0</v>
      </c>
      <c r="AJ18" s="109">
        <v>0</v>
      </c>
      <c r="AK18" s="109">
        <v>0</v>
      </c>
      <c r="AL18" s="109">
        <v>0</v>
      </c>
      <c r="AM18" s="109">
        <v>0</v>
      </c>
      <c r="AN18" s="109">
        <v>372334.65480000002</v>
      </c>
      <c r="AO18" s="111"/>
      <c r="AP18" s="104">
        <f t="shared" si="1"/>
        <v>710839.48289999994</v>
      </c>
      <c r="AT18" t="str">
        <f t="shared" si="2"/>
        <v>Le Sueur River</v>
      </c>
      <c r="AU18" s="113">
        <v>17</v>
      </c>
      <c r="AV18"/>
      <c r="AW18" s="113">
        <v>12</v>
      </c>
    </row>
    <row r="19" spans="1:49" ht="15" x14ac:dyDescent="0.25">
      <c r="A19" s="116" t="s">
        <v>338</v>
      </c>
      <c r="B19" s="109">
        <v>205510.17189999999</v>
      </c>
      <c r="C19" s="123">
        <v>0</v>
      </c>
      <c r="D19" s="109">
        <v>0</v>
      </c>
      <c r="E19" s="109">
        <v>0</v>
      </c>
      <c r="F19" s="109">
        <v>0</v>
      </c>
      <c r="G19" s="109">
        <v>84920.243400000007</v>
      </c>
      <c r="H19" s="109">
        <v>0</v>
      </c>
      <c r="I19" s="109">
        <v>0</v>
      </c>
      <c r="J19" s="109">
        <v>0</v>
      </c>
      <c r="K19" s="109">
        <v>0</v>
      </c>
      <c r="L19" s="109">
        <v>774642.80689999997</v>
      </c>
      <c r="M19" s="109">
        <v>123558.43309999999</v>
      </c>
      <c r="N19" s="109">
        <v>0</v>
      </c>
      <c r="O19" s="109">
        <v>0</v>
      </c>
      <c r="P19" s="109">
        <v>0</v>
      </c>
      <c r="Q19" s="109">
        <v>0</v>
      </c>
      <c r="R19" s="139">
        <v>9460.3474999999999</v>
      </c>
      <c r="S19" s="109">
        <v>202.88509999999999</v>
      </c>
      <c r="T19" s="109">
        <v>9460.3474999999999</v>
      </c>
      <c r="U19" s="109">
        <v>0</v>
      </c>
      <c r="V19" s="109">
        <v>0</v>
      </c>
      <c r="W19" s="109">
        <v>0</v>
      </c>
      <c r="X19" s="109">
        <v>0</v>
      </c>
      <c r="Y19" s="109">
        <v>0</v>
      </c>
      <c r="Z19" s="109">
        <v>0</v>
      </c>
      <c r="AA19" s="109">
        <v>0</v>
      </c>
      <c r="AB19" s="109">
        <v>0</v>
      </c>
      <c r="AC19" s="109">
        <v>0</v>
      </c>
      <c r="AD19" s="109">
        <v>0</v>
      </c>
      <c r="AE19" s="109">
        <v>0</v>
      </c>
      <c r="AF19" s="109">
        <v>0</v>
      </c>
      <c r="AG19" s="109">
        <v>0</v>
      </c>
      <c r="AH19" s="109">
        <v>0</v>
      </c>
      <c r="AI19" s="109">
        <v>0</v>
      </c>
      <c r="AJ19" s="109">
        <v>0</v>
      </c>
      <c r="AK19" s="109">
        <v>0</v>
      </c>
      <c r="AL19" s="109">
        <v>0</v>
      </c>
      <c r="AM19" s="109">
        <v>0</v>
      </c>
      <c r="AN19" s="109">
        <v>0</v>
      </c>
      <c r="AO19" s="111"/>
      <c r="AP19" s="104">
        <f t="shared" si="1"/>
        <v>1207755.2353999999</v>
      </c>
      <c r="AT19" t="str">
        <f t="shared" si="2"/>
        <v>Little Fork River</v>
      </c>
      <c r="AU19" s="113">
        <v>18</v>
      </c>
      <c r="AV19"/>
      <c r="AW19" s="113">
        <v>76</v>
      </c>
    </row>
    <row r="20" spans="1:49" ht="15" x14ac:dyDescent="0.25">
      <c r="A20" s="116" t="s">
        <v>337</v>
      </c>
      <c r="B20" s="109">
        <v>0</v>
      </c>
      <c r="C20" s="123">
        <v>0</v>
      </c>
      <c r="D20" s="109">
        <v>0</v>
      </c>
      <c r="E20" s="109">
        <v>0</v>
      </c>
      <c r="F20" s="109">
        <v>135434.8371</v>
      </c>
      <c r="G20" s="109">
        <v>0</v>
      </c>
      <c r="H20" s="109">
        <v>0</v>
      </c>
      <c r="I20" s="109">
        <v>61338.819799999997</v>
      </c>
      <c r="J20" s="109">
        <v>0</v>
      </c>
      <c r="K20" s="109">
        <v>0</v>
      </c>
      <c r="L20" s="109">
        <v>0</v>
      </c>
      <c r="M20" s="109">
        <v>0</v>
      </c>
      <c r="N20" s="109">
        <v>7616.21</v>
      </c>
      <c r="O20" s="109">
        <v>0</v>
      </c>
      <c r="P20" s="109">
        <v>0</v>
      </c>
      <c r="Q20" s="109">
        <v>0</v>
      </c>
      <c r="R20" s="109">
        <v>0</v>
      </c>
      <c r="S20" s="109">
        <v>0</v>
      </c>
      <c r="T20" s="109">
        <v>0</v>
      </c>
      <c r="U20" s="109">
        <v>0</v>
      </c>
      <c r="V20" s="109">
        <v>1190.1559999999999</v>
      </c>
      <c r="W20" s="109">
        <v>0</v>
      </c>
      <c r="X20" s="109">
        <v>0</v>
      </c>
      <c r="Y20" s="109">
        <v>0</v>
      </c>
      <c r="Z20" s="109">
        <v>0</v>
      </c>
      <c r="AA20" s="109">
        <v>0</v>
      </c>
      <c r="AB20" s="109">
        <v>0</v>
      </c>
      <c r="AC20" s="109">
        <v>0</v>
      </c>
      <c r="AD20" s="109">
        <v>0</v>
      </c>
      <c r="AE20" s="109">
        <v>0</v>
      </c>
      <c r="AF20" s="109">
        <v>0</v>
      </c>
      <c r="AG20" s="109">
        <v>0</v>
      </c>
      <c r="AH20" s="109">
        <v>0</v>
      </c>
      <c r="AI20" s="109">
        <v>0</v>
      </c>
      <c r="AJ20" s="109">
        <v>0</v>
      </c>
      <c r="AK20" s="109">
        <v>0</v>
      </c>
      <c r="AL20" s="109">
        <v>0</v>
      </c>
      <c r="AM20" s="109">
        <v>0</v>
      </c>
      <c r="AN20" s="109">
        <v>0</v>
      </c>
      <c r="AO20" s="111"/>
      <c r="AP20" s="104">
        <f t="shared" si="1"/>
        <v>205580.02289999998</v>
      </c>
      <c r="AT20" t="str">
        <f t="shared" si="2"/>
        <v>Little Sioux River</v>
      </c>
      <c r="AU20" s="113">
        <v>19</v>
      </c>
      <c r="AV20"/>
      <c r="AW20" s="113">
        <v>84</v>
      </c>
    </row>
    <row r="21" spans="1:49" ht="15" x14ac:dyDescent="0.25">
      <c r="A21" s="116" t="s">
        <v>336</v>
      </c>
      <c r="B21" s="109">
        <v>185307.84030000001</v>
      </c>
      <c r="C21" s="123">
        <v>0</v>
      </c>
      <c r="D21" s="109">
        <v>0</v>
      </c>
      <c r="E21" s="109">
        <v>81532.513000000006</v>
      </c>
      <c r="F21" s="109">
        <v>0</v>
      </c>
      <c r="G21" s="109">
        <v>0</v>
      </c>
      <c r="H21" s="109">
        <v>148327.6655</v>
      </c>
      <c r="I21" s="109">
        <v>0</v>
      </c>
      <c r="J21" s="109">
        <v>0</v>
      </c>
      <c r="K21" s="109">
        <v>0</v>
      </c>
      <c r="L21" s="109">
        <v>0</v>
      </c>
      <c r="M21" s="109">
        <v>44660.331299999998</v>
      </c>
      <c r="N21" s="109">
        <v>0</v>
      </c>
      <c r="O21" s="109">
        <v>0</v>
      </c>
      <c r="P21" s="109">
        <v>0</v>
      </c>
      <c r="Q21" s="109">
        <v>0</v>
      </c>
      <c r="R21" s="109">
        <v>0</v>
      </c>
      <c r="S21" s="109">
        <v>0</v>
      </c>
      <c r="T21" s="109">
        <v>0</v>
      </c>
      <c r="U21" s="109">
        <v>0</v>
      </c>
      <c r="V21" s="109">
        <v>0</v>
      </c>
      <c r="W21" s="109">
        <v>0</v>
      </c>
      <c r="X21" s="109">
        <v>0</v>
      </c>
      <c r="Y21" s="109">
        <v>0</v>
      </c>
      <c r="Z21" s="109">
        <v>0</v>
      </c>
      <c r="AA21" s="109">
        <v>0</v>
      </c>
      <c r="AB21" s="109">
        <v>105249.76609999999</v>
      </c>
      <c r="AC21" s="109">
        <v>0</v>
      </c>
      <c r="AD21" s="109">
        <v>0</v>
      </c>
      <c r="AE21" s="109">
        <v>0</v>
      </c>
      <c r="AF21" s="109">
        <v>0</v>
      </c>
      <c r="AG21" s="109">
        <v>0</v>
      </c>
      <c r="AH21" s="109">
        <v>0</v>
      </c>
      <c r="AI21" s="109">
        <v>0</v>
      </c>
      <c r="AJ21" s="109">
        <v>0</v>
      </c>
      <c r="AK21" s="109">
        <v>0</v>
      </c>
      <c r="AL21" s="109">
        <v>0</v>
      </c>
      <c r="AM21" s="109">
        <v>0</v>
      </c>
      <c r="AN21" s="109">
        <v>0</v>
      </c>
      <c r="AO21" s="111"/>
      <c r="AP21" s="104">
        <f t="shared" si="1"/>
        <v>565078.11620000005</v>
      </c>
      <c r="AT21" t="str">
        <f t="shared" si="2"/>
        <v>Long Prairie River</v>
      </c>
      <c r="AU21" s="113">
        <v>20</v>
      </c>
      <c r="AV21"/>
      <c r="AW21" s="113">
        <v>31</v>
      </c>
    </row>
    <row r="22" spans="1:49" ht="15" x14ac:dyDescent="0.25">
      <c r="A22" s="116" t="s">
        <v>335</v>
      </c>
      <c r="B22" s="109">
        <v>0</v>
      </c>
      <c r="C22" s="123">
        <v>0</v>
      </c>
      <c r="D22" s="109">
        <v>0</v>
      </c>
      <c r="E22" s="109">
        <v>0</v>
      </c>
      <c r="F22" s="109">
        <v>5366.4098999999997</v>
      </c>
      <c r="G22" s="109">
        <v>0</v>
      </c>
      <c r="H22" s="109">
        <v>0</v>
      </c>
      <c r="I22" s="109">
        <v>0</v>
      </c>
      <c r="J22" s="109">
        <v>0</v>
      </c>
      <c r="K22" s="109">
        <v>0</v>
      </c>
      <c r="L22" s="109">
        <v>0</v>
      </c>
      <c r="M22" s="109">
        <v>0</v>
      </c>
      <c r="N22" s="109">
        <v>320815.18819999998</v>
      </c>
      <c r="O22" s="109">
        <v>0</v>
      </c>
      <c r="P22" s="109">
        <v>0</v>
      </c>
      <c r="Q22" s="109">
        <v>0</v>
      </c>
      <c r="R22" s="109">
        <v>0</v>
      </c>
      <c r="S22" s="109">
        <v>0</v>
      </c>
      <c r="T22" s="109">
        <v>0</v>
      </c>
      <c r="U22" s="109">
        <v>0</v>
      </c>
      <c r="V22" s="109">
        <v>0</v>
      </c>
      <c r="W22" s="109">
        <v>0</v>
      </c>
      <c r="X22" s="109">
        <v>0</v>
      </c>
      <c r="Y22" s="109">
        <v>0</v>
      </c>
      <c r="Z22" s="109">
        <v>0</v>
      </c>
      <c r="AA22" s="109">
        <v>0</v>
      </c>
      <c r="AB22" s="109">
        <v>0</v>
      </c>
      <c r="AC22" s="109">
        <v>0</v>
      </c>
      <c r="AD22" s="109">
        <v>0</v>
      </c>
      <c r="AE22" s="109">
        <v>0</v>
      </c>
      <c r="AF22" s="109">
        <v>0</v>
      </c>
      <c r="AG22" s="109">
        <v>0</v>
      </c>
      <c r="AH22" s="109">
        <v>0</v>
      </c>
      <c r="AI22" s="109">
        <v>0</v>
      </c>
      <c r="AJ22" s="109">
        <v>0</v>
      </c>
      <c r="AK22" s="109">
        <v>0</v>
      </c>
      <c r="AL22" s="109">
        <v>0</v>
      </c>
      <c r="AM22" s="109">
        <v>0</v>
      </c>
      <c r="AN22" s="109">
        <v>0</v>
      </c>
      <c r="AO22" s="111"/>
      <c r="AP22" s="104">
        <f t="shared" si="1"/>
        <v>326181.5981</v>
      </c>
      <c r="AT22" t="str">
        <f t="shared" si="2"/>
        <v>Lower Big Sioux River</v>
      </c>
      <c r="AU22" s="113">
        <v>21</v>
      </c>
      <c r="AV22"/>
      <c r="AW22" s="113">
        <v>82</v>
      </c>
    </row>
    <row r="23" spans="1:49" ht="15" x14ac:dyDescent="0.25">
      <c r="A23" s="116" t="s">
        <v>334</v>
      </c>
      <c r="B23" s="109">
        <v>0</v>
      </c>
      <c r="C23" s="123">
        <v>0</v>
      </c>
      <c r="D23" s="109">
        <v>0</v>
      </c>
      <c r="E23" s="109">
        <v>0</v>
      </c>
      <c r="F23" s="109">
        <v>0</v>
      </c>
      <c r="G23" s="109">
        <v>0</v>
      </c>
      <c r="H23" s="109">
        <v>0</v>
      </c>
      <c r="I23" s="109">
        <v>55528.904399999999</v>
      </c>
      <c r="J23" s="109">
        <v>0</v>
      </c>
      <c r="K23" s="109">
        <v>0</v>
      </c>
      <c r="L23" s="109">
        <v>0</v>
      </c>
      <c r="M23" s="109">
        <v>0</v>
      </c>
      <c r="N23" s="109">
        <v>0</v>
      </c>
      <c r="O23" s="109">
        <v>0</v>
      </c>
      <c r="P23" s="109">
        <v>0</v>
      </c>
      <c r="Q23" s="109">
        <v>0</v>
      </c>
      <c r="R23" s="109">
        <v>0</v>
      </c>
      <c r="S23" s="109">
        <v>0</v>
      </c>
      <c r="T23" s="109">
        <v>0</v>
      </c>
      <c r="U23" s="109">
        <v>0</v>
      </c>
      <c r="V23" s="109">
        <v>0</v>
      </c>
      <c r="W23" s="109">
        <v>0</v>
      </c>
      <c r="X23" s="109">
        <v>0</v>
      </c>
      <c r="Y23" s="109">
        <v>0</v>
      </c>
      <c r="Z23" s="109">
        <v>0</v>
      </c>
      <c r="AA23" s="109">
        <v>0</v>
      </c>
      <c r="AB23" s="109">
        <v>0</v>
      </c>
      <c r="AC23" s="109">
        <v>0</v>
      </c>
      <c r="AD23" s="109">
        <v>0</v>
      </c>
      <c r="AE23" s="109">
        <v>0</v>
      </c>
      <c r="AF23" s="109">
        <v>0</v>
      </c>
      <c r="AG23" s="109">
        <v>0</v>
      </c>
      <c r="AH23" s="109">
        <v>0</v>
      </c>
      <c r="AI23" s="109">
        <v>0</v>
      </c>
      <c r="AJ23" s="109">
        <v>0</v>
      </c>
      <c r="AK23" s="109">
        <v>0</v>
      </c>
      <c r="AL23" s="109">
        <v>0</v>
      </c>
      <c r="AM23" s="109">
        <v>0</v>
      </c>
      <c r="AN23" s="109">
        <v>0</v>
      </c>
      <c r="AO23" s="111"/>
      <c r="AP23" s="104">
        <f t="shared" si="1"/>
        <v>55528.904399999999</v>
      </c>
      <c r="AT23" t="str">
        <f t="shared" si="2"/>
        <v>Lower Des Moines River</v>
      </c>
      <c r="AU23" s="113">
        <v>22</v>
      </c>
      <c r="AV23"/>
      <c r="AW23" s="113">
        <v>53</v>
      </c>
    </row>
    <row r="24" spans="1:49" ht="15" x14ac:dyDescent="0.25">
      <c r="A24" s="116" t="s">
        <v>333</v>
      </c>
      <c r="B24" s="109">
        <v>98615.516499999998</v>
      </c>
      <c r="C24" s="123">
        <v>0</v>
      </c>
      <c r="D24" s="109">
        <v>0</v>
      </c>
      <c r="E24" s="109">
        <v>0</v>
      </c>
      <c r="F24" s="109">
        <v>0</v>
      </c>
      <c r="G24" s="109">
        <v>0</v>
      </c>
      <c r="H24" s="109">
        <v>0</v>
      </c>
      <c r="I24" s="109">
        <v>0</v>
      </c>
      <c r="J24" s="109">
        <v>0</v>
      </c>
      <c r="K24" s="109">
        <v>0</v>
      </c>
      <c r="L24" s="109">
        <v>0</v>
      </c>
      <c r="M24" s="109">
        <v>0</v>
      </c>
      <c r="N24" s="109">
        <v>0</v>
      </c>
      <c r="O24" s="109">
        <v>0</v>
      </c>
      <c r="P24" s="109">
        <v>0</v>
      </c>
      <c r="Q24" s="109">
        <v>0</v>
      </c>
      <c r="R24" s="109">
        <v>0</v>
      </c>
      <c r="S24" s="109">
        <v>0</v>
      </c>
      <c r="T24" s="109">
        <v>0</v>
      </c>
      <c r="U24" s="109">
        <v>0</v>
      </c>
      <c r="V24" s="109">
        <v>0</v>
      </c>
      <c r="W24" s="109">
        <v>0</v>
      </c>
      <c r="X24" s="109">
        <v>0</v>
      </c>
      <c r="Y24" s="109">
        <v>69.189499999999995</v>
      </c>
      <c r="Z24" s="109">
        <v>254170.90229999999</v>
      </c>
      <c r="AA24" s="109">
        <v>0</v>
      </c>
      <c r="AB24" s="109">
        <v>0</v>
      </c>
      <c r="AC24" s="109">
        <v>0</v>
      </c>
      <c r="AD24" s="109">
        <v>0</v>
      </c>
      <c r="AE24" s="109">
        <v>41599.557000000001</v>
      </c>
      <c r="AF24" s="109">
        <v>320314.75530000002</v>
      </c>
      <c r="AG24" s="109">
        <v>0</v>
      </c>
      <c r="AH24" s="109">
        <v>89184.539099999995</v>
      </c>
      <c r="AI24" s="109">
        <v>0</v>
      </c>
      <c r="AJ24" s="109">
        <v>0</v>
      </c>
      <c r="AK24" s="109">
        <v>0</v>
      </c>
      <c r="AL24" s="109">
        <v>0</v>
      </c>
      <c r="AM24" s="109">
        <v>0</v>
      </c>
      <c r="AN24" s="109">
        <v>370398.73080000002</v>
      </c>
      <c r="AO24" s="111"/>
      <c r="AP24" s="104">
        <f t="shared" si="1"/>
        <v>1174353.1905</v>
      </c>
      <c r="AT24" t="str">
        <f t="shared" si="2"/>
        <v>Lower Minnesota River</v>
      </c>
      <c r="AU24" s="113">
        <v>23</v>
      </c>
      <c r="AV24"/>
      <c r="AW24" s="113">
        <v>13</v>
      </c>
    </row>
    <row r="25" spans="1:49" ht="15" x14ac:dyDescent="0.25">
      <c r="A25" s="116" t="s">
        <v>332</v>
      </c>
      <c r="B25" s="109">
        <v>108423.762</v>
      </c>
      <c r="C25" s="123">
        <v>139653.4382</v>
      </c>
      <c r="D25" s="109">
        <v>0</v>
      </c>
      <c r="E25" s="109">
        <v>228957.02439999999</v>
      </c>
      <c r="F25" s="109">
        <v>0</v>
      </c>
      <c r="G25" s="109">
        <v>0</v>
      </c>
      <c r="H25" s="109">
        <v>0</v>
      </c>
      <c r="I25" s="109">
        <v>0</v>
      </c>
      <c r="J25" s="109">
        <v>0</v>
      </c>
      <c r="K25" s="109">
        <v>0</v>
      </c>
      <c r="L25" s="109">
        <v>0</v>
      </c>
      <c r="M25" s="109">
        <v>0</v>
      </c>
      <c r="N25" s="109">
        <v>0</v>
      </c>
      <c r="O25" s="109">
        <v>0</v>
      </c>
      <c r="P25" s="109">
        <v>0</v>
      </c>
      <c r="Q25" s="109">
        <v>0</v>
      </c>
      <c r="R25" s="109">
        <v>0</v>
      </c>
      <c r="S25" s="109">
        <v>0</v>
      </c>
      <c r="T25" s="109">
        <v>0</v>
      </c>
      <c r="U25" s="109">
        <v>0</v>
      </c>
      <c r="V25" s="109">
        <v>0</v>
      </c>
      <c r="W25" s="109">
        <v>0</v>
      </c>
      <c r="X25" s="109">
        <v>0</v>
      </c>
      <c r="Y25" s="109">
        <v>0</v>
      </c>
      <c r="Z25" s="109">
        <v>0</v>
      </c>
      <c r="AA25" s="109">
        <v>0</v>
      </c>
      <c r="AB25" s="109">
        <v>0</v>
      </c>
      <c r="AC25" s="109">
        <v>0</v>
      </c>
      <c r="AD25" s="109">
        <v>0</v>
      </c>
      <c r="AE25" s="109">
        <v>0</v>
      </c>
      <c r="AF25" s="109">
        <v>107113.8455</v>
      </c>
      <c r="AG25" s="109">
        <v>0</v>
      </c>
      <c r="AH25" s="109">
        <v>0</v>
      </c>
      <c r="AI25" s="109">
        <v>0</v>
      </c>
      <c r="AJ25" s="109">
        <v>0</v>
      </c>
      <c r="AK25" s="109">
        <v>0</v>
      </c>
      <c r="AL25" s="109">
        <v>0</v>
      </c>
      <c r="AM25" s="109">
        <v>0</v>
      </c>
      <c r="AN25" s="109">
        <v>0</v>
      </c>
      <c r="AO25" s="111"/>
      <c r="AP25" s="104">
        <f t="shared" si="1"/>
        <v>584148.07010000001</v>
      </c>
      <c r="AT25" t="str">
        <f t="shared" si="2"/>
        <v>Lower St. Croix River</v>
      </c>
      <c r="AU25" s="113">
        <v>24</v>
      </c>
      <c r="AV25"/>
      <c r="AW25" s="113">
        <v>44</v>
      </c>
    </row>
    <row r="26" spans="1:49" ht="15" x14ac:dyDescent="0.25">
      <c r="A26" s="116" t="s">
        <v>331</v>
      </c>
      <c r="B26" s="109">
        <v>96621.930800000002</v>
      </c>
      <c r="C26" s="123">
        <v>0</v>
      </c>
      <c r="D26" s="109">
        <v>0</v>
      </c>
      <c r="E26" s="109">
        <v>0</v>
      </c>
      <c r="F26" s="109">
        <v>0</v>
      </c>
      <c r="G26" s="109">
        <v>0</v>
      </c>
      <c r="H26" s="109">
        <v>0</v>
      </c>
      <c r="I26" s="109">
        <v>126158.7415</v>
      </c>
      <c r="J26" s="109">
        <v>57629.477400000003</v>
      </c>
      <c r="K26" s="109">
        <v>572.46029999999996</v>
      </c>
      <c r="L26" s="109">
        <v>0</v>
      </c>
      <c r="M26" s="109">
        <v>0</v>
      </c>
      <c r="N26" s="109">
        <v>0</v>
      </c>
      <c r="O26" s="109">
        <v>0</v>
      </c>
      <c r="P26" s="109">
        <v>0</v>
      </c>
      <c r="Q26" s="109">
        <v>0</v>
      </c>
      <c r="R26" s="109">
        <v>0</v>
      </c>
      <c r="S26" s="109">
        <v>0</v>
      </c>
      <c r="T26" s="109">
        <v>0</v>
      </c>
      <c r="U26" s="109">
        <v>0</v>
      </c>
      <c r="V26" s="109">
        <v>0</v>
      </c>
      <c r="W26" s="109">
        <v>14407.7209</v>
      </c>
      <c r="X26" s="109">
        <v>0</v>
      </c>
      <c r="Y26" s="109">
        <v>0</v>
      </c>
      <c r="Z26" s="109">
        <v>0</v>
      </c>
      <c r="AA26" s="109">
        <v>0</v>
      </c>
      <c r="AB26" s="109">
        <v>0</v>
      </c>
      <c r="AC26" s="109">
        <v>0</v>
      </c>
      <c r="AD26" s="109">
        <v>0</v>
      </c>
      <c r="AE26" s="109">
        <v>7906.7816000000003</v>
      </c>
      <c r="AF26" s="109">
        <v>0</v>
      </c>
      <c r="AG26" s="109">
        <v>0</v>
      </c>
      <c r="AH26" s="109">
        <v>197998.7898</v>
      </c>
      <c r="AI26" s="109">
        <v>94.786900000000003</v>
      </c>
      <c r="AJ26" s="109">
        <v>0</v>
      </c>
      <c r="AK26" s="109">
        <v>0</v>
      </c>
      <c r="AL26" s="109">
        <v>0</v>
      </c>
      <c r="AM26" s="109">
        <v>0</v>
      </c>
      <c r="AN26" s="109">
        <v>0</v>
      </c>
      <c r="AO26" s="111"/>
      <c r="AP26" s="104">
        <f t="shared" si="1"/>
        <v>501390.68919999996</v>
      </c>
      <c r="AT26" t="str">
        <f t="shared" si="2"/>
        <v>Minnesota River - Headwaters</v>
      </c>
      <c r="AU26" s="113">
        <v>25</v>
      </c>
      <c r="AV26"/>
      <c r="AW26" s="113">
        <v>37</v>
      </c>
    </row>
    <row r="27" spans="1:49" ht="15" x14ac:dyDescent="0.25">
      <c r="A27" s="116" t="s">
        <v>330</v>
      </c>
      <c r="B27" s="109">
        <v>92341.117100000003</v>
      </c>
      <c r="C27" s="123">
        <v>0</v>
      </c>
      <c r="D27" s="109">
        <v>0</v>
      </c>
      <c r="E27" s="109">
        <v>0</v>
      </c>
      <c r="F27" s="109">
        <v>0</v>
      </c>
      <c r="G27" s="109">
        <v>0</v>
      </c>
      <c r="H27" s="109">
        <v>0</v>
      </c>
      <c r="I27" s="109">
        <v>147920.3941</v>
      </c>
      <c r="J27" s="109">
        <v>0</v>
      </c>
      <c r="K27" s="109">
        <v>0</v>
      </c>
      <c r="L27" s="109">
        <v>0</v>
      </c>
      <c r="M27" s="109">
        <v>0</v>
      </c>
      <c r="N27" s="109">
        <v>0</v>
      </c>
      <c r="O27" s="109">
        <v>0</v>
      </c>
      <c r="P27" s="109">
        <v>0</v>
      </c>
      <c r="Q27" s="109">
        <v>0</v>
      </c>
      <c r="R27" s="109">
        <v>0</v>
      </c>
      <c r="S27" s="109">
        <v>0</v>
      </c>
      <c r="T27" s="109">
        <v>0</v>
      </c>
      <c r="U27" s="109">
        <v>0</v>
      </c>
      <c r="V27" s="109">
        <v>0</v>
      </c>
      <c r="W27" s="109">
        <v>0</v>
      </c>
      <c r="X27" s="109">
        <v>0</v>
      </c>
      <c r="Y27" s="109">
        <v>0</v>
      </c>
      <c r="Z27" s="109">
        <v>58292.529199999997</v>
      </c>
      <c r="AA27" s="109">
        <v>0</v>
      </c>
      <c r="AB27" s="109">
        <v>0</v>
      </c>
      <c r="AC27" s="109">
        <v>0</v>
      </c>
      <c r="AD27" s="109">
        <v>3811.0160000000001</v>
      </c>
      <c r="AE27" s="109">
        <v>61450.847399999999</v>
      </c>
      <c r="AF27" s="109">
        <v>0</v>
      </c>
      <c r="AG27" s="109">
        <v>0</v>
      </c>
      <c r="AH27" s="109">
        <v>285191.43859999999</v>
      </c>
      <c r="AI27" s="109">
        <v>0</v>
      </c>
      <c r="AJ27" s="109">
        <v>0</v>
      </c>
      <c r="AK27" s="109">
        <v>0</v>
      </c>
      <c r="AL27" s="109">
        <v>0</v>
      </c>
      <c r="AM27" s="109">
        <v>163904.34760000001</v>
      </c>
      <c r="AN27" s="109">
        <v>48943.188999999998</v>
      </c>
      <c r="AO27" s="111"/>
      <c r="AP27" s="104">
        <f t="shared" si="1"/>
        <v>861854.87899999996</v>
      </c>
      <c r="AT27" t="str">
        <f t="shared" si="2"/>
        <v>Minnesota River - Mankato</v>
      </c>
      <c r="AU27" s="113">
        <v>26</v>
      </c>
      <c r="AV27"/>
      <c r="AW27" s="113">
        <v>8</v>
      </c>
    </row>
    <row r="28" spans="1:49" ht="15" x14ac:dyDescent="0.25">
      <c r="A28" s="116" t="s">
        <v>329</v>
      </c>
      <c r="B28" s="109">
        <v>4619.8900000000003</v>
      </c>
      <c r="C28" s="123">
        <v>0</v>
      </c>
      <c r="D28" s="109">
        <v>0</v>
      </c>
      <c r="E28" s="109">
        <v>0</v>
      </c>
      <c r="F28" s="109">
        <v>203027.91149999999</v>
      </c>
      <c r="G28" s="109">
        <v>0</v>
      </c>
      <c r="H28" s="109">
        <v>0</v>
      </c>
      <c r="I28" s="109">
        <v>425387.99300000002</v>
      </c>
      <c r="J28" s="109">
        <v>63667.387000000002</v>
      </c>
      <c r="K28" s="109">
        <v>0</v>
      </c>
      <c r="L28" s="109">
        <v>0</v>
      </c>
      <c r="M28" s="109">
        <v>0</v>
      </c>
      <c r="N28" s="109">
        <v>1638.1983</v>
      </c>
      <c r="O28" s="109">
        <v>0</v>
      </c>
      <c r="P28" s="109">
        <v>0</v>
      </c>
      <c r="Q28" s="109">
        <v>0</v>
      </c>
      <c r="R28" s="109">
        <v>0</v>
      </c>
      <c r="S28" s="109">
        <v>0</v>
      </c>
      <c r="T28" s="109">
        <v>0</v>
      </c>
      <c r="U28" s="109">
        <v>0</v>
      </c>
      <c r="V28" s="109">
        <v>0</v>
      </c>
      <c r="W28" s="109">
        <v>0</v>
      </c>
      <c r="X28" s="109">
        <v>0</v>
      </c>
      <c r="Y28" s="109">
        <v>0</v>
      </c>
      <c r="Z28" s="109">
        <v>0</v>
      </c>
      <c r="AA28" s="109">
        <v>0</v>
      </c>
      <c r="AB28" s="109">
        <v>35839.5893</v>
      </c>
      <c r="AC28" s="109">
        <v>0</v>
      </c>
      <c r="AD28" s="109">
        <v>0</v>
      </c>
      <c r="AE28" s="109">
        <v>80230.042799999996</v>
      </c>
      <c r="AF28" s="109">
        <v>0</v>
      </c>
      <c r="AG28" s="109">
        <v>0</v>
      </c>
      <c r="AH28" s="109">
        <v>474459.08179999999</v>
      </c>
      <c r="AI28" s="109">
        <v>43894.3171</v>
      </c>
      <c r="AJ28" s="109">
        <v>0</v>
      </c>
      <c r="AK28" s="109">
        <v>0</v>
      </c>
      <c r="AL28" s="109">
        <v>0</v>
      </c>
      <c r="AM28" s="109">
        <v>0</v>
      </c>
      <c r="AN28" s="109">
        <v>0</v>
      </c>
      <c r="AO28" s="111"/>
      <c r="AP28" s="104">
        <f t="shared" si="1"/>
        <v>1332764.4108000002</v>
      </c>
      <c r="AT28" t="str">
        <f t="shared" si="2"/>
        <v>Minnesota River - Yellow Medicine River</v>
      </c>
      <c r="AU28" s="113">
        <v>27</v>
      </c>
      <c r="AV28"/>
      <c r="AW28" s="113">
        <v>6</v>
      </c>
    </row>
    <row r="29" spans="1:49" ht="15" x14ac:dyDescent="0.25">
      <c r="A29" s="116" t="s">
        <v>328</v>
      </c>
      <c r="B29" s="109">
        <v>237715.3051</v>
      </c>
      <c r="C29" s="123">
        <v>0</v>
      </c>
      <c r="D29" s="109">
        <v>0</v>
      </c>
      <c r="E29" s="109">
        <v>0</v>
      </c>
      <c r="F29" s="109">
        <v>0</v>
      </c>
      <c r="G29" s="109">
        <v>0</v>
      </c>
      <c r="H29" s="109">
        <v>317626.69260000001</v>
      </c>
      <c r="I29" s="109">
        <v>0</v>
      </c>
      <c r="J29" s="109">
        <v>0</v>
      </c>
      <c r="K29" s="109">
        <v>0</v>
      </c>
      <c r="L29" s="109">
        <v>0</v>
      </c>
      <c r="M29" s="109">
        <v>79710.004199999996</v>
      </c>
      <c r="N29" s="109">
        <v>0</v>
      </c>
      <c r="O29" s="109">
        <v>0</v>
      </c>
      <c r="P29" s="109">
        <v>0</v>
      </c>
      <c r="Q29" s="109">
        <v>0</v>
      </c>
      <c r="R29" s="109">
        <v>0</v>
      </c>
      <c r="S29" s="109">
        <v>78826.685800000007</v>
      </c>
      <c r="T29" s="109">
        <v>0</v>
      </c>
      <c r="U29" s="109">
        <v>0</v>
      </c>
      <c r="V29" s="109">
        <v>0</v>
      </c>
      <c r="W29" s="109">
        <v>0</v>
      </c>
      <c r="X29" s="109">
        <v>0</v>
      </c>
      <c r="Y29" s="109">
        <v>0</v>
      </c>
      <c r="Z29" s="109">
        <v>0</v>
      </c>
      <c r="AA29" s="109">
        <v>128394.9189</v>
      </c>
      <c r="AB29" s="109">
        <v>46241.051599999999</v>
      </c>
      <c r="AC29" s="109">
        <v>187785.11319999999</v>
      </c>
      <c r="AD29" s="109">
        <v>0</v>
      </c>
      <c r="AE29" s="109">
        <v>0</v>
      </c>
      <c r="AF29" s="109">
        <v>0</v>
      </c>
      <c r="AG29" s="109">
        <v>0</v>
      </c>
      <c r="AH29" s="109">
        <v>0</v>
      </c>
      <c r="AI29" s="109">
        <v>0</v>
      </c>
      <c r="AJ29" s="109">
        <v>0</v>
      </c>
      <c r="AK29" s="109">
        <v>0</v>
      </c>
      <c r="AL29" s="109">
        <v>0</v>
      </c>
      <c r="AM29" s="109">
        <v>0</v>
      </c>
      <c r="AN29" s="109">
        <v>0</v>
      </c>
      <c r="AO29" s="111"/>
      <c r="AP29" s="104">
        <f t="shared" si="1"/>
        <v>1076299.7714</v>
      </c>
      <c r="AT29" t="str">
        <f t="shared" si="2"/>
        <v>Mississippi River - Brainerd</v>
      </c>
      <c r="AU29" s="113">
        <v>28</v>
      </c>
      <c r="AV29"/>
      <c r="AW29" s="113">
        <v>27</v>
      </c>
    </row>
    <row r="30" spans="1:49" ht="15" x14ac:dyDescent="0.25">
      <c r="A30" s="116" t="s">
        <v>327</v>
      </c>
      <c r="B30" s="109">
        <v>53648.004200000003</v>
      </c>
      <c r="C30" s="123">
        <v>0</v>
      </c>
      <c r="D30" s="109">
        <v>0</v>
      </c>
      <c r="E30" s="109">
        <v>0</v>
      </c>
      <c r="F30" s="109">
        <v>0</v>
      </c>
      <c r="G30" s="109">
        <v>0</v>
      </c>
      <c r="H30" s="109">
        <v>34750.375500000002</v>
      </c>
      <c r="I30" s="109">
        <v>0</v>
      </c>
      <c r="J30" s="109">
        <v>0</v>
      </c>
      <c r="K30" s="109">
        <v>0</v>
      </c>
      <c r="L30" s="109">
        <v>0</v>
      </c>
      <c r="M30" s="109">
        <v>499165.25280000002</v>
      </c>
      <c r="N30" s="109">
        <v>0</v>
      </c>
      <c r="O30" s="109">
        <v>0</v>
      </c>
      <c r="P30" s="109">
        <v>0</v>
      </c>
      <c r="Q30" s="109">
        <v>0</v>
      </c>
      <c r="R30" s="139">
        <v>61910.869899999998</v>
      </c>
      <c r="S30" s="109">
        <v>166926.6349</v>
      </c>
      <c r="T30" s="109">
        <v>61910.869899999998</v>
      </c>
      <c r="U30" s="109">
        <v>0</v>
      </c>
      <c r="V30" s="109">
        <v>0</v>
      </c>
      <c r="W30" s="109">
        <v>0</v>
      </c>
      <c r="X30" s="109">
        <v>0</v>
      </c>
      <c r="Y30" s="109">
        <v>0</v>
      </c>
      <c r="Z30" s="109">
        <v>0</v>
      </c>
      <c r="AA30" s="109">
        <v>496769.97389999998</v>
      </c>
      <c r="AB30" s="109">
        <v>0</v>
      </c>
      <c r="AC30" s="109">
        <v>19479.2117</v>
      </c>
      <c r="AD30" s="109">
        <v>0</v>
      </c>
      <c r="AE30" s="109">
        <v>0</v>
      </c>
      <c r="AF30" s="109">
        <v>0</v>
      </c>
      <c r="AG30" s="109">
        <v>0</v>
      </c>
      <c r="AH30" s="109">
        <v>0</v>
      </c>
      <c r="AI30" s="109">
        <v>0</v>
      </c>
      <c r="AJ30" s="109">
        <v>0</v>
      </c>
      <c r="AK30" s="109">
        <v>0</v>
      </c>
      <c r="AL30" s="109">
        <v>0</v>
      </c>
      <c r="AM30" s="109">
        <v>0</v>
      </c>
      <c r="AN30" s="109">
        <v>0</v>
      </c>
      <c r="AO30" s="111"/>
      <c r="AP30" s="104">
        <f t="shared" si="1"/>
        <v>1394561.1928000001</v>
      </c>
      <c r="AT30" t="str">
        <f t="shared" si="2"/>
        <v>Mississippi River - Grand Rapids</v>
      </c>
      <c r="AU30" s="113">
        <v>29</v>
      </c>
      <c r="AV30"/>
      <c r="AW30" s="113">
        <v>26</v>
      </c>
    </row>
    <row r="31" spans="1:49" ht="15" x14ac:dyDescent="0.25">
      <c r="A31" s="116" t="s">
        <v>326</v>
      </c>
      <c r="B31" s="109">
        <v>141448.62220000001</v>
      </c>
      <c r="C31" s="123">
        <v>195118.47169999999</v>
      </c>
      <c r="D31" s="109">
        <v>0</v>
      </c>
      <c r="E31" s="109">
        <v>0</v>
      </c>
      <c r="F31" s="109">
        <v>0</v>
      </c>
      <c r="G31" s="109">
        <v>0</v>
      </c>
      <c r="H31" s="109">
        <v>0</v>
      </c>
      <c r="I31" s="109">
        <v>0</v>
      </c>
      <c r="J31" s="109">
        <v>0</v>
      </c>
      <c r="K31" s="109">
        <v>0</v>
      </c>
      <c r="L31" s="109">
        <v>0</v>
      </c>
      <c r="M31" s="109">
        <v>311537.87420000002</v>
      </c>
      <c r="N31" s="109">
        <v>0</v>
      </c>
      <c r="O31" s="109">
        <v>0</v>
      </c>
      <c r="P31" s="109">
        <v>0</v>
      </c>
      <c r="Q31" s="109">
        <v>0</v>
      </c>
      <c r="R31" s="109">
        <v>0</v>
      </c>
      <c r="S31" s="109">
        <v>265118.27759999997</v>
      </c>
      <c r="T31" s="109">
        <v>0</v>
      </c>
      <c r="U31" s="109">
        <v>0</v>
      </c>
      <c r="V31" s="109">
        <v>0</v>
      </c>
      <c r="W31" s="109">
        <v>0</v>
      </c>
      <c r="X31" s="109">
        <v>0</v>
      </c>
      <c r="Y31" s="109">
        <v>0</v>
      </c>
      <c r="Z31" s="109">
        <v>0</v>
      </c>
      <c r="AA31" s="109">
        <v>315666.15649999998</v>
      </c>
      <c r="AB31" s="109">
        <v>0</v>
      </c>
      <c r="AC31" s="109">
        <v>0</v>
      </c>
      <c r="AD31" s="109">
        <v>0</v>
      </c>
      <c r="AE31" s="109">
        <v>0</v>
      </c>
      <c r="AF31" s="109">
        <v>0</v>
      </c>
      <c r="AG31" s="109">
        <v>0</v>
      </c>
      <c r="AH31" s="109">
        <v>0</v>
      </c>
      <c r="AI31" s="109">
        <v>0</v>
      </c>
      <c r="AJ31" s="109">
        <v>0</v>
      </c>
      <c r="AK31" s="109">
        <v>0</v>
      </c>
      <c r="AL31" s="109">
        <v>0</v>
      </c>
      <c r="AM31" s="109">
        <v>0</v>
      </c>
      <c r="AN31" s="109">
        <v>0</v>
      </c>
      <c r="AO31" s="111"/>
      <c r="AP31" s="104">
        <f t="shared" si="1"/>
        <v>1228889.4021999999</v>
      </c>
      <c r="AT31" t="str">
        <f t="shared" si="2"/>
        <v>Mississippi River - Headwaters</v>
      </c>
      <c r="AU31" s="113">
        <v>30</v>
      </c>
      <c r="AV31"/>
      <c r="AW31" s="113">
        <v>24</v>
      </c>
    </row>
    <row r="32" spans="1:49" ht="15" x14ac:dyDescent="0.25">
      <c r="A32" s="116" t="s">
        <v>325</v>
      </c>
      <c r="B32" s="109">
        <v>5734.8563000000004</v>
      </c>
      <c r="C32" s="123">
        <v>0</v>
      </c>
      <c r="D32" s="109">
        <v>49818.882100000003</v>
      </c>
      <c r="E32" s="109">
        <v>0</v>
      </c>
      <c r="F32" s="109">
        <v>0</v>
      </c>
      <c r="G32" s="109">
        <v>0</v>
      </c>
      <c r="H32" s="109">
        <v>0</v>
      </c>
      <c r="I32" s="109">
        <v>0</v>
      </c>
      <c r="J32" s="109">
        <v>0</v>
      </c>
      <c r="K32" s="109">
        <v>0</v>
      </c>
      <c r="L32" s="109">
        <v>0</v>
      </c>
      <c r="M32" s="109">
        <v>0</v>
      </c>
      <c r="N32" s="109">
        <v>0</v>
      </c>
      <c r="O32" s="109">
        <v>0</v>
      </c>
      <c r="P32" s="109">
        <v>0</v>
      </c>
      <c r="Q32" s="109">
        <v>0</v>
      </c>
      <c r="R32" s="109">
        <v>0</v>
      </c>
      <c r="S32" s="109">
        <v>0</v>
      </c>
      <c r="T32" s="109">
        <v>0</v>
      </c>
      <c r="U32" s="109">
        <v>0</v>
      </c>
      <c r="V32" s="109">
        <v>0</v>
      </c>
      <c r="W32" s="109">
        <v>0</v>
      </c>
      <c r="X32" s="109">
        <v>0</v>
      </c>
      <c r="Y32" s="109">
        <v>0</v>
      </c>
      <c r="Z32" s="109">
        <v>0</v>
      </c>
      <c r="AA32" s="109">
        <v>0</v>
      </c>
      <c r="AB32" s="109">
        <v>0</v>
      </c>
      <c r="AC32" s="109">
        <v>0</v>
      </c>
      <c r="AD32" s="109">
        <v>0</v>
      </c>
      <c r="AE32" s="109">
        <v>0</v>
      </c>
      <c r="AF32" s="109">
        <v>0</v>
      </c>
      <c r="AG32" s="109">
        <v>3014.6772000000001</v>
      </c>
      <c r="AH32" s="109">
        <v>0</v>
      </c>
      <c r="AI32" s="109">
        <v>0</v>
      </c>
      <c r="AJ32" s="109">
        <v>0</v>
      </c>
      <c r="AK32" s="109">
        <v>0</v>
      </c>
      <c r="AL32" s="109">
        <v>0</v>
      </c>
      <c r="AM32" s="109">
        <v>0</v>
      </c>
      <c r="AN32" s="109">
        <v>0</v>
      </c>
      <c r="AO32" s="111"/>
      <c r="AP32" s="104">
        <f t="shared" si="1"/>
        <v>58568.4156</v>
      </c>
      <c r="AT32" t="str">
        <f t="shared" si="2"/>
        <v>Mississippi River - La Crescent</v>
      </c>
      <c r="AU32" s="113">
        <v>31</v>
      </c>
      <c r="AV32"/>
      <c r="AW32" s="113">
        <v>47</v>
      </c>
    </row>
    <row r="33" spans="1:49" ht="15" x14ac:dyDescent="0.25">
      <c r="A33" s="116" t="s">
        <v>324</v>
      </c>
      <c r="B33" s="109">
        <v>178272.7579</v>
      </c>
      <c r="C33" s="123">
        <v>0</v>
      </c>
      <c r="D33" s="109">
        <v>105929.38890000001</v>
      </c>
      <c r="E33" s="109">
        <v>0</v>
      </c>
      <c r="F33" s="109">
        <v>0</v>
      </c>
      <c r="G33" s="109">
        <v>0</v>
      </c>
      <c r="H33" s="109">
        <v>0</v>
      </c>
      <c r="I33" s="109">
        <v>0</v>
      </c>
      <c r="J33" s="109">
        <v>0</v>
      </c>
      <c r="K33" s="109">
        <v>0</v>
      </c>
      <c r="L33" s="109">
        <v>0</v>
      </c>
      <c r="M33" s="109">
        <v>0</v>
      </c>
      <c r="N33" s="109">
        <v>0</v>
      </c>
      <c r="O33" s="109">
        <v>0</v>
      </c>
      <c r="P33" s="109">
        <v>0</v>
      </c>
      <c r="Q33" s="109">
        <v>0</v>
      </c>
      <c r="R33" s="109">
        <v>0</v>
      </c>
      <c r="S33" s="109">
        <v>0</v>
      </c>
      <c r="T33" s="109">
        <v>0</v>
      </c>
      <c r="U33" s="109">
        <v>0</v>
      </c>
      <c r="V33" s="109">
        <v>0</v>
      </c>
      <c r="W33" s="109">
        <v>0</v>
      </c>
      <c r="X33" s="109">
        <v>0</v>
      </c>
      <c r="Y33" s="109">
        <v>17482.950499999999</v>
      </c>
      <c r="Z33" s="109">
        <v>66487.125400000004</v>
      </c>
      <c r="AA33" s="109">
        <v>0</v>
      </c>
      <c r="AB33" s="109">
        <v>0</v>
      </c>
      <c r="AC33" s="109">
        <v>0</v>
      </c>
      <c r="AD33" s="109">
        <v>0</v>
      </c>
      <c r="AE33" s="109">
        <v>0</v>
      </c>
      <c r="AF33" s="109">
        <v>5878.4773999999998</v>
      </c>
      <c r="AG33" s="109">
        <v>4786.4836999999998</v>
      </c>
      <c r="AH33" s="109">
        <v>0</v>
      </c>
      <c r="AI33" s="109">
        <v>0</v>
      </c>
      <c r="AJ33" s="109">
        <v>0</v>
      </c>
      <c r="AK33" s="109">
        <v>320.09640000000002</v>
      </c>
      <c r="AL33" s="109">
        <v>0</v>
      </c>
      <c r="AM33" s="109">
        <v>0</v>
      </c>
      <c r="AN33" s="109">
        <v>0</v>
      </c>
      <c r="AO33" s="111"/>
      <c r="AP33" s="104">
        <f t="shared" si="1"/>
        <v>379157.28019999992</v>
      </c>
      <c r="AT33" t="str">
        <f t="shared" si="2"/>
        <v>Mississippi River - Lake Pepin</v>
      </c>
      <c r="AU33" s="113">
        <v>32</v>
      </c>
      <c r="AV33"/>
      <c r="AW33" s="113">
        <v>45</v>
      </c>
    </row>
    <row r="34" spans="1:49" ht="15" x14ac:dyDescent="0.25">
      <c r="A34" s="116" t="s">
        <v>323</v>
      </c>
      <c r="B34" s="109">
        <v>15065.9931</v>
      </c>
      <c r="C34" s="123">
        <v>0</v>
      </c>
      <c r="D34" s="109">
        <v>82430.223499999993</v>
      </c>
      <c r="E34" s="109">
        <v>0</v>
      </c>
      <c r="F34" s="109">
        <v>0</v>
      </c>
      <c r="G34" s="109">
        <v>0</v>
      </c>
      <c r="H34" s="109">
        <v>0</v>
      </c>
      <c r="I34" s="109">
        <v>0</v>
      </c>
      <c r="J34" s="109">
        <v>0</v>
      </c>
      <c r="K34" s="109">
        <v>0</v>
      </c>
      <c r="L34" s="109">
        <v>0</v>
      </c>
      <c r="M34" s="109">
        <v>0</v>
      </c>
      <c r="N34" s="109">
        <v>0</v>
      </c>
      <c r="O34" s="109">
        <v>0</v>
      </c>
      <c r="P34" s="109">
        <v>0</v>
      </c>
      <c r="Q34" s="109">
        <v>0</v>
      </c>
      <c r="R34" s="109">
        <v>0</v>
      </c>
      <c r="S34" s="109">
        <v>0</v>
      </c>
      <c r="T34" s="109">
        <v>0</v>
      </c>
      <c r="U34" s="109">
        <v>0</v>
      </c>
      <c r="V34" s="109">
        <v>0</v>
      </c>
      <c r="W34" s="109">
        <v>0</v>
      </c>
      <c r="X34" s="109">
        <v>0</v>
      </c>
      <c r="Y34" s="109">
        <v>13165.480600000001</v>
      </c>
      <c r="Z34" s="109">
        <v>0</v>
      </c>
      <c r="AA34" s="109">
        <v>0</v>
      </c>
      <c r="AB34" s="109">
        <v>0</v>
      </c>
      <c r="AC34" s="109">
        <v>0</v>
      </c>
      <c r="AD34" s="109">
        <v>0</v>
      </c>
      <c r="AE34" s="109">
        <v>0</v>
      </c>
      <c r="AF34" s="109">
        <v>0</v>
      </c>
      <c r="AG34" s="109">
        <v>5811.8528999999999</v>
      </c>
      <c r="AH34" s="109">
        <v>0</v>
      </c>
      <c r="AI34" s="109">
        <v>0</v>
      </c>
      <c r="AJ34" s="109">
        <v>0</v>
      </c>
      <c r="AK34" s="109">
        <v>0</v>
      </c>
      <c r="AL34" s="109">
        <v>0</v>
      </c>
      <c r="AM34" s="109">
        <v>0</v>
      </c>
      <c r="AN34" s="109">
        <v>0</v>
      </c>
      <c r="AO34" s="111"/>
      <c r="AP34" s="104">
        <f t="shared" ref="AP34:AP65" si="3">SUM(B34:AN34)</f>
        <v>116473.55009999998</v>
      </c>
      <c r="AT34" t="str">
        <f t="shared" si="2"/>
        <v>Mississippi River - Reno</v>
      </c>
      <c r="AU34" s="113">
        <v>33</v>
      </c>
      <c r="AV34"/>
      <c r="AW34" s="113">
        <v>48</v>
      </c>
    </row>
    <row r="35" spans="1:49" ht="15" x14ac:dyDescent="0.25">
      <c r="A35" s="116" t="s">
        <v>322</v>
      </c>
      <c r="B35" s="109">
        <v>152382.9981</v>
      </c>
      <c r="C35" s="123">
        <v>0</v>
      </c>
      <c r="D35" s="109">
        <v>0</v>
      </c>
      <c r="E35" s="109">
        <v>0</v>
      </c>
      <c r="F35" s="109">
        <v>0</v>
      </c>
      <c r="G35" s="109">
        <v>0</v>
      </c>
      <c r="H35" s="109">
        <v>350145.79440000001</v>
      </c>
      <c r="I35" s="109">
        <v>0</v>
      </c>
      <c r="J35" s="109">
        <v>0</v>
      </c>
      <c r="K35" s="109">
        <v>0</v>
      </c>
      <c r="L35" s="109">
        <v>0</v>
      </c>
      <c r="M35" s="109">
        <v>0</v>
      </c>
      <c r="N35" s="109">
        <v>0</v>
      </c>
      <c r="O35" s="109">
        <v>0</v>
      </c>
      <c r="P35" s="109">
        <v>0</v>
      </c>
      <c r="Q35" s="109">
        <v>0</v>
      </c>
      <c r="R35" s="109">
        <v>0</v>
      </c>
      <c r="S35" s="109">
        <v>0</v>
      </c>
      <c r="T35" s="109">
        <v>0</v>
      </c>
      <c r="U35" s="109">
        <v>0</v>
      </c>
      <c r="V35" s="109">
        <v>0</v>
      </c>
      <c r="W35" s="109">
        <v>0</v>
      </c>
      <c r="X35" s="109">
        <v>0</v>
      </c>
      <c r="Y35" s="109">
        <v>0</v>
      </c>
      <c r="Z35" s="109">
        <v>0</v>
      </c>
      <c r="AA35" s="109">
        <v>0</v>
      </c>
      <c r="AB35" s="109">
        <v>121008.1645</v>
      </c>
      <c r="AC35" s="109">
        <v>32578.192899999998</v>
      </c>
      <c r="AD35" s="109">
        <v>0</v>
      </c>
      <c r="AE35" s="109">
        <v>0</v>
      </c>
      <c r="AF35" s="109">
        <v>0</v>
      </c>
      <c r="AG35" s="109">
        <v>0</v>
      </c>
      <c r="AH35" s="109">
        <v>0</v>
      </c>
      <c r="AI35" s="109">
        <v>0</v>
      </c>
      <c r="AJ35" s="109">
        <v>0</v>
      </c>
      <c r="AK35" s="109">
        <v>0</v>
      </c>
      <c r="AL35" s="109">
        <v>0</v>
      </c>
      <c r="AM35" s="109">
        <v>0</v>
      </c>
      <c r="AN35" s="109">
        <v>0</v>
      </c>
      <c r="AO35" s="111"/>
      <c r="AP35" s="104">
        <f t="shared" si="3"/>
        <v>656115.14989999996</v>
      </c>
      <c r="AT35" t="str">
        <f t="shared" si="2"/>
        <v>Mississippi River - Sartell</v>
      </c>
      <c r="AU35" s="113">
        <v>34</v>
      </c>
      <c r="AV35"/>
      <c r="AW35" s="113">
        <v>32</v>
      </c>
    </row>
    <row r="36" spans="1:49" ht="15" x14ac:dyDescent="0.25">
      <c r="A36" s="116" t="s">
        <v>321</v>
      </c>
      <c r="B36" s="109">
        <v>238309.76449999999</v>
      </c>
      <c r="C36" s="123">
        <v>128610.53389999999</v>
      </c>
      <c r="D36" s="109">
        <v>0</v>
      </c>
      <c r="E36" s="109">
        <v>32865.303200000002</v>
      </c>
      <c r="F36" s="109">
        <v>0</v>
      </c>
      <c r="G36" s="109">
        <v>0</v>
      </c>
      <c r="H36" s="109">
        <v>137935.0153</v>
      </c>
      <c r="I36" s="109">
        <v>0</v>
      </c>
      <c r="J36" s="109">
        <v>0</v>
      </c>
      <c r="K36" s="109">
        <v>0</v>
      </c>
      <c r="L36" s="109">
        <v>0</v>
      </c>
      <c r="M36" s="109">
        <v>0</v>
      </c>
      <c r="N36" s="109">
        <v>0</v>
      </c>
      <c r="O36" s="109">
        <v>0</v>
      </c>
      <c r="P36" s="109">
        <v>0</v>
      </c>
      <c r="Q36" s="109">
        <v>0</v>
      </c>
      <c r="R36" s="109">
        <v>0</v>
      </c>
      <c r="S36" s="109">
        <v>0</v>
      </c>
      <c r="T36" s="109">
        <v>0</v>
      </c>
      <c r="U36" s="109">
        <v>0</v>
      </c>
      <c r="V36" s="109">
        <v>0</v>
      </c>
      <c r="W36" s="109">
        <v>0</v>
      </c>
      <c r="X36" s="109">
        <v>0</v>
      </c>
      <c r="Y36" s="109">
        <v>0</v>
      </c>
      <c r="Z36" s="109">
        <v>53362.6541</v>
      </c>
      <c r="AA36" s="109">
        <v>0</v>
      </c>
      <c r="AB36" s="109">
        <v>107020.6156</v>
      </c>
      <c r="AC36" s="109">
        <v>0</v>
      </c>
      <c r="AD36" s="109">
        <v>0</v>
      </c>
      <c r="AE36" s="109">
        <v>0</v>
      </c>
      <c r="AF36" s="109">
        <v>19272.579000000002</v>
      </c>
      <c r="AG36" s="109">
        <v>0</v>
      </c>
      <c r="AH36" s="109">
        <v>0</v>
      </c>
      <c r="AI36" s="109">
        <v>0</v>
      </c>
      <c r="AJ36" s="109">
        <v>0</v>
      </c>
      <c r="AK36" s="109">
        <v>0</v>
      </c>
      <c r="AL36" s="109">
        <v>0</v>
      </c>
      <c r="AM36" s="109">
        <v>0</v>
      </c>
      <c r="AN36" s="109">
        <v>0</v>
      </c>
      <c r="AO36" s="111"/>
      <c r="AP36" s="104">
        <f t="shared" si="3"/>
        <v>717376.46560000011</v>
      </c>
      <c r="AT36" t="str">
        <f t="shared" si="2"/>
        <v>Mississippi River - St. Cloud</v>
      </c>
      <c r="AU36" s="113">
        <v>35</v>
      </c>
      <c r="AV36"/>
      <c r="AW36" s="113">
        <v>34</v>
      </c>
    </row>
    <row r="37" spans="1:49" ht="15" x14ac:dyDescent="0.25">
      <c r="A37" s="116" t="s">
        <v>320</v>
      </c>
      <c r="B37" s="109">
        <v>151270.89129999999</v>
      </c>
      <c r="C37" s="123">
        <v>122485.4289</v>
      </c>
      <c r="D37" s="109">
        <v>0</v>
      </c>
      <c r="E37" s="109">
        <v>0</v>
      </c>
      <c r="F37" s="109">
        <v>0</v>
      </c>
      <c r="G37" s="109">
        <v>0</v>
      </c>
      <c r="H37" s="109">
        <v>0</v>
      </c>
      <c r="I37" s="109">
        <v>0</v>
      </c>
      <c r="J37" s="109">
        <v>0</v>
      </c>
      <c r="K37" s="109">
        <v>0</v>
      </c>
      <c r="L37" s="109">
        <v>0</v>
      </c>
      <c r="M37" s="109">
        <v>0</v>
      </c>
      <c r="N37" s="109">
        <v>0</v>
      </c>
      <c r="O37" s="109">
        <v>0</v>
      </c>
      <c r="P37" s="109">
        <v>0</v>
      </c>
      <c r="Q37" s="109">
        <v>0</v>
      </c>
      <c r="R37" s="109">
        <v>0</v>
      </c>
      <c r="S37" s="109">
        <v>0</v>
      </c>
      <c r="T37" s="109">
        <v>0</v>
      </c>
      <c r="U37" s="109">
        <v>0</v>
      </c>
      <c r="V37" s="109">
        <v>0</v>
      </c>
      <c r="W37" s="109">
        <v>0</v>
      </c>
      <c r="X37" s="109">
        <v>0</v>
      </c>
      <c r="Y37" s="109">
        <v>0</v>
      </c>
      <c r="Z37" s="109">
        <v>145400.46909999999</v>
      </c>
      <c r="AA37" s="109">
        <v>0</v>
      </c>
      <c r="AB37" s="109">
        <v>0</v>
      </c>
      <c r="AC37" s="109">
        <v>0</v>
      </c>
      <c r="AD37" s="109">
        <v>0</v>
      </c>
      <c r="AE37" s="109">
        <v>0</v>
      </c>
      <c r="AF37" s="109">
        <v>178331.1078</v>
      </c>
      <c r="AG37" s="109">
        <v>0</v>
      </c>
      <c r="AH37" s="109">
        <v>46684.667300000001</v>
      </c>
      <c r="AI37" s="109">
        <v>0</v>
      </c>
      <c r="AJ37" s="109">
        <v>0</v>
      </c>
      <c r="AK37" s="109">
        <v>0</v>
      </c>
      <c r="AL37" s="109">
        <v>0</v>
      </c>
      <c r="AM37" s="109">
        <v>0</v>
      </c>
      <c r="AN37" s="109">
        <v>0</v>
      </c>
      <c r="AO37" s="111"/>
      <c r="AP37" s="104">
        <f t="shared" si="3"/>
        <v>644172.56439999992</v>
      </c>
      <c r="AT37" t="str">
        <f t="shared" si="2"/>
        <v>Mississippi River - Twin Cities</v>
      </c>
      <c r="AU37" s="113">
        <v>36</v>
      </c>
      <c r="AV37"/>
      <c r="AW37" s="113">
        <v>35</v>
      </c>
    </row>
    <row r="38" spans="1:49" ht="15" x14ac:dyDescent="0.25">
      <c r="A38" s="116" t="s">
        <v>319</v>
      </c>
      <c r="B38" s="109">
        <v>57853.223700000002</v>
      </c>
      <c r="C38" s="123">
        <v>0</v>
      </c>
      <c r="D38" s="109">
        <v>201598.42629999999</v>
      </c>
      <c r="E38" s="109">
        <v>0</v>
      </c>
      <c r="F38" s="109">
        <v>0</v>
      </c>
      <c r="G38" s="109">
        <v>0</v>
      </c>
      <c r="H38" s="109">
        <v>0</v>
      </c>
      <c r="I38" s="109">
        <v>0</v>
      </c>
      <c r="J38" s="109">
        <v>0</v>
      </c>
      <c r="K38" s="109">
        <v>0</v>
      </c>
      <c r="L38" s="109">
        <v>0</v>
      </c>
      <c r="M38" s="109">
        <v>0</v>
      </c>
      <c r="N38" s="109">
        <v>0</v>
      </c>
      <c r="O38" s="109">
        <v>0</v>
      </c>
      <c r="P38" s="109">
        <v>0</v>
      </c>
      <c r="Q38" s="109">
        <v>0</v>
      </c>
      <c r="R38" s="109">
        <v>0</v>
      </c>
      <c r="S38" s="109">
        <v>0</v>
      </c>
      <c r="T38" s="109">
        <v>0</v>
      </c>
      <c r="U38" s="109">
        <v>0</v>
      </c>
      <c r="V38" s="109">
        <v>0</v>
      </c>
      <c r="W38" s="109">
        <v>0</v>
      </c>
      <c r="X38" s="109">
        <v>0</v>
      </c>
      <c r="Y38" s="109">
        <v>133003.51379999999</v>
      </c>
      <c r="Z38" s="109">
        <v>0</v>
      </c>
      <c r="AA38" s="109">
        <v>0</v>
      </c>
      <c r="AB38" s="109">
        <v>0</v>
      </c>
      <c r="AC38" s="109">
        <v>0</v>
      </c>
      <c r="AD38" s="109">
        <v>0</v>
      </c>
      <c r="AE38" s="109">
        <v>0</v>
      </c>
      <c r="AF38" s="109">
        <v>0</v>
      </c>
      <c r="AG38" s="109">
        <v>5962.6288999999997</v>
      </c>
      <c r="AH38" s="109">
        <v>0</v>
      </c>
      <c r="AI38" s="109">
        <v>0</v>
      </c>
      <c r="AJ38" s="109">
        <v>0</v>
      </c>
      <c r="AK38" s="109">
        <v>15216.052299999999</v>
      </c>
      <c r="AL38" s="109">
        <v>0</v>
      </c>
      <c r="AM38" s="109">
        <v>0</v>
      </c>
      <c r="AN38" s="109">
        <v>0</v>
      </c>
      <c r="AO38" s="111"/>
      <c r="AP38" s="104">
        <f t="shared" si="3"/>
        <v>413633.84499999997</v>
      </c>
      <c r="AT38" t="str">
        <f t="shared" si="2"/>
        <v>Mississippi River - Winona</v>
      </c>
      <c r="AU38" s="113">
        <v>37</v>
      </c>
      <c r="AV38"/>
      <c r="AW38" s="113">
        <v>46</v>
      </c>
    </row>
    <row r="39" spans="1:49" ht="15" x14ac:dyDescent="0.25">
      <c r="A39" s="116" t="s">
        <v>318</v>
      </c>
      <c r="B39" s="109">
        <v>54.945300000000003</v>
      </c>
      <c r="C39" s="123">
        <v>0</v>
      </c>
      <c r="D39" s="109">
        <v>0</v>
      </c>
      <c r="E39" s="109">
        <v>0</v>
      </c>
      <c r="F39" s="109">
        <v>0</v>
      </c>
      <c r="G39" s="109">
        <v>0</v>
      </c>
      <c r="H39" s="109">
        <v>0</v>
      </c>
      <c r="I39" s="109">
        <v>0</v>
      </c>
      <c r="J39" s="109">
        <v>3320.4980999999998</v>
      </c>
      <c r="K39" s="109">
        <v>268137.23149999999</v>
      </c>
      <c r="L39" s="109">
        <v>0</v>
      </c>
      <c r="M39" s="109">
        <v>0</v>
      </c>
      <c r="N39" s="109">
        <v>0</v>
      </c>
      <c r="O39" s="109">
        <v>0</v>
      </c>
      <c r="P39" s="109">
        <v>0</v>
      </c>
      <c r="Q39" s="109">
        <v>0</v>
      </c>
      <c r="R39" s="109">
        <v>0</v>
      </c>
      <c r="S39" s="109">
        <v>0</v>
      </c>
      <c r="T39" s="109">
        <v>0</v>
      </c>
      <c r="U39" s="109">
        <v>0</v>
      </c>
      <c r="V39" s="109">
        <v>0</v>
      </c>
      <c r="W39" s="109">
        <v>140530.4762</v>
      </c>
      <c r="X39" s="109">
        <v>0</v>
      </c>
      <c r="Y39" s="109">
        <v>0</v>
      </c>
      <c r="Z39" s="109">
        <v>0</v>
      </c>
      <c r="AA39" s="109">
        <v>0</v>
      </c>
      <c r="AB39" s="109">
        <v>1460.7936</v>
      </c>
      <c r="AC39" s="109">
        <v>0</v>
      </c>
      <c r="AD39" s="109">
        <v>0</v>
      </c>
      <c r="AE39" s="109">
        <v>0</v>
      </c>
      <c r="AF39" s="109">
        <v>0</v>
      </c>
      <c r="AG39" s="109">
        <v>0</v>
      </c>
      <c r="AH39" s="109">
        <v>4.0505000000000004</v>
      </c>
      <c r="AI39" s="109">
        <v>0</v>
      </c>
      <c r="AJ39" s="109">
        <v>22254.130700000002</v>
      </c>
      <c r="AK39" s="109">
        <v>0</v>
      </c>
      <c r="AL39" s="109">
        <v>115091.6752</v>
      </c>
      <c r="AM39" s="109">
        <v>0</v>
      </c>
      <c r="AN39" s="109">
        <v>0</v>
      </c>
      <c r="AO39" s="111"/>
      <c r="AP39" s="104">
        <f t="shared" si="3"/>
        <v>550853.80110000004</v>
      </c>
      <c r="AT39" t="str">
        <f t="shared" si="2"/>
        <v>Mustinka River</v>
      </c>
      <c r="AU39" s="113">
        <v>38</v>
      </c>
      <c r="AV39"/>
      <c r="AW39" s="113">
        <v>56</v>
      </c>
    </row>
    <row r="40" spans="1:49" ht="15" x14ac:dyDescent="0.25">
      <c r="A40" s="116" t="s">
        <v>317</v>
      </c>
      <c r="B40" s="109">
        <v>2274.5918000000001</v>
      </c>
      <c r="C40" s="123">
        <v>0</v>
      </c>
      <c r="D40" s="109">
        <v>0</v>
      </c>
      <c r="E40" s="109">
        <v>23569.341400000001</v>
      </c>
      <c r="F40" s="109">
        <v>0</v>
      </c>
      <c r="G40" s="109">
        <v>0</v>
      </c>
      <c r="H40" s="109">
        <v>0</v>
      </c>
      <c r="I40" s="109">
        <v>0</v>
      </c>
      <c r="J40" s="109">
        <v>0</v>
      </c>
      <c r="K40" s="109">
        <v>0</v>
      </c>
      <c r="L40" s="109">
        <v>74073.950400000002</v>
      </c>
      <c r="M40" s="109">
        <v>76049.438800000004</v>
      </c>
      <c r="N40" s="109">
        <v>0</v>
      </c>
      <c r="O40" s="109">
        <v>0</v>
      </c>
      <c r="P40" s="109">
        <v>0</v>
      </c>
      <c r="Q40" s="109">
        <v>0</v>
      </c>
      <c r="R40" s="109">
        <v>0</v>
      </c>
      <c r="S40" s="109">
        <v>0</v>
      </c>
      <c r="T40" s="109">
        <v>0</v>
      </c>
      <c r="U40" s="109">
        <v>0</v>
      </c>
      <c r="V40" s="109">
        <v>0</v>
      </c>
      <c r="W40" s="109">
        <v>0</v>
      </c>
      <c r="X40" s="109">
        <v>0</v>
      </c>
      <c r="Y40" s="109">
        <v>0</v>
      </c>
      <c r="Z40" s="109">
        <v>0</v>
      </c>
      <c r="AA40" s="109">
        <v>0</v>
      </c>
      <c r="AB40" s="109">
        <v>0</v>
      </c>
      <c r="AC40" s="109">
        <v>784.01620000000003</v>
      </c>
      <c r="AD40" s="109">
        <v>0</v>
      </c>
      <c r="AE40" s="109">
        <v>0</v>
      </c>
      <c r="AF40" s="109">
        <v>0</v>
      </c>
      <c r="AG40" s="109">
        <v>0</v>
      </c>
      <c r="AH40" s="109">
        <v>0</v>
      </c>
      <c r="AI40" s="109">
        <v>0</v>
      </c>
      <c r="AJ40" s="109">
        <v>0</v>
      </c>
      <c r="AK40" s="109">
        <v>0</v>
      </c>
      <c r="AL40" s="109">
        <v>0</v>
      </c>
      <c r="AM40" s="109">
        <v>0</v>
      </c>
      <c r="AN40" s="109">
        <v>0</v>
      </c>
      <c r="AO40" s="111"/>
      <c r="AP40" s="104">
        <f t="shared" si="3"/>
        <v>176751.33860000002</v>
      </c>
      <c r="AT40" t="str">
        <f t="shared" si="2"/>
        <v>Nemadji River</v>
      </c>
      <c r="AU40" s="113">
        <v>39</v>
      </c>
      <c r="AV40"/>
      <c r="AW40" s="113">
        <v>23</v>
      </c>
    </row>
    <row r="41" spans="1:49" ht="15" x14ac:dyDescent="0.25">
      <c r="A41" s="116" t="s">
        <v>316</v>
      </c>
      <c r="B41" s="109">
        <v>202207.75399999999</v>
      </c>
      <c r="C41" s="123">
        <v>0</v>
      </c>
      <c r="D41" s="109">
        <v>0</v>
      </c>
      <c r="E41" s="109">
        <v>73078.490600000005</v>
      </c>
      <c r="F41" s="109">
        <v>0</v>
      </c>
      <c r="G41" s="109">
        <v>0</v>
      </c>
      <c r="H41" s="109">
        <v>0</v>
      </c>
      <c r="I41" s="109">
        <v>0</v>
      </c>
      <c r="J41" s="109">
        <v>0</v>
      </c>
      <c r="K41" s="109">
        <v>0</v>
      </c>
      <c r="L41" s="109">
        <v>0</v>
      </c>
      <c r="M41" s="109">
        <v>0</v>
      </c>
      <c r="N41" s="109">
        <v>0</v>
      </c>
      <c r="O41" s="109">
        <v>0</v>
      </c>
      <c r="P41" s="109">
        <v>0</v>
      </c>
      <c r="Q41" s="109">
        <v>0</v>
      </c>
      <c r="R41" s="109">
        <v>0</v>
      </c>
      <c r="S41" s="109">
        <v>0</v>
      </c>
      <c r="T41" s="109">
        <v>0</v>
      </c>
      <c r="U41" s="109">
        <v>0</v>
      </c>
      <c r="V41" s="109">
        <v>0</v>
      </c>
      <c r="W41" s="109">
        <v>0</v>
      </c>
      <c r="X41" s="109">
        <v>0</v>
      </c>
      <c r="Y41" s="109">
        <v>0</v>
      </c>
      <c r="Z41" s="109">
        <v>350490.93369999999</v>
      </c>
      <c r="AA41" s="109">
        <v>0</v>
      </c>
      <c r="AB41" s="109">
        <v>295372.4583</v>
      </c>
      <c r="AC41" s="109">
        <v>0</v>
      </c>
      <c r="AD41" s="109">
        <v>0</v>
      </c>
      <c r="AE41" s="109">
        <v>0</v>
      </c>
      <c r="AF41" s="109">
        <v>2944.7701999999999</v>
      </c>
      <c r="AG41" s="109">
        <v>0</v>
      </c>
      <c r="AH41" s="109">
        <v>20763.774099999999</v>
      </c>
      <c r="AI41" s="109">
        <v>0</v>
      </c>
      <c r="AJ41" s="109">
        <v>0</v>
      </c>
      <c r="AK41" s="109">
        <v>0</v>
      </c>
      <c r="AL41" s="109">
        <v>0</v>
      </c>
      <c r="AM41" s="109">
        <v>0</v>
      </c>
      <c r="AN41" s="109">
        <v>0</v>
      </c>
      <c r="AO41" s="111"/>
      <c r="AP41" s="104">
        <f t="shared" si="3"/>
        <v>944858.18090000015</v>
      </c>
      <c r="AT41" t="str">
        <f t="shared" si="2"/>
        <v>North Fork Crow River</v>
      </c>
      <c r="AU41" s="113">
        <v>40</v>
      </c>
      <c r="AV41"/>
      <c r="AW41" s="113">
        <v>4</v>
      </c>
    </row>
    <row r="42" spans="1:49" ht="15" x14ac:dyDescent="0.25">
      <c r="A42" s="116" t="s">
        <v>315</v>
      </c>
      <c r="B42" s="109">
        <v>7491.5091000000002</v>
      </c>
      <c r="C42" s="123">
        <v>0</v>
      </c>
      <c r="D42" s="109">
        <v>0</v>
      </c>
      <c r="E42" s="109">
        <v>0</v>
      </c>
      <c r="F42" s="109">
        <v>0</v>
      </c>
      <c r="G42" s="109">
        <v>0</v>
      </c>
      <c r="H42" s="109">
        <v>128.29329999999999</v>
      </c>
      <c r="I42" s="109">
        <v>0</v>
      </c>
      <c r="J42" s="109">
        <v>0</v>
      </c>
      <c r="K42" s="109">
        <v>108293.1127</v>
      </c>
      <c r="L42" s="109">
        <v>0</v>
      </c>
      <c r="M42" s="109">
        <v>282699.22869999998</v>
      </c>
      <c r="N42" s="109">
        <v>0</v>
      </c>
      <c r="O42" s="109">
        <v>16477.423699999999</v>
      </c>
      <c r="P42" s="109">
        <v>0</v>
      </c>
      <c r="Q42" s="109">
        <v>0</v>
      </c>
      <c r="R42" s="109">
        <v>0</v>
      </c>
      <c r="S42" s="109">
        <v>252042.5778</v>
      </c>
      <c r="T42" s="109">
        <v>0</v>
      </c>
      <c r="U42" s="109">
        <v>0</v>
      </c>
      <c r="V42" s="109">
        <v>0</v>
      </c>
      <c r="W42" s="109">
        <v>56697.5985</v>
      </c>
      <c r="X42" s="109">
        <v>0</v>
      </c>
      <c r="Y42" s="109">
        <v>0</v>
      </c>
      <c r="Z42" s="109">
        <v>0</v>
      </c>
      <c r="AA42" s="109">
        <v>0</v>
      </c>
      <c r="AB42" s="109">
        <v>489564.24040000001</v>
      </c>
      <c r="AC42" s="109">
        <v>0</v>
      </c>
      <c r="AD42" s="109">
        <v>0</v>
      </c>
      <c r="AE42" s="109">
        <v>0</v>
      </c>
      <c r="AF42" s="109">
        <v>0</v>
      </c>
      <c r="AG42" s="109">
        <v>0</v>
      </c>
      <c r="AH42" s="109">
        <v>0</v>
      </c>
      <c r="AI42" s="109">
        <v>0</v>
      </c>
      <c r="AJ42" s="109">
        <v>1407.0869</v>
      </c>
      <c r="AK42" s="109">
        <v>0</v>
      </c>
      <c r="AL42" s="109">
        <v>7227.5861999999997</v>
      </c>
      <c r="AM42" s="109">
        <v>0</v>
      </c>
      <c r="AN42" s="109">
        <v>0</v>
      </c>
      <c r="AO42" s="111"/>
      <c r="AP42" s="104">
        <f t="shared" si="3"/>
        <v>1222028.6572999998</v>
      </c>
      <c r="AT42" t="str">
        <f t="shared" si="2"/>
        <v>Otter Tail River</v>
      </c>
      <c r="AU42" s="113">
        <v>41</v>
      </c>
      <c r="AV42"/>
      <c r="AW42" s="113">
        <v>57</v>
      </c>
    </row>
    <row r="43" spans="1:49" ht="15" x14ac:dyDescent="0.25">
      <c r="A43" s="116" t="s">
        <v>314</v>
      </c>
      <c r="B43" s="109">
        <v>243548.65340000001</v>
      </c>
      <c r="C43" s="123">
        <v>0</v>
      </c>
      <c r="D43" s="109">
        <v>0</v>
      </c>
      <c r="E43" s="109">
        <v>0</v>
      </c>
      <c r="F43" s="109">
        <v>0</v>
      </c>
      <c r="G43" s="109">
        <v>0</v>
      </c>
      <c r="H43" s="109">
        <v>15185.5674</v>
      </c>
      <c r="I43" s="109">
        <v>0</v>
      </c>
      <c r="J43" s="109">
        <v>0</v>
      </c>
      <c r="K43" s="109">
        <v>0</v>
      </c>
      <c r="L43" s="109">
        <v>0</v>
      </c>
      <c r="M43" s="109">
        <v>98926.718200000003</v>
      </c>
      <c r="N43" s="109">
        <v>0</v>
      </c>
      <c r="O43" s="109">
        <v>0</v>
      </c>
      <c r="P43" s="109">
        <v>0</v>
      </c>
      <c r="Q43" s="109">
        <v>0</v>
      </c>
      <c r="R43" s="109">
        <v>0</v>
      </c>
      <c r="S43" s="109">
        <v>57631.2641</v>
      </c>
      <c r="T43" s="109">
        <v>0</v>
      </c>
      <c r="U43" s="109">
        <v>0</v>
      </c>
      <c r="V43" s="109">
        <v>0</v>
      </c>
      <c r="W43" s="109">
        <v>0</v>
      </c>
      <c r="X43" s="109">
        <v>0</v>
      </c>
      <c r="Y43" s="109">
        <v>0</v>
      </c>
      <c r="Z43" s="109">
        <v>0</v>
      </c>
      <c r="AA43" s="109">
        <v>0</v>
      </c>
      <c r="AB43" s="109">
        <v>0</v>
      </c>
      <c r="AC43" s="109">
        <v>85594.846900000004</v>
      </c>
      <c r="AD43" s="109">
        <v>0</v>
      </c>
      <c r="AE43" s="109">
        <v>0</v>
      </c>
      <c r="AF43" s="109">
        <v>0</v>
      </c>
      <c r="AG43" s="109">
        <v>0</v>
      </c>
      <c r="AH43" s="109">
        <v>0</v>
      </c>
      <c r="AI43" s="109">
        <v>0</v>
      </c>
      <c r="AJ43" s="109">
        <v>0</v>
      </c>
      <c r="AK43" s="109">
        <v>0</v>
      </c>
      <c r="AL43" s="109">
        <v>0</v>
      </c>
      <c r="AM43" s="109">
        <v>0</v>
      </c>
      <c r="AN43" s="109">
        <v>0</v>
      </c>
      <c r="AO43" s="111"/>
      <c r="AP43" s="104">
        <f t="shared" si="3"/>
        <v>500887.05000000005</v>
      </c>
      <c r="AT43" t="str">
        <f t="shared" si="2"/>
        <v>Pine River</v>
      </c>
      <c r="AU43" s="113">
        <v>42</v>
      </c>
      <c r="AV43"/>
      <c r="AW43" s="113">
        <v>28</v>
      </c>
    </row>
    <row r="44" spans="1:49" ht="15" x14ac:dyDescent="0.25">
      <c r="A44" s="116" t="s">
        <v>313</v>
      </c>
      <c r="B44" s="109">
        <v>21281.902399999999</v>
      </c>
      <c r="C44" s="123">
        <v>0</v>
      </c>
      <c r="D44" s="109">
        <v>0</v>
      </c>
      <c r="E44" s="109">
        <v>0</v>
      </c>
      <c r="F44" s="109">
        <v>0</v>
      </c>
      <c r="G44" s="109">
        <v>0</v>
      </c>
      <c r="H44" s="109">
        <v>0</v>
      </c>
      <c r="I44" s="109">
        <v>0</v>
      </c>
      <c r="J44" s="109">
        <v>195518.44620000001</v>
      </c>
      <c r="K44" s="109">
        <v>4352.6269000000002</v>
      </c>
      <c r="L44" s="109">
        <v>0</v>
      </c>
      <c r="M44" s="109">
        <v>3936.9319</v>
      </c>
      <c r="N44" s="109">
        <v>0</v>
      </c>
      <c r="O44" s="109">
        <v>0</v>
      </c>
      <c r="P44" s="109">
        <v>0</v>
      </c>
      <c r="Q44" s="109">
        <v>0</v>
      </c>
      <c r="R44" s="109">
        <v>0</v>
      </c>
      <c r="S44" s="109">
        <v>0</v>
      </c>
      <c r="T44" s="109">
        <v>0</v>
      </c>
      <c r="U44" s="109">
        <v>0</v>
      </c>
      <c r="V44" s="109">
        <v>0</v>
      </c>
      <c r="W44" s="109">
        <v>0</v>
      </c>
      <c r="X44" s="109">
        <v>0</v>
      </c>
      <c r="Y44" s="109">
        <v>0</v>
      </c>
      <c r="Z44" s="109">
        <v>0</v>
      </c>
      <c r="AA44" s="109">
        <v>0</v>
      </c>
      <c r="AB44" s="109">
        <v>182470.40960000001</v>
      </c>
      <c r="AC44" s="109">
        <v>0</v>
      </c>
      <c r="AD44" s="109">
        <v>0</v>
      </c>
      <c r="AE44" s="109">
        <v>0</v>
      </c>
      <c r="AF44" s="109">
        <v>0</v>
      </c>
      <c r="AG44" s="109">
        <v>0</v>
      </c>
      <c r="AH44" s="109">
        <v>120699.7031</v>
      </c>
      <c r="AI44" s="109">
        <v>31973.037100000001</v>
      </c>
      <c r="AJ44" s="109">
        <v>0</v>
      </c>
      <c r="AK44" s="109">
        <v>0</v>
      </c>
      <c r="AL44" s="109">
        <v>0</v>
      </c>
      <c r="AM44" s="109">
        <v>0</v>
      </c>
      <c r="AN44" s="109">
        <v>0</v>
      </c>
      <c r="AO44" s="111"/>
      <c r="AP44" s="104">
        <f t="shared" si="3"/>
        <v>560233.05720000004</v>
      </c>
      <c r="AT44" t="str">
        <f t="shared" si="2"/>
        <v>Pomme de Terre River</v>
      </c>
      <c r="AU44" s="113">
        <v>43</v>
      </c>
      <c r="AV44"/>
      <c r="AW44" s="113">
        <v>38</v>
      </c>
    </row>
    <row r="45" spans="1:49" ht="15" x14ac:dyDescent="0.25">
      <c r="A45" s="116" t="s">
        <v>312</v>
      </c>
      <c r="B45" s="109">
        <v>0</v>
      </c>
      <c r="C45" s="123">
        <v>0</v>
      </c>
      <c r="D45" s="109">
        <v>0</v>
      </c>
      <c r="E45" s="109">
        <v>0</v>
      </c>
      <c r="F45" s="109">
        <v>0</v>
      </c>
      <c r="G45" s="109">
        <v>0</v>
      </c>
      <c r="H45" s="109">
        <v>0</v>
      </c>
      <c r="I45" s="109">
        <v>0</v>
      </c>
      <c r="J45" s="109">
        <v>0</v>
      </c>
      <c r="K45" s="109">
        <v>3424.23</v>
      </c>
      <c r="L45" s="109">
        <v>0</v>
      </c>
      <c r="M45" s="109">
        <v>0</v>
      </c>
      <c r="N45" s="109">
        <v>0</v>
      </c>
      <c r="O45" s="109">
        <v>287149.08230000001</v>
      </c>
      <c r="P45" s="109">
        <v>0</v>
      </c>
      <c r="Q45" s="109">
        <v>0</v>
      </c>
      <c r="R45" s="109">
        <v>0</v>
      </c>
      <c r="S45" s="109">
        <v>0</v>
      </c>
      <c r="T45" s="109">
        <v>0</v>
      </c>
      <c r="U45" s="109">
        <v>0</v>
      </c>
      <c r="V45" s="109">
        <v>0</v>
      </c>
      <c r="W45" s="109">
        <v>0</v>
      </c>
      <c r="X45" s="109">
        <v>186361.5778</v>
      </c>
      <c r="Y45" s="109">
        <v>0</v>
      </c>
      <c r="Z45" s="109">
        <v>0</v>
      </c>
      <c r="AA45" s="109">
        <v>0</v>
      </c>
      <c r="AB45" s="109">
        <v>0</v>
      </c>
      <c r="AC45" s="109">
        <v>0</v>
      </c>
      <c r="AD45" s="109">
        <v>0</v>
      </c>
      <c r="AE45" s="109">
        <v>0</v>
      </c>
      <c r="AF45" s="109">
        <v>0</v>
      </c>
      <c r="AG45" s="109">
        <v>0</v>
      </c>
      <c r="AH45" s="109">
        <v>0</v>
      </c>
      <c r="AI45" s="109">
        <v>0</v>
      </c>
      <c r="AJ45" s="109">
        <v>16964.2114</v>
      </c>
      <c r="AK45" s="109">
        <v>0</v>
      </c>
      <c r="AL45" s="109">
        <v>363600.48820000002</v>
      </c>
      <c r="AM45" s="109">
        <v>0</v>
      </c>
      <c r="AN45" s="109">
        <v>0</v>
      </c>
      <c r="AO45" s="111"/>
      <c r="AP45" s="104">
        <f t="shared" si="3"/>
        <v>857499.58970000001</v>
      </c>
      <c r="AT45" t="str">
        <f t="shared" si="2"/>
        <v>Red Lake River</v>
      </c>
      <c r="AU45" s="113">
        <v>44</v>
      </c>
      <c r="AV45"/>
      <c r="AW45" s="113">
        <v>64</v>
      </c>
    </row>
    <row r="46" spans="1:49" ht="15" x14ac:dyDescent="0.25">
      <c r="A46" s="116" t="s">
        <v>311</v>
      </c>
      <c r="B46" s="109">
        <v>0</v>
      </c>
      <c r="C46" s="123">
        <v>0</v>
      </c>
      <c r="D46" s="109">
        <v>0</v>
      </c>
      <c r="E46" s="109">
        <v>0</v>
      </c>
      <c r="F46" s="109">
        <v>0</v>
      </c>
      <c r="G46" s="109">
        <v>0</v>
      </c>
      <c r="H46" s="109">
        <v>0</v>
      </c>
      <c r="I46" s="109">
        <v>0</v>
      </c>
      <c r="J46" s="109">
        <v>0</v>
      </c>
      <c r="K46" s="109">
        <v>0</v>
      </c>
      <c r="L46" s="109">
        <v>0</v>
      </c>
      <c r="M46" s="109">
        <v>0</v>
      </c>
      <c r="N46" s="109">
        <v>0</v>
      </c>
      <c r="O46" s="109">
        <v>76076.5717</v>
      </c>
      <c r="P46" s="109">
        <v>0</v>
      </c>
      <c r="Q46" s="109">
        <v>0</v>
      </c>
      <c r="R46" s="109">
        <v>0</v>
      </c>
      <c r="S46" s="109">
        <v>0</v>
      </c>
      <c r="T46" s="109">
        <v>0</v>
      </c>
      <c r="U46" s="109">
        <v>0</v>
      </c>
      <c r="V46" s="109">
        <v>0</v>
      </c>
      <c r="W46" s="109">
        <v>0</v>
      </c>
      <c r="X46" s="109">
        <v>0</v>
      </c>
      <c r="Y46" s="109">
        <v>0</v>
      </c>
      <c r="Z46" s="109">
        <v>0</v>
      </c>
      <c r="AA46" s="109">
        <v>0</v>
      </c>
      <c r="AB46" s="109">
        <v>0</v>
      </c>
      <c r="AC46" s="109">
        <v>0</v>
      </c>
      <c r="AD46" s="109">
        <v>0</v>
      </c>
      <c r="AE46" s="109">
        <v>0</v>
      </c>
      <c r="AF46" s="109">
        <v>0</v>
      </c>
      <c r="AG46" s="109">
        <v>0</v>
      </c>
      <c r="AH46" s="109">
        <v>0</v>
      </c>
      <c r="AI46" s="109">
        <v>0</v>
      </c>
      <c r="AJ46" s="109">
        <v>99980.770099999994</v>
      </c>
      <c r="AK46" s="109">
        <v>0</v>
      </c>
      <c r="AL46" s="109">
        <v>202087.24100000001</v>
      </c>
      <c r="AM46" s="109">
        <v>0</v>
      </c>
      <c r="AN46" s="109">
        <v>0</v>
      </c>
      <c r="AO46" s="111"/>
      <c r="AP46" s="104">
        <f t="shared" si="3"/>
        <v>378144.58279999997</v>
      </c>
      <c r="AT46" t="str">
        <f t="shared" si="2"/>
        <v>Red River of the North - Grand Marais Creek</v>
      </c>
      <c r="AU46" s="113">
        <v>45</v>
      </c>
      <c r="AV46"/>
      <c r="AW46" s="113">
        <v>67</v>
      </c>
    </row>
    <row r="47" spans="1:49" ht="15" x14ac:dyDescent="0.25">
      <c r="A47" s="116" t="s">
        <v>310</v>
      </c>
      <c r="B47" s="109">
        <v>0</v>
      </c>
      <c r="C47" s="123">
        <v>0</v>
      </c>
      <c r="D47" s="109">
        <v>0</v>
      </c>
      <c r="E47" s="109">
        <v>0</v>
      </c>
      <c r="F47" s="109">
        <v>0</v>
      </c>
      <c r="G47" s="109">
        <v>0</v>
      </c>
      <c r="H47" s="109">
        <v>0</v>
      </c>
      <c r="I47" s="109">
        <v>0</v>
      </c>
      <c r="J47" s="109">
        <v>0</v>
      </c>
      <c r="K47" s="109">
        <v>5864.6271999999999</v>
      </c>
      <c r="L47" s="109">
        <v>0</v>
      </c>
      <c r="M47" s="109">
        <v>0</v>
      </c>
      <c r="N47" s="109">
        <v>0</v>
      </c>
      <c r="O47" s="109">
        <v>79171.675499999998</v>
      </c>
      <c r="P47" s="109">
        <v>0</v>
      </c>
      <c r="Q47" s="109">
        <v>0</v>
      </c>
      <c r="R47" s="109">
        <v>0</v>
      </c>
      <c r="S47" s="109">
        <v>0</v>
      </c>
      <c r="T47" s="109">
        <v>0</v>
      </c>
      <c r="U47" s="109">
        <v>0</v>
      </c>
      <c r="V47" s="109">
        <v>0</v>
      </c>
      <c r="W47" s="109">
        <v>1039.7669000000001</v>
      </c>
      <c r="X47" s="109">
        <v>0</v>
      </c>
      <c r="Y47" s="109">
        <v>0</v>
      </c>
      <c r="Z47" s="109">
        <v>0</v>
      </c>
      <c r="AA47" s="109">
        <v>0</v>
      </c>
      <c r="AB47" s="109">
        <v>461.44409999999999</v>
      </c>
      <c r="AC47" s="109">
        <v>0</v>
      </c>
      <c r="AD47" s="109">
        <v>0</v>
      </c>
      <c r="AE47" s="109">
        <v>0</v>
      </c>
      <c r="AF47" s="109">
        <v>0</v>
      </c>
      <c r="AG47" s="109">
        <v>0</v>
      </c>
      <c r="AH47" s="109">
        <v>0</v>
      </c>
      <c r="AI47" s="109">
        <v>0</v>
      </c>
      <c r="AJ47" s="109">
        <v>83480.573099999994</v>
      </c>
      <c r="AK47" s="109">
        <v>0</v>
      </c>
      <c r="AL47" s="109">
        <v>61156.732600000003</v>
      </c>
      <c r="AM47" s="109">
        <v>0</v>
      </c>
      <c r="AN47" s="109">
        <v>0</v>
      </c>
      <c r="AO47" s="111"/>
      <c r="AP47" s="104">
        <f t="shared" si="3"/>
        <v>231174.81939999998</v>
      </c>
      <c r="AT47" t="str">
        <f t="shared" si="2"/>
        <v>Red River of the North - Marsh River</v>
      </c>
      <c r="AU47" s="113">
        <v>46</v>
      </c>
      <c r="AV47"/>
      <c r="AW47" s="113">
        <v>60</v>
      </c>
    </row>
    <row r="48" spans="1:49" ht="15" x14ac:dyDescent="0.25">
      <c r="A48" s="116" t="s">
        <v>309</v>
      </c>
      <c r="B48" s="109">
        <v>0</v>
      </c>
      <c r="C48" s="123">
        <v>0</v>
      </c>
      <c r="D48" s="109">
        <v>0</v>
      </c>
      <c r="E48" s="109">
        <v>0</v>
      </c>
      <c r="F48" s="109">
        <v>0</v>
      </c>
      <c r="G48" s="109">
        <v>0</v>
      </c>
      <c r="H48" s="109">
        <v>0</v>
      </c>
      <c r="I48" s="109">
        <v>0</v>
      </c>
      <c r="J48" s="109">
        <v>0</v>
      </c>
      <c r="K48" s="109">
        <v>75120.356899999999</v>
      </c>
      <c r="L48" s="109">
        <v>0</v>
      </c>
      <c r="M48" s="109">
        <v>2906.3503999999998</v>
      </c>
      <c r="N48" s="109">
        <v>0</v>
      </c>
      <c r="O48" s="109">
        <v>74697.997099999993</v>
      </c>
      <c r="P48" s="109">
        <v>0</v>
      </c>
      <c r="Q48" s="109">
        <v>43052.521000000001</v>
      </c>
      <c r="R48" s="109">
        <v>0</v>
      </c>
      <c r="S48" s="109">
        <v>0</v>
      </c>
      <c r="T48" s="109">
        <v>0</v>
      </c>
      <c r="U48" s="109">
        <v>0</v>
      </c>
      <c r="V48" s="109">
        <v>0</v>
      </c>
      <c r="W48" s="109">
        <v>895.49789999999996</v>
      </c>
      <c r="X48" s="109">
        <v>0</v>
      </c>
      <c r="Y48" s="109">
        <v>0</v>
      </c>
      <c r="Z48" s="109">
        <v>0</v>
      </c>
      <c r="AA48" s="109">
        <v>0</v>
      </c>
      <c r="AB48" s="109">
        <v>39239.342199999999</v>
      </c>
      <c r="AC48" s="109">
        <v>0</v>
      </c>
      <c r="AD48" s="109">
        <v>0</v>
      </c>
      <c r="AE48" s="109">
        <v>0</v>
      </c>
      <c r="AF48" s="109">
        <v>0</v>
      </c>
      <c r="AG48" s="109">
        <v>0</v>
      </c>
      <c r="AH48" s="109">
        <v>0</v>
      </c>
      <c r="AI48" s="109">
        <v>0</v>
      </c>
      <c r="AJ48" s="109">
        <v>101346.9895</v>
      </c>
      <c r="AK48" s="109">
        <v>0</v>
      </c>
      <c r="AL48" s="109">
        <v>54853.108999999997</v>
      </c>
      <c r="AM48" s="109">
        <v>0</v>
      </c>
      <c r="AN48" s="109">
        <v>0</v>
      </c>
      <c r="AO48" s="111"/>
      <c r="AP48" s="104">
        <f t="shared" si="3"/>
        <v>392112.16399999993</v>
      </c>
      <c r="AT48" t="str">
        <f t="shared" si="2"/>
        <v>Red River of the North - Sandhill River</v>
      </c>
      <c r="AU48" s="113">
        <v>47</v>
      </c>
      <c r="AV48"/>
      <c r="AW48" s="113">
        <v>62</v>
      </c>
    </row>
    <row r="49" spans="1:49" ht="15" x14ac:dyDescent="0.25">
      <c r="A49" s="116" t="s">
        <v>308</v>
      </c>
      <c r="B49" s="109">
        <v>0</v>
      </c>
      <c r="C49" s="123">
        <v>0</v>
      </c>
      <c r="D49" s="109">
        <v>0</v>
      </c>
      <c r="E49" s="109">
        <v>0</v>
      </c>
      <c r="F49" s="109">
        <v>0</v>
      </c>
      <c r="G49" s="109">
        <v>0</v>
      </c>
      <c r="H49" s="109">
        <v>0</v>
      </c>
      <c r="I49" s="109">
        <v>0</v>
      </c>
      <c r="J49" s="109">
        <v>0</v>
      </c>
      <c r="K49" s="109">
        <v>0</v>
      </c>
      <c r="L49" s="109">
        <v>0</v>
      </c>
      <c r="M49" s="109">
        <v>0</v>
      </c>
      <c r="N49" s="109">
        <v>0</v>
      </c>
      <c r="O49" s="109">
        <v>197181.45449999999</v>
      </c>
      <c r="P49" s="109">
        <v>0</v>
      </c>
      <c r="Q49" s="109">
        <v>0</v>
      </c>
      <c r="R49" s="109">
        <v>0</v>
      </c>
      <c r="S49" s="109">
        <v>0</v>
      </c>
      <c r="T49" s="109">
        <v>0</v>
      </c>
      <c r="U49" s="109">
        <v>0</v>
      </c>
      <c r="V49" s="109">
        <v>0</v>
      </c>
      <c r="W49" s="109">
        <v>0</v>
      </c>
      <c r="X49" s="109">
        <v>0</v>
      </c>
      <c r="Y49" s="109">
        <v>0</v>
      </c>
      <c r="Z49" s="109">
        <v>0</v>
      </c>
      <c r="AA49" s="109">
        <v>40289.778899999998</v>
      </c>
      <c r="AB49" s="109">
        <v>0</v>
      </c>
      <c r="AC49" s="109">
        <v>0</v>
      </c>
      <c r="AD49" s="109">
        <v>0</v>
      </c>
      <c r="AE49" s="109">
        <v>0</v>
      </c>
      <c r="AF49" s="109">
        <v>0</v>
      </c>
      <c r="AG49" s="109">
        <v>0</v>
      </c>
      <c r="AH49" s="109">
        <v>0</v>
      </c>
      <c r="AI49" s="109">
        <v>0</v>
      </c>
      <c r="AJ49" s="109">
        <v>208036.19630000001</v>
      </c>
      <c r="AK49" s="109">
        <v>0</v>
      </c>
      <c r="AL49" s="109">
        <v>121219.5083</v>
      </c>
      <c r="AM49" s="109">
        <v>0</v>
      </c>
      <c r="AN49" s="109">
        <v>0</v>
      </c>
      <c r="AO49" s="111"/>
      <c r="AP49" s="104">
        <f t="shared" si="3"/>
        <v>566726.93799999997</v>
      </c>
      <c r="AT49" t="str">
        <f t="shared" si="2"/>
        <v>Red River of the North - Tamarac River</v>
      </c>
      <c r="AU49" s="113">
        <v>48</v>
      </c>
      <c r="AV49"/>
      <c r="AW49" s="113">
        <v>69</v>
      </c>
    </row>
    <row r="50" spans="1:49" ht="15" x14ac:dyDescent="0.25">
      <c r="A50" s="116" t="s">
        <v>307</v>
      </c>
      <c r="B50" s="109">
        <v>254932.94209999999</v>
      </c>
      <c r="C50" s="123">
        <v>0</v>
      </c>
      <c r="D50" s="109">
        <v>0</v>
      </c>
      <c r="E50" s="109">
        <v>9527.5835999999999</v>
      </c>
      <c r="F50" s="109">
        <v>0</v>
      </c>
      <c r="G50" s="109">
        <v>0</v>
      </c>
      <c r="H50" s="109">
        <v>179028.88620000001</v>
      </c>
      <c r="I50" s="109">
        <v>0</v>
      </c>
      <c r="J50" s="109">
        <v>0</v>
      </c>
      <c r="K50" s="109">
        <v>0</v>
      </c>
      <c r="L50" s="109">
        <v>0</v>
      </c>
      <c r="M50" s="109">
        <v>7436.8815999999997</v>
      </c>
      <c r="N50" s="109">
        <v>0</v>
      </c>
      <c r="O50" s="109">
        <v>0</v>
      </c>
      <c r="P50" s="109">
        <v>0</v>
      </c>
      <c r="Q50" s="109">
        <v>0</v>
      </c>
      <c r="R50" s="109">
        <v>0</v>
      </c>
      <c r="S50" s="109">
        <v>116723.011</v>
      </c>
      <c r="T50" s="109">
        <v>0</v>
      </c>
      <c r="U50" s="109">
        <v>0</v>
      </c>
      <c r="V50" s="109">
        <v>0</v>
      </c>
      <c r="W50" s="109">
        <v>0</v>
      </c>
      <c r="X50" s="109">
        <v>0</v>
      </c>
      <c r="Y50" s="109">
        <v>0</v>
      </c>
      <c r="Z50" s="109">
        <v>0</v>
      </c>
      <c r="AA50" s="109">
        <v>0</v>
      </c>
      <c r="AB50" s="109">
        <v>4419.6391000000003</v>
      </c>
      <c r="AC50" s="109">
        <v>0</v>
      </c>
      <c r="AD50" s="109">
        <v>0</v>
      </c>
      <c r="AE50" s="109">
        <v>0</v>
      </c>
      <c r="AF50" s="109">
        <v>0</v>
      </c>
      <c r="AG50" s="109">
        <v>0</v>
      </c>
      <c r="AH50" s="109">
        <v>0</v>
      </c>
      <c r="AI50" s="109">
        <v>0</v>
      </c>
      <c r="AJ50" s="109">
        <v>0</v>
      </c>
      <c r="AK50" s="109">
        <v>0</v>
      </c>
      <c r="AL50" s="109">
        <v>0</v>
      </c>
      <c r="AM50" s="109">
        <v>0</v>
      </c>
      <c r="AN50" s="109">
        <v>0</v>
      </c>
      <c r="AO50" s="111"/>
      <c r="AP50" s="104">
        <f t="shared" si="3"/>
        <v>572068.94360000012</v>
      </c>
      <c r="AT50" t="str">
        <f t="shared" si="2"/>
        <v>Redeye River</v>
      </c>
      <c r="AU50" s="113">
        <v>49</v>
      </c>
      <c r="AV50"/>
      <c r="AW50" s="113">
        <v>30</v>
      </c>
    </row>
    <row r="51" spans="1:49" ht="15" x14ac:dyDescent="0.25">
      <c r="A51" s="116" t="s">
        <v>306</v>
      </c>
      <c r="B51" s="109">
        <v>0</v>
      </c>
      <c r="C51" s="123">
        <v>0</v>
      </c>
      <c r="D51" s="109">
        <v>0</v>
      </c>
      <c r="E51" s="109">
        <v>0</v>
      </c>
      <c r="F51" s="109">
        <v>211192.93100000001</v>
      </c>
      <c r="G51" s="109">
        <v>0</v>
      </c>
      <c r="H51" s="109">
        <v>0</v>
      </c>
      <c r="I51" s="109">
        <v>184262.90950000001</v>
      </c>
      <c r="J51" s="109">
        <v>0</v>
      </c>
      <c r="K51" s="109">
        <v>0</v>
      </c>
      <c r="L51" s="109">
        <v>0</v>
      </c>
      <c r="M51" s="109">
        <v>0</v>
      </c>
      <c r="N51" s="109">
        <v>842.11919999999998</v>
      </c>
      <c r="O51" s="109">
        <v>0</v>
      </c>
      <c r="P51" s="109">
        <v>0</v>
      </c>
      <c r="Q51" s="109">
        <v>0</v>
      </c>
      <c r="R51" s="109">
        <v>0</v>
      </c>
      <c r="S51" s="109">
        <v>0</v>
      </c>
      <c r="T51" s="109">
        <v>0</v>
      </c>
      <c r="U51" s="109">
        <v>0</v>
      </c>
      <c r="V51" s="109">
        <v>0</v>
      </c>
      <c r="W51" s="109">
        <v>0</v>
      </c>
      <c r="X51" s="109">
        <v>0</v>
      </c>
      <c r="Y51" s="109">
        <v>0</v>
      </c>
      <c r="Z51" s="109">
        <v>0</v>
      </c>
      <c r="AA51" s="109">
        <v>0</v>
      </c>
      <c r="AB51" s="109">
        <v>0</v>
      </c>
      <c r="AC51" s="109">
        <v>0</v>
      </c>
      <c r="AD51" s="109">
        <v>0</v>
      </c>
      <c r="AE51" s="109">
        <v>2805.915</v>
      </c>
      <c r="AF51" s="109">
        <v>0</v>
      </c>
      <c r="AG51" s="109">
        <v>0</v>
      </c>
      <c r="AH51" s="109">
        <v>0</v>
      </c>
      <c r="AI51" s="109">
        <v>45676.2189</v>
      </c>
      <c r="AJ51" s="109">
        <v>0</v>
      </c>
      <c r="AK51" s="109">
        <v>0</v>
      </c>
      <c r="AL51" s="109">
        <v>0</v>
      </c>
      <c r="AM51" s="109">
        <v>2752.4288000000001</v>
      </c>
      <c r="AN51" s="109">
        <v>0</v>
      </c>
      <c r="AO51" s="111"/>
      <c r="AP51" s="104">
        <f t="shared" si="3"/>
        <v>447532.52240000002</v>
      </c>
      <c r="AT51" t="str">
        <f t="shared" si="2"/>
        <v>Redwood River</v>
      </c>
      <c r="AU51" s="113">
        <v>50</v>
      </c>
      <c r="AV51"/>
      <c r="AW51" s="113">
        <v>40</v>
      </c>
    </row>
    <row r="52" spans="1:49" ht="15" x14ac:dyDescent="0.25">
      <c r="A52" s="116" t="s">
        <v>305</v>
      </c>
      <c r="B52" s="109">
        <v>0</v>
      </c>
      <c r="C52" s="123">
        <v>0</v>
      </c>
      <c r="D52" s="109">
        <v>0</v>
      </c>
      <c r="E52" s="109">
        <v>0</v>
      </c>
      <c r="F52" s="109">
        <v>8197.2270000000008</v>
      </c>
      <c r="G52" s="109">
        <v>0</v>
      </c>
      <c r="H52" s="109">
        <v>0</v>
      </c>
      <c r="I52" s="109">
        <v>0</v>
      </c>
      <c r="J52" s="109">
        <v>0</v>
      </c>
      <c r="K52" s="109">
        <v>0</v>
      </c>
      <c r="L52" s="109">
        <v>0</v>
      </c>
      <c r="M52" s="109">
        <v>0</v>
      </c>
      <c r="N52" s="109">
        <v>573496.48510000005</v>
      </c>
      <c r="O52" s="109">
        <v>0</v>
      </c>
      <c r="P52" s="109">
        <v>0</v>
      </c>
      <c r="Q52" s="109">
        <v>0</v>
      </c>
      <c r="R52" s="109">
        <v>0</v>
      </c>
      <c r="S52" s="109">
        <v>0</v>
      </c>
      <c r="T52" s="109">
        <v>0</v>
      </c>
      <c r="U52" s="109">
        <v>0</v>
      </c>
      <c r="V52" s="109">
        <v>0</v>
      </c>
      <c r="W52" s="109">
        <v>0</v>
      </c>
      <c r="X52" s="109">
        <v>0</v>
      </c>
      <c r="Y52" s="109">
        <v>0</v>
      </c>
      <c r="Z52" s="109">
        <v>0</v>
      </c>
      <c r="AA52" s="109">
        <v>0</v>
      </c>
      <c r="AB52" s="109">
        <v>0</v>
      </c>
      <c r="AC52" s="109">
        <v>0</v>
      </c>
      <c r="AD52" s="109">
        <v>0</v>
      </c>
      <c r="AE52" s="109">
        <v>0</v>
      </c>
      <c r="AF52" s="109">
        <v>0</v>
      </c>
      <c r="AG52" s="109">
        <v>0</v>
      </c>
      <c r="AH52" s="109">
        <v>0</v>
      </c>
      <c r="AI52" s="109">
        <v>0</v>
      </c>
      <c r="AJ52" s="109">
        <v>0</v>
      </c>
      <c r="AK52" s="109">
        <v>0</v>
      </c>
      <c r="AL52" s="109">
        <v>0</v>
      </c>
      <c r="AM52" s="109">
        <v>0</v>
      </c>
      <c r="AN52" s="109">
        <v>0</v>
      </c>
      <c r="AO52" s="111"/>
      <c r="AP52" s="104">
        <f t="shared" si="3"/>
        <v>581693.7121</v>
      </c>
      <c r="AT52" t="str">
        <f t="shared" si="2"/>
        <v>Rock River</v>
      </c>
      <c r="AU52" s="113">
        <v>51</v>
      </c>
      <c r="AV52"/>
      <c r="AW52" s="113">
        <v>83</v>
      </c>
    </row>
    <row r="53" spans="1:49" ht="15" x14ac:dyDescent="0.25">
      <c r="A53" s="116" t="s">
        <v>304</v>
      </c>
      <c r="B53" s="109">
        <v>35895.050600000002</v>
      </c>
      <c r="C53" s="123">
        <v>0</v>
      </c>
      <c r="D53" s="109">
        <v>481793.25550000003</v>
      </c>
      <c r="E53" s="109">
        <v>0</v>
      </c>
      <c r="F53" s="109">
        <v>0</v>
      </c>
      <c r="G53" s="109">
        <v>0</v>
      </c>
      <c r="H53" s="109">
        <v>0</v>
      </c>
      <c r="I53" s="109">
        <v>0</v>
      </c>
      <c r="J53" s="109">
        <v>0</v>
      </c>
      <c r="K53" s="109">
        <v>0</v>
      </c>
      <c r="L53" s="109">
        <v>0</v>
      </c>
      <c r="M53" s="109">
        <v>0</v>
      </c>
      <c r="N53" s="109">
        <v>0</v>
      </c>
      <c r="O53" s="109">
        <v>0</v>
      </c>
      <c r="P53" s="109">
        <v>15912.794400000001</v>
      </c>
      <c r="Q53" s="109">
        <v>0</v>
      </c>
      <c r="R53" s="109">
        <v>0</v>
      </c>
      <c r="S53" s="109">
        <v>0</v>
      </c>
      <c r="T53" s="109">
        <v>0</v>
      </c>
      <c r="U53" s="109">
        <v>0</v>
      </c>
      <c r="V53" s="109">
        <v>0</v>
      </c>
      <c r="W53" s="109">
        <v>0</v>
      </c>
      <c r="X53" s="109">
        <v>0</v>
      </c>
      <c r="Y53" s="109">
        <v>271575.62599999999</v>
      </c>
      <c r="Z53" s="109">
        <v>0</v>
      </c>
      <c r="AA53" s="109">
        <v>0</v>
      </c>
      <c r="AB53" s="109">
        <v>0</v>
      </c>
      <c r="AC53" s="109">
        <v>0</v>
      </c>
      <c r="AD53" s="109">
        <v>0</v>
      </c>
      <c r="AE53" s="109">
        <v>0</v>
      </c>
      <c r="AF53" s="109">
        <v>0</v>
      </c>
      <c r="AG53" s="109">
        <v>34135.412199999999</v>
      </c>
      <c r="AH53" s="109">
        <v>0</v>
      </c>
      <c r="AI53" s="109">
        <v>0</v>
      </c>
      <c r="AJ53" s="109">
        <v>0</v>
      </c>
      <c r="AK53" s="109">
        <v>222198.20809999999</v>
      </c>
      <c r="AL53" s="109">
        <v>0</v>
      </c>
      <c r="AM53" s="109">
        <v>0</v>
      </c>
      <c r="AN53" s="109">
        <v>0</v>
      </c>
      <c r="AO53" s="111"/>
      <c r="AP53" s="104">
        <f t="shared" si="3"/>
        <v>1061510.3468000002</v>
      </c>
      <c r="AT53" t="str">
        <f t="shared" si="2"/>
        <v>Root River</v>
      </c>
      <c r="AU53" s="113">
        <v>52</v>
      </c>
      <c r="AV53"/>
      <c r="AW53" s="113">
        <v>16</v>
      </c>
    </row>
    <row r="54" spans="1:49" ht="15" x14ac:dyDescent="0.25">
      <c r="A54" s="116" t="s">
        <v>303</v>
      </c>
      <c r="B54" s="109">
        <v>9270.0503000000008</v>
      </c>
      <c r="C54" s="123">
        <v>266415.97480000003</v>
      </c>
      <c r="D54" s="109">
        <v>0</v>
      </c>
      <c r="E54" s="109">
        <v>122863.3599</v>
      </c>
      <c r="F54" s="109">
        <v>0</v>
      </c>
      <c r="G54" s="109">
        <v>0</v>
      </c>
      <c r="H54" s="109">
        <v>413802.22570000001</v>
      </c>
      <c r="I54" s="109">
        <v>0</v>
      </c>
      <c r="J54" s="109">
        <v>0</v>
      </c>
      <c r="K54" s="109">
        <v>0</v>
      </c>
      <c r="L54" s="109">
        <v>0</v>
      </c>
      <c r="M54" s="109">
        <v>0</v>
      </c>
      <c r="N54" s="109">
        <v>0</v>
      </c>
      <c r="O54" s="109">
        <v>0</v>
      </c>
      <c r="P54" s="109">
        <v>0</v>
      </c>
      <c r="Q54" s="109">
        <v>0</v>
      </c>
      <c r="R54" s="109">
        <v>0</v>
      </c>
      <c r="S54" s="109">
        <v>0</v>
      </c>
      <c r="T54" s="109">
        <v>0</v>
      </c>
      <c r="U54" s="109">
        <v>0</v>
      </c>
      <c r="V54" s="109">
        <v>0</v>
      </c>
      <c r="W54" s="109">
        <v>0</v>
      </c>
      <c r="X54" s="109">
        <v>0</v>
      </c>
      <c r="Y54" s="109">
        <v>0</v>
      </c>
      <c r="Z54" s="109">
        <v>0</v>
      </c>
      <c r="AA54" s="109">
        <v>0</v>
      </c>
      <c r="AB54" s="109">
        <v>0</v>
      </c>
      <c r="AC54" s="109">
        <v>162683.1176</v>
      </c>
      <c r="AD54" s="109">
        <v>0</v>
      </c>
      <c r="AE54" s="109">
        <v>0</v>
      </c>
      <c r="AF54" s="109">
        <v>38759.483500000002</v>
      </c>
      <c r="AG54" s="109">
        <v>0</v>
      </c>
      <c r="AH54" s="109">
        <v>0</v>
      </c>
      <c r="AI54" s="109">
        <v>0</v>
      </c>
      <c r="AJ54" s="109">
        <v>0</v>
      </c>
      <c r="AK54" s="109">
        <v>0</v>
      </c>
      <c r="AL54" s="109">
        <v>0</v>
      </c>
      <c r="AM54" s="109">
        <v>0</v>
      </c>
      <c r="AN54" s="109">
        <v>0</v>
      </c>
      <c r="AO54" s="111"/>
      <c r="AP54" s="104">
        <f t="shared" si="3"/>
        <v>1013794.2118</v>
      </c>
      <c r="AT54" t="str">
        <f t="shared" si="2"/>
        <v>Rum River</v>
      </c>
      <c r="AU54" s="113">
        <v>53</v>
      </c>
      <c r="AV54"/>
      <c r="AW54" s="113">
        <v>36</v>
      </c>
    </row>
    <row r="55" spans="1:49" ht="15" x14ac:dyDescent="0.25">
      <c r="A55" s="116" t="s">
        <v>302</v>
      </c>
      <c r="B55" s="109">
        <v>72978.703500000003</v>
      </c>
      <c r="C55" s="123">
        <v>0</v>
      </c>
      <c r="D55" s="109">
        <v>0</v>
      </c>
      <c r="E55" s="109">
        <v>355345.52740000002</v>
      </c>
      <c r="F55" s="109">
        <v>0</v>
      </c>
      <c r="G55" s="109">
        <v>0</v>
      </c>
      <c r="H55" s="109">
        <v>7882.2930999999999</v>
      </c>
      <c r="I55" s="109">
        <v>0</v>
      </c>
      <c r="J55" s="109">
        <v>0</v>
      </c>
      <c r="K55" s="109">
        <v>0</v>
      </c>
      <c r="L55" s="109">
        <v>0</v>
      </c>
      <c r="M55" s="109">
        <v>0</v>
      </c>
      <c r="N55" s="109">
        <v>0</v>
      </c>
      <c r="O55" s="109">
        <v>0</v>
      </c>
      <c r="P55" s="109">
        <v>0</v>
      </c>
      <c r="Q55" s="109">
        <v>0</v>
      </c>
      <c r="R55" s="109">
        <v>0</v>
      </c>
      <c r="S55" s="109">
        <v>0</v>
      </c>
      <c r="T55" s="109">
        <v>0</v>
      </c>
      <c r="U55" s="109">
        <v>0</v>
      </c>
      <c r="V55" s="109">
        <v>0</v>
      </c>
      <c r="W55" s="109">
        <v>0</v>
      </c>
      <c r="X55" s="109">
        <v>0</v>
      </c>
      <c r="Y55" s="109">
        <v>0</v>
      </c>
      <c r="Z55" s="109">
        <v>0</v>
      </c>
      <c r="AA55" s="109">
        <v>0</v>
      </c>
      <c r="AB55" s="109">
        <v>230543.38500000001</v>
      </c>
      <c r="AC55" s="109">
        <v>0</v>
      </c>
      <c r="AD55" s="109">
        <v>0</v>
      </c>
      <c r="AE55" s="109">
        <v>0</v>
      </c>
      <c r="AF55" s="109">
        <v>0</v>
      </c>
      <c r="AG55" s="109">
        <v>0</v>
      </c>
      <c r="AH55" s="109">
        <v>0</v>
      </c>
      <c r="AI55" s="109">
        <v>0</v>
      </c>
      <c r="AJ55" s="109">
        <v>0</v>
      </c>
      <c r="AK55" s="109">
        <v>0</v>
      </c>
      <c r="AL55" s="109">
        <v>0</v>
      </c>
      <c r="AM55" s="109">
        <v>0</v>
      </c>
      <c r="AN55" s="109">
        <v>0</v>
      </c>
      <c r="AO55" s="111"/>
      <c r="AP55" s="104">
        <f t="shared" si="3"/>
        <v>666749.90899999999</v>
      </c>
      <c r="AT55" t="str">
        <f t="shared" si="2"/>
        <v>Sauk River</v>
      </c>
      <c r="AU55" s="113">
        <v>54</v>
      </c>
      <c r="AV55"/>
      <c r="AW55" s="113">
        <v>33</v>
      </c>
    </row>
    <row r="56" spans="1:49" ht="15" x14ac:dyDescent="0.25">
      <c r="A56" s="116" t="s">
        <v>301</v>
      </c>
      <c r="B56" s="109">
        <v>18148.881799999999</v>
      </c>
      <c r="C56" s="123">
        <v>0</v>
      </c>
      <c r="D56" s="109">
        <v>0</v>
      </c>
      <c r="E56" s="109">
        <v>0</v>
      </c>
      <c r="F56" s="109">
        <v>0</v>
      </c>
      <c r="G56" s="109">
        <v>0</v>
      </c>
      <c r="H56" s="109">
        <v>0</v>
      </c>
      <c r="I56" s="109">
        <v>0</v>
      </c>
      <c r="J56" s="109">
        <v>0</v>
      </c>
      <c r="K56" s="109">
        <v>0</v>
      </c>
      <c r="L56" s="109">
        <v>0</v>
      </c>
      <c r="M56" s="109">
        <v>0</v>
      </c>
      <c r="N56" s="109">
        <v>0</v>
      </c>
      <c r="O56" s="109">
        <v>0</v>
      </c>
      <c r="P56" s="109">
        <v>0</v>
      </c>
      <c r="Q56" s="109">
        <v>0</v>
      </c>
      <c r="R56" s="109">
        <v>0</v>
      </c>
      <c r="S56" s="109">
        <v>0</v>
      </c>
      <c r="T56" s="109">
        <v>0</v>
      </c>
      <c r="U56" s="109">
        <v>0</v>
      </c>
      <c r="V56" s="109">
        <v>0</v>
      </c>
      <c r="W56" s="109">
        <v>0</v>
      </c>
      <c r="X56" s="109">
        <v>0</v>
      </c>
      <c r="Y56" s="109">
        <v>0</v>
      </c>
      <c r="Z56" s="109">
        <v>138279.62609999999</v>
      </c>
      <c r="AA56" s="109">
        <v>0</v>
      </c>
      <c r="AB56" s="109">
        <v>0</v>
      </c>
      <c r="AC56" s="109">
        <v>0</v>
      </c>
      <c r="AD56" s="109">
        <v>0</v>
      </c>
      <c r="AE56" s="109">
        <v>0</v>
      </c>
      <c r="AF56" s="109">
        <v>0</v>
      </c>
      <c r="AG56" s="109">
        <v>0</v>
      </c>
      <c r="AH56" s="109">
        <v>0</v>
      </c>
      <c r="AI56" s="109">
        <v>0</v>
      </c>
      <c r="AJ56" s="109">
        <v>0</v>
      </c>
      <c r="AK56" s="109">
        <v>0</v>
      </c>
      <c r="AL56" s="109">
        <v>0</v>
      </c>
      <c r="AM56" s="109">
        <v>0</v>
      </c>
      <c r="AN56" s="109">
        <v>0</v>
      </c>
      <c r="AO56" s="111"/>
      <c r="AP56" s="104">
        <f t="shared" si="3"/>
        <v>156428.5079</v>
      </c>
      <c r="AT56" t="str">
        <f t="shared" si="2"/>
        <v>Shell Rock River</v>
      </c>
      <c r="AU56" s="113">
        <v>55</v>
      </c>
      <c r="AV56"/>
      <c r="AW56" s="113">
        <v>51</v>
      </c>
    </row>
    <row r="57" spans="1:49" ht="15" x14ac:dyDescent="0.25">
      <c r="A57" s="116" t="s">
        <v>300</v>
      </c>
      <c r="B57" s="109">
        <v>10008.5293</v>
      </c>
      <c r="C57" s="123">
        <v>0</v>
      </c>
      <c r="D57" s="109">
        <v>0</v>
      </c>
      <c r="E57" s="109">
        <v>372608.5673</v>
      </c>
      <c r="F57" s="109">
        <v>0</v>
      </c>
      <c r="G57" s="109">
        <v>0</v>
      </c>
      <c r="H57" s="109">
        <v>206310.9877</v>
      </c>
      <c r="I57" s="109">
        <v>0</v>
      </c>
      <c r="J57" s="109">
        <v>0</v>
      </c>
      <c r="K57" s="109">
        <v>0</v>
      </c>
      <c r="L57" s="109">
        <v>0</v>
      </c>
      <c r="M57" s="109">
        <v>0</v>
      </c>
      <c r="N57" s="109">
        <v>0</v>
      </c>
      <c r="O57" s="109">
        <v>0</v>
      </c>
      <c r="P57" s="109">
        <v>0</v>
      </c>
      <c r="Q57" s="109">
        <v>0</v>
      </c>
      <c r="R57" s="109">
        <v>0</v>
      </c>
      <c r="S57" s="109">
        <v>0</v>
      </c>
      <c r="T57" s="109">
        <v>0</v>
      </c>
      <c r="U57" s="109">
        <v>0</v>
      </c>
      <c r="V57" s="109">
        <v>0</v>
      </c>
      <c r="W57" s="109">
        <v>0</v>
      </c>
      <c r="X57" s="109">
        <v>0</v>
      </c>
      <c r="Y57" s="109">
        <v>0</v>
      </c>
      <c r="Z57" s="109">
        <v>0</v>
      </c>
      <c r="AA57" s="109">
        <v>0</v>
      </c>
      <c r="AB57" s="109">
        <v>0</v>
      </c>
      <c r="AC57" s="109">
        <v>54616.6875</v>
      </c>
      <c r="AD57" s="109">
        <v>0</v>
      </c>
      <c r="AE57" s="109">
        <v>0</v>
      </c>
      <c r="AF57" s="109">
        <v>0</v>
      </c>
      <c r="AG57" s="109">
        <v>0</v>
      </c>
      <c r="AH57" s="109">
        <v>0</v>
      </c>
      <c r="AI57" s="109">
        <v>0</v>
      </c>
      <c r="AJ57" s="109">
        <v>0</v>
      </c>
      <c r="AK57" s="109">
        <v>0</v>
      </c>
      <c r="AL57" s="109">
        <v>0</v>
      </c>
      <c r="AM57" s="109">
        <v>0</v>
      </c>
      <c r="AN57" s="109">
        <v>0</v>
      </c>
      <c r="AO57" s="111"/>
      <c r="AP57" s="104">
        <f t="shared" si="3"/>
        <v>643544.77179999999</v>
      </c>
      <c r="AT57" t="str">
        <f t="shared" si="2"/>
        <v>Snake River</v>
      </c>
      <c r="AU57" s="113">
        <v>56</v>
      </c>
      <c r="AV57"/>
      <c r="AW57" s="113">
        <v>43</v>
      </c>
    </row>
    <row r="58" spans="1:49" ht="15" x14ac:dyDescent="0.25">
      <c r="A58" s="116" t="s">
        <v>300</v>
      </c>
      <c r="B58" s="109">
        <v>0</v>
      </c>
      <c r="C58" s="123">
        <v>0</v>
      </c>
      <c r="D58" s="109">
        <v>0</v>
      </c>
      <c r="E58" s="109">
        <v>0</v>
      </c>
      <c r="F58" s="109">
        <v>0</v>
      </c>
      <c r="G58" s="109">
        <v>0</v>
      </c>
      <c r="H58" s="109">
        <v>0</v>
      </c>
      <c r="I58" s="109">
        <v>0</v>
      </c>
      <c r="J58" s="109">
        <v>0</v>
      </c>
      <c r="K58" s="109">
        <v>0</v>
      </c>
      <c r="L58" s="109">
        <v>0</v>
      </c>
      <c r="M58" s="109">
        <v>0</v>
      </c>
      <c r="N58" s="109">
        <v>0</v>
      </c>
      <c r="O58" s="109">
        <v>195876.96609999999</v>
      </c>
      <c r="P58" s="109">
        <v>0</v>
      </c>
      <c r="Q58" s="109">
        <v>0</v>
      </c>
      <c r="R58" s="109">
        <v>0</v>
      </c>
      <c r="S58" s="109">
        <v>0</v>
      </c>
      <c r="T58" s="109">
        <v>0</v>
      </c>
      <c r="U58" s="109">
        <v>0</v>
      </c>
      <c r="V58" s="109">
        <v>0</v>
      </c>
      <c r="W58" s="109">
        <v>0</v>
      </c>
      <c r="X58" s="109">
        <v>0</v>
      </c>
      <c r="Y58" s="109">
        <v>0</v>
      </c>
      <c r="Z58" s="109">
        <v>0</v>
      </c>
      <c r="AA58" s="109">
        <v>0</v>
      </c>
      <c r="AB58" s="109">
        <v>0</v>
      </c>
      <c r="AC58" s="109">
        <v>0</v>
      </c>
      <c r="AD58" s="109">
        <v>0</v>
      </c>
      <c r="AE58" s="109">
        <v>0</v>
      </c>
      <c r="AF58" s="109">
        <v>0</v>
      </c>
      <c r="AG58" s="109">
        <v>0</v>
      </c>
      <c r="AH58" s="109">
        <v>0</v>
      </c>
      <c r="AI58" s="109">
        <v>0</v>
      </c>
      <c r="AJ58" s="109">
        <v>109404.0497</v>
      </c>
      <c r="AK58" s="109">
        <v>0</v>
      </c>
      <c r="AL58" s="109">
        <v>193327.7507</v>
      </c>
      <c r="AM58" s="109">
        <v>0</v>
      </c>
      <c r="AN58" s="109">
        <v>0</v>
      </c>
      <c r="AO58" s="111"/>
      <c r="AP58" s="104">
        <f t="shared" si="3"/>
        <v>498608.76650000003</v>
      </c>
      <c r="AT58" t="str">
        <f t="shared" si="2"/>
        <v>Snake River</v>
      </c>
      <c r="AU58" s="113">
        <v>57</v>
      </c>
      <c r="AV58"/>
      <c r="AW58" s="113">
        <v>68</v>
      </c>
    </row>
    <row r="59" spans="1:49" ht="15" x14ac:dyDescent="0.25">
      <c r="A59" s="116" t="s">
        <v>299</v>
      </c>
      <c r="B59" s="109">
        <v>12244.096299999999</v>
      </c>
      <c r="C59" s="123">
        <v>0</v>
      </c>
      <c r="D59" s="109">
        <v>0</v>
      </c>
      <c r="E59" s="109">
        <v>0</v>
      </c>
      <c r="F59" s="109">
        <v>0</v>
      </c>
      <c r="G59" s="109">
        <v>0</v>
      </c>
      <c r="H59" s="109">
        <v>0</v>
      </c>
      <c r="I59" s="109">
        <v>0</v>
      </c>
      <c r="J59" s="109">
        <v>0</v>
      </c>
      <c r="K59" s="109">
        <v>0</v>
      </c>
      <c r="L59" s="109">
        <v>0</v>
      </c>
      <c r="M59" s="109">
        <v>0</v>
      </c>
      <c r="N59" s="109">
        <v>0</v>
      </c>
      <c r="O59" s="109">
        <v>0</v>
      </c>
      <c r="P59" s="109">
        <v>0</v>
      </c>
      <c r="Q59" s="109">
        <v>0</v>
      </c>
      <c r="R59" s="109">
        <v>0</v>
      </c>
      <c r="S59" s="109">
        <v>0</v>
      </c>
      <c r="T59" s="109">
        <v>0</v>
      </c>
      <c r="U59" s="109">
        <v>0</v>
      </c>
      <c r="V59" s="109">
        <v>0</v>
      </c>
      <c r="W59" s="109">
        <v>0</v>
      </c>
      <c r="X59" s="109">
        <v>0</v>
      </c>
      <c r="Y59" s="109">
        <v>0</v>
      </c>
      <c r="Z59" s="109">
        <v>488470.61219999997</v>
      </c>
      <c r="AA59" s="109">
        <v>0</v>
      </c>
      <c r="AB59" s="109">
        <v>9182.7119999999995</v>
      </c>
      <c r="AC59" s="109">
        <v>0</v>
      </c>
      <c r="AD59" s="109">
        <v>0</v>
      </c>
      <c r="AE59" s="109">
        <v>0</v>
      </c>
      <c r="AF59" s="109">
        <v>2951.8721999999998</v>
      </c>
      <c r="AG59" s="109">
        <v>0</v>
      </c>
      <c r="AH59" s="109">
        <v>302152.11920000002</v>
      </c>
      <c r="AI59" s="109">
        <v>0</v>
      </c>
      <c r="AJ59" s="109">
        <v>0</v>
      </c>
      <c r="AK59" s="109">
        <v>0</v>
      </c>
      <c r="AL59" s="109">
        <v>0</v>
      </c>
      <c r="AM59" s="109">
        <v>0</v>
      </c>
      <c r="AN59" s="109">
        <v>3101.4059000000002</v>
      </c>
      <c r="AO59" s="111"/>
      <c r="AP59" s="104">
        <f t="shared" si="3"/>
        <v>818102.81779999996</v>
      </c>
      <c r="AT59" t="str">
        <f t="shared" si="2"/>
        <v>South Fork Crow River</v>
      </c>
      <c r="AU59" s="113">
        <v>58</v>
      </c>
      <c r="AV59"/>
      <c r="AW59" s="113">
        <v>5</v>
      </c>
    </row>
    <row r="60" spans="1:49" ht="15" x14ac:dyDescent="0.25">
      <c r="A60" s="116" t="s">
        <v>298</v>
      </c>
      <c r="B60" s="109">
        <v>0</v>
      </c>
      <c r="C60" s="123">
        <v>0</v>
      </c>
      <c r="D60" s="109">
        <v>0</v>
      </c>
      <c r="E60" s="109">
        <v>0</v>
      </c>
      <c r="F60" s="109">
        <v>0</v>
      </c>
      <c r="G60" s="109">
        <v>0</v>
      </c>
      <c r="H60" s="109">
        <v>0</v>
      </c>
      <c r="I60" s="109">
        <v>0</v>
      </c>
      <c r="J60" s="109">
        <v>0</v>
      </c>
      <c r="K60" s="109">
        <v>0</v>
      </c>
      <c r="L60" s="109">
        <v>0</v>
      </c>
      <c r="M60" s="109">
        <v>0</v>
      </c>
      <c r="N60" s="109">
        <v>0</v>
      </c>
      <c r="O60" s="109">
        <v>21380.9267</v>
      </c>
      <c r="P60" s="109">
        <v>0</v>
      </c>
      <c r="Q60" s="109">
        <v>0</v>
      </c>
      <c r="R60" s="109">
        <v>0</v>
      </c>
      <c r="S60" s="109">
        <v>0</v>
      </c>
      <c r="T60" s="109">
        <v>0</v>
      </c>
      <c r="U60" s="109">
        <v>145670.38570000001</v>
      </c>
      <c r="V60" s="109">
        <v>0</v>
      </c>
      <c r="W60" s="109">
        <v>0</v>
      </c>
      <c r="X60" s="109">
        <v>124201.4194</v>
      </c>
      <c r="Y60" s="109">
        <v>0</v>
      </c>
      <c r="Z60" s="109">
        <v>0</v>
      </c>
      <c r="AA60" s="109">
        <v>178.45310000000001</v>
      </c>
      <c r="AB60" s="109">
        <v>0</v>
      </c>
      <c r="AC60" s="109">
        <v>0</v>
      </c>
      <c r="AD60" s="109">
        <v>0</v>
      </c>
      <c r="AE60" s="109">
        <v>0</v>
      </c>
      <c r="AF60" s="109">
        <v>0</v>
      </c>
      <c r="AG60" s="109">
        <v>0</v>
      </c>
      <c r="AH60" s="109">
        <v>0</v>
      </c>
      <c r="AI60" s="109">
        <v>0</v>
      </c>
      <c r="AJ60" s="109">
        <v>0</v>
      </c>
      <c r="AK60" s="109">
        <v>0</v>
      </c>
      <c r="AL60" s="109">
        <v>379592.74129999999</v>
      </c>
      <c r="AM60" s="109">
        <v>0</v>
      </c>
      <c r="AN60" s="109">
        <v>0</v>
      </c>
      <c r="AO60" s="111"/>
      <c r="AP60" s="104">
        <f t="shared" si="3"/>
        <v>671023.92619999999</v>
      </c>
      <c r="AT60" t="str">
        <f t="shared" si="2"/>
        <v>Thief River</v>
      </c>
      <c r="AU60" s="113">
        <v>59</v>
      </c>
      <c r="AV60"/>
      <c r="AW60" s="113">
        <v>65</v>
      </c>
    </row>
    <row r="61" spans="1:49" ht="15" x14ac:dyDescent="0.25">
      <c r="A61" s="116" t="s">
        <v>297</v>
      </c>
      <c r="B61" s="109">
        <v>0</v>
      </c>
      <c r="C61" s="123">
        <v>0</v>
      </c>
      <c r="D61" s="109">
        <v>0</v>
      </c>
      <c r="E61" s="109">
        <v>0</v>
      </c>
      <c r="F61" s="109">
        <v>0</v>
      </c>
      <c r="G61" s="109">
        <v>0</v>
      </c>
      <c r="H61" s="109">
        <v>0</v>
      </c>
      <c r="I61" s="109">
        <v>0</v>
      </c>
      <c r="J61" s="109">
        <v>0</v>
      </c>
      <c r="K61" s="109">
        <v>0</v>
      </c>
      <c r="L61" s="109">
        <v>0</v>
      </c>
      <c r="M61" s="109">
        <v>39.537799999999997</v>
      </c>
      <c r="N61" s="109">
        <v>0</v>
      </c>
      <c r="O61" s="109">
        <v>208361.55929999999</v>
      </c>
      <c r="P61" s="109">
        <v>0</v>
      </c>
      <c r="Q61" s="109">
        <v>0</v>
      </c>
      <c r="R61" s="109">
        <v>0</v>
      </c>
      <c r="S61" s="109">
        <v>0</v>
      </c>
      <c r="T61" s="109">
        <v>0</v>
      </c>
      <c r="U61" s="109">
        <v>52789.277199999997</v>
      </c>
      <c r="V61" s="109">
        <v>0</v>
      </c>
      <c r="W61" s="109">
        <v>0</v>
      </c>
      <c r="X61" s="109">
        <v>0</v>
      </c>
      <c r="Y61" s="109">
        <v>0</v>
      </c>
      <c r="Z61" s="109">
        <v>0</v>
      </c>
      <c r="AA61" s="109">
        <v>335361.50459999999</v>
      </c>
      <c r="AB61" s="109">
        <v>0</v>
      </c>
      <c r="AC61" s="109">
        <v>0</v>
      </c>
      <c r="AD61" s="109">
        <v>0</v>
      </c>
      <c r="AE61" s="109">
        <v>0</v>
      </c>
      <c r="AF61" s="109">
        <v>0</v>
      </c>
      <c r="AG61" s="109">
        <v>0</v>
      </c>
      <c r="AH61" s="109">
        <v>0</v>
      </c>
      <c r="AI61" s="109">
        <v>0</v>
      </c>
      <c r="AJ61" s="109">
        <v>66589.081999999995</v>
      </c>
      <c r="AK61" s="109">
        <v>0</v>
      </c>
      <c r="AL61" s="109">
        <v>41677.382899999997</v>
      </c>
      <c r="AM61" s="109">
        <v>0</v>
      </c>
      <c r="AN61" s="109">
        <v>0</v>
      </c>
      <c r="AO61" s="111"/>
      <c r="AP61" s="104">
        <f t="shared" si="3"/>
        <v>704818.3437999998</v>
      </c>
      <c r="AT61" t="str">
        <f t="shared" si="2"/>
        <v>Two Rivers</v>
      </c>
      <c r="AU61" s="113">
        <v>60</v>
      </c>
      <c r="AV61"/>
      <c r="AW61" s="113">
        <v>70</v>
      </c>
    </row>
    <row r="62" spans="1:49" ht="15" x14ac:dyDescent="0.25">
      <c r="A62" s="116" t="s">
        <v>296</v>
      </c>
      <c r="B62" s="109">
        <v>0</v>
      </c>
      <c r="C62" s="123">
        <v>0</v>
      </c>
      <c r="D62" s="109">
        <v>0</v>
      </c>
      <c r="E62" s="109">
        <v>0</v>
      </c>
      <c r="F62" s="109">
        <v>195.31460000000001</v>
      </c>
      <c r="G62" s="109">
        <v>0</v>
      </c>
      <c r="H62" s="109">
        <v>0</v>
      </c>
      <c r="I62" s="109">
        <v>0</v>
      </c>
      <c r="J62" s="109">
        <v>0</v>
      </c>
      <c r="K62" s="109">
        <v>0</v>
      </c>
      <c r="L62" s="109">
        <v>0</v>
      </c>
      <c r="M62" s="109">
        <v>0</v>
      </c>
      <c r="N62" s="109">
        <v>26117.6014</v>
      </c>
      <c r="O62" s="109">
        <v>0</v>
      </c>
      <c r="P62" s="109">
        <v>0</v>
      </c>
      <c r="Q62" s="109">
        <v>0</v>
      </c>
      <c r="R62" s="109">
        <v>0</v>
      </c>
      <c r="S62" s="109">
        <v>0</v>
      </c>
      <c r="T62" s="109">
        <v>0</v>
      </c>
      <c r="U62" s="109">
        <v>0</v>
      </c>
      <c r="V62" s="109">
        <v>0</v>
      </c>
      <c r="W62" s="109">
        <v>0</v>
      </c>
      <c r="X62" s="109">
        <v>0</v>
      </c>
      <c r="Y62" s="109">
        <v>0</v>
      </c>
      <c r="Z62" s="109">
        <v>0</v>
      </c>
      <c r="AA62" s="109">
        <v>0</v>
      </c>
      <c r="AB62" s="109">
        <v>0</v>
      </c>
      <c r="AC62" s="109">
        <v>0</v>
      </c>
      <c r="AD62" s="109">
        <v>0</v>
      </c>
      <c r="AE62" s="109">
        <v>0</v>
      </c>
      <c r="AF62" s="109">
        <v>0</v>
      </c>
      <c r="AG62" s="109">
        <v>0</v>
      </c>
      <c r="AH62" s="109">
        <v>0</v>
      </c>
      <c r="AI62" s="109">
        <v>0</v>
      </c>
      <c r="AJ62" s="109">
        <v>0</v>
      </c>
      <c r="AK62" s="109">
        <v>0</v>
      </c>
      <c r="AL62" s="109">
        <v>0</v>
      </c>
      <c r="AM62" s="109">
        <v>0</v>
      </c>
      <c r="AN62" s="109">
        <v>0</v>
      </c>
      <c r="AO62" s="111"/>
      <c r="AP62" s="104">
        <f t="shared" si="3"/>
        <v>26312.916000000001</v>
      </c>
      <c r="AT62" t="str">
        <f t="shared" si="2"/>
        <v>Upper Big Sioux River</v>
      </c>
      <c r="AU62" s="113">
        <v>61</v>
      </c>
      <c r="AV62"/>
      <c r="AW62" s="113">
        <v>81</v>
      </c>
    </row>
    <row r="63" spans="1:49" ht="15" x14ac:dyDescent="0.25">
      <c r="A63" s="116" t="s">
        <v>295</v>
      </c>
      <c r="B63" s="109">
        <v>1885.4141</v>
      </c>
      <c r="C63" s="123">
        <v>0</v>
      </c>
      <c r="D63" s="109">
        <v>22693.155900000002</v>
      </c>
      <c r="E63" s="109">
        <v>0</v>
      </c>
      <c r="F63" s="109">
        <v>0</v>
      </c>
      <c r="G63" s="109">
        <v>0</v>
      </c>
      <c r="H63" s="109">
        <v>0</v>
      </c>
      <c r="I63" s="109">
        <v>0</v>
      </c>
      <c r="J63" s="109">
        <v>0</v>
      </c>
      <c r="K63" s="109">
        <v>0</v>
      </c>
      <c r="L63" s="109">
        <v>0</v>
      </c>
      <c r="M63" s="109">
        <v>0</v>
      </c>
      <c r="N63" s="109">
        <v>0</v>
      </c>
      <c r="O63" s="109">
        <v>0</v>
      </c>
      <c r="P63" s="109">
        <v>0</v>
      </c>
      <c r="Q63" s="109">
        <v>0</v>
      </c>
      <c r="R63" s="109">
        <v>0</v>
      </c>
      <c r="S63" s="109">
        <v>0</v>
      </c>
      <c r="T63" s="109">
        <v>0</v>
      </c>
      <c r="U63" s="109">
        <v>0</v>
      </c>
      <c r="V63" s="109">
        <v>0</v>
      </c>
      <c r="W63" s="109">
        <v>0</v>
      </c>
      <c r="X63" s="109">
        <v>0</v>
      </c>
      <c r="Y63" s="109">
        <v>38003.574399999998</v>
      </c>
      <c r="Z63" s="109">
        <v>0</v>
      </c>
      <c r="AA63" s="109">
        <v>0</v>
      </c>
      <c r="AB63" s="109">
        <v>0</v>
      </c>
      <c r="AC63" s="109">
        <v>0</v>
      </c>
      <c r="AD63" s="109">
        <v>0</v>
      </c>
      <c r="AE63" s="109">
        <v>0</v>
      </c>
      <c r="AF63" s="109">
        <v>0</v>
      </c>
      <c r="AG63" s="109">
        <v>0</v>
      </c>
      <c r="AH63" s="109">
        <v>0</v>
      </c>
      <c r="AI63" s="109">
        <v>0</v>
      </c>
      <c r="AJ63" s="109">
        <v>0</v>
      </c>
      <c r="AK63" s="109">
        <v>75151.698699999994</v>
      </c>
      <c r="AL63" s="109">
        <v>0</v>
      </c>
      <c r="AM63" s="109">
        <v>0</v>
      </c>
      <c r="AN63" s="109">
        <v>0</v>
      </c>
      <c r="AO63" s="111"/>
      <c r="AP63" s="104">
        <f t="shared" si="3"/>
        <v>137733.8431</v>
      </c>
      <c r="AT63" t="str">
        <f t="shared" si="2"/>
        <v>Upper Iowa River</v>
      </c>
      <c r="AU63" s="113">
        <v>62</v>
      </c>
      <c r="AV63"/>
      <c r="AW63" s="113">
        <v>49</v>
      </c>
    </row>
    <row r="64" spans="1:49" ht="15" x14ac:dyDescent="0.25">
      <c r="A64" s="116" t="s">
        <v>294</v>
      </c>
      <c r="B64" s="109">
        <v>0</v>
      </c>
      <c r="C64" s="123">
        <v>0</v>
      </c>
      <c r="D64" s="109">
        <v>0</v>
      </c>
      <c r="E64" s="109">
        <v>0</v>
      </c>
      <c r="F64" s="109">
        <v>0</v>
      </c>
      <c r="G64" s="109">
        <v>0</v>
      </c>
      <c r="H64" s="109">
        <v>0</v>
      </c>
      <c r="I64" s="109">
        <v>0</v>
      </c>
      <c r="J64" s="109">
        <v>0</v>
      </c>
      <c r="K64" s="109">
        <v>31129.1636</v>
      </c>
      <c r="L64" s="109">
        <v>0</v>
      </c>
      <c r="M64" s="109">
        <v>0</v>
      </c>
      <c r="N64" s="109">
        <v>0</v>
      </c>
      <c r="O64" s="109">
        <v>46861.305099999998</v>
      </c>
      <c r="P64" s="109">
        <v>0</v>
      </c>
      <c r="Q64" s="109">
        <v>0</v>
      </c>
      <c r="R64" s="109">
        <v>0</v>
      </c>
      <c r="S64" s="109">
        <v>0</v>
      </c>
      <c r="T64" s="109">
        <v>0</v>
      </c>
      <c r="U64" s="109">
        <v>0</v>
      </c>
      <c r="V64" s="109">
        <v>0</v>
      </c>
      <c r="W64" s="109">
        <v>88622.014500000005</v>
      </c>
      <c r="X64" s="109">
        <v>0</v>
      </c>
      <c r="Y64" s="109">
        <v>0</v>
      </c>
      <c r="Z64" s="109">
        <v>0</v>
      </c>
      <c r="AA64" s="109">
        <v>0</v>
      </c>
      <c r="AB64" s="109">
        <v>0</v>
      </c>
      <c r="AC64" s="109">
        <v>0</v>
      </c>
      <c r="AD64" s="109">
        <v>0</v>
      </c>
      <c r="AE64" s="109">
        <v>0</v>
      </c>
      <c r="AF64" s="109">
        <v>0</v>
      </c>
      <c r="AG64" s="109">
        <v>0</v>
      </c>
      <c r="AH64" s="109">
        <v>0</v>
      </c>
      <c r="AI64" s="109">
        <v>0</v>
      </c>
      <c r="AJ64" s="109">
        <v>89967.758900000001</v>
      </c>
      <c r="AK64" s="109">
        <v>0</v>
      </c>
      <c r="AL64" s="109">
        <v>62185.371400000004</v>
      </c>
      <c r="AM64" s="109">
        <v>0</v>
      </c>
      <c r="AN64" s="109">
        <v>0</v>
      </c>
      <c r="AO64" s="111"/>
      <c r="AP64" s="104">
        <f t="shared" si="3"/>
        <v>318765.61350000004</v>
      </c>
      <c r="AT64" t="str">
        <f t="shared" si="2"/>
        <v>Upper Red River of the North</v>
      </c>
      <c r="AU64" s="113">
        <v>63</v>
      </c>
      <c r="AV64"/>
      <c r="AW64" s="113">
        <v>58</v>
      </c>
    </row>
    <row r="65" spans="1:49" ht="15" x14ac:dyDescent="0.25">
      <c r="A65" s="116" t="s">
        <v>293</v>
      </c>
      <c r="B65" s="109">
        <v>83279.653600000005</v>
      </c>
      <c r="C65" s="123">
        <v>0</v>
      </c>
      <c r="D65" s="109">
        <v>0</v>
      </c>
      <c r="E65" s="109">
        <v>264037.79979999998</v>
      </c>
      <c r="F65" s="109">
        <v>0</v>
      </c>
      <c r="G65" s="109">
        <v>0</v>
      </c>
      <c r="H65" s="109">
        <v>0</v>
      </c>
      <c r="I65" s="109">
        <v>0</v>
      </c>
      <c r="J65" s="109">
        <v>0</v>
      </c>
      <c r="K65" s="109">
        <v>0</v>
      </c>
      <c r="L65" s="109">
        <v>0</v>
      </c>
      <c r="M65" s="109">
        <v>0</v>
      </c>
      <c r="N65" s="109">
        <v>0</v>
      </c>
      <c r="O65" s="109">
        <v>0</v>
      </c>
      <c r="P65" s="109">
        <v>0</v>
      </c>
      <c r="Q65" s="109">
        <v>0</v>
      </c>
      <c r="R65" s="109">
        <v>0</v>
      </c>
      <c r="S65" s="109">
        <v>0</v>
      </c>
      <c r="T65" s="109">
        <v>0</v>
      </c>
      <c r="U65" s="109">
        <v>0</v>
      </c>
      <c r="V65" s="109">
        <v>0</v>
      </c>
      <c r="W65" s="109">
        <v>0</v>
      </c>
      <c r="X65" s="109">
        <v>0</v>
      </c>
      <c r="Y65" s="109">
        <v>0</v>
      </c>
      <c r="Z65" s="109">
        <v>0</v>
      </c>
      <c r="AA65" s="109">
        <v>0</v>
      </c>
      <c r="AB65" s="109">
        <v>0</v>
      </c>
      <c r="AC65" s="109">
        <v>0</v>
      </c>
      <c r="AD65" s="109">
        <v>0</v>
      </c>
      <c r="AE65" s="109">
        <v>0</v>
      </c>
      <c r="AF65" s="109">
        <v>0</v>
      </c>
      <c r="AG65" s="109">
        <v>0</v>
      </c>
      <c r="AH65" s="109">
        <v>0</v>
      </c>
      <c r="AI65" s="109">
        <v>0</v>
      </c>
      <c r="AJ65" s="109">
        <v>0</v>
      </c>
      <c r="AK65" s="109">
        <v>0</v>
      </c>
      <c r="AL65" s="109">
        <v>0</v>
      </c>
      <c r="AM65" s="109">
        <v>0</v>
      </c>
      <c r="AN65" s="109">
        <v>0</v>
      </c>
      <c r="AO65" s="111"/>
      <c r="AP65" s="104">
        <f t="shared" si="3"/>
        <v>347317.4534</v>
      </c>
      <c r="AT65" t="str">
        <f t="shared" si="2"/>
        <v>Upper St. Croix River</v>
      </c>
      <c r="AU65" s="113">
        <v>64</v>
      </c>
      <c r="AV65"/>
      <c r="AW65" s="113">
        <v>41</v>
      </c>
    </row>
    <row r="66" spans="1:49" ht="15" x14ac:dyDescent="0.25">
      <c r="A66" s="116" t="s">
        <v>292</v>
      </c>
      <c r="B66" s="109">
        <v>0</v>
      </c>
      <c r="C66" s="123">
        <v>0</v>
      </c>
      <c r="D66" s="109">
        <v>0</v>
      </c>
      <c r="E66" s="109">
        <v>0</v>
      </c>
      <c r="F66" s="109">
        <v>0</v>
      </c>
      <c r="G66" s="109">
        <v>0</v>
      </c>
      <c r="H66" s="109">
        <v>0</v>
      </c>
      <c r="I66" s="109">
        <v>0</v>
      </c>
      <c r="J66" s="109">
        <v>0</v>
      </c>
      <c r="K66" s="109">
        <v>0</v>
      </c>
      <c r="L66" s="109">
        <v>0</v>
      </c>
      <c r="M66" s="109">
        <v>0</v>
      </c>
      <c r="N66" s="109">
        <v>0</v>
      </c>
      <c r="O66" s="109">
        <v>0</v>
      </c>
      <c r="P66" s="109">
        <v>0</v>
      </c>
      <c r="Q66" s="109">
        <v>0</v>
      </c>
      <c r="R66" s="109">
        <v>0</v>
      </c>
      <c r="S66" s="109">
        <v>0</v>
      </c>
      <c r="T66" s="109">
        <v>0</v>
      </c>
      <c r="U66" s="109">
        <v>0</v>
      </c>
      <c r="V66" s="109">
        <v>0</v>
      </c>
      <c r="W66" s="109">
        <v>0</v>
      </c>
      <c r="X66" s="109">
        <v>0</v>
      </c>
      <c r="Y66" s="109">
        <v>0</v>
      </c>
      <c r="Z66" s="109">
        <v>0</v>
      </c>
      <c r="AA66" s="109">
        <v>0</v>
      </c>
      <c r="AB66" s="109">
        <v>0</v>
      </c>
      <c r="AC66" s="109">
        <v>0</v>
      </c>
      <c r="AD66" s="109">
        <v>0</v>
      </c>
      <c r="AE66" s="109">
        <v>0</v>
      </c>
      <c r="AF66" s="109">
        <v>0</v>
      </c>
      <c r="AG66" s="109">
        <v>0</v>
      </c>
      <c r="AH66" s="109">
        <v>0</v>
      </c>
      <c r="AI66" s="109">
        <v>0</v>
      </c>
      <c r="AJ66" s="109">
        <v>0</v>
      </c>
      <c r="AK66" s="109">
        <v>7677.3019000000004</v>
      </c>
      <c r="AL66" s="109">
        <v>0</v>
      </c>
      <c r="AM66" s="109">
        <v>0</v>
      </c>
      <c r="AN66" s="109">
        <v>0</v>
      </c>
      <c r="AO66" s="111"/>
      <c r="AP66" s="104">
        <f t="shared" ref="AP66:AP83" si="4">SUM(B66:AN66)</f>
        <v>7677.3019000000004</v>
      </c>
      <c r="AT66" t="str">
        <f t="shared" ref="AT66:AT81" si="5">A66</f>
        <v>Upper Wapsipinicon River</v>
      </c>
      <c r="AU66" s="113">
        <v>65</v>
      </c>
      <c r="AV66"/>
      <c r="AW66" s="113">
        <v>50</v>
      </c>
    </row>
    <row r="67" spans="1:49" ht="15" x14ac:dyDescent="0.25">
      <c r="A67" s="116" t="s">
        <v>291</v>
      </c>
      <c r="B67" s="109">
        <v>70799.241899999994</v>
      </c>
      <c r="C67" s="123">
        <v>0</v>
      </c>
      <c r="D67" s="109">
        <v>0</v>
      </c>
      <c r="E67" s="109">
        <v>0</v>
      </c>
      <c r="F67" s="109">
        <v>0</v>
      </c>
      <c r="G67" s="109">
        <v>0</v>
      </c>
      <c r="H67" s="109">
        <v>0</v>
      </c>
      <c r="I67" s="109">
        <v>85434.1204</v>
      </c>
      <c r="J67" s="109">
        <v>0</v>
      </c>
      <c r="K67" s="109">
        <v>0</v>
      </c>
      <c r="L67" s="109">
        <v>0</v>
      </c>
      <c r="M67" s="109">
        <v>0</v>
      </c>
      <c r="N67" s="109">
        <v>0</v>
      </c>
      <c r="O67" s="109">
        <v>0</v>
      </c>
      <c r="P67" s="109">
        <v>0</v>
      </c>
      <c r="Q67" s="109">
        <v>0</v>
      </c>
      <c r="R67" s="109">
        <v>0</v>
      </c>
      <c r="S67" s="109">
        <v>0</v>
      </c>
      <c r="T67" s="109">
        <v>0</v>
      </c>
      <c r="U67" s="109">
        <v>0</v>
      </c>
      <c r="V67" s="109">
        <v>0</v>
      </c>
      <c r="W67" s="109">
        <v>0</v>
      </c>
      <c r="X67" s="109">
        <v>0</v>
      </c>
      <c r="Y67" s="109">
        <v>0</v>
      </c>
      <c r="Z67" s="109">
        <v>0</v>
      </c>
      <c r="AA67" s="109">
        <v>0</v>
      </c>
      <c r="AB67" s="109">
        <v>0</v>
      </c>
      <c r="AC67" s="109">
        <v>0</v>
      </c>
      <c r="AD67" s="109">
        <v>1932.8241</v>
      </c>
      <c r="AE67" s="109">
        <v>0</v>
      </c>
      <c r="AF67" s="109">
        <v>0</v>
      </c>
      <c r="AG67" s="109">
        <v>0</v>
      </c>
      <c r="AH67" s="109">
        <v>0</v>
      </c>
      <c r="AI67" s="109">
        <v>0</v>
      </c>
      <c r="AJ67" s="109">
        <v>0</v>
      </c>
      <c r="AK67" s="109">
        <v>0</v>
      </c>
      <c r="AL67" s="109">
        <v>0</v>
      </c>
      <c r="AM67" s="109">
        <v>315647.4817</v>
      </c>
      <c r="AN67" s="109">
        <v>85151.099199999997</v>
      </c>
      <c r="AO67" s="111"/>
      <c r="AP67" s="104">
        <f t="shared" si="4"/>
        <v>558964.76729999995</v>
      </c>
      <c r="AT67" t="str">
        <f t="shared" si="5"/>
        <v>Watonwan River</v>
      </c>
      <c r="AU67" s="113">
        <v>66</v>
      </c>
      <c r="AV67"/>
      <c r="AW67" s="113">
        <v>11</v>
      </c>
    </row>
    <row r="68" spans="1:49" ht="15" x14ac:dyDescent="0.25">
      <c r="A68" s="116" t="s">
        <v>290</v>
      </c>
      <c r="B68" s="109">
        <v>56.191299999999998</v>
      </c>
      <c r="C68" s="123">
        <v>0</v>
      </c>
      <c r="D68" s="109">
        <v>0</v>
      </c>
      <c r="E68" s="109">
        <v>0</v>
      </c>
      <c r="F68" s="109">
        <v>0</v>
      </c>
      <c r="G68" s="109">
        <v>0</v>
      </c>
      <c r="H68" s="109">
        <v>0</v>
      </c>
      <c r="I68" s="109">
        <v>0</v>
      </c>
      <c r="J68" s="109">
        <v>0</v>
      </c>
      <c r="K68" s="109">
        <v>195418.0307</v>
      </c>
      <c r="L68" s="109">
        <v>0</v>
      </c>
      <c r="M68" s="109">
        <v>130878.5221</v>
      </c>
      <c r="N68" s="109">
        <v>0</v>
      </c>
      <c r="O68" s="109">
        <v>172198.32509999999</v>
      </c>
      <c r="P68" s="109">
        <v>0</v>
      </c>
      <c r="Q68" s="109">
        <v>170980.3161</v>
      </c>
      <c r="R68" s="109">
        <v>0</v>
      </c>
      <c r="S68" s="109">
        <v>169819.5724</v>
      </c>
      <c r="T68" s="109">
        <v>0</v>
      </c>
      <c r="U68" s="109">
        <v>0</v>
      </c>
      <c r="V68" s="109">
        <v>0</v>
      </c>
      <c r="W68" s="109">
        <v>11037.2264</v>
      </c>
      <c r="X68" s="109">
        <v>0</v>
      </c>
      <c r="Y68" s="109">
        <v>0</v>
      </c>
      <c r="Z68" s="109">
        <v>0</v>
      </c>
      <c r="AA68" s="109">
        <v>0</v>
      </c>
      <c r="AB68" s="109">
        <v>64639.663200000003</v>
      </c>
      <c r="AC68" s="109">
        <v>0</v>
      </c>
      <c r="AD68" s="109">
        <v>0</v>
      </c>
      <c r="AE68" s="109">
        <v>0</v>
      </c>
      <c r="AF68" s="109">
        <v>0</v>
      </c>
      <c r="AG68" s="109">
        <v>0</v>
      </c>
      <c r="AH68" s="109">
        <v>0</v>
      </c>
      <c r="AI68" s="109">
        <v>0</v>
      </c>
      <c r="AJ68" s="109">
        <v>50325.9899</v>
      </c>
      <c r="AK68" s="109">
        <v>0</v>
      </c>
      <c r="AL68" s="109">
        <v>81715.544999999998</v>
      </c>
      <c r="AM68" s="109">
        <v>0</v>
      </c>
      <c r="AN68" s="109">
        <v>0</v>
      </c>
      <c r="AO68" s="111"/>
      <c r="AP68" s="104">
        <f t="shared" si="4"/>
        <v>1047069.3822</v>
      </c>
      <c r="AT68" t="str">
        <f t="shared" si="5"/>
        <v>Wild Rice River</v>
      </c>
      <c r="AU68" s="113">
        <v>67</v>
      </c>
      <c r="AV68"/>
      <c r="AW68" s="113">
        <v>61</v>
      </c>
    </row>
    <row r="69" spans="1:49" ht="15" x14ac:dyDescent="0.25">
      <c r="A69" s="116" t="s">
        <v>289</v>
      </c>
      <c r="B69" s="109">
        <v>14304.1875</v>
      </c>
      <c r="C69" s="123">
        <v>0</v>
      </c>
      <c r="D69" s="109">
        <v>0</v>
      </c>
      <c r="E69" s="109">
        <v>0</v>
      </c>
      <c r="F69" s="109">
        <v>0</v>
      </c>
      <c r="G69" s="109">
        <v>0</v>
      </c>
      <c r="H69" s="109">
        <v>0</v>
      </c>
      <c r="I69" s="109">
        <v>0</v>
      </c>
      <c r="J69" s="109">
        <v>0</v>
      </c>
      <c r="K69" s="109">
        <v>0</v>
      </c>
      <c r="L69" s="109">
        <v>0</v>
      </c>
      <c r="M69" s="109">
        <v>0</v>
      </c>
      <c r="N69" s="109">
        <v>0</v>
      </c>
      <c r="O69" s="109">
        <v>0</v>
      </c>
      <c r="P69" s="109">
        <v>0</v>
      </c>
      <c r="Q69" s="109">
        <v>0</v>
      </c>
      <c r="R69" s="109">
        <v>0</v>
      </c>
      <c r="S69" s="109">
        <v>0</v>
      </c>
      <c r="T69" s="109">
        <v>0</v>
      </c>
      <c r="U69" s="109">
        <v>0</v>
      </c>
      <c r="V69" s="109">
        <v>0</v>
      </c>
      <c r="W69" s="109">
        <v>0</v>
      </c>
      <c r="X69" s="109">
        <v>0</v>
      </c>
      <c r="Y69" s="109">
        <v>0</v>
      </c>
      <c r="Z69" s="109">
        <v>30656.798500000001</v>
      </c>
      <c r="AA69" s="109">
        <v>0</v>
      </c>
      <c r="AB69" s="109">
        <v>0</v>
      </c>
      <c r="AC69" s="109">
        <v>0</v>
      </c>
      <c r="AD69" s="109">
        <v>0</v>
      </c>
      <c r="AE69" s="109">
        <v>0</v>
      </c>
      <c r="AF69" s="109">
        <v>0</v>
      </c>
      <c r="AG69" s="109">
        <v>0</v>
      </c>
      <c r="AH69" s="109">
        <v>0</v>
      </c>
      <c r="AI69" s="109">
        <v>0</v>
      </c>
      <c r="AJ69" s="109">
        <v>0</v>
      </c>
      <c r="AK69" s="109">
        <v>0</v>
      </c>
      <c r="AL69" s="109">
        <v>0</v>
      </c>
      <c r="AM69" s="109">
        <v>0</v>
      </c>
      <c r="AN69" s="109">
        <v>0</v>
      </c>
      <c r="AO69" s="111"/>
      <c r="AP69" s="104">
        <f t="shared" si="4"/>
        <v>44960.986000000004</v>
      </c>
      <c r="AT69" t="str">
        <f t="shared" si="5"/>
        <v>Winnebago River</v>
      </c>
      <c r="AU69" s="113">
        <v>68</v>
      </c>
      <c r="AV69"/>
      <c r="AW69" s="113">
        <v>52</v>
      </c>
    </row>
    <row r="70" spans="1:49" ht="15" x14ac:dyDescent="0.25">
      <c r="A70" s="116" t="s">
        <v>288</v>
      </c>
      <c r="B70" s="109">
        <v>60062.336900000002</v>
      </c>
      <c r="C70" s="123">
        <v>0</v>
      </c>
      <c r="D70" s="109">
        <v>174879.61439999999</v>
      </c>
      <c r="E70" s="109">
        <v>0</v>
      </c>
      <c r="F70" s="109">
        <v>0</v>
      </c>
      <c r="G70" s="109">
        <v>0</v>
      </c>
      <c r="H70" s="109">
        <v>0</v>
      </c>
      <c r="I70" s="109">
        <v>0</v>
      </c>
      <c r="J70" s="109">
        <v>0</v>
      </c>
      <c r="K70" s="109">
        <v>0</v>
      </c>
      <c r="L70" s="109">
        <v>0</v>
      </c>
      <c r="M70" s="109">
        <v>0</v>
      </c>
      <c r="N70" s="109">
        <v>0</v>
      </c>
      <c r="O70" s="109">
        <v>0</v>
      </c>
      <c r="P70" s="109">
        <v>122552.62579999999</v>
      </c>
      <c r="Q70" s="109">
        <v>0</v>
      </c>
      <c r="R70" s="109">
        <v>0</v>
      </c>
      <c r="S70" s="109">
        <v>0</v>
      </c>
      <c r="T70" s="109">
        <v>0</v>
      </c>
      <c r="U70" s="109">
        <v>0</v>
      </c>
      <c r="V70" s="109">
        <v>0</v>
      </c>
      <c r="W70" s="109">
        <v>0</v>
      </c>
      <c r="X70" s="109">
        <v>0</v>
      </c>
      <c r="Y70" s="109">
        <v>311970.12719999999</v>
      </c>
      <c r="Z70" s="109">
        <v>30417.050899999998</v>
      </c>
      <c r="AA70" s="109">
        <v>0</v>
      </c>
      <c r="AB70" s="109">
        <v>0</v>
      </c>
      <c r="AC70" s="109">
        <v>0</v>
      </c>
      <c r="AD70" s="109">
        <v>0</v>
      </c>
      <c r="AE70" s="109">
        <v>0</v>
      </c>
      <c r="AF70" s="109">
        <v>0</v>
      </c>
      <c r="AG70" s="109">
        <v>19432.661</v>
      </c>
      <c r="AH70" s="109">
        <v>0</v>
      </c>
      <c r="AI70" s="109">
        <v>0</v>
      </c>
      <c r="AJ70" s="109">
        <v>0</v>
      </c>
      <c r="AK70" s="109">
        <v>190052.57500000001</v>
      </c>
      <c r="AL70" s="109">
        <v>0</v>
      </c>
      <c r="AM70" s="109">
        <v>0</v>
      </c>
      <c r="AN70" s="109">
        <v>0</v>
      </c>
      <c r="AO70" s="111"/>
      <c r="AP70" s="104">
        <f t="shared" si="4"/>
        <v>909366.99120000005</v>
      </c>
      <c r="AT70" t="str">
        <f t="shared" si="5"/>
        <v>Zumbro River</v>
      </c>
      <c r="AU70" s="113">
        <v>69</v>
      </c>
      <c r="AV70"/>
      <c r="AW70" s="113">
        <v>15</v>
      </c>
    </row>
    <row r="71" spans="1:49" ht="15" x14ac:dyDescent="0.25">
      <c r="A71" s="119" t="s">
        <v>287</v>
      </c>
      <c r="B71" s="565">
        <f t="shared" ref="B71:AN71" si="6">SUM(B72:B77)+B80+B81</f>
        <v>4459470.8698999994</v>
      </c>
      <c r="C71" s="565">
        <f t="shared" si="6"/>
        <v>889570.08089999994</v>
      </c>
      <c r="D71" s="565">
        <f t="shared" si="6"/>
        <v>1186680.1309</v>
      </c>
      <c r="E71" s="565">
        <f t="shared" si="6"/>
        <v>1821880.0741999999</v>
      </c>
      <c r="F71" s="565">
        <f t="shared" si="6"/>
        <v>1454343.4743000001</v>
      </c>
      <c r="G71" s="565">
        <f t="shared" si="6"/>
        <v>400154.80989999999</v>
      </c>
      <c r="H71" s="565">
        <f t="shared" si="6"/>
        <v>2321845.8750999998</v>
      </c>
      <c r="I71" s="565">
        <f t="shared" si="6"/>
        <v>2126000.0233999998</v>
      </c>
      <c r="J71" s="565">
        <f t="shared" si="6"/>
        <v>581275.94660000002</v>
      </c>
      <c r="K71" s="565">
        <f t="shared" si="6"/>
        <v>4925.0871999999999</v>
      </c>
      <c r="L71" s="565">
        <f t="shared" si="6"/>
        <v>212356</v>
      </c>
      <c r="M71" s="565">
        <f t="shared" si="6"/>
        <v>1962463.764</v>
      </c>
      <c r="N71" s="565">
        <f t="shared" si="6"/>
        <v>974238.72970000003</v>
      </c>
      <c r="O71" s="565">
        <f t="shared" si="6"/>
        <v>0</v>
      </c>
      <c r="P71" s="565">
        <f t="shared" si="6"/>
        <v>285874.31109999999</v>
      </c>
      <c r="Q71" s="565">
        <f t="shared" si="6"/>
        <v>0</v>
      </c>
      <c r="R71" s="565">
        <f t="shared" ref="R71" si="7">SUM(R72:R77)+R80+R81</f>
        <v>225788</v>
      </c>
      <c r="S71" s="565">
        <f t="shared" si="6"/>
        <v>1829956.5545999999</v>
      </c>
      <c r="T71" s="565">
        <f t="shared" si="6"/>
        <v>1088639.0316000001</v>
      </c>
      <c r="U71" s="565">
        <f t="shared" si="6"/>
        <v>0</v>
      </c>
      <c r="V71" s="565">
        <f t="shared" si="6"/>
        <v>80418.438900000008</v>
      </c>
      <c r="W71" s="565">
        <f t="shared" si="6"/>
        <v>14407.7209</v>
      </c>
      <c r="X71" s="565">
        <f t="shared" si="6"/>
        <v>0</v>
      </c>
      <c r="Y71" s="565">
        <f t="shared" si="6"/>
        <v>841415.56409999996</v>
      </c>
      <c r="Z71" s="565">
        <f t="shared" si="6"/>
        <v>2821959.3370000003</v>
      </c>
      <c r="AA71" s="565">
        <f t="shared" si="6"/>
        <v>1780168.7578</v>
      </c>
      <c r="AB71" s="565">
        <f t="shared" si="6"/>
        <v>1731811.3600999999</v>
      </c>
      <c r="AC71" s="565">
        <f t="shared" si="6"/>
        <v>643071.96830000007</v>
      </c>
      <c r="AD71" s="565">
        <f t="shared" si="6"/>
        <v>112716.5037</v>
      </c>
      <c r="AE71" s="565">
        <f t="shared" si="6"/>
        <v>208422.65530000001</v>
      </c>
      <c r="AF71" s="565">
        <f t="shared" si="6"/>
        <v>676114.48760000011</v>
      </c>
      <c r="AG71" s="565">
        <f t="shared" si="6"/>
        <v>84071.104699999996</v>
      </c>
      <c r="AH71" s="565">
        <f t="shared" si="6"/>
        <v>1736826.7049</v>
      </c>
      <c r="AI71" s="565">
        <f t="shared" si="6"/>
        <v>196962.8812</v>
      </c>
      <c r="AJ71" s="565">
        <f t="shared" si="6"/>
        <v>0</v>
      </c>
      <c r="AK71" s="565">
        <f t="shared" si="6"/>
        <v>629857.62620000006</v>
      </c>
      <c r="AL71" s="565">
        <f t="shared" si="6"/>
        <v>0</v>
      </c>
      <c r="AM71" s="565">
        <f t="shared" si="6"/>
        <v>929199.38829999999</v>
      </c>
      <c r="AN71" s="565">
        <f t="shared" si="6"/>
        <v>1108849.9942999999</v>
      </c>
      <c r="AO71" s="118">
        <v>1</v>
      </c>
      <c r="AP71" s="104">
        <f t="shared" si="4"/>
        <v>35421737.256700002</v>
      </c>
      <c r="AT71" t="str">
        <f t="shared" si="5"/>
        <v>Mississippi Basin overall</v>
      </c>
      <c r="AU71" s="113">
        <v>70</v>
      </c>
      <c r="AV71" s="112"/>
      <c r="AW71" s="112"/>
    </row>
    <row r="72" spans="1:49" ht="15" x14ac:dyDescent="0.25">
      <c r="A72" s="117" t="s">
        <v>286</v>
      </c>
      <c r="B72" s="109">
        <v>119949.3766</v>
      </c>
      <c r="C72" s="566">
        <v>0</v>
      </c>
      <c r="D72" s="109">
        <v>0</v>
      </c>
      <c r="E72" s="109">
        <v>0</v>
      </c>
      <c r="F72" s="109">
        <v>0</v>
      </c>
      <c r="G72" s="109">
        <v>0</v>
      </c>
      <c r="H72" s="109">
        <v>0</v>
      </c>
      <c r="I72" s="109">
        <v>0</v>
      </c>
      <c r="J72" s="109">
        <v>0</v>
      </c>
      <c r="K72" s="109">
        <v>0</v>
      </c>
      <c r="L72" s="109">
        <v>0</v>
      </c>
      <c r="M72" s="109">
        <v>0</v>
      </c>
      <c r="N72" s="109">
        <v>0</v>
      </c>
      <c r="O72" s="109">
        <v>0</v>
      </c>
      <c r="P72" s="109">
        <v>145441.6336</v>
      </c>
      <c r="Q72" s="109">
        <v>0</v>
      </c>
      <c r="R72" s="109">
        <v>0</v>
      </c>
      <c r="S72" s="109">
        <v>0</v>
      </c>
      <c r="T72" s="109">
        <v>0</v>
      </c>
      <c r="U72" s="109">
        <v>0</v>
      </c>
      <c r="V72" s="109">
        <v>0</v>
      </c>
      <c r="W72" s="109">
        <v>0</v>
      </c>
      <c r="X72" s="109">
        <v>0</v>
      </c>
      <c r="Y72" s="109">
        <v>0</v>
      </c>
      <c r="Z72" s="109">
        <v>287969.40779999999</v>
      </c>
      <c r="AA72" s="109">
        <v>0</v>
      </c>
      <c r="AB72" s="109">
        <v>0</v>
      </c>
      <c r="AC72" s="109">
        <v>0</v>
      </c>
      <c r="AD72" s="109">
        <v>0</v>
      </c>
      <c r="AE72" s="109">
        <v>0</v>
      </c>
      <c r="AF72" s="109">
        <v>0</v>
      </c>
      <c r="AG72" s="109">
        <v>0</v>
      </c>
      <c r="AH72" s="109">
        <v>0</v>
      </c>
      <c r="AI72" s="109">
        <v>0</v>
      </c>
      <c r="AJ72" s="109">
        <v>0</v>
      </c>
      <c r="AK72" s="109">
        <v>106628.29270000001</v>
      </c>
      <c r="AL72" s="109">
        <v>0</v>
      </c>
      <c r="AM72" s="109">
        <v>0</v>
      </c>
      <c r="AN72" s="109">
        <v>0</v>
      </c>
      <c r="AP72" s="114">
        <f t="shared" si="4"/>
        <v>659988.71070000005</v>
      </c>
      <c r="AT72" t="str">
        <f t="shared" si="5"/>
        <v>Cedar River Basin</v>
      </c>
      <c r="AU72" s="113">
        <v>71</v>
      </c>
      <c r="AV72" s="112"/>
      <c r="AW72" s="112"/>
    </row>
    <row r="73" spans="1:49" ht="15" x14ac:dyDescent="0.25">
      <c r="A73" s="116" t="s">
        <v>285</v>
      </c>
      <c r="B73" s="109">
        <v>0</v>
      </c>
      <c r="C73" s="566">
        <v>0</v>
      </c>
      <c r="D73" s="109">
        <v>0</v>
      </c>
      <c r="E73" s="109">
        <v>0</v>
      </c>
      <c r="F73" s="109">
        <v>457699.16519999999</v>
      </c>
      <c r="G73" s="109">
        <v>0</v>
      </c>
      <c r="H73" s="109">
        <v>0</v>
      </c>
      <c r="I73" s="109">
        <v>400075.55099999998</v>
      </c>
      <c r="J73" s="109">
        <v>0</v>
      </c>
      <c r="K73" s="109">
        <v>0</v>
      </c>
      <c r="L73" s="109">
        <v>0</v>
      </c>
      <c r="M73" s="109">
        <v>0</v>
      </c>
      <c r="N73" s="109">
        <v>43712.927600000003</v>
      </c>
      <c r="O73" s="109">
        <v>0</v>
      </c>
      <c r="P73" s="109">
        <v>0</v>
      </c>
      <c r="Q73" s="109">
        <v>0</v>
      </c>
      <c r="R73" s="109">
        <v>0</v>
      </c>
      <c r="S73" s="109">
        <v>0</v>
      </c>
      <c r="T73" s="109">
        <v>0</v>
      </c>
      <c r="U73" s="109">
        <v>0</v>
      </c>
      <c r="V73" s="109">
        <v>79228.282900000006</v>
      </c>
      <c r="W73" s="109">
        <v>0</v>
      </c>
      <c r="X73" s="109">
        <v>0</v>
      </c>
      <c r="Y73" s="109">
        <v>0</v>
      </c>
      <c r="Z73" s="109">
        <v>0</v>
      </c>
      <c r="AA73" s="109">
        <v>0</v>
      </c>
      <c r="AB73" s="109">
        <v>0</v>
      </c>
      <c r="AC73" s="109">
        <v>0</v>
      </c>
      <c r="AD73" s="109">
        <v>0</v>
      </c>
      <c r="AE73" s="109">
        <v>0</v>
      </c>
      <c r="AF73" s="109">
        <v>0</v>
      </c>
      <c r="AG73" s="109">
        <v>0</v>
      </c>
      <c r="AH73" s="109">
        <v>0</v>
      </c>
      <c r="AI73" s="109">
        <v>0</v>
      </c>
      <c r="AJ73" s="109">
        <v>0</v>
      </c>
      <c r="AK73" s="109">
        <v>0</v>
      </c>
      <c r="AL73" s="109">
        <v>0</v>
      </c>
      <c r="AM73" s="109">
        <v>2601.8584999999998</v>
      </c>
      <c r="AN73" s="109">
        <v>0</v>
      </c>
      <c r="AP73" s="114">
        <f t="shared" si="4"/>
        <v>983317.78519999993</v>
      </c>
      <c r="AT73" t="str">
        <f t="shared" si="5"/>
        <v>Des Moines River Basin</v>
      </c>
      <c r="AU73" s="113">
        <v>72</v>
      </c>
      <c r="AV73" s="112"/>
      <c r="AW73" s="112"/>
    </row>
    <row r="74" spans="1:49" ht="15" x14ac:dyDescent="0.25">
      <c r="A74" s="116" t="s">
        <v>284</v>
      </c>
      <c r="B74" s="109">
        <v>226320.69880000001</v>
      </c>
      <c r="C74" s="566">
        <v>0</v>
      </c>
      <c r="D74" s="109">
        <v>0</v>
      </c>
      <c r="E74" s="109">
        <v>23569.341400000001</v>
      </c>
      <c r="F74" s="109">
        <v>0</v>
      </c>
      <c r="G74" s="109">
        <v>400154.80989999999</v>
      </c>
      <c r="H74" s="109">
        <v>565.33630000000005</v>
      </c>
      <c r="I74" s="109">
        <v>0</v>
      </c>
      <c r="J74" s="109">
        <v>0</v>
      </c>
      <c r="K74" s="109">
        <v>0</v>
      </c>
      <c r="L74" s="109">
        <v>212356</v>
      </c>
      <c r="M74" s="109">
        <v>237768.35740000001</v>
      </c>
      <c r="N74" s="109">
        <v>0</v>
      </c>
      <c r="O74" s="109">
        <v>0</v>
      </c>
      <c r="P74" s="109">
        <v>0</v>
      </c>
      <c r="Q74" s="109">
        <v>0</v>
      </c>
      <c r="R74" s="109">
        <v>163877</v>
      </c>
      <c r="S74" s="109">
        <v>841740.31140000001</v>
      </c>
      <c r="T74" s="109">
        <v>1088343</v>
      </c>
      <c r="U74" s="109">
        <v>0</v>
      </c>
      <c r="V74" s="109">
        <v>0</v>
      </c>
      <c r="W74" s="109">
        <v>0</v>
      </c>
      <c r="X74" s="109">
        <v>0</v>
      </c>
      <c r="Y74" s="109">
        <v>0</v>
      </c>
      <c r="Z74" s="109">
        <v>0</v>
      </c>
      <c r="AA74" s="109">
        <v>733355.31310000003</v>
      </c>
      <c r="AB74" s="109">
        <v>0</v>
      </c>
      <c r="AC74" s="109">
        <v>789.55129999999997</v>
      </c>
      <c r="AD74" s="109">
        <v>0</v>
      </c>
      <c r="AE74" s="109">
        <v>0</v>
      </c>
      <c r="AF74" s="109">
        <v>0</v>
      </c>
      <c r="AG74" s="109">
        <v>0</v>
      </c>
      <c r="AH74" s="109">
        <v>0</v>
      </c>
      <c r="AI74" s="109">
        <v>0</v>
      </c>
      <c r="AJ74" s="109">
        <v>0</v>
      </c>
      <c r="AK74" s="109">
        <v>0</v>
      </c>
      <c r="AL74" s="109">
        <v>0</v>
      </c>
      <c r="AM74" s="109">
        <v>0</v>
      </c>
      <c r="AN74" s="109">
        <v>0</v>
      </c>
      <c r="AP74" s="114">
        <f t="shared" si="4"/>
        <v>3928839.7196</v>
      </c>
      <c r="AT74" t="str">
        <f t="shared" si="5"/>
        <v>Lake Superior Basin</v>
      </c>
      <c r="AU74" s="113">
        <v>73</v>
      </c>
      <c r="AV74" s="112"/>
      <c r="AW74" s="112"/>
    </row>
    <row r="75" spans="1:49" ht="15" x14ac:dyDescent="0.25">
      <c r="A75" s="116" t="s">
        <v>283</v>
      </c>
      <c r="B75" s="109">
        <v>497031.2561</v>
      </c>
      <c r="C75" s="566">
        <v>0</v>
      </c>
      <c r="D75" s="109">
        <v>1186680.1309</v>
      </c>
      <c r="E75" s="109">
        <v>0</v>
      </c>
      <c r="F75" s="109">
        <v>0</v>
      </c>
      <c r="G75" s="109">
        <v>0</v>
      </c>
      <c r="H75" s="109">
        <v>0</v>
      </c>
      <c r="I75" s="109">
        <v>0</v>
      </c>
      <c r="J75" s="109">
        <v>0</v>
      </c>
      <c r="K75" s="109">
        <v>0</v>
      </c>
      <c r="L75" s="109">
        <v>0</v>
      </c>
      <c r="M75" s="109">
        <v>0</v>
      </c>
      <c r="N75" s="109">
        <v>0</v>
      </c>
      <c r="O75" s="109">
        <v>0</v>
      </c>
      <c r="P75" s="109">
        <v>140432.67749999999</v>
      </c>
      <c r="Q75" s="109">
        <v>0</v>
      </c>
      <c r="R75" s="109">
        <v>0</v>
      </c>
      <c r="S75" s="109">
        <v>0</v>
      </c>
      <c r="T75" s="109">
        <v>0</v>
      </c>
      <c r="U75" s="109">
        <v>0</v>
      </c>
      <c r="V75" s="109">
        <v>0</v>
      </c>
      <c r="W75" s="109">
        <v>0</v>
      </c>
      <c r="X75" s="109">
        <v>0</v>
      </c>
      <c r="Y75" s="109">
        <v>841346.37459999998</v>
      </c>
      <c r="Z75" s="109">
        <v>737618.16090000002</v>
      </c>
      <c r="AA75" s="109">
        <v>0</v>
      </c>
      <c r="AB75" s="109">
        <v>0</v>
      </c>
      <c r="AC75" s="109">
        <v>0</v>
      </c>
      <c r="AD75" s="109">
        <v>0</v>
      </c>
      <c r="AE75" s="109">
        <v>0</v>
      </c>
      <c r="AF75" s="109">
        <v>6426.0739999999996</v>
      </c>
      <c r="AG75" s="109">
        <v>84071.104699999996</v>
      </c>
      <c r="AH75" s="109">
        <v>0</v>
      </c>
      <c r="AI75" s="109">
        <v>0</v>
      </c>
      <c r="AJ75" s="109">
        <v>0</v>
      </c>
      <c r="AK75" s="109">
        <v>523229.33350000001</v>
      </c>
      <c r="AL75" s="109">
        <v>0</v>
      </c>
      <c r="AM75" s="109">
        <v>0</v>
      </c>
      <c r="AN75" s="109">
        <v>0</v>
      </c>
      <c r="AP75" s="114">
        <f t="shared" si="4"/>
        <v>4016835.1122000003</v>
      </c>
      <c r="AT75" t="str">
        <f t="shared" si="5"/>
        <v>Lower Mississippi River Basin</v>
      </c>
      <c r="AU75" s="113">
        <v>74</v>
      </c>
      <c r="AV75" s="112"/>
      <c r="AW75" s="112"/>
    </row>
    <row r="76" spans="1:49" ht="15" x14ac:dyDescent="0.25">
      <c r="A76" s="115" t="s">
        <v>282</v>
      </c>
      <c r="B76" s="109">
        <v>651578.81660000002</v>
      </c>
      <c r="C76" s="566">
        <v>0</v>
      </c>
      <c r="D76" s="109">
        <v>0</v>
      </c>
      <c r="E76" s="109">
        <v>660.98609999999996</v>
      </c>
      <c r="F76" s="109">
        <v>847450.52060000005</v>
      </c>
      <c r="G76" s="109">
        <v>0</v>
      </c>
      <c r="H76" s="109">
        <v>0</v>
      </c>
      <c r="I76" s="109">
        <v>1664585.6525999999</v>
      </c>
      <c r="J76" s="109">
        <v>581275.94660000002</v>
      </c>
      <c r="K76" s="109">
        <v>4925.0871999999999</v>
      </c>
      <c r="L76" s="109">
        <v>0</v>
      </c>
      <c r="M76" s="109">
        <v>3936.9319</v>
      </c>
      <c r="N76" s="109">
        <v>2480.3173999999999</v>
      </c>
      <c r="O76" s="109">
        <v>0</v>
      </c>
      <c r="P76" s="109">
        <v>0</v>
      </c>
      <c r="Q76" s="109">
        <v>0</v>
      </c>
      <c r="R76" s="109">
        <v>0</v>
      </c>
      <c r="S76" s="109">
        <v>0</v>
      </c>
      <c r="T76" s="109">
        <v>0</v>
      </c>
      <c r="U76" s="109">
        <v>0</v>
      </c>
      <c r="V76" s="109">
        <v>0</v>
      </c>
      <c r="W76" s="109">
        <v>14407.7209</v>
      </c>
      <c r="X76" s="109">
        <v>0</v>
      </c>
      <c r="Y76" s="109">
        <v>69.189499999999995</v>
      </c>
      <c r="Z76" s="109">
        <v>758647.09920000006</v>
      </c>
      <c r="AA76" s="109">
        <v>0</v>
      </c>
      <c r="AB76" s="109">
        <v>812773.56779999996</v>
      </c>
      <c r="AC76" s="109">
        <v>0</v>
      </c>
      <c r="AD76" s="109">
        <v>112716.5037</v>
      </c>
      <c r="AE76" s="109">
        <v>208422.65530000001</v>
      </c>
      <c r="AF76" s="109">
        <v>320314.75530000002</v>
      </c>
      <c r="AG76" s="109">
        <v>0</v>
      </c>
      <c r="AH76" s="109">
        <v>1367226.1442</v>
      </c>
      <c r="AI76" s="109">
        <v>196962.8812</v>
      </c>
      <c r="AJ76" s="109">
        <v>0</v>
      </c>
      <c r="AK76" s="109">
        <v>0</v>
      </c>
      <c r="AL76" s="109">
        <v>0</v>
      </c>
      <c r="AM76" s="109">
        <v>926597.52980000002</v>
      </c>
      <c r="AN76" s="109">
        <v>1105748.5884</v>
      </c>
      <c r="AP76" s="114">
        <f t="shared" si="4"/>
        <v>9580780.8943000007</v>
      </c>
      <c r="AT76" t="str">
        <f t="shared" si="5"/>
        <v>Minnesota River Basin</v>
      </c>
      <c r="AU76" s="113">
        <v>75</v>
      </c>
      <c r="AV76" s="112"/>
      <c r="AW76" s="112"/>
    </row>
    <row r="77" spans="1:49" ht="15" x14ac:dyDescent="0.25">
      <c r="A77" s="115" t="s">
        <v>281</v>
      </c>
      <c r="B77" s="109">
        <v>0</v>
      </c>
      <c r="C77" s="566">
        <v>0</v>
      </c>
      <c r="D77" s="109">
        <v>0</v>
      </c>
      <c r="E77" s="109">
        <v>0</v>
      </c>
      <c r="F77" s="109">
        <v>149193.7885</v>
      </c>
      <c r="G77" s="109">
        <v>0</v>
      </c>
      <c r="H77" s="109">
        <v>0</v>
      </c>
      <c r="I77" s="109">
        <v>61338.819799999997</v>
      </c>
      <c r="J77" s="109">
        <v>0</v>
      </c>
      <c r="K77" s="109">
        <v>0</v>
      </c>
      <c r="L77" s="109">
        <v>0</v>
      </c>
      <c r="M77" s="109">
        <v>0</v>
      </c>
      <c r="N77" s="109">
        <v>928045.48470000003</v>
      </c>
      <c r="O77" s="109">
        <v>0</v>
      </c>
      <c r="P77" s="109">
        <v>0</v>
      </c>
      <c r="Q77" s="109">
        <v>0</v>
      </c>
      <c r="R77" s="109">
        <v>0</v>
      </c>
      <c r="S77" s="109">
        <v>0</v>
      </c>
      <c r="T77" s="109">
        <v>0</v>
      </c>
      <c r="U77" s="109">
        <v>0</v>
      </c>
      <c r="V77" s="109">
        <v>1190.1559999999999</v>
      </c>
      <c r="W77" s="109">
        <v>0</v>
      </c>
      <c r="X77" s="109">
        <v>0</v>
      </c>
      <c r="Y77" s="109">
        <v>0</v>
      </c>
      <c r="Z77" s="109">
        <v>0</v>
      </c>
      <c r="AA77" s="109">
        <v>0</v>
      </c>
      <c r="AB77" s="109">
        <v>0</v>
      </c>
      <c r="AC77" s="109">
        <v>0</v>
      </c>
      <c r="AD77" s="109">
        <v>0</v>
      </c>
      <c r="AE77" s="109">
        <v>0</v>
      </c>
      <c r="AF77" s="109">
        <v>0</v>
      </c>
      <c r="AG77" s="109">
        <v>0</v>
      </c>
      <c r="AH77" s="109">
        <v>0</v>
      </c>
      <c r="AI77" s="109">
        <v>0</v>
      </c>
      <c r="AJ77" s="109">
        <v>0</v>
      </c>
      <c r="AK77" s="109">
        <v>0</v>
      </c>
      <c r="AL77" s="109">
        <v>0</v>
      </c>
      <c r="AM77" s="109">
        <v>0</v>
      </c>
      <c r="AN77" s="109">
        <v>0</v>
      </c>
      <c r="AP77" s="114">
        <f t="shared" si="4"/>
        <v>1139768.2490000001</v>
      </c>
      <c r="AT77" t="str">
        <f t="shared" si="5"/>
        <v>Missouri River Basin</v>
      </c>
      <c r="AU77" s="113">
        <v>76</v>
      </c>
      <c r="AV77" s="112"/>
      <c r="AW77" s="112"/>
    </row>
    <row r="78" spans="1:49" ht="15" x14ac:dyDescent="0.25">
      <c r="A78" s="115" t="s">
        <v>280</v>
      </c>
      <c r="B78" s="109">
        <v>431089.09509999998</v>
      </c>
      <c r="C78" s="566">
        <v>0</v>
      </c>
      <c r="D78" s="109">
        <v>0</v>
      </c>
      <c r="E78" s="109">
        <v>0</v>
      </c>
      <c r="F78" s="109">
        <v>0</v>
      </c>
      <c r="G78" s="109">
        <v>2211805.89</v>
      </c>
      <c r="H78" s="109">
        <v>0</v>
      </c>
      <c r="I78" s="109">
        <v>0</v>
      </c>
      <c r="J78" s="109">
        <v>0</v>
      </c>
      <c r="K78" s="109">
        <v>0</v>
      </c>
      <c r="L78" s="109">
        <v>2043540.4761999999</v>
      </c>
      <c r="M78" s="109">
        <v>456285.43400000001</v>
      </c>
      <c r="N78" s="109">
        <v>0</v>
      </c>
      <c r="O78" s="109">
        <v>0</v>
      </c>
      <c r="P78" s="109">
        <v>0</v>
      </c>
      <c r="Q78" s="109">
        <v>0</v>
      </c>
      <c r="R78" s="109">
        <v>70191</v>
      </c>
      <c r="S78" s="109">
        <v>183386.39069999999</v>
      </c>
      <c r="T78" s="109">
        <v>13270</v>
      </c>
      <c r="U78" s="109">
        <v>1244834.1961000001</v>
      </c>
      <c r="V78" s="109">
        <v>0</v>
      </c>
      <c r="W78" s="109">
        <v>0</v>
      </c>
      <c r="X78" s="109">
        <v>47054.100299999998</v>
      </c>
      <c r="Y78" s="109">
        <v>0</v>
      </c>
      <c r="Z78" s="109">
        <v>0</v>
      </c>
      <c r="AA78" s="109">
        <v>519952.30349999998</v>
      </c>
      <c r="AB78" s="109">
        <v>0</v>
      </c>
      <c r="AC78" s="109">
        <v>0</v>
      </c>
      <c r="AD78" s="109">
        <v>0</v>
      </c>
      <c r="AE78" s="109">
        <v>0</v>
      </c>
      <c r="AF78" s="109">
        <v>0</v>
      </c>
      <c r="AG78" s="109">
        <v>0</v>
      </c>
      <c r="AH78" s="109">
        <v>0</v>
      </c>
      <c r="AI78" s="109">
        <v>0</v>
      </c>
      <c r="AJ78" s="109">
        <v>0</v>
      </c>
      <c r="AK78" s="109">
        <v>0</v>
      </c>
      <c r="AL78" s="109">
        <v>0</v>
      </c>
      <c r="AM78" s="109">
        <v>0</v>
      </c>
      <c r="AN78" s="109">
        <v>0</v>
      </c>
      <c r="AP78" s="114">
        <f t="shared" si="4"/>
        <v>7221408.885900002</v>
      </c>
      <c r="AT78" t="str">
        <f t="shared" si="5"/>
        <v>Rainy River Basin</v>
      </c>
      <c r="AU78" s="113">
        <v>77</v>
      </c>
      <c r="AV78" s="112"/>
      <c r="AW78" s="112"/>
    </row>
    <row r="79" spans="1:49" ht="15" x14ac:dyDescent="0.25">
      <c r="A79" s="115" t="s">
        <v>279</v>
      </c>
      <c r="B79" s="109">
        <v>8382.0604999999996</v>
      </c>
      <c r="C79" s="566">
        <v>0</v>
      </c>
      <c r="D79" s="109">
        <v>0</v>
      </c>
      <c r="E79" s="109">
        <v>0</v>
      </c>
      <c r="F79" s="109">
        <v>0</v>
      </c>
      <c r="G79" s="109">
        <v>0</v>
      </c>
      <c r="H79" s="109">
        <v>128.29329999999999</v>
      </c>
      <c r="I79" s="109">
        <v>0</v>
      </c>
      <c r="J79" s="109">
        <v>3320.4980999999998</v>
      </c>
      <c r="K79" s="109">
        <v>1074872.5941999999</v>
      </c>
      <c r="L79" s="109">
        <v>65.238399999999999</v>
      </c>
      <c r="M79" s="109">
        <v>722810.54200000002</v>
      </c>
      <c r="N79" s="109">
        <v>0</v>
      </c>
      <c r="O79" s="109">
        <v>1653500.4482</v>
      </c>
      <c r="P79" s="109">
        <v>0</v>
      </c>
      <c r="Q79" s="109">
        <v>246680.7764</v>
      </c>
      <c r="R79" s="109">
        <v>0</v>
      </c>
      <c r="S79" s="109">
        <v>746593.95640000002</v>
      </c>
      <c r="T79" s="109">
        <v>0</v>
      </c>
      <c r="U79" s="109">
        <v>895673.44449999998</v>
      </c>
      <c r="V79" s="109">
        <v>0</v>
      </c>
      <c r="W79" s="109">
        <v>640596.95730000001</v>
      </c>
      <c r="X79" s="109">
        <v>871020.88190000004</v>
      </c>
      <c r="Y79" s="109">
        <v>0</v>
      </c>
      <c r="Z79" s="109">
        <v>0</v>
      </c>
      <c r="AA79" s="109">
        <v>757520.33929999999</v>
      </c>
      <c r="AB79" s="109">
        <v>824729.79280000005</v>
      </c>
      <c r="AC79" s="109">
        <v>0</v>
      </c>
      <c r="AD79" s="109">
        <v>0</v>
      </c>
      <c r="AE79" s="109">
        <v>0</v>
      </c>
      <c r="AF79" s="109">
        <v>0</v>
      </c>
      <c r="AG79" s="109">
        <v>0</v>
      </c>
      <c r="AH79" s="109">
        <v>849.05110000000002</v>
      </c>
      <c r="AI79" s="109">
        <v>0</v>
      </c>
      <c r="AJ79" s="109">
        <v>869723.12520000001</v>
      </c>
      <c r="AK79" s="109">
        <v>0</v>
      </c>
      <c r="AL79" s="109">
        <v>1991555.9443999999</v>
      </c>
      <c r="AM79" s="109">
        <v>0</v>
      </c>
      <c r="AN79" s="109">
        <v>0</v>
      </c>
      <c r="AP79" s="114">
        <f t="shared" si="4"/>
        <v>11308023.944</v>
      </c>
      <c r="AT79" t="str">
        <f t="shared" si="5"/>
        <v>Red River of the North Basin</v>
      </c>
      <c r="AU79" s="113">
        <v>78</v>
      </c>
      <c r="AV79" s="112"/>
      <c r="AW79" s="112"/>
    </row>
    <row r="80" spans="1:49" ht="15" x14ac:dyDescent="0.25">
      <c r="A80" s="115" t="s">
        <v>278</v>
      </c>
      <c r="B80" s="109">
        <v>291998.54379999998</v>
      </c>
      <c r="C80" s="566">
        <v>139653.4382</v>
      </c>
      <c r="D80" s="109">
        <v>0</v>
      </c>
      <c r="E80" s="109">
        <v>1118414.5355</v>
      </c>
      <c r="F80" s="109">
        <v>0</v>
      </c>
      <c r="G80" s="109">
        <v>0</v>
      </c>
      <c r="H80" s="109">
        <v>428014.26380000002</v>
      </c>
      <c r="I80" s="109">
        <v>0</v>
      </c>
      <c r="J80" s="109">
        <v>0</v>
      </c>
      <c r="K80" s="109">
        <v>0</v>
      </c>
      <c r="L80" s="109">
        <v>0</v>
      </c>
      <c r="M80" s="109">
        <v>1088.4436000000001</v>
      </c>
      <c r="N80" s="109">
        <v>0</v>
      </c>
      <c r="O80" s="109">
        <v>0</v>
      </c>
      <c r="P80" s="109">
        <v>0</v>
      </c>
      <c r="Q80" s="109">
        <v>0</v>
      </c>
      <c r="R80" s="109">
        <v>0</v>
      </c>
      <c r="S80" s="109">
        <v>7474.5658000000003</v>
      </c>
      <c r="T80" s="109">
        <v>148.0316</v>
      </c>
      <c r="U80" s="109">
        <v>0</v>
      </c>
      <c r="V80" s="109">
        <v>0</v>
      </c>
      <c r="W80" s="109">
        <v>0</v>
      </c>
      <c r="X80" s="109">
        <v>0</v>
      </c>
      <c r="Y80" s="109">
        <v>0</v>
      </c>
      <c r="Z80" s="109">
        <v>0</v>
      </c>
      <c r="AA80" s="109">
        <v>17.4619</v>
      </c>
      <c r="AB80" s="109">
        <v>0</v>
      </c>
      <c r="AC80" s="109">
        <v>154161.93479999999</v>
      </c>
      <c r="AD80" s="109">
        <v>0</v>
      </c>
      <c r="AE80" s="109">
        <v>0</v>
      </c>
      <c r="AF80" s="109">
        <v>107113.8455</v>
      </c>
      <c r="AG80" s="109">
        <v>0</v>
      </c>
      <c r="AH80" s="109">
        <v>0</v>
      </c>
      <c r="AI80" s="109">
        <v>0</v>
      </c>
      <c r="AJ80" s="109">
        <v>0</v>
      </c>
      <c r="AK80" s="109">
        <v>0</v>
      </c>
      <c r="AL80" s="109">
        <v>0</v>
      </c>
      <c r="AM80" s="109">
        <v>0</v>
      </c>
      <c r="AN80" s="109">
        <v>0</v>
      </c>
      <c r="AP80" s="114">
        <f t="shared" si="4"/>
        <v>2248085.0645000003</v>
      </c>
      <c r="AT80" t="str">
        <f t="shared" si="5"/>
        <v>St.  Croix River Basin</v>
      </c>
      <c r="AU80" s="113">
        <v>79</v>
      </c>
      <c r="AV80" s="112"/>
      <c r="AW80" s="112"/>
    </row>
    <row r="81" spans="1:49" ht="15" x14ac:dyDescent="0.25">
      <c r="A81" s="115" t="s">
        <v>277</v>
      </c>
      <c r="B81" s="109">
        <v>2672592.1779999998</v>
      </c>
      <c r="C81" s="566">
        <v>749916.64269999997</v>
      </c>
      <c r="D81" s="109">
        <v>0</v>
      </c>
      <c r="E81" s="109">
        <v>679235.21120000002</v>
      </c>
      <c r="F81" s="109">
        <v>0</v>
      </c>
      <c r="G81" s="109">
        <v>0</v>
      </c>
      <c r="H81" s="109">
        <v>1893266.2749999999</v>
      </c>
      <c r="I81" s="109">
        <v>0</v>
      </c>
      <c r="J81" s="109">
        <v>0</v>
      </c>
      <c r="K81" s="109">
        <v>0</v>
      </c>
      <c r="L81" s="109">
        <v>0</v>
      </c>
      <c r="M81" s="109">
        <v>1719670.0311</v>
      </c>
      <c r="N81" s="109">
        <v>0</v>
      </c>
      <c r="O81" s="109">
        <v>0</v>
      </c>
      <c r="P81" s="109">
        <v>0</v>
      </c>
      <c r="Q81" s="109">
        <v>0</v>
      </c>
      <c r="R81" s="109">
        <v>61911</v>
      </c>
      <c r="S81" s="109">
        <v>980741.67740000004</v>
      </c>
      <c r="T81" s="109">
        <v>148</v>
      </c>
      <c r="U81" s="109">
        <v>0</v>
      </c>
      <c r="V81" s="109">
        <v>0</v>
      </c>
      <c r="W81" s="109">
        <v>0</v>
      </c>
      <c r="X81" s="109">
        <v>0</v>
      </c>
      <c r="Y81" s="109">
        <v>0</v>
      </c>
      <c r="Z81" s="109">
        <v>1037724.6691000001</v>
      </c>
      <c r="AA81" s="109">
        <v>1046795.9828</v>
      </c>
      <c r="AB81" s="109">
        <v>919037.79229999997</v>
      </c>
      <c r="AC81" s="109">
        <v>488120.48220000003</v>
      </c>
      <c r="AD81" s="109">
        <v>0</v>
      </c>
      <c r="AE81" s="109">
        <v>0</v>
      </c>
      <c r="AF81" s="109">
        <v>242259.81280000001</v>
      </c>
      <c r="AG81" s="109">
        <v>0</v>
      </c>
      <c r="AH81" s="109">
        <v>369600.56069999997</v>
      </c>
      <c r="AI81" s="109">
        <v>0</v>
      </c>
      <c r="AJ81" s="109">
        <v>0</v>
      </c>
      <c r="AK81" s="109">
        <v>0</v>
      </c>
      <c r="AL81" s="109">
        <v>0</v>
      </c>
      <c r="AM81" s="109">
        <v>0</v>
      </c>
      <c r="AN81" s="109">
        <v>3101.4059000000002</v>
      </c>
      <c r="AP81" s="114">
        <f t="shared" si="4"/>
        <v>12864121.721199999</v>
      </c>
      <c r="AT81" t="str">
        <f t="shared" si="5"/>
        <v>Upper Mississippi River Basin</v>
      </c>
      <c r="AU81" s="113">
        <v>80</v>
      </c>
      <c r="AV81" s="112"/>
      <c r="AW81" s="112"/>
    </row>
    <row r="82" spans="1:49" ht="15" x14ac:dyDescent="0.25">
      <c r="A82" s="110" t="s">
        <v>276</v>
      </c>
      <c r="B82" s="109">
        <f t="shared" ref="B82:AN82" si="8">SUM(B3:B70)</f>
        <v>4540964.2028999999</v>
      </c>
      <c r="C82" s="109">
        <f t="shared" si="8"/>
        <v>852283.84749999992</v>
      </c>
      <c r="D82" s="109">
        <f t="shared" si="8"/>
        <v>1186680.1310000001</v>
      </c>
      <c r="E82" s="109">
        <f t="shared" si="8"/>
        <v>1821880.2944999998</v>
      </c>
      <c r="F82" s="109">
        <f t="shared" si="8"/>
        <v>1454343.4743999999</v>
      </c>
      <c r="G82" s="109">
        <f t="shared" si="8"/>
        <v>85038.854000000007</v>
      </c>
      <c r="H82" s="109">
        <f t="shared" si="8"/>
        <v>2321408.8320999998</v>
      </c>
      <c r="I82" s="109">
        <f t="shared" si="8"/>
        <v>2126000.0233999998</v>
      </c>
      <c r="J82" s="109">
        <f t="shared" si="8"/>
        <v>584596.44470000011</v>
      </c>
      <c r="K82" s="109">
        <f t="shared" si="8"/>
        <v>1079797.6812999998</v>
      </c>
      <c r="L82" s="109">
        <f t="shared" si="8"/>
        <v>954467.3406</v>
      </c>
      <c r="M82" s="109">
        <f t="shared" si="8"/>
        <v>2131392.2691000002</v>
      </c>
      <c r="N82" s="109">
        <f t="shared" si="8"/>
        <v>974238.72980000009</v>
      </c>
      <c r="O82" s="109">
        <f t="shared" si="8"/>
        <v>1634553.1471000002</v>
      </c>
      <c r="P82" s="109">
        <f t="shared" si="8"/>
        <v>285874.31099999999</v>
      </c>
      <c r="Q82" s="109">
        <f t="shared" si="8"/>
        <v>246680.7764</v>
      </c>
      <c r="R82" s="109">
        <f t="shared" ref="R82" si="9">SUM(R3:R70)</f>
        <v>71371.217399999994</v>
      </c>
      <c r="S82" s="109">
        <f t="shared" si="8"/>
        <v>1396015.3676</v>
      </c>
      <c r="T82" s="109">
        <f t="shared" si="8"/>
        <v>1033306.2174000001</v>
      </c>
      <c r="U82" s="109">
        <f t="shared" si="8"/>
        <v>198459.6629</v>
      </c>
      <c r="V82" s="109">
        <f t="shared" si="8"/>
        <v>80418.438900000008</v>
      </c>
      <c r="W82" s="109">
        <f t="shared" si="8"/>
        <v>655004.67810000014</v>
      </c>
      <c r="X82" s="109">
        <f t="shared" si="8"/>
        <v>450207.40980000002</v>
      </c>
      <c r="Y82" s="109">
        <f t="shared" si="8"/>
        <v>841415.56420000002</v>
      </c>
      <c r="Z82" s="109">
        <f t="shared" si="8"/>
        <v>2821959.3369999998</v>
      </c>
      <c r="AA82" s="109">
        <f t="shared" si="8"/>
        <v>1325000.9715</v>
      </c>
      <c r="AB82" s="109">
        <f t="shared" si="8"/>
        <v>2556541.1527999993</v>
      </c>
      <c r="AC82" s="109">
        <f t="shared" si="8"/>
        <v>643066.43330000003</v>
      </c>
      <c r="AD82" s="109">
        <f t="shared" si="8"/>
        <v>112716.5036</v>
      </c>
      <c r="AE82" s="109">
        <f t="shared" si="8"/>
        <v>208422.65520000001</v>
      </c>
      <c r="AF82" s="109">
        <f t="shared" si="8"/>
        <v>676114.48749999993</v>
      </c>
      <c r="AG82" s="109">
        <f t="shared" si="8"/>
        <v>84071.104699999996</v>
      </c>
      <c r="AH82" s="109">
        <f t="shared" si="8"/>
        <v>1737675.7559000002</v>
      </c>
      <c r="AI82" s="109">
        <f t="shared" si="8"/>
        <v>196962.88120000003</v>
      </c>
      <c r="AJ82" s="109">
        <f t="shared" si="8"/>
        <v>869723.12520000001</v>
      </c>
      <c r="AK82" s="109">
        <f t="shared" si="8"/>
        <v>629857.62620000006</v>
      </c>
      <c r="AL82" s="109">
        <f t="shared" si="8"/>
        <v>1986484.2428000001</v>
      </c>
      <c r="AM82" s="109">
        <f t="shared" si="8"/>
        <v>929199.38839999994</v>
      </c>
      <c r="AN82" s="109">
        <f t="shared" si="8"/>
        <v>1108849.9943000001</v>
      </c>
      <c r="AO82" s="111"/>
      <c r="AP82" s="104">
        <f t="shared" si="4"/>
        <v>42893044.575700015</v>
      </c>
    </row>
    <row r="83" spans="1:49" ht="15" x14ac:dyDescent="0.25">
      <c r="A83" s="110" t="s">
        <v>275</v>
      </c>
      <c r="B83" s="109">
        <v>4898942.0256999992</v>
      </c>
      <c r="C83" s="123">
        <v>889570.0808</v>
      </c>
      <c r="D83" s="109">
        <v>1186680.1310000001</v>
      </c>
      <c r="E83" s="109">
        <v>1821880.2945000001</v>
      </c>
      <c r="F83" s="109">
        <v>1454343.4743999997</v>
      </c>
      <c r="G83" s="109">
        <v>2611960.7000000002</v>
      </c>
      <c r="H83" s="109">
        <v>2321974.1684000003</v>
      </c>
      <c r="I83" s="109">
        <v>2126000.0233999998</v>
      </c>
      <c r="J83" s="109">
        <v>584596.44469999999</v>
      </c>
      <c r="K83" s="109">
        <v>1079797.6813000001</v>
      </c>
      <c r="L83" s="109">
        <v>954467.3406</v>
      </c>
      <c r="M83" s="109">
        <v>3141559.7400000007</v>
      </c>
      <c r="N83" s="109">
        <v>974238.72979999997</v>
      </c>
      <c r="O83" s="109">
        <v>1653500.4481000002</v>
      </c>
      <c r="P83" s="109">
        <v>285874.31099999999</v>
      </c>
      <c r="Q83" s="109">
        <v>246680.7764</v>
      </c>
      <c r="R83" s="109">
        <v>285874.31099999999</v>
      </c>
      <c r="S83" s="109">
        <v>2759936.9018000006</v>
      </c>
      <c r="T83" s="109">
        <v>1033306.2174000001</v>
      </c>
      <c r="U83" s="109">
        <v>2140507.6406999999</v>
      </c>
      <c r="V83" s="109">
        <v>80418.438900000008</v>
      </c>
      <c r="W83" s="109">
        <v>655004.67810000014</v>
      </c>
      <c r="X83" s="109">
        <v>918074.98210000002</v>
      </c>
      <c r="Y83" s="109">
        <v>841415.56420000002</v>
      </c>
      <c r="Z83" s="109">
        <v>2821959.3370000003</v>
      </c>
      <c r="AA83" s="109">
        <v>3057641.4007999999</v>
      </c>
      <c r="AB83" s="109">
        <v>2556541.1527999993</v>
      </c>
      <c r="AC83" s="109">
        <v>643071.96830000007</v>
      </c>
      <c r="AD83" s="109">
        <v>112716.5036</v>
      </c>
      <c r="AE83" s="109">
        <v>208422.65519999998</v>
      </c>
      <c r="AF83" s="109">
        <v>676114.48750000005</v>
      </c>
      <c r="AG83" s="109">
        <v>84071.104699999996</v>
      </c>
      <c r="AH83" s="109">
        <v>1737675.7558999998</v>
      </c>
      <c r="AI83" s="109">
        <v>196962.8812</v>
      </c>
      <c r="AJ83" s="109">
        <v>869723.12519999989</v>
      </c>
      <c r="AK83" s="109">
        <v>629857.62620000006</v>
      </c>
      <c r="AL83" s="109">
        <v>1991555.9445000002</v>
      </c>
      <c r="AM83" s="109">
        <v>929199.38840000005</v>
      </c>
      <c r="AN83" s="109">
        <v>1108849.9942999999</v>
      </c>
      <c r="AP83" s="104">
        <f t="shared" si="4"/>
        <v>52570968.429900005</v>
      </c>
    </row>
    <row r="84" spans="1:49" x14ac:dyDescent="0.2">
      <c r="B84" s="542"/>
    </row>
    <row r="85" spans="1:49" customFormat="1" ht="15" x14ac:dyDescent="0.25">
      <c r="A85" t="s">
        <v>268</v>
      </c>
      <c r="B85" s="103">
        <v>2603757.7505914499</v>
      </c>
      <c r="C85" s="103">
        <v>415614.63265816681</v>
      </c>
      <c r="D85" s="103">
        <v>841571.16170250671</v>
      </c>
      <c r="E85" s="103">
        <v>980296.39409548696</v>
      </c>
      <c r="F85" s="103">
        <v>1110929.5617635157</v>
      </c>
      <c r="G85" s="103">
        <v>1424722.0492714706</v>
      </c>
      <c r="H85" s="103">
        <v>1124031.7098688679</v>
      </c>
      <c r="I85" s="103">
        <v>1804303.1477290755</v>
      </c>
      <c r="J85" s="103">
        <v>461641.0781419687</v>
      </c>
      <c r="K85" s="103">
        <v>874240.42753025994</v>
      </c>
      <c r="L85" s="103">
        <v>735363.59095057135</v>
      </c>
      <c r="M85" s="103">
        <v>2023402.6929532299</v>
      </c>
      <c r="N85" s="103">
        <v>783807.61595210398</v>
      </c>
      <c r="O85" s="103">
        <v>924350.91266707995</v>
      </c>
      <c r="P85" s="103">
        <v>246108.67655427169</v>
      </c>
      <c r="Q85" s="103">
        <v>252855.39356411604</v>
      </c>
      <c r="R85" s="103">
        <v>140367.37446449036</v>
      </c>
      <c r="S85" s="103">
        <v>1450936.48805233</v>
      </c>
      <c r="T85" s="103">
        <v>633113.20530916401</v>
      </c>
      <c r="U85" s="103">
        <v>165388.6152197539</v>
      </c>
      <c r="V85" s="103">
        <v>66010.065751592803</v>
      </c>
      <c r="W85" s="103">
        <v>541643.193510346</v>
      </c>
      <c r="X85" s="103">
        <v>168042.012432749</v>
      </c>
      <c r="Y85" s="103">
        <v>650564.0282915358</v>
      </c>
      <c r="Z85" s="103">
        <v>2002839.1044354094</v>
      </c>
      <c r="AA85" s="103">
        <v>919118.94750272785</v>
      </c>
      <c r="AB85" s="103">
        <v>1492935.3397794701</v>
      </c>
      <c r="AC85" s="103">
        <v>270959.21581080189</v>
      </c>
      <c r="AD85" s="103">
        <v>64334.161733142333</v>
      </c>
      <c r="AE85" s="103">
        <v>105323.0937105413</v>
      </c>
      <c r="AF85" s="103">
        <v>388376.077491473</v>
      </c>
      <c r="AG85" s="103">
        <v>58220.897392753162</v>
      </c>
      <c r="AH85" s="103">
        <v>1345254.6075805505</v>
      </c>
      <c r="AI85" s="103">
        <v>130858.50246580251</v>
      </c>
      <c r="AJ85" s="103">
        <v>581648.75148561213</v>
      </c>
      <c r="AK85" s="103">
        <v>548804.72822539613</v>
      </c>
      <c r="AL85" s="103">
        <v>1112026.37708075</v>
      </c>
      <c r="AM85" s="103">
        <v>799266.28928510821</v>
      </c>
      <c r="AN85" s="103">
        <v>950819.84266559267</v>
      </c>
      <c r="AP85" s="99">
        <f>SUM(B85:AN85)</f>
        <v>31193847.715671241</v>
      </c>
    </row>
    <row r="89" spans="1:49" ht="15" x14ac:dyDescent="0.25">
      <c r="A89" t="s">
        <v>972</v>
      </c>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9" ht="15" x14ac:dyDescent="0.25">
      <c r="A90" s="563" t="s">
        <v>973</v>
      </c>
      <c r="B90" s="564">
        <v>0</v>
      </c>
      <c r="C90" s="564">
        <v>0</v>
      </c>
      <c r="D90" s="564">
        <v>0</v>
      </c>
      <c r="E90" s="564">
        <v>0</v>
      </c>
      <c r="F90" s="564">
        <v>0</v>
      </c>
      <c r="G90" s="564">
        <v>340236.28899999999</v>
      </c>
      <c r="H90" s="564">
        <v>0</v>
      </c>
      <c r="I90" s="564">
        <v>0</v>
      </c>
      <c r="J90" s="564">
        <v>0</v>
      </c>
      <c r="K90" s="564">
        <v>0</v>
      </c>
      <c r="M90" s="564">
        <v>0</v>
      </c>
      <c r="N90" s="564">
        <v>0</v>
      </c>
      <c r="O90" s="564">
        <v>0</v>
      </c>
      <c r="P90" s="564">
        <v>0</v>
      </c>
      <c r="Q90" s="564">
        <v>0</v>
      </c>
      <c r="S90" s="564">
        <v>0</v>
      </c>
      <c r="U90" s="564">
        <v>0</v>
      </c>
      <c r="V90" s="564">
        <v>0</v>
      </c>
      <c r="W90" s="564">
        <v>0</v>
      </c>
      <c r="X90" s="564">
        <v>0</v>
      </c>
      <c r="Y90" s="564">
        <v>0</v>
      </c>
      <c r="Z90" s="564">
        <v>0</v>
      </c>
      <c r="AA90" s="564">
        <v>0</v>
      </c>
      <c r="AB90" s="564">
        <v>0</v>
      </c>
      <c r="AC90" s="564">
        <v>0</v>
      </c>
      <c r="AD90" s="564">
        <v>0</v>
      </c>
      <c r="AE90" s="564">
        <v>0</v>
      </c>
      <c r="AF90" s="564">
        <v>0</v>
      </c>
      <c r="AG90" s="564">
        <v>0</v>
      </c>
      <c r="AH90" s="564">
        <v>0</v>
      </c>
      <c r="AI90" s="564">
        <v>0</v>
      </c>
      <c r="AJ90" s="564">
        <v>0</v>
      </c>
      <c r="AK90" s="564">
        <v>0</v>
      </c>
      <c r="AL90" s="564">
        <v>0</v>
      </c>
      <c r="AM90" s="564">
        <v>0</v>
      </c>
      <c r="AN90" s="564">
        <v>0</v>
      </c>
      <c r="AO90" s="99"/>
      <c r="AP90" s="99">
        <f t="shared" ref="AP90:AP102" si="10">SUM(B90:AN90)</f>
        <v>340236.28899999999</v>
      </c>
    </row>
    <row r="91" spans="1:49" ht="15" x14ac:dyDescent="0.25">
      <c r="A91" s="563" t="s">
        <v>974</v>
      </c>
      <c r="B91" s="564">
        <v>44.528599999999997</v>
      </c>
      <c r="C91" s="564">
        <v>0</v>
      </c>
      <c r="D91" s="564">
        <v>0</v>
      </c>
      <c r="E91" s="564">
        <v>0</v>
      </c>
      <c r="F91" s="564">
        <v>0</v>
      </c>
      <c r="G91" s="564">
        <v>390558.94669999997</v>
      </c>
      <c r="H91" s="564">
        <v>0</v>
      </c>
      <c r="I91" s="564">
        <v>0</v>
      </c>
      <c r="J91" s="564">
        <v>0</v>
      </c>
      <c r="K91" s="564">
        <v>0</v>
      </c>
      <c r="M91" s="564">
        <v>103390.6789</v>
      </c>
      <c r="N91" s="564">
        <v>0</v>
      </c>
      <c r="O91" s="564">
        <v>0</v>
      </c>
      <c r="P91" s="564">
        <v>0</v>
      </c>
      <c r="Q91" s="564">
        <v>0</v>
      </c>
      <c r="S91" s="564">
        <v>1772.1652999999999</v>
      </c>
      <c r="U91" s="564">
        <v>0</v>
      </c>
      <c r="V91" s="564">
        <v>0</v>
      </c>
      <c r="W91" s="564">
        <v>0</v>
      </c>
      <c r="X91" s="564">
        <v>0</v>
      </c>
      <c r="Y91" s="564">
        <v>0</v>
      </c>
      <c r="Z91" s="564">
        <v>0</v>
      </c>
      <c r="AA91" s="564">
        <v>0</v>
      </c>
      <c r="AB91" s="564">
        <v>0</v>
      </c>
      <c r="AC91" s="564">
        <v>0</v>
      </c>
      <c r="AD91" s="564">
        <v>0</v>
      </c>
      <c r="AE91" s="564">
        <v>0</v>
      </c>
      <c r="AF91" s="564">
        <v>0</v>
      </c>
      <c r="AG91" s="564">
        <v>0</v>
      </c>
      <c r="AH91" s="564">
        <v>0</v>
      </c>
      <c r="AI91" s="564">
        <v>0</v>
      </c>
      <c r="AJ91" s="564">
        <v>0</v>
      </c>
      <c r="AK91" s="564">
        <v>0</v>
      </c>
      <c r="AL91" s="564">
        <v>0</v>
      </c>
      <c r="AM91" s="564">
        <v>0</v>
      </c>
      <c r="AN91" s="564">
        <v>0</v>
      </c>
      <c r="AO91" s="99"/>
      <c r="AP91" s="99">
        <f t="shared" si="10"/>
        <v>495766.31949999998</v>
      </c>
    </row>
    <row r="92" spans="1:49" ht="15" x14ac:dyDescent="0.25">
      <c r="A92" s="563" t="s">
        <v>975</v>
      </c>
      <c r="B92" s="564">
        <v>83510.738899999997</v>
      </c>
      <c r="C92" s="564">
        <v>0</v>
      </c>
      <c r="D92" s="564">
        <v>0</v>
      </c>
      <c r="E92" s="564">
        <v>0</v>
      </c>
      <c r="F92" s="564">
        <v>0</v>
      </c>
      <c r="G92" s="564">
        <v>1272160.9265000001</v>
      </c>
      <c r="H92" s="564">
        <v>0</v>
      </c>
      <c r="I92" s="564">
        <v>0</v>
      </c>
      <c r="J92" s="564">
        <v>0</v>
      </c>
      <c r="K92" s="564">
        <v>0</v>
      </c>
      <c r="M92" s="564">
        <v>99424.723899999997</v>
      </c>
      <c r="N92" s="564">
        <v>0</v>
      </c>
      <c r="O92" s="564">
        <v>0</v>
      </c>
      <c r="P92" s="564">
        <v>0</v>
      </c>
      <c r="Q92" s="564">
        <v>0</v>
      </c>
      <c r="R92" s="139">
        <v>43036.066700000003</v>
      </c>
      <c r="S92" s="564">
        <v>92973.603900000002</v>
      </c>
      <c r="U92" s="564">
        <v>0</v>
      </c>
      <c r="V92" s="564">
        <v>0</v>
      </c>
      <c r="W92" s="564">
        <v>0</v>
      </c>
      <c r="X92" s="564">
        <v>0</v>
      </c>
      <c r="Y92" s="564">
        <v>0</v>
      </c>
      <c r="Z92" s="564">
        <v>0</v>
      </c>
      <c r="AA92" s="564">
        <v>0</v>
      </c>
      <c r="AB92" s="564">
        <v>0</v>
      </c>
      <c r="AC92" s="564">
        <v>0</v>
      </c>
      <c r="AD92" s="564">
        <v>0</v>
      </c>
      <c r="AE92" s="564">
        <v>0</v>
      </c>
      <c r="AF92" s="564">
        <v>0</v>
      </c>
      <c r="AG92" s="564">
        <v>0</v>
      </c>
      <c r="AH92" s="564">
        <v>0</v>
      </c>
      <c r="AI92" s="564">
        <v>0</v>
      </c>
      <c r="AJ92" s="564">
        <v>0</v>
      </c>
      <c r="AK92" s="564">
        <v>0</v>
      </c>
      <c r="AL92" s="564">
        <v>0</v>
      </c>
      <c r="AM92" s="564">
        <v>0</v>
      </c>
      <c r="AN92" s="564">
        <v>0</v>
      </c>
      <c r="AO92" s="99"/>
      <c r="AP92" s="99">
        <f t="shared" si="10"/>
        <v>1591106.0599000002</v>
      </c>
    </row>
    <row r="93" spans="1:49" ht="15" x14ac:dyDescent="0.25">
      <c r="A93" s="563" t="s">
        <v>976</v>
      </c>
      <c r="B93" s="564">
        <v>78990.831900000005</v>
      </c>
      <c r="C93" s="564">
        <v>0</v>
      </c>
      <c r="D93" s="564">
        <v>0</v>
      </c>
      <c r="E93" s="564">
        <v>0</v>
      </c>
      <c r="F93" s="564">
        <v>0</v>
      </c>
      <c r="G93" s="564">
        <v>514488.43109999999</v>
      </c>
      <c r="H93" s="564">
        <v>0</v>
      </c>
      <c r="I93" s="564">
        <v>0</v>
      </c>
      <c r="J93" s="564">
        <v>0</v>
      </c>
      <c r="K93" s="564">
        <v>0</v>
      </c>
      <c r="M93" s="564">
        <v>14865.570400000001</v>
      </c>
      <c r="N93" s="564">
        <v>0</v>
      </c>
      <c r="O93" s="564">
        <v>0</v>
      </c>
      <c r="P93" s="564">
        <v>0</v>
      </c>
      <c r="Q93" s="564">
        <v>0</v>
      </c>
      <c r="R93" s="139">
        <v>17694.329300000001</v>
      </c>
      <c r="S93" s="564">
        <v>24.7897</v>
      </c>
      <c r="U93" s="564">
        <v>0</v>
      </c>
      <c r="V93" s="564">
        <v>0</v>
      </c>
      <c r="W93" s="564">
        <v>0</v>
      </c>
      <c r="X93" s="564">
        <v>0</v>
      </c>
      <c r="Y93" s="564">
        <v>0</v>
      </c>
      <c r="Z93" s="564">
        <v>0</v>
      </c>
      <c r="AA93" s="564">
        <v>0</v>
      </c>
      <c r="AB93" s="564">
        <v>0</v>
      </c>
      <c r="AC93" s="564">
        <v>0</v>
      </c>
      <c r="AD93" s="564">
        <v>0</v>
      </c>
      <c r="AE93" s="564">
        <v>0</v>
      </c>
      <c r="AF93" s="564">
        <v>0</v>
      </c>
      <c r="AG93" s="564">
        <v>0</v>
      </c>
      <c r="AH93" s="564">
        <v>0</v>
      </c>
      <c r="AI93" s="564">
        <v>0</v>
      </c>
      <c r="AJ93" s="564">
        <v>0</v>
      </c>
      <c r="AK93" s="564">
        <v>0</v>
      </c>
      <c r="AL93" s="564">
        <v>0</v>
      </c>
      <c r="AM93" s="564">
        <v>0</v>
      </c>
      <c r="AN93" s="564">
        <v>0</v>
      </c>
      <c r="AO93" s="99"/>
      <c r="AP93" s="99">
        <f t="shared" si="10"/>
        <v>626063.95239999995</v>
      </c>
    </row>
    <row r="94" spans="1:49" ht="15" x14ac:dyDescent="0.25">
      <c r="A94" s="563" t="s">
        <v>977</v>
      </c>
      <c r="B94" s="564">
        <v>63077.352400000003</v>
      </c>
      <c r="C94" s="564">
        <v>0</v>
      </c>
      <c r="D94" s="564">
        <v>0</v>
      </c>
      <c r="E94" s="564">
        <v>0</v>
      </c>
      <c r="F94" s="564">
        <v>0</v>
      </c>
      <c r="G94" s="564">
        <v>0</v>
      </c>
      <c r="H94" s="564">
        <v>0</v>
      </c>
      <c r="I94" s="564">
        <v>0</v>
      </c>
      <c r="J94" s="564">
        <v>0</v>
      </c>
      <c r="K94" s="564">
        <v>0</v>
      </c>
      <c r="M94" s="564">
        <v>218436.7066</v>
      </c>
      <c r="N94" s="564">
        <v>0</v>
      </c>
      <c r="O94" s="564">
        <v>0</v>
      </c>
      <c r="P94" s="564">
        <v>0</v>
      </c>
      <c r="Q94" s="564">
        <v>0</v>
      </c>
      <c r="S94" s="564">
        <v>90185.111999999994</v>
      </c>
      <c r="U94" s="564">
        <v>189943.1079</v>
      </c>
      <c r="V94" s="564">
        <v>0</v>
      </c>
      <c r="W94" s="564">
        <v>0</v>
      </c>
      <c r="X94" s="564">
        <v>45465.836499999998</v>
      </c>
      <c r="Y94" s="564">
        <v>0</v>
      </c>
      <c r="Z94" s="564">
        <v>0</v>
      </c>
      <c r="AA94" s="564">
        <v>120284.23540000001</v>
      </c>
      <c r="AB94" s="564">
        <v>0</v>
      </c>
      <c r="AC94" s="564">
        <v>0</v>
      </c>
      <c r="AD94" s="564">
        <v>0</v>
      </c>
      <c r="AE94" s="564">
        <v>0</v>
      </c>
      <c r="AF94" s="564">
        <v>0</v>
      </c>
      <c r="AG94" s="564">
        <v>0</v>
      </c>
      <c r="AH94" s="564">
        <v>0</v>
      </c>
      <c r="AI94" s="564">
        <v>0</v>
      </c>
      <c r="AJ94" s="564">
        <v>0</v>
      </c>
      <c r="AK94" s="564">
        <v>0</v>
      </c>
      <c r="AL94" s="564">
        <v>0</v>
      </c>
      <c r="AM94" s="564">
        <v>0</v>
      </c>
      <c r="AN94" s="564">
        <v>0</v>
      </c>
      <c r="AO94" s="99"/>
      <c r="AP94" s="99">
        <f t="shared" si="10"/>
        <v>727392.35080000001</v>
      </c>
    </row>
    <row r="95" spans="1:49" ht="15" x14ac:dyDescent="0.25">
      <c r="A95" s="563" t="s">
        <v>978</v>
      </c>
      <c r="B95" s="564">
        <v>0</v>
      </c>
      <c r="C95" s="564">
        <v>0</v>
      </c>
      <c r="D95" s="564">
        <v>0</v>
      </c>
      <c r="E95" s="564">
        <v>0</v>
      </c>
      <c r="F95" s="564">
        <v>0</v>
      </c>
      <c r="G95" s="564">
        <v>0</v>
      </c>
      <c r="H95" s="564">
        <v>0</v>
      </c>
      <c r="I95" s="564">
        <v>0</v>
      </c>
      <c r="J95" s="564">
        <v>0</v>
      </c>
      <c r="K95" s="564">
        <v>0</v>
      </c>
      <c r="M95" s="564">
        <v>0</v>
      </c>
      <c r="N95" s="564">
        <v>0</v>
      </c>
      <c r="O95" s="564">
        <v>0</v>
      </c>
      <c r="P95" s="564">
        <v>0</v>
      </c>
      <c r="Q95" s="564">
        <v>0</v>
      </c>
      <c r="S95" s="564">
        <v>0</v>
      </c>
      <c r="U95" s="564">
        <v>170706.35829999999</v>
      </c>
      <c r="V95" s="564">
        <v>0</v>
      </c>
      <c r="W95" s="564">
        <v>0</v>
      </c>
      <c r="X95" s="564">
        <v>0</v>
      </c>
      <c r="Y95" s="564">
        <v>0</v>
      </c>
      <c r="Z95" s="564">
        <v>0</v>
      </c>
      <c r="AA95" s="564">
        <v>399668.06809999997</v>
      </c>
      <c r="AB95" s="564">
        <v>0</v>
      </c>
      <c r="AC95" s="564">
        <v>0</v>
      </c>
      <c r="AD95" s="564">
        <v>0</v>
      </c>
      <c r="AE95" s="564">
        <v>0</v>
      </c>
      <c r="AF95" s="564">
        <v>0</v>
      </c>
      <c r="AG95" s="564">
        <v>0</v>
      </c>
      <c r="AH95" s="564">
        <v>0</v>
      </c>
      <c r="AI95" s="564">
        <v>0</v>
      </c>
      <c r="AJ95" s="564">
        <v>0</v>
      </c>
      <c r="AK95" s="564">
        <v>0</v>
      </c>
      <c r="AL95" s="564">
        <v>0</v>
      </c>
      <c r="AM95" s="564">
        <v>0</v>
      </c>
      <c r="AN95" s="564">
        <v>0</v>
      </c>
      <c r="AO95" s="99"/>
      <c r="AP95" s="99">
        <f t="shared" si="10"/>
        <v>570374.4264</v>
      </c>
    </row>
    <row r="96" spans="1:49" ht="15" x14ac:dyDescent="0.25">
      <c r="A96" s="563" t="s">
        <v>979</v>
      </c>
      <c r="B96" s="564">
        <v>26355.556400000001</v>
      </c>
      <c r="C96" s="564">
        <v>37286.2333</v>
      </c>
      <c r="D96" s="564">
        <v>0</v>
      </c>
      <c r="E96" s="564">
        <v>0</v>
      </c>
      <c r="F96" s="564">
        <v>0</v>
      </c>
      <c r="G96" s="564">
        <v>0</v>
      </c>
      <c r="H96" s="564">
        <v>0</v>
      </c>
      <c r="I96" s="564">
        <v>0</v>
      </c>
      <c r="J96" s="564">
        <v>0</v>
      </c>
      <c r="K96" s="564">
        <v>0</v>
      </c>
      <c r="M96" s="564">
        <v>399906.57539999997</v>
      </c>
      <c r="N96" s="564">
        <v>0</v>
      </c>
      <c r="O96" s="564">
        <v>0</v>
      </c>
      <c r="P96" s="564">
        <v>0</v>
      </c>
      <c r="Q96" s="564">
        <v>0</v>
      </c>
      <c r="S96" s="564">
        <v>288458.17879999999</v>
      </c>
      <c r="U96" s="564">
        <v>0</v>
      </c>
      <c r="V96" s="564">
        <v>0</v>
      </c>
      <c r="W96" s="564">
        <v>0</v>
      </c>
      <c r="X96" s="564">
        <v>0</v>
      </c>
      <c r="Y96" s="564">
        <v>0</v>
      </c>
      <c r="Z96" s="564">
        <v>0</v>
      </c>
      <c r="AA96" s="564">
        <v>105964.9336</v>
      </c>
      <c r="AB96" s="564">
        <v>0</v>
      </c>
      <c r="AC96" s="564">
        <v>0</v>
      </c>
      <c r="AD96" s="564">
        <v>0</v>
      </c>
      <c r="AE96" s="564">
        <v>0</v>
      </c>
      <c r="AF96" s="564">
        <v>0</v>
      </c>
      <c r="AG96" s="564">
        <v>0</v>
      </c>
      <c r="AH96" s="564">
        <v>0</v>
      </c>
      <c r="AI96" s="564">
        <v>0</v>
      </c>
      <c r="AJ96" s="564">
        <v>0</v>
      </c>
      <c r="AK96" s="564">
        <v>0</v>
      </c>
      <c r="AL96" s="564">
        <v>0</v>
      </c>
      <c r="AM96" s="564">
        <v>0</v>
      </c>
      <c r="AN96" s="564">
        <v>0</v>
      </c>
      <c r="AO96" s="99"/>
      <c r="AP96" s="99">
        <f t="shared" si="10"/>
        <v>857971.47749999992</v>
      </c>
    </row>
    <row r="97" spans="1:42" ht="15" x14ac:dyDescent="0.25">
      <c r="A97" s="563" t="s">
        <v>980</v>
      </c>
      <c r="B97" s="564">
        <v>0</v>
      </c>
      <c r="C97" s="564">
        <v>0</v>
      </c>
      <c r="D97" s="564">
        <v>0</v>
      </c>
      <c r="E97" s="564">
        <v>0</v>
      </c>
      <c r="F97" s="564">
        <v>0</v>
      </c>
      <c r="G97" s="564">
        <v>0</v>
      </c>
      <c r="H97" s="564">
        <v>0</v>
      </c>
      <c r="I97" s="564">
        <v>0</v>
      </c>
      <c r="J97" s="564">
        <v>0</v>
      </c>
      <c r="K97" s="564">
        <v>0</v>
      </c>
      <c r="M97" s="564">
        <v>0</v>
      </c>
      <c r="N97" s="564">
        <v>0</v>
      </c>
      <c r="O97" s="564">
        <v>0</v>
      </c>
      <c r="P97" s="564">
        <v>0</v>
      </c>
      <c r="Q97" s="564">
        <v>0</v>
      </c>
      <c r="S97" s="564">
        <v>0</v>
      </c>
      <c r="U97" s="564">
        <v>114066.12330000001</v>
      </c>
      <c r="V97" s="564">
        <v>0</v>
      </c>
      <c r="W97" s="564">
        <v>0</v>
      </c>
      <c r="X97" s="564">
        <v>0</v>
      </c>
      <c r="Y97" s="564">
        <v>0</v>
      </c>
      <c r="Z97" s="564">
        <v>0</v>
      </c>
      <c r="AA97" s="564">
        <v>0</v>
      </c>
      <c r="AB97" s="564">
        <v>0</v>
      </c>
      <c r="AC97" s="564">
        <v>0</v>
      </c>
      <c r="AD97" s="564">
        <v>0</v>
      </c>
      <c r="AE97" s="564">
        <v>0</v>
      </c>
      <c r="AF97" s="564">
        <v>0</v>
      </c>
      <c r="AG97" s="564">
        <v>0</v>
      </c>
      <c r="AH97" s="564">
        <v>0</v>
      </c>
      <c r="AI97" s="564">
        <v>0</v>
      </c>
      <c r="AJ97" s="564">
        <v>0</v>
      </c>
      <c r="AK97" s="564">
        <v>0</v>
      </c>
      <c r="AL97" s="564">
        <v>0</v>
      </c>
      <c r="AM97" s="564">
        <v>0</v>
      </c>
      <c r="AN97" s="564">
        <v>0</v>
      </c>
      <c r="AO97" s="99"/>
      <c r="AP97" s="99">
        <f t="shared" si="10"/>
        <v>114066.12330000001</v>
      </c>
    </row>
    <row r="98" spans="1:42" ht="15" x14ac:dyDescent="0.25">
      <c r="A98" s="563" t="s">
        <v>981</v>
      </c>
      <c r="B98" s="564">
        <v>0</v>
      </c>
      <c r="C98" s="564">
        <v>0</v>
      </c>
      <c r="D98" s="564">
        <v>0</v>
      </c>
      <c r="E98" s="564">
        <v>0</v>
      </c>
      <c r="F98" s="564">
        <v>0</v>
      </c>
      <c r="G98" s="564">
        <v>0</v>
      </c>
      <c r="H98" s="564">
        <v>0</v>
      </c>
      <c r="I98" s="564">
        <v>0</v>
      </c>
      <c r="J98" s="564">
        <v>0</v>
      </c>
      <c r="K98" s="564">
        <v>0</v>
      </c>
      <c r="M98" s="564">
        <v>0</v>
      </c>
      <c r="N98" s="564">
        <v>0</v>
      </c>
      <c r="O98" s="564">
        <v>0</v>
      </c>
      <c r="P98" s="564">
        <v>0</v>
      </c>
      <c r="Q98" s="564">
        <v>0</v>
      </c>
      <c r="S98" s="564">
        <v>0</v>
      </c>
      <c r="U98" s="564">
        <v>210857.39300000001</v>
      </c>
      <c r="V98" s="564">
        <v>0</v>
      </c>
      <c r="W98" s="564">
        <v>0</v>
      </c>
      <c r="X98" s="564">
        <v>0</v>
      </c>
      <c r="Y98" s="564">
        <v>0</v>
      </c>
      <c r="Z98" s="564">
        <v>0</v>
      </c>
      <c r="AA98" s="564">
        <v>0</v>
      </c>
      <c r="AB98" s="564">
        <v>0</v>
      </c>
      <c r="AC98" s="564">
        <v>0</v>
      </c>
      <c r="AD98" s="564">
        <v>0</v>
      </c>
      <c r="AE98" s="564">
        <v>0</v>
      </c>
      <c r="AF98" s="564">
        <v>0</v>
      </c>
      <c r="AG98" s="564">
        <v>0</v>
      </c>
      <c r="AH98" s="564">
        <v>0</v>
      </c>
      <c r="AI98" s="564">
        <v>0</v>
      </c>
      <c r="AJ98" s="564">
        <v>0</v>
      </c>
      <c r="AK98" s="564">
        <v>0</v>
      </c>
      <c r="AL98" s="564">
        <v>0</v>
      </c>
      <c r="AM98" s="564">
        <v>0</v>
      </c>
      <c r="AN98" s="564">
        <v>0</v>
      </c>
      <c r="AO98" s="99"/>
      <c r="AP98" s="99">
        <f t="shared" si="10"/>
        <v>210857.39300000001</v>
      </c>
    </row>
    <row r="99" spans="1:42" ht="15" x14ac:dyDescent="0.25">
      <c r="A99" s="563" t="s">
        <v>982</v>
      </c>
      <c r="B99" s="564">
        <v>0</v>
      </c>
      <c r="C99" s="564">
        <v>0</v>
      </c>
      <c r="D99" s="564">
        <v>0</v>
      </c>
      <c r="E99" s="564">
        <v>0</v>
      </c>
      <c r="F99" s="564">
        <v>0</v>
      </c>
      <c r="G99" s="564">
        <v>0</v>
      </c>
      <c r="H99" s="564">
        <v>0</v>
      </c>
      <c r="I99" s="564">
        <v>0</v>
      </c>
      <c r="J99" s="564">
        <v>0</v>
      </c>
      <c r="K99" s="564">
        <v>0</v>
      </c>
      <c r="M99" s="564">
        <v>0</v>
      </c>
      <c r="N99" s="564">
        <v>0</v>
      </c>
      <c r="O99" s="564">
        <v>0</v>
      </c>
      <c r="P99" s="564">
        <v>0</v>
      </c>
      <c r="Q99" s="564">
        <v>0</v>
      </c>
      <c r="S99" s="564">
        <v>0</v>
      </c>
      <c r="U99" s="564">
        <v>559261.21360000002</v>
      </c>
      <c r="V99" s="564">
        <v>0</v>
      </c>
      <c r="W99" s="564">
        <v>0</v>
      </c>
      <c r="X99" s="564">
        <v>1588.2637</v>
      </c>
      <c r="Y99" s="564">
        <v>0</v>
      </c>
      <c r="Z99" s="564">
        <v>0</v>
      </c>
      <c r="AA99" s="564">
        <v>0</v>
      </c>
      <c r="AB99" s="564">
        <v>0</v>
      </c>
      <c r="AC99" s="564">
        <v>0</v>
      </c>
      <c r="AD99" s="564">
        <v>0</v>
      </c>
      <c r="AE99" s="564">
        <v>0</v>
      </c>
      <c r="AF99" s="564">
        <v>0</v>
      </c>
      <c r="AG99" s="564">
        <v>0</v>
      </c>
      <c r="AH99" s="564">
        <v>0</v>
      </c>
      <c r="AI99" s="564">
        <v>0</v>
      </c>
      <c r="AJ99" s="564">
        <v>0</v>
      </c>
      <c r="AK99" s="564">
        <v>0</v>
      </c>
      <c r="AL99" s="564">
        <v>0</v>
      </c>
      <c r="AM99" s="564">
        <v>0</v>
      </c>
      <c r="AN99" s="564">
        <v>0</v>
      </c>
      <c r="AO99" s="99"/>
      <c r="AP99" s="99">
        <f t="shared" si="10"/>
        <v>560849.47730000003</v>
      </c>
    </row>
    <row r="100" spans="1:42" ht="15" x14ac:dyDescent="0.25">
      <c r="A100" s="563" t="s">
        <v>983</v>
      </c>
      <c r="B100" s="564">
        <v>0</v>
      </c>
      <c r="C100" s="564">
        <v>0</v>
      </c>
      <c r="D100" s="564">
        <v>0</v>
      </c>
      <c r="E100" s="564">
        <v>0</v>
      </c>
      <c r="F100" s="564">
        <v>0</v>
      </c>
      <c r="G100" s="564">
        <v>0</v>
      </c>
      <c r="H100" s="564">
        <v>0</v>
      </c>
      <c r="I100" s="564">
        <v>0</v>
      </c>
      <c r="J100" s="564">
        <v>0</v>
      </c>
      <c r="K100" s="564">
        <v>0</v>
      </c>
      <c r="M100" s="564">
        <v>0</v>
      </c>
      <c r="N100" s="564">
        <v>0</v>
      </c>
      <c r="O100" s="564">
        <v>18947.300999999999</v>
      </c>
      <c r="P100" s="564">
        <v>0</v>
      </c>
      <c r="Q100" s="564">
        <v>0</v>
      </c>
      <c r="S100" s="564">
        <v>0</v>
      </c>
      <c r="U100" s="564">
        <v>273708.23599999998</v>
      </c>
      <c r="V100" s="564">
        <v>0</v>
      </c>
      <c r="W100" s="564">
        <v>0</v>
      </c>
      <c r="X100" s="564">
        <v>0</v>
      </c>
      <c r="Y100" s="564">
        <v>0</v>
      </c>
      <c r="Z100" s="564">
        <v>0</v>
      </c>
      <c r="AA100" s="564">
        <v>381690.60279999999</v>
      </c>
      <c r="AB100" s="564">
        <v>0</v>
      </c>
      <c r="AC100" s="564">
        <v>0</v>
      </c>
      <c r="AD100" s="564">
        <v>0</v>
      </c>
      <c r="AE100" s="564">
        <v>0</v>
      </c>
      <c r="AF100" s="564">
        <v>0</v>
      </c>
      <c r="AG100" s="564">
        <v>0</v>
      </c>
      <c r="AH100" s="564">
        <v>0</v>
      </c>
      <c r="AI100" s="564">
        <v>0</v>
      </c>
      <c r="AJ100" s="564">
        <v>0</v>
      </c>
      <c r="AK100" s="564">
        <v>0</v>
      </c>
      <c r="AL100" s="564">
        <v>5071.7016999999996</v>
      </c>
      <c r="AM100" s="564">
        <v>0</v>
      </c>
      <c r="AN100" s="564">
        <v>0</v>
      </c>
      <c r="AO100" s="99"/>
      <c r="AP100" s="99">
        <f t="shared" si="10"/>
        <v>679417.84149999998</v>
      </c>
    </row>
    <row r="101" spans="1:42" ht="15" x14ac:dyDescent="0.25">
      <c r="A101" s="563" t="s">
        <v>984</v>
      </c>
      <c r="B101" s="564">
        <v>105998.8146</v>
      </c>
      <c r="C101" s="564">
        <v>0</v>
      </c>
      <c r="D101" s="564">
        <v>0</v>
      </c>
      <c r="E101" s="564">
        <v>0</v>
      </c>
      <c r="F101" s="564">
        <v>0</v>
      </c>
      <c r="G101" s="564">
        <v>9477.2526999999991</v>
      </c>
      <c r="H101" s="564">
        <v>565.33630000000005</v>
      </c>
      <c r="I101" s="564">
        <v>0</v>
      </c>
      <c r="J101" s="564">
        <v>0</v>
      </c>
      <c r="K101" s="564">
        <v>0</v>
      </c>
      <c r="M101" s="564">
        <v>58328.239699999998</v>
      </c>
      <c r="N101" s="564">
        <v>0</v>
      </c>
      <c r="O101" s="564">
        <v>0</v>
      </c>
      <c r="P101" s="564">
        <v>0</v>
      </c>
      <c r="Q101" s="564">
        <v>0</v>
      </c>
      <c r="R101" s="139">
        <v>163876.96780000001</v>
      </c>
      <c r="S101" s="564">
        <v>609016.08140000002</v>
      </c>
      <c r="U101" s="564">
        <v>0</v>
      </c>
      <c r="V101" s="564">
        <v>0</v>
      </c>
      <c r="W101" s="564">
        <v>0</v>
      </c>
      <c r="X101" s="564">
        <v>0</v>
      </c>
      <c r="Y101" s="564">
        <v>0</v>
      </c>
      <c r="Z101" s="564">
        <v>0</v>
      </c>
      <c r="AA101" s="564">
        <v>725032.58940000006</v>
      </c>
      <c r="AB101" s="564">
        <v>0</v>
      </c>
      <c r="AC101" s="564">
        <v>5.5350000000000001</v>
      </c>
      <c r="AD101" s="564">
        <v>0</v>
      </c>
      <c r="AE101" s="564">
        <v>0</v>
      </c>
      <c r="AF101" s="564">
        <v>0</v>
      </c>
      <c r="AG101" s="564">
        <v>0</v>
      </c>
      <c r="AH101" s="564">
        <v>0</v>
      </c>
      <c r="AI101" s="564">
        <v>0</v>
      </c>
      <c r="AJ101" s="564">
        <v>0</v>
      </c>
      <c r="AK101" s="564">
        <v>0</v>
      </c>
      <c r="AL101" s="564">
        <v>0</v>
      </c>
      <c r="AM101" s="564">
        <v>0</v>
      </c>
      <c r="AN101" s="564">
        <v>0</v>
      </c>
      <c r="AO101" s="99"/>
      <c r="AP101" s="99">
        <f t="shared" si="10"/>
        <v>1672300.8169</v>
      </c>
    </row>
    <row r="102" spans="1:42" ht="15" x14ac:dyDescent="0.25">
      <c r="A102" s="563" t="s">
        <v>985</v>
      </c>
      <c r="B102" s="564">
        <v>0</v>
      </c>
      <c r="C102" s="564">
        <v>0</v>
      </c>
      <c r="D102" s="564">
        <v>0</v>
      </c>
      <c r="E102" s="564">
        <v>0</v>
      </c>
      <c r="F102" s="564">
        <v>0</v>
      </c>
      <c r="G102" s="564">
        <v>0</v>
      </c>
      <c r="H102" s="564">
        <v>0</v>
      </c>
      <c r="I102" s="564">
        <v>0</v>
      </c>
      <c r="J102" s="564">
        <v>0</v>
      </c>
      <c r="K102" s="564">
        <v>0</v>
      </c>
      <c r="M102" s="564">
        <v>115814.976</v>
      </c>
      <c r="N102" s="564">
        <v>0</v>
      </c>
      <c r="O102" s="564">
        <v>0</v>
      </c>
      <c r="P102" s="564">
        <v>0</v>
      </c>
      <c r="Q102" s="564">
        <v>0</v>
      </c>
      <c r="S102" s="564">
        <v>281491.60310000001</v>
      </c>
      <c r="U102" s="564">
        <v>423505.54570000002</v>
      </c>
      <c r="V102" s="564">
        <v>0</v>
      </c>
      <c r="W102" s="564">
        <v>0</v>
      </c>
      <c r="X102" s="564">
        <v>420813.47210000001</v>
      </c>
      <c r="Y102" s="564">
        <v>0</v>
      </c>
      <c r="Z102" s="564">
        <v>0</v>
      </c>
      <c r="AA102" s="564">
        <v>0</v>
      </c>
      <c r="AB102" s="564">
        <v>0</v>
      </c>
      <c r="AC102" s="564">
        <v>0</v>
      </c>
      <c r="AD102" s="564">
        <v>0</v>
      </c>
      <c r="AE102" s="564">
        <v>0</v>
      </c>
      <c r="AF102" s="564">
        <v>0</v>
      </c>
      <c r="AG102" s="564">
        <v>0</v>
      </c>
      <c r="AH102" s="564">
        <v>0</v>
      </c>
      <c r="AI102" s="564">
        <v>0</v>
      </c>
      <c r="AJ102" s="564">
        <v>0</v>
      </c>
      <c r="AK102" s="564">
        <v>0</v>
      </c>
      <c r="AL102" s="564">
        <v>0</v>
      </c>
      <c r="AM102" s="564">
        <v>0</v>
      </c>
      <c r="AN102" s="564">
        <v>0</v>
      </c>
      <c r="AO102" s="99"/>
      <c r="AP102" s="99">
        <f t="shared" si="10"/>
        <v>1241625.5969</v>
      </c>
    </row>
  </sheetData>
  <sheetProtection algorithmName="SHA-512" hashValue="Z4N92DNvTclQ+tnXFR5iJ10UZaPv1Z2HbWm03ANSYNDsf4LfFYuNZYLr+RYFsc+tn0mzyUxRO4Mugl6FpfKGqg==" saltValue="nX/5gf204yyAOG/yzT+rhA==" spinCount="100000" sheet="1" objects="1" scenarios="1"/>
  <conditionalFormatting sqref="C3:C70 C72:C81 C83">
    <cfRule type="expression" dxfId="47" priority="44">
      <formula>#REF!=0</formula>
    </cfRule>
  </conditionalFormatting>
  <conditionalFormatting sqref="B5:B71 S5:S70 U5:AN70 M5:Q71 D5:K71 S71:AN71">
    <cfRule type="expression" dxfId="46" priority="43">
      <formula>#REF!=0</formula>
    </cfRule>
  </conditionalFormatting>
  <conditionalFormatting sqref="B83">
    <cfRule type="expression" dxfId="45" priority="42">
      <formula>#REF!=0</formula>
    </cfRule>
  </conditionalFormatting>
  <conditionalFormatting sqref="D83:Q83 S83:AN83">
    <cfRule type="expression" dxfId="44" priority="41">
      <formula>#REF!=0</formula>
    </cfRule>
  </conditionalFormatting>
  <conditionalFormatting sqref="B82">
    <cfRule type="expression" dxfId="43" priority="40">
      <formula>#REF!=0</formula>
    </cfRule>
  </conditionalFormatting>
  <conditionalFormatting sqref="B2:B4 M4:Q4 S4 U4:AN4 D4:K4 D2:AN2 D3:Q3 S3:AN3">
    <cfRule type="expression" dxfId="42" priority="29">
      <formula>#REF!=0</formula>
    </cfRule>
  </conditionalFormatting>
  <conditionalFormatting sqref="L4:L70">
    <cfRule type="expression" dxfId="41" priority="27">
      <formula>#REF!=0</formula>
    </cfRule>
  </conditionalFormatting>
  <conditionalFormatting sqref="L71">
    <cfRule type="expression" dxfId="40" priority="26">
      <formula>#REF!=0</formula>
    </cfRule>
  </conditionalFormatting>
  <conditionalFormatting sqref="T4:T70">
    <cfRule type="expression" dxfId="39" priority="24">
      <formula>#REF!=0</formula>
    </cfRule>
  </conditionalFormatting>
  <conditionalFormatting sqref="D82:Q82 S82:AN82">
    <cfRule type="expression" dxfId="38" priority="23">
      <formula>#REF!=0</formula>
    </cfRule>
  </conditionalFormatting>
  <conditionalFormatting sqref="C2">
    <cfRule type="expression" dxfId="37" priority="16">
      <formula>#REF!=0</formula>
    </cfRule>
  </conditionalFormatting>
  <conditionalFormatting sqref="C71">
    <cfRule type="expression" dxfId="36" priority="15">
      <formula>#REF!=0</formula>
    </cfRule>
  </conditionalFormatting>
  <conditionalFormatting sqref="C82">
    <cfRule type="expression" dxfId="35" priority="14">
      <formula>#REF!=0</formula>
    </cfRule>
  </conditionalFormatting>
  <conditionalFormatting sqref="B90:K102 M90:Q102 S90:S102 U90:AN102">
    <cfRule type="expression" dxfId="34" priority="10">
      <formula>#REF!=0</formula>
    </cfRule>
  </conditionalFormatting>
  <conditionalFormatting sqref="B1:K1 M1:Q1 S1 U1:AN1">
    <cfRule type="expression" dxfId="33" priority="9">
      <formula>#REF!=0</formula>
    </cfRule>
  </conditionalFormatting>
  <conditionalFormatting sqref="L1">
    <cfRule type="expression" dxfId="32" priority="8">
      <formula>#REF!=0</formula>
    </cfRule>
  </conditionalFormatting>
  <conditionalFormatting sqref="R1">
    <cfRule type="expression" dxfId="31" priority="7">
      <formula>#REF!=0</formula>
    </cfRule>
  </conditionalFormatting>
  <conditionalFormatting sqref="T1">
    <cfRule type="expression" dxfId="30" priority="6">
      <formula>#REF!=0</formula>
    </cfRule>
  </conditionalFormatting>
  <conditionalFormatting sqref="R71">
    <cfRule type="expression" dxfId="29" priority="5">
      <formula>#REF!=0</formula>
    </cfRule>
  </conditionalFormatting>
  <conditionalFormatting sqref="R83">
    <cfRule type="expression" dxfId="28" priority="4">
      <formula>#REF!=0</formula>
    </cfRule>
  </conditionalFormatting>
  <conditionalFormatting sqref="R3">
    <cfRule type="expression" dxfId="27" priority="3">
      <formula>#REF!=0</formula>
    </cfRule>
  </conditionalFormatting>
  <conditionalFormatting sqref="R4:R70">
    <cfRule type="expression" dxfId="26" priority="2">
      <formula>#REF!=0</formula>
    </cfRule>
  </conditionalFormatting>
  <conditionalFormatting sqref="R82">
    <cfRule type="expression" dxfId="25" priority="1">
      <formula>#REF!=0</formula>
    </cfRule>
  </conditionalFormatting>
  <pageMargins left="0.7" right="0.7" top="0.75" bottom="0.75" header="0.3" footer="0.3"/>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6"/>
  <dimension ref="A1:G65"/>
  <sheetViews>
    <sheetView topLeftCell="A9" workbookViewId="0">
      <selection activeCell="E21" sqref="E21"/>
    </sheetView>
  </sheetViews>
  <sheetFormatPr defaultRowHeight="15" x14ac:dyDescent="0.25"/>
  <cols>
    <col min="1" max="1" width="45.140625" customWidth="1"/>
    <col min="2" max="3" width="13.28515625" customWidth="1"/>
    <col min="4" max="5" width="11.5703125" customWidth="1"/>
    <col min="6" max="6" width="13.85546875" customWidth="1"/>
  </cols>
  <sheetData>
    <row r="1" spans="1:6" ht="37.5" customHeight="1" x14ac:dyDescent="0.25"/>
    <row r="2" spans="1:6" x14ac:dyDescent="0.25">
      <c r="A2" t="s">
        <v>800</v>
      </c>
    </row>
    <row r="3" spans="1:6" ht="90" x14ac:dyDescent="0.25">
      <c r="A3" s="459" t="s">
        <v>801</v>
      </c>
      <c r="B3" s="32" t="s">
        <v>1086</v>
      </c>
      <c r="C3" s="32" t="s">
        <v>1087</v>
      </c>
      <c r="D3" s="460"/>
      <c r="E3" s="32" t="s">
        <v>1124</v>
      </c>
      <c r="F3" s="32" t="s">
        <v>1125</v>
      </c>
    </row>
    <row r="4" spans="1:6" x14ac:dyDescent="0.25">
      <c r="A4" s="32" t="s">
        <v>802</v>
      </c>
      <c r="B4" s="461">
        <f ca="1">Main!$C$166</f>
        <v>0.1</v>
      </c>
      <c r="C4" s="465">
        <f ca="1">B4</f>
        <v>0.1</v>
      </c>
      <c r="E4" s="463">
        <f ca="1">Main!$C$167</f>
        <v>0.5</v>
      </c>
      <c r="F4" s="462">
        <f ca="1">Main!$C$167</f>
        <v>0.5</v>
      </c>
    </row>
    <row r="5" spans="1:6" ht="30" x14ac:dyDescent="0.25">
      <c r="A5" s="32" t="s">
        <v>1088</v>
      </c>
      <c r="B5" s="191">
        <v>1</v>
      </c>
      <c r="C5" s="191">
        <v>1</v>
      </c>
      <c r="E5" s="191">
        <v>1</v>
      </c>
      <c r="F5" s="191">
        <v>1</v>
      </c>
    </row>
    <row r="6" spans="1:6" x14ac:dyDescent="0.25">
      <c r="A6" s="32" t="s">
        <v>803</v>
      </c>
      <c r="B6" s="465"/>
      <c r="C6" s="465"/>
      <c r="E6" s="464"/>
      <c r="F6" s="191">
        <v>1</v>
      </c>
    </row>
    <row r="7" spans="1:6" x14ac:dyDescent="0.25">
      <c r="A7" s="32" t="s">
        <v>804</v>
      </c>
      <c r="B7" s="465"/>
      <c r="C7" s="465"/>
      <c r="E7" s="464"/>
      <c r="F7" s="191">
        <v>0</v>
      </c>
    </row>
    <row r="8" spans="1:6" x14ac:dyDescent="0.25">
      <c r="A8" s="32" t="s">
        <v>805</v>
      </c>
      <c r="B8" s="465"/>
      <c r="C8" s="465"/>
      <c r="E8" s="464"/>
      <c r="F8" s="191">
        <v>1</v>
      </c>
    </row>
    <row r="9" spans="1:6" x14ac:dyDescent="0.25">
      <c r="A9" s="32"/>
      <c r="B9" s="465"/>
      <c r="C9" s="465"/>
      <c r="E9" s="464"/>
      <c r="F9" s="464"/>
    </row>
    <row r="10" spans="1:6" x14ac:dyDescent="0.25">
      <c r="A10" s="32" t="s">
        <v>806</v>
      </c>
      <c r="B10" s="466">
        <f ca="1">B5*B4</f>
        <v>0.1</v>
      </c>
      <c r="C10" s="466">
        <f ca="1">C5*C4</f>
        <v>0.1</v>
      </c>
      <c r="E10" s="462">
        <f ca="1">E4*E5</f>
        <v>0.5</v>
      </c>
    </row>
    <row r="11" spans="1:6" x14ac:dyDescent="0.25">
      <c r="A11" s="467" t="s">
        <v>807</v>
      </c>
      <c r="B11" s="465"/>
      <c r="C11" s="465"/>
      <c r="F11" s="462">
        <f ca="1">F5*$F$4</f>
        <v>0.5</v>
      </c>
    </row>
    <row r="12" spans="1:6" x14ac:dyDescent="0.25">
      <c r="A12" s="467" t="s">
        <v>591</v>
      </c>
      <c r="B12" s="465"/>
      <c r="C12" s="465"/>
      <c r="E12" s="464"/>
      <c r="F12" s="462">
        <f ca="1">F6*$F$4</f>
        <v>0.5</v>
      </c>
    </row>
    <row r="13" spans="1:6" x14ac:dyDescent="0.25">
      <c r="A13" s="467" t="s">
        <v>808</v>
      </c>
      <c r="B13" s="465"/>
      <c r="C13" s="465"/>
      <c r="E13" s="464"/>
      <c r="F13" s="462">
        <f ca="1">F7*$F$4</f>
        <v>0</v>
      </c>
    </row>
    <row r="14" spans="1:6" x14ac:dyDescent="0.25">
      <c r="A14" s="467" t="s">
        <v>809</v>
      </c>
      <c r="B14" s="465"/>
      <c r="C14" s="465"/>
      <c r="E14" s="464"/>
      <c r="F14" s="462">
        <f ca="1">F8*$F$4</f>
        <v>0.5</v>
      </c>
    </row>
    <row r="15" spans="1:6" x14ac:dyDescent="0.25">
      <c r="F15" s="464"/>
    </row>
    <row r="16" spans="1:6" x14ac:dyDescent="0.25">
      <c r="A16" t="s">
        <v>810</v>
      </c>
      <c r="B16" s="213" t="s">
        <v>811</v>
      </c>
      <c r="C16" s="213" t="s">
        <v>811</v>
      </c>
      <c r="E16" s="213" t="s">
        <v>812</v>
      </c>
      <c r="F16" s="213" t="s">
        <v>812</v>
      </c>
    </row>
    <row r="17" spans="1:6" x14ac:dyDescent="0.25">
      <c r="A17" s="179" t="s">
        <v>813</v>
      </c>
    </row>
    <row r="18" spans="1:6" x14ac:dyDescent="0.25">
      <c r="A18" s="459" t="s">
        <v>814</v>
      </c>
      <c r="B18" s="213">
        <v>135.5</v>
      </c>
      <c r="C18" s="213">
        <v>135.5</v>
      </c>
      <c r="E18" s="213">
        <v>108.5</v>
      </c>
      <c r="F18" s="468">
        <f>E18</f>
        <v>108.5</v>
      </c>
    </row>
    <row r="19" spans="1:6" x14ac:dyDescent="0.25">
      <c r="A19" t="s">
        <v>815</v>
      </c>
      <c r="B19" s="469">
        <v>0.28999999999999998</v>
      </c>
      <c r="C19" s="628">
        <f>B19</f>
        <v>0.28999999999999998</v>
      </c>
      <c r="E19" s="470">
        <f>B19</f>
        <v>0.28999999999999998</v>
      </c>
      <c r="F19" s="470">
        <f>B19</f>
        <v>0.28999999999999998</v>
      </c>
    </row>
    <row r="20" spans="1:6" x14ac:dyDescent="0.25">
      <c r="A20" t="s">
        <v>816</v>
      </c>
      <c r="B20" s="471">
        <f>B18*B19</f>
        <v>39.294999999999995</v>
      </c>
      <c r="C20" s="470">
        <f>C18*C19</f>
        <v>39.294999999999995</v>
      </c>
      <c r="E20" s="470">
        <f>E18*E19</f>
        <v>31.464999999999996</v>
      </c>
      <c r="F20" s="470">
        <f>F18*F19</f>
        <v>31.464999999999996</v>
      </c>
    </row>
    <row r="21" spans="1:6" x14ac:dyDescent="0.25">
      <c r="A21" t="s">
        <v>817</v>
      </c>
      <c r="B21" s="472">
        <v>25</v>
      </c>
      <c r="C21" s="472">
        <v>25</v>
      </c>
      <c r="E21" s="473">
        <v>25</v>
      </c>
      <c r="F21" s="474">
        <f>E21</f>
        <v>25</v>
      </c>
    </row>
    <row r="22" spans="1:6" x14ac:dyDescent="0.25">
      <c r="B22" s="475"/>
      <c r="D22" s="10"/>
    </row>
    <row r="23" spans="1:6" x14ac:dyDescent="0.25">
      <c r="A23" s="32" t="s">
        <v>818</v>
      </c>
      <c r="B23" s="191">
        <v>0.2</v>
      </c>
      <c r="C23" s="476">
        <v>0.2</v>
      </c>
      <c r="E23" s="476">
        <v>0.9</v>
      </c>
      <c r="F23" s="476">
        <v>0.9</v>
      </c>
    </row>
    <row r="24" spans="1:6" x14ac:dyDescent="0.25">
      <c r="A24" s="179" t="s">
        <v>819</v>
      </c>
      <c r="B24" s="475"/>
      <c r="D24" s="10"/>
    </row>
    <row r="25" spans="1:6" x14ac:dyDescent="0.25">
      <c r="A25" t="s">
        <v>820</v>
      </c>
      <c r="B25" s="472">
        <v>7</v>
      </c>
      <c r="C25" s="472">
        <v>7</v>
      </c>
      <c r="D25" t="s">
        <v>821</v>
      </c>
      <c r="E25" s="477">
        <f>B25</f>
        <v>7</v>
      </c>
      <c r="F25" s="477">
        <f>B25</f>
        <v>7</v>
      </c>
    </row>
    <row r="26" spans="1:6" x14ac:dyDescent="0.25">
      <c r="A26" t="s">
        <v>822</v>
      </c>
      <c r="B26" s="472">
        <v>3.6</v>
      </c>
      <c r="C26" s="472">
        <v>3.6</v>
      </c>
      <c r="D26" t="s">
        <v>823</v>
      </c>
      <c r="E26" s="477">
        <f>B26</f>
        <v>3.6</v>
      </c>
      <c r="F26" s="477">
        <f>B26</f>
        <v>3.6</v>
      </c>
    </row>
    <row r="27" spans="1:6" s="190" customFormat="1" ht="96" customHeight="1" x14ac:dyDescent="0.25">
      <c r="B27"/>
      <c r="C27"/>
      <c r="E27" s="868"/>
      <c r="F27" s="868"/>
    </row>
    <row r="28" spans="1:6" x14ac:dyDescent="0.25">
      <c r="A28" t="s">
        <v>824</v>
      </c>
      <c r="B28" s="478">
        <v>0</v>
      </c>
      <c r="C28" s="478">
        <v>0</v>
      </c>
      <c r="D28" s="479" t="s">
        <v>825</v>
      </c>
      <c r="E28" s="478">
        <v>0</v>
      </c>
      <c r="F28" s="478">
        <v>0</v>
      </c>
    </row>
    <row r="29" spans="1:6" ht="30" x14ac:dyDescent="0.25">
      <c r="A29" s="32" t="s">
        <v>826</v>
      </c>
      <c r="B29" s="472">
        <v>40</v>
      </c>
      <c r="C29" s="472">
        <f>B29</f>
        <v>40</v>
      </c>
      <c r="E29" s="472">
        <v>40</v>
      </c>
      <c r="F29" s="472">
        <v>40</v>
      </c>
    </row>
    <row r="30" spans="1:6" x14ac:dyDescent="0.25">
      <c r="A30" t="s">
        <v>827</v>
      </c>
      <c r="B30" s="472">
        <v>60</v>
      </c>
      <c r="C30" s="472">
        <v>60</v>
      </c>
      <c r="E30" s="472">
        <v>60</v>
      </c>
      <c r="F30" s="472">
        <v>60</v>
      </c>
    </row>
    <row r="31" spans="1:6" x14ac:dyDescent="0.25">
      <c r="A31" t="s">
        <v>828</v>
      </c>
      <c r="B31" s="480">
        <f>-B28*(B30-B29)</f>
        <v>0</v>
      </c>
      <c r="C31" s="480">
        <f>-C28*(C30-C29)</f>
        <v>0</v>
      </c>
      <c r="E31" s="480">
        <f>-E28*(E30-E29)</f>
        <v>0</v>
      </c>
      <c r="F31" s="480">
        <f>-F28*(F30-F29)</f>
        <v>0</v>
      </c>
    </row>
    <row r="33" spans="1:7" x14ac:dyDescent="0.25">
      <c r="A33" t="s">
        <v>1951</v>
      </c>
      <c r="B33" s="480">
        <f>B31+B25+B26</f>
        <v>10.6</v>
      </c>
      <c r="C33" s="480">
        <f>C31+C25+C26</f>
        <v>10.6</v>
      </c>
      <c r="E33" s="480">
        <f>E31+E25+E26</f>
        <v>10.6</v>
      </c>
      <c r="F33" s="480">
        <f>F31+F25+F26</f>
        <v>10.6</v>
      </c>
    </row>
    <row r="34" spans="1:7" ht="30.75" x14ac:dyDescent="0.3">
      <c r="A34" s="869" t="s">
        <v>1952</v>
      </c>
      <c r="B34" s="870">
        <f>B33*B23+B20+B21</f>
        <v>66.414999999999992</v>
      </c>
      <c r="C34" s="870">
        <f>C33*C23+C20+C21</f>
        <v>66.414999999999992</v>
      </c>
      <c r="D34" s="871"/>
      <c r="E34" s="870">
        <f>E33*E23+E20+E21</f>
        <v>66.004999999999995</v>
      </c>
      <c r="F34" s="870">
        <f>F33*F23+F20+F21</f>
        <v>66.004999999999995</v>
      </c>
    </row>
    <row r="35" spans="1:7" x14ac:dyDescent="0.25">
      <c r="A35" s="32" t="s">
        <v>848</v>
      </c>
      <c r="B35" s="501">
        <v>0.3</v>
      </c>
      <c r="C35" s="481">
        <v>0.3</v>
      </c>
      <c r="E35" s="481">
        <v>0.25</v>
      </c>
      <c r="F35" s="481">
        <v>0.3</v>
      </c>
      <c r="G35" t="s">
        <v>1960</v>
      </c>
    </row>
    <row r="36" spans="1:7" ht="30" x14ac:dyDescent="0.25">
      <c r="A36" s="32" t="s">
        <v>1089</v>
      </c>
      <c r="B36" s="7">
        <f>B35*B$23</f>
        <v>0.06</v>
      </c>
      <c r="C36" s="7">
        <f>C35*C$23</f>
        <v>0.06</v>
      </c>
      <c r="E36" s="7">
        <f>E35*E$23</f>
        <v>0.22500000000000001</v>
      </c>
      <c r="F36" s="7">
        <f>F35*F$23</f>
        <v>0.27</v>
      </c>
    </row>
    <row r="38" spans="1:7" x14ac:dyDescent="0.25">
      <c r="A38" s="35" t="s">
        <v>829</v>
      </c>
    </row>
    <row r="39" spans="1:7" x14ac:dyDescent="0.25">
      <c r="A39" s="35" t="s">
        <v>830</v>
      </c>
      <c r="B39" s="191">
        <v>0</v>
      </c>
      <c r="C39" s="191">
        <v>0</v>
      </c>
      <c r="E39" s="191">
        <v>0</v>
      </c>
      <c r="F39" s="191">
        <v>0</v>
      </c>
    </row>
    <row r="40" spans="1:7" x14ac:dyDescent="0.25">
      <c r="A40" s="35" t="s">
        <v>831</v>
      </c>
      <c r="B40" s="191">
        <v>0.06</v>
      </c>
      <c r="C40" s="191">
        <v>0.06</v>
      </c>
      <c r="E40" s="191">
        <v>0.06</v>
      </c>
      <c r="F40" s="191">
        <v>0.06</v>
      </c>
    </row>
    <row r="41" spans="1:7" x14ac:dyDescent="0.25">
      <c r="A41" s="35" t="s">
        <v>447</v>
      </c>
      <c r="B41" s="191">
        <v>0</v>
      </c>
      <c r="C41" s="191">
        <v>0</v>
      </c>
      <c r="E41" s="191">
        <v>0</v>
      </c>
      <c r="F41" s="191">
        <v>0</v>
      </c>
    </row>
    <row r="42" spans="1:7" x14ac:dyDescent="0.25">
      <c r="A42" s="35" t="s">
        <v>832</v>
      </c>
      <c r="B42">
        <f>fertlink</f>
        <v>1</v>
      </c>
      <c r="C42">
        <f>fertlink</f>
        <v>1</v>
      </c>
      <c r="E42">
        <f>fertlink</f>
        <v>1</v>
      </c>
      <c r="F42">
        <f>fertlink</f>
        <v>1</v>
      </c>
    </row>
    <row r="43" spans="1:7" x14ac:dyDescent="0.25">
      <c r="A43" s="35" t="s">
        <v>564</v>
      </c>
      <c r="B43" s="225">
        <f>INDEX(B39:B41,B42)</f>
        <v>0</v>
      </c>
      <c r="C43" s="225">
        <f>INDEX(C39:C41,C42)</f>
        <v>0</v>
      </c>
      <c r="E43" s="225">
        <f>INDEX(E39:E41,E42)</f>
        <v>0</v>
      </c>
      <c r="F43" s="225">
        <f>INDEX(F39:F41,F42)</f>
        <v>0</v>
      </c>
    </row>
    <row r="44" spans="1:7" x14ac:dyDescent="0.25">
      <c r="B44" t="str">
        <f>INDEX(Main!$N$253:$N$255,B42)</f>
        <v>Average weather</v>
      </c>
    </row>
    <row r="46" spans="1:7" x14ac:dyDescent="0.25">
      <c r="A46" t="s">
        <v>550</v>
      </c>
      <c r="B46" s="99">
        <f ca="1">Watersheds!AP31*B10</f>
        <v>758386.66070873989</v>
      </c>
      <c r="C46" s="99">
        <f ca="1">Watersheds!AP32*C10</f>
        <v>711189.06677672698</v>
      </c>
      <c r="E46" s="99">
        <f ca="1">Watersheds!AP34*Main!$C$167</f>
        <v>225670.27056674959</v>
      </c>
      <c r="F46" s="99">
        <f ca="1">Watersheds!AP35*Main!$C$167</f>
        <v>1162374.1286665886</v>
      </c>
    </row>
    <row r="47" spans="1:7" x14ac:dyDescent="0.25">
      <c r="A47" t="s">
        <v>549</v>
      </c>
      <c r="B47" s="171">
        <f ca="1">B34*B46</f>
        <v>50368250.070970953</v>
      </c>
      <c r="C47" s="171">
        <f ca="1">C34*C46</f>
        <v>47233621.869976319</v>
      </c>
      <c r="F47" s="171">
        <f ca="1">(E34*E46+F34*F46)</f>
        <v>91617870.571396485</v>
      </c>
    </row>
    <row r="48" spans="1:7" x14ac:dyDescent="0.25">
      <c r="A48" t="s">
        <v>548</v>
      </c>
      <c r="B48" s="287">
        <f ca="1">IF(B46&gt;0,B47/B46,0)</f>
        <v>66.414999999999992</v>
      </c>
      <c r="C48" s="287">
        <f ca="1">IF(C46&gt;0,C47/C46,0)</f>
        <v>66.414999999999992</v>
      </c>
      <c r="F48" s="173">
        <f ca="1">IF(E46+F46&gt;0,F47/(E46+F46),0)</f>
        <v>66.004999999999995</v>
      </c>
    </row>
    <row r="58" spans="1:1" x14ac:dyDescent="0.25">
      <c r="A58" t="s">
        <v>1090</v>
      </c>
    </row>
    <row r="59" spans="1:1" x14ac:dyDescent="0.25">
      <c r="A59" t="s">
        <v>1091</v>
      </c>
    </row>
    <row r="60" spans="1:1" x14ac:dyDescent="0.25">
      <c r="A60" t="s">
        <v>1092</v>
      </c>
    </row>
    <row r="61" spans="1:1" x14ac:dyDescent="0.25">
      <c r="A61" t="s">
        <v>1093</v>
      </c>
    </row>
    <row r="62" spans="1:1" x14ac:dyDescent="0.25">
      <c r="A62" t="str">
        <f ca="1">"Rye cover crop "&amp;IF(B5&gt;0, "after soybeans ("&amp;B10*100&amp;"%)","")&amp;IF(AND(B5&gt;0,C5&gt;0)," &amp; ","")&amp;IF(C5&gt;0,"after corn grain ("&amp;C10*100&amp;"%)","")</f>
        <v>Rye cover crop after soybeans (10%) &amp; after corn grain (10%)</v>
      </c>
    </row>
    <row r="63" spans="1:1" x14ac:dyDescent="0.25">
      <c r="A63" t="s">
        <v>1094</v>
      </c>
    </row>
    <row r="65" spans="1:1" x14ac:dyDescent="0.25">
      <c r="A65" t="str">
        <f>IF(B5=0,IF(C5=1,A61,IF(C5=0,A63,A62)),IF(B5=1,IF(C5=1,A59,A62),A62))</f>
        <v>Corn grain &amp; soybean acres w/cereal rye cover crop</v>
      </c>
    </row>
  </sheetData>
  <sheetProtection algorithmName="SHA-512" hashValue="0iKgtDzPRchosR6o328G3kmY3M+5H0u6noammcfMbJcVE3JHVGQEz6ltE9FLsI8uUv8HV6UaJtvyVhJM8jXEyQ==" saltValue="jrQe0718W5k2/i941EmhrQ==" spinCount="100000" sheet="1" objects="1" scenarios="1"/>
  <conditionalFormatting sqref="B29">
    <cfRule type="expression" dxfId="24" priority="5">
      <formula>B28=0</formula>
    </cfRule>
  </conditionalFormatting>
  <conditionalFormatting sqref="E29:F29 C29">
    <cfRule type="expression" dxfId="23" priority="4">
      <formula>C28=0</formula>
    </cfRule>
  </conditionalFormatting>
  <conditionalFormatting sqref="B30">
    <cfRule type="expression" dxfId="22" priority="3">
      <formula>B28=0</formula>
    </cfRule>
  </conditionalFormatting>
  <conditionalFormatting sqref="E30:F30">
    <cfRule type="expression" dxfId="21" priority="1">
      <formula>E28=0</formula>
    </cfRule>
  </conditionalFormatting>
  <conditionalFormatting sqref="C30">
    <cfRule type="expression" dxfId="20" priority="2">
      <formula>C28=0</formula>
    </cfRule>
  </conditionalFormatting>
  <pageMargins left="0.7" right="0.7" top="0.75" bottom="0.75" header="0.3" footer="0.3"/>
  <drawing r:id="rId1"/>
  <legacyDrawing r:id="rId2"/>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8"/>
  <dimension ref="A1:BF36"/>
  <sheetViews>
    <sheetView topLeftCell="A9" workbookViewId="0">
      <selection activeCell="H19" sqref="H19"/>
    </sheetView>
  </sheetViews>
  <sheetFormatPr defaultRowHeight="15" x14ac:dyDescent="0.25"/>
  <cols>
    <col min="1" max="1" width="25.28515625" customWidth="1"/>
    <col min="2" max="2" width="20.42578125" customWidth="1"/>
    <col min="4" max="4" width="13.28515625" customWidth="1"/>
    <col min="5" max="6" width="14.5703125" customWidth="1"/>
    <col min="9" max="9" width="21.7109375" customWidth="1"/>
    <col min="19" max="19" width="10.28515625" customWidth="1"/>
    <col min="41" max="41" width="21" customWidth="1"/>
  </cols>
  <sheetData>
    <row r="1" spans="1:58" x14ac:dyDescent="0.25">
      <c r="A1" s="6" t="s">
        <v>603</v>
      </c>
      <c r="B1" s="6"/>
      <c r="C1" s="6"/>
      <c r="D1" s="6"/>
      <c r="E1" s="6"/>
      <c r="F1" s="6"/>
      <c r="G1" s="6"/>
      <c r="I1" s="6" t="s">
        <v>882</v>
      </c>
      <c r="J1" s="6"/>
      <c r="K1" s="6"/>
      <c r="L1" s="6"/>
      <c r="M1" s="6"/>
      <c r="N1" s="6"/>
      <c r="P1" s="6" t="s">
        <v>883</v>
      </c>
      <c r="Q1" s="6"/>
      <c r="R1" s="6"/>
      <c r="S1" s="6"/>
      <c r="T1" s="6"/>
      <c r="U1" s="6"/>
      <c r="V1" s="6"/>
      <c r="X1" s="6" t="s">
        <v>884</v>
      </c>
      <c r="Y1" s="6"/>
      <c r="Z1" s="6"/>
      <c r="AA1" s="6"/>
      <c r="AB1" s="6"/>
      <c r="AC1" s="6"/>
      <c r="AE1" s="6" t="s">
        <v>885</v>
      </c>
      <c r="AF1" s="6"/>
      <c r="AG1" s="6"/>
      <c r="AH1" s="6"/>
      <c r="AI1" s="6"/>
      <c r="AJ1" s="6"/>
      <c r="AL1" s="6" t="s">
        <v>886</v>
      </c>
      <c r="AM1" s="6"/>
      <c r="AN1" s="6"/>
      <c r="AO1" s="6"/>
      <c r="AP1" s="6"/>
      <c r="AQ1" s="6"/>
      <c r="AS1" s="6" t="s">
        <v>887</v>
      </c>
      <c r="AT1" s="6"/>
      <c r="AU1" s="6"/>
      <c r="AV1" s="6"/>
      <c r="AW1" s="6"/>
      <c r="AX1" s="6"/>
      <c r="AZ1" s="6" t="s">
        <v>888</v>
      </c>
      <c r="BA1" s="6"/>
      <c r="BB1" s="6"/>
      <c r="BC1" s="6"/>
      <c r="BD1" s="6"/>
      <c r="BE1" s="6"/>
      <c r="BF1" s="6"/>
    </row>
    <row r="2" spans="1:58" s="32" customFormat="1" ht="45.75" customHeight="1" x14ac:dyDescent="0.25">
      <c r="A2" s="514" t="s">
        <v>602</v>
      </c>
      <c r="B2" s="514" t="s">
        <v>573</v>
      </c>
      <c r="C2" s="514"/>
      <c r="D2" s="514"/>
      <c r="E2" s="514" t="s">
        <v>601</v>
      </c>
      <c r="F2" s="514" t="s">
        <v>375</v>
      </c>
      <c r="G2" s="514" t="s">
        <v>76</v>
      </c>
      <c r="I2" s="514" t="s">
        <v>582</v>
      </c>
      <c r="J2" s="514" t="s">
        <v>581</v>
      </c>
      <c r="K2" s="514"/>
      <c r="L2" s="514" t="s">
        <v>78</v>
      </c>
      <c r="M2" s="514" t="s">
        <v>375</v>
      </c>
      <c r="N2" s="514" t="s">
        <v>76</v>
      </c>
      <c r="Q2" s="514" t="s">
        <v>80</v>
      </c>
      <c r="R2" s="514" t="s">
        <v>79</v>
      </c>
      <c r="S2" s="514"/>
      <c r="T2" s="514" t="s">
        <v>78</v>
      </c>
      <c r="U2" s="514" t="s">
        <v>77</v>
      </c>
      <c r="V2" s="514" t="s">
        <v>76</v>
      </c>
      <c r="X2" s="17" t="s">
        <v>377</v>
      </c>
      <c r="Y2" s="17" t="s">
        <v>80</v>
      </c>
      <c r="Z2" s="17"/>
      <c r="AA2" s="17" t="s">
        <v>376</v>
      </c>
      <c r="AB2" s="17" t="s">
        <v>375</v>
      </c>
      <c r="AC2" s="17" t="s">
        <v>76</v>
      </c>
      <c r="AE2" s="514" t="s">
        <v>519</v>
      </c>
      <c r="AF2" s="514" t="s">
        <v>80</v>
      </c>
      <c r="AG2" s="514"/>
      <c r="AH2" s="514" t="s">
        <v>78</v>
      </c>
      <c r="AI2" s="514" t="s">
        <v>375</v>
      </c>
      <c r="AJ2" s="514" t="s">
        <v>76</v>
      </c>
      <c r="AL2" s="514" t="s">
        <v>574</v>
      </c>
      <c r="AM2" s="514" t="s">
        <v>573</v>
      </c>
      <c r="AN2" s="514"/>
      <c r="AO2" s="514" t="s">
        <v>572</v>
      </c>
      <c r="AP2" s="514" t="s">
        <v>571</v>
      </c>
      <c r="AQ2" s="514" t="s">
        <v>570</v>
      </c>
      <c r="AS2" s="514" t="s">
        <v>672</v>
      </c>
      <c r="AT2" s="514" t="s">
        <v>573</v>
      </c>
      <c r="AU2" s="514"/>
      <c r="AV2" s="514" t="s">
        <v>376</v>
      </c>
      <c r="AW2" s="514" t="s">
        <v>375</v>
      </c>
      <c r="AX2" s="514" t="s">
        <v>76</v>
      </c>
      <c r="AZ2" s="514" t="s">
        <v>263</v>
      </c>
      <c r="BA2" s="514" t="s">
        <v>80</v>
      </c>
      <c r="BB2" s="514" t="s">
        <v>83</v>
      </c>
      <c r="BC2" s="514"/>
      <c r="BD2" s="514" t="s">
        <v>78</v>
      </c>
      <c r="BE2" s="514" t="s">
        <v>77</v>
      </c>
      <c r="BF2" s="514" t="s">
        <v>76</v>
      </c>
    </row>
    <row r="3" spans="1:58" x14ac:dyDescent="0.25">
      <c r="A3" s="514">
        <v>0</v>
      </c>
      <c r="B3" s="514">
        <v>0</v>
      </c>
      <c r="C3" s="514"/>
      <c r="D3" s="514"/>
      <c r="E3" s="514">
        <v>0</v>
      </c>
      <c r="F3" s="514">
        <v>0</v>
      </c>
      <c r="G3" s="514">
        <f>(F4-F3)/(E4-E3)</f>
        <v>0.125</v>
      </c>
      <c r="H3" s="32"/>
      <c r="I3" s="395">
        <v>0</v>
      </c>
      <c r="J3" s="395">
        <v>0</v>
      </c>
      <c r="K3" s="395"/>
      <c r="L3" s="395">
        <v>0</v>
      </c>
      <c r="M3" s="395">
        <v>0</v>
      </c>
      <c r="N3" s="395">
        <f>(M4-M3)/(L4-L3)</f>
        <v>0.05</v>
      </c>
      <c r="P3" s="404">
        <v>0</v>
      </c>
      <c r="Q3" s="395">
        <v>0</v>
      </c>
      <c r="R3" s="395">
        <f>(Q4-Q3)/(P4-P3)</f>
        <v>2</v>
      </c>
      <c r="S3" s="395"/>
      <c r="T3" s="395">
        <v>0</v>
      </c>
      <c r="U3" s="395">
        <v>0</v>
      </c>
      <c r="V3" s="395">
        <f>(U4-U3)/(T4-T3)</f>
        <v>1</v>
      </c>
      <c r="X3" s="517">
        <v>0</v>
      </c>
      <c r="Y3" s="516">
        <v>0</v>
      </c>
      <c r="Z3" s="516"/>
      <c r="AA3" s="516">
        <v>0</v>
      </c>
      <c r="AB3" s="516">
        <v>0</v>
      </c>
      <c r="AC3" s="516">
        <f>(AB4-AB3)/(AA4-AA3)</f>
        <v>0.76923076923076916</v>
      </c>
      <c r="AE3" s="6">
        <v>0</v>
      </c>
      <c r="AF3" s="6">
        <v>0</v>
      </c>
      <c r="AG3" s="6"/>
      <c r="AH3" s="6">
        <v>0</v>
      </c>
      <c r="AI3" s="6">
        <v>0</v>
      </c>
      <c r="AJ3" s="6">
        <f>(AI4-AI3)/(AH4-AH3)</f>
        <v>0.1</v>
      </c>
      <c r="AL3" s="395">
        <v>0</v>
      </c>
      <c r="AM3" s="395">
        <v>8</v>
      </c>
      <c r="AN3" s="395"/>
      <c r="AO3" s="645">
        <v>1.0000000000000001E-17</v>
      </c>
      <c r="AP3" s="395">
        <v>0</v>
      </c>
      <c r="AQ3" s="395">
        <f>(AP4-AP3)/(AO4-AO3)</f>
        <v>320.00000000000102</v>
      </c>
      <c r="AS3" s="514">
        <v>0</v>
      </c>
      <c r="AT3" s="514">
        <v>0</v>
      </c>
      <c r="AU3" s="514"/>
      <c r="AV3" s="514">
        <v>0</v>
      </c>
      <c r="AW3" s="514">
        <v>0</v>
      </c>
      <c r="AX3" s="514">
        <f>(AW4-AW3)/(AV4-AV3)</f>
        <v>0.33333333333333331</v>
      </c>
      <c r="AZ3" s="395">
        <v>0</v>
      </c>
      <c r="BA3" s="395">
        <v>0</v>
      </c>
      <c r="BB3" s="395">
        <f>(BA4-BA3)/(AZ4-AZ3)</f>
        <v>0.11764705882352941</v>
      </c>
      <c r="BC3" s="395"/>
      <c r="BD3" s="395">
        <v>0</v>
      </c>
      <c r="BE3" s="395">
        <v>0</v>
      </c>
      <c r="BF3" s="395">
        <f>(BE4-BE3)/(BD4-BD3)</f>
        <v>0.1111111111111111</v>
      </c>
    </row>
    <row r="4" spans="1:58" x14ac:dyDescent="0.25">
      <c r="A4" s="6">
        <v>7.5</v>
      </c>
      <c r="B4" s="6">
        <v>1</v>
      </c>
      <c r="C4" s="6"/>
      <c r="D4" s="6"/>
      <c r="E4" s="6">
        <v>8</v>
      </c>
      <c r="F4" s="6">
        <v>1</v>
      </c>
      <c r="G4" s="6">
        <f>(F5-F4)/(E5-E4)</f>
        <v>0.16666666666666666</v>
      </c>
      <c r="I4" s="395">
        <v>19.5</v>
      </c>
      <c r="J4" s="395">
        <v>1</v>
      </c>
      <c r="K4" s="395"/>
      <c r="L4" s="395">
        <v>20</v>
      </c>
      <c r="M4" s="395">
        <v>1</v>
      </c>
      <c r="N4" s="395">
        <f>(M5-M4)/(L5-L4)</f>
        <v>0.14285714285714285</v>
      </c>
      <c r="P4" s="515">
        <v>0.5</v>
      </c>
      <c r="Q4" s="395">
        <v>1</v>
      </c>
      <c r="R4" s="395">
        <f>(Q5-Q4)/(P5-P4)</f>
        <v>0.2</v>
      </c>
      <c r="S4" s="395"/>
      <c r="T4" s="395">
        <v>1</v>
      </c>
      <c r="U4" s="395">
        <v>1</v>
      </c>
      <c r="V4" s="395">
        <f>(U5-U4)/(T5-T4)</f>
        <v>0.2</v>
      </c>
      <c r="X4" s="517">
        <v>1.2500000000000001E-2</v>
      </c>
      <c r="Y4" s="516">
        <v>1</v>
      </c>
      <c r="Z4" s="516"/>
      <c r="AA4" s="516">
        <v>1.3</v>
      </c>
      <c r="AB4" s="516">
        <v>1</v>
      </c>
      <c r="AC4" s="516">
        <f>(AB5-AB4)/(AA5-AA4)</f>
        <v>0.55555555555555558</v>
      </c>
      <c r="AE4" s="6">
        <v>0.1</v>
      </c>
      <c r="AF4" s="6">
        <v>1</v>
      </c>
      <c r="AG4" s="6"/>
      <c r="AH4" s="6">
        <v>10</v>
      </c>
      <c r="AI4" s="6">
        <v>1</v>
      </c>
      <c r="AJ4" s="6">
        <f>(AI5-AI4)/(AH5-AH4)</f>
        <v>0.1</v>
      </c>
      <c r="AL4" s="395">
        <v>40</v>
      </c>
      <c r="AM4" s="395">
        <v>4</v>
      </c>
      <c r="AN4" s="395"/>
      <c r="AO4" s="395">
        <v>3.1250000000000002E-3</v>
      </c>
      <c r="AP4" s="395">
        <v>1</v>
      </c>
      <c r="AQ4" s="395">
        <f>(AP5-AP4)/(AO5-AO4)</f>
        <v>320</v>
      </c>
      <c r="AS4" s="6">
        <v>2.5</v>
      </c>
      <c r="AT4" s="6">
        <v>1</v>
      </c>
      <c r="AU4" s="6"/>
      <c r="AV4" s="6">
        <v>3</v>
      </c>
      <c r="AW4" s="6">
        <v>1</v>
      </c>
      <c r="AX4" s="6">
        <f>(AW5-AW4)/(AV5-AV4)</f>
        <v>0.25</v>
      </c>
      <c r="AZ4" s="395">
        <v>8.5</v>
      </c>
      <c r="BA4" s="395">
        <v>1</v>
      </c>
      <c r="BB4" s="395">
        <f>(BA5-BA4)/(AZ5-AZ4)</f>
        <v>0.2</v>
      </c>
      <c r="BC4" s="395"/>
      <c r="BD4" s="395">
        <v>9</v>
      </c>
      <c r="BE4" s="395">
        <v>1</v>
      </c>
      <c r="BF4" s="395">
        <f>(BE5-BE4)/(BD5-BD4)</f>
        <v>0.2</v>
      </c>
    </row>
    <row r="5" spans="1:58" x14ac:dyDescent="0.25">
      <c r="A5" s="6">
        <v>13.5</v>
      </c>
      <c r="B5" s="6">
        <v>2</v>
      </c>
      <c r="C5" s="6"/>
      <c r="D5" s="6"/>
      <c r="E5" s="6">
        <v>14</v>
      </c>
      <c r="F5" s="6">
        <v>2</v>
      </c>
      <c r="G5" s="6">
        <f>(F6-F5)/(E6-E5)</f>
        <v>0.33333333333333331</v>
      </c>
      <c r="I5" s="395">
        <v>26.5</v>
      </c>
      <c r="J5" s="395">
        <v>2</v>
      </c>
      <c r="K5" s="395"/>
      <c r="L5" s="395">
        <v>27</v>
      </c>
      <c r="M5" s="395">
        <v>2</v>
      </c>
      <c r="N5" s="395">
        <f>(M6-M5)/(L6-L5)</f>
        <v>0.4</v>
      </c>
      <c r="P5" s="515">
        <v>5.5</v>
      </c>
      <c r="Q5" s="395">
        <v>2</v>
      </c>
      <c r="R5" s="395">
        <f>(Q6-Q5)/(P6-P5)</f>
        <v>0.22222222222222221</v>
      </c>
      <c r="S5" s="395"/>
      <c r="T5" s="395">
        <v>6</v>
      </c>
      <c r="U5" s="395">
        <v>2</v>
      </c>
      <c r="V5" s="395">
        <f>(U6-U5)/(T6-T5)</f>
        <v>0.22222222222222221</v>
      </c>
      <c r="X5" s="517">
        <v>3.0499999999999999E-2</v>
      </c>
      <c r="Y5" s="516">
        <v>2</v>
      </c>
      <c r="Z5" s="516"/>
      <c r="AA5" s="516">
        <v>3.1</v>
      </c>
      <c r="AB5" s="516">
        <v>2</v>
      </c>
      <c r="AC5" s="516">
        <f>(AB6-AB5)/(AA6-AA5)</f>
        <v>1.666666666666667</v>
      </c>
      <c r="AE5" s="6">
        <v>0.2</v>
      </c>
      <c r="AF5" s="6">
        <v>2</v>
      </c>
      <c r="AG5" s="6"/>
      <c r="AH5" s="6">
        <v>20</v>
      </c>
      <c r="AI5" s="6">
        <v>2</v>
      </c>
      <c r="AJ5" s="6">
        <f>(AI6-AI5)/(AH6-AH5)</f>
        <v>0.1</v>
      </c>
      <c r="AL5" s="395">
        <v>80</v>
      </c>
      <c r="AM5" s="395">
        <v>2</v>
      </c>
      <c r="AN5" s="395"/>
      <c r="AO5" s="395">
        <v>6.2500000000000003E-3</v>
      </c>
      <c r="AP5" s="395">
        <v>2</v>
      </c>
      <c r="AQ5" s="395">
        <f>(AP6-AP5)/(AO6-AO5)</f>
        <v>320</v>
      </c>
      <c r="AS5" s="440">
        <v>6.5</v>
      </c>
      <c r="AT5" s="440">
        <v>2</v>
      </c>
      <c r="AU5" s="440"/>
      <c r="AV5" s="440">
        <v>7</v>
      </c>
      <c r="AW5" s="440">
        <v>2</v>
      </c>
      <c r="AX5" s="440">
        <f>(AW6-AW5)/(AV6-AV5)</f>
        <v>1</v>
      </c>
      <c r="AZ5" s="395">
        <v>13.5</v>
      </c>
      <c r="BA5" s="395">
        <v>2</v>
      </c>
      <c r="BB5" s="395">
        <f>(BA6-BA5)/(AZ6-AZ5)</f>
        <v>0.66666666666666663</v>
      </c>
      <c r="BC5" s="395"/>
      <c r="BD5" s="395">
        <v>14</v>
      </c>
      <c r="BE5" s="395">
        <v>2</v>
      </c>
      <c r="BF5" s="395">
        <f>(BE6-BE5)/(BD6-BD5)</f>
        <v>0.66666666666666663</v>
      </c>
    </row>
    <row r="6" spans="1:58" x14ac:dyDescent="0.25">
      <c r="A6" s="6">
        <v>19.5</v>
      </c>
      <c r="B6" s="6">
        <v>4</v>
      </c>
      <c r="C6" s="6"/>
      <c r="D6" s="6"/>
      <c r="E6" s="6">
        <v>20</v>
      </c>
      <c r="F6" s="6">
        <v>4</v>
      </c>
      <c r="G6" s="6">
        <f>(F7-F6)/(E7-E6)</f>
        <v>1</v>
      </c>
      <c r="I6" s="395">
        <v>31.5</v>
      </c>
      <c r="J6" s="395">
        <v>4</v>
      </c>
      <c r="K6" s="395"/>
      <c r="L6" s="395">
        <v>32</v>
      </c>
      <c r="M6" s="395">
        <v>4</v>
      </c>
      <c r="N6" s="395">
        <f>(M7-M6)/(L7-L6)</f>
        <v>0.5714285714285714</v>
      </c>
      <c r="P6" s="404">
        <v>14.5</v>
      </c>
      <c r="Q6" s="395">
        <v>4</v>
      </c>
      <c r="R6" s="395">
        <f>(Q7-Q6)/(P7-P6)</f>
        <v>0.5714285714285714</v>
      </c>
      <c r="S6" s="395"/>
      <c r="T6" s="395">
        <v>15</v>
      </c>
      <c r="U6" s="395">
        <v>4</v>
      </c>
      <c r="V6" s="395">
        <f>(U7-U6)/(T7-T6)</f>
        <v>0.66666666666666663</v>
      </c>
      <c r="X6" s="517">
        <v>4.2500000000000003E-2</v>
      </c>
      <c r="Y6" s="516">
        <v>4</v>
      </c>
      <c r="Z6" s="516"/>
      <c r="AA6" s="516">
        <v>4.3</v>
      </c>
      <c r="AB6" s="516">
        <v>4</v>
      </c>
      <c r="AC6" s="516">
        <f>(AB7-AB6)/(AA7-AA6)</f>
        <v>2.1052631578947363</v>
      </c>
      <c r="AE6" s="6">
        <v>0.4</v>
      </c>
      <c r="AF6" s="6">
        <v>4</v>
      </c>
      <c r="AG6" s="6"/>
      <c r="AH6" s="6">
        <v>40</v>
      </c>
      <c r="AI6" s="6">
        <v>4</v>
      </c>
      <c r="AJ6" s="6">
        <f>(AI7-AI6)/(AH7-AH6)</f>
        <v>0.1</v>
      </c>
      <c r="AL6" s="395">
        <v>160</v>
      </c>
      <c r="AM6" s="395">
        <v>1</v>
      </c>
      <c r="AN6" s="395"/>
      <c r="AO6" s="395">
        <v>1.2500000000000001E-2</v>
      </c>
      <c r="AP6" s="395">
        <v>4</v>
      </c>
      <c r="AQ6" s="395">
        <f>(AP7-AP6)/(AO7-AO6)</f>
        <v>320</v>
      </c>
      <c r="AS6" s="440">
        <v>8.5</v>
      </c>
      <c r="AT6" s="440">
        <v>4</v>
      </c>
      <c r="AU6" s="440"/>
      <c r="AV6" s="440">
        <v>9</v>
      </c>
      <c r="AW6" s="440">
        <v>4</v>
      </c>
      <c r="AX6" s="440">
        <f>(AW7-AW6)/(AV7-AV6)</f>
        <v>2</v>
      </c>
      <c r="AZ6" s="395">
        <v>16.5</v>
      </c>
      <c r="BA6" s="395">
        <v>4</v>
      </c>
      <c r="BB6" s="395">
        <f>(BA7-BA6)/(AZ7-AZ6)</f>
        <v>0.8</v>
      </c>
      <c r="BC6" s="395"/>
      <c r="BD6" s="395">
        <v>17</v>
      </c>
      <c r="BE6" s="395">
        <v>4</v>
      </c>
      <c r="BF6" s="395">
        <f>(BE7-BE6)/(BD7-BD6)</f>
        <v>1</v>
      </c>
    </row>
    <row r="7" spans="1:58" x14ac:dyDescent="0.25">
      <c r="A7" s="6">
        <v>24.5</v>
      </c>
      <c r="B7" s="6">
        <v>8</v>
      </c>
      <c r="C7" s="6"/>
      <c r="D7" s="6"/>
      <c r="E7" s="6">
        <v>24</v>
      </c>
      <c r="F7" s="6">
        <v>8</v>
      </c>
      <c r="G7" s="6">
        <f>(F8-F7)/(E8-E7)</f>
        <v>0</v>
      </c>
      <c r="I7" s="395">
        <v>39.5</v>
      </c>
      <c r="J7" s="395">
        <v>8</v>
      </c>
      <c r="K7" s="395"/>
      <c r="L7" s="395">
        <v>39</v>
      </c>
      <c r="M7" s="395">
        <v>8</v>
      </c>
      <c r="N7" s="395">
        <f>(M8-M7)/(L8-L7)</f>
        <v>0</v>
      </c>
      <c r="P7" s="515">
        <v>21.5</v>
      </c>
      <c r="Q7" s="395">
        <v>8</v>
      </c>
      <c r="R7" s="395">
        <f>(Q8-Q7)/(P8-P7)</f>
        <v>0</v>
      </c>
      <c r="S7" s="395"/>
      <c r="T7" s="395">
        <v>21</v>
      </c>
      <c r="U7" s="395">
        <v>8</v>
      </c>
      <c r="V7" s="395">
        <f>(U8-U7)/(T8-T7)</f>
        <v>0</v>
      </c>
      <c r="X7" s="517">
        <v>6.25E-2</v>
      </c>
      <c r="Y7" s="516">
        <v>8</v>
      </c>
      <c r="Z7" s="516"/>
      <c r="AA7" s="516">
        <v>6.2</v>
      </c>
      <c r="AB7" s="516">
        <v>8</v>
      </c>
      <c r="AC7" s="516">
        <f>(AB8-AB7)/(AA8-AA7)</f>
        <v>0</v>
      </c>
      <c r="AE7" s="6">
        <v>0.8</v>
      </c>
      <c r="AF7" s="6">
        <v>8</v>
      </c>
      <c r="AG7" s="6"/>
      <c r="AH7" s="6">
        <v>80</v>
      </c>
      <c r="AI7" s="6">
        <v>8</v>
      </c>
      <c r="AJ7" s="6">
        <f>(AI8-AI7)/(AH8-AH7)</f>
        <v>0</v>
      </c>
      <c r="AL7" s="395">
        <v>320</v>
      </c>
      <c r="AM7" s="395">
        <v>0</v>
      </c>
      <c r="AN7" s="395"/>
      <c r="AO7" s="395">
        <v>2.5000000000000001E-2</v>
      </c>
      <c r="AP7" s="395">
        <v>8</v>
      </c>
      <c r="AQ7" s="395">
        <f>(AP8-AP7)/(AO8-AO7)</f>
        <v>0</v>
      </c>
      <c r="AS7" s="440">
        <v>11.5</v>
      </c>
      <c r="AT7" s="440">
        <v>8</v>
      </c>
      <c r="AU7" s="440"/>
      <c r="AV7" s="440">
        <v>11</v>
      </c>
      <c r="AW7" s="440">
        <v>8</v>
      </c>
      <c r="AX7" s="440">
        <f>(AW8-AW7)/(AV8-AV7)</f>
        <v>0</v>
      </c>
      <c r="AZ7" s="395">
        <v>21.5</v>
      </c>
      <c r="BA7" s="395">
        <v>8</v>
      </c>
      <c r="BB7" s="395">
        <f>(BA8-BA7)/(AZ8-AZ7)</f>
        <v>0</v>
      </c>
      <c r="BC7" s="395"/>
      <c r="BD7" s="395">
        <v>21</v>
      </c>
      <c r="BE7" s="395">
        <v>8</v>
      </c>
      <c r="BF7" s="395">
        <f>(BE8-BE7)/(BD8-BD7)</f>
        <v>0</v>
      </c>
    </row>
    <row r="8" spans="1:58" x14ac:dyDescent="0.25">
      <c r="A8" s="6">
        <v>1000</v>
      </c>
      <c r="B8" s="6">
        <v>8</v>
      </c>
      <c r="C8" s="6"/>
      <c r="D8" s="6"/>
      <c r="E8" s="6">
        <v>100</v>
      </c>
      <c r="F8" s="6">
        <v>8</v>
      </c>
      <c r="G8" s="6">
        <v>0</v>
      </c>
      <c r="I8" s="395">
        <v>500</v>
      </c>
      <c r="J8" s="395">
        <v>8</v>
      </c>
      <c r="K8" s="395"/>
      <c r="L8" s="395">
        <v>100</v>
      </c>
      <c r="M8" s="395">
        <v>8</v>
      </c>
      <c r="N8" s="395">
        <v>0</v>
      </c>
      <c r="P8" s="515">
        <v>1000</v>
      </c>
      <c r="Q8" s="395">
        <v>8</v>
      </c>
      <c r="R8" s="395">
        <v>0</v>
      </c>
      <c r="S8" s="395"/>
      <c r="T8" s="395">
        <v>1000</v>
      </c>
      <c r="U8" s="395">
        <v>8</v>
      </c>
      <c r="V8" s="395">
        <v>0</v>
      </c>
      <c r="X8" s="517">
        <v>1</v>
      </c>
      <c r="Y8" s="516">
        <v>8</v>
      </c>
      <c r="Z8" s="516"/>
      <c r="AA8" s="516">
        <v>100</v>
      </c>
      <c r="AB8" s="516">
        <v>8</v>
      </c>
      <c r="AC8" s="516">
        <v>0</v>
      </c>
      <c r="AE8" s="6">
        <v>1</v>
      </c>
      <c r="AF8" s="6">
        <v>8</v>
      </c>
      <c r="AG8" s="6"/>
      <c r="AH8" s="6">
        <v>100</v>
      </c>
      <c r="AI8" s="6">
        <v>8</v>
      </c>
      <c r="AJ8" s="6">
        <v>0</v>
      </c>
      <c r="AL8" s="395">
        <v>640</v>
      </c>
      <c r="AM8" s="395">
        <v>0</v>
      </c>
      <c r="AN8" s="395"/>
      <c r="AO8" s="395">
        <v>0.1</v>
      </c>
      <c r="AP8" s="395">
        <v>8</v>
      </c>
      <c r="AQ8" s="395">
        <v>0</v>
      </c>
      <c r="AS8" s="440">
        <v>1000</v>
      </c>
      <c r="AT8" s="440">
        <v>8</v>
      </c>
      <c r="AU8" s="440"/>
      <c r="AV8" s="440">
        <v>100</v>
      </c>
      <c r="AW8" s="440">
        <v>8</v>
      </c>
      <c r="AX8" s="440">
        <v>0</v>
      </c>
      <c r="AZ8" s="395">
        <v>10000</v>
      </c>
      <c r="BA8" s="395">
        <v>8</v>
      </c>
      <c r="BB8" s="395">
        <v>0</v>
      </c>
      <c r="BC8" s="395"/>
      <c r="BD8" s="395">
        <v>1000</v>
      </c>
      <c r="BE8" s="395">
        <v>8</v>
      </c>
      <c r="BF8" s="395">
        <v>0</v>
      </c>
    </row>
    <row r="11" spans="1:58" x14ac:dyDescent="0.25">
      <c r="A11" t="s">
        <v>600</v>
      </c>
      <c r="C11" s="616">
        <v>2.4710000000000001</v>
      </c>
      <c r="O11" t="s">
        <v>911</v>
      </c>
    </row>
    <row r="12" spans="1:58" x14ac:dyDescent="0.25">
      <c r="A12" t="s">
        <v>599</v>
      </c>
      <c r="C12" s="612">
        <v>21</v>
      </c>
      <c r="P12" t="s">
        <v>908</v>
      </c>
      <c r="Q12">
        <v>6.240365007854459</v>
      </c>
    </row>
    <row r="13" spans="1:58" x14ac:dyDescent="0.25">
      <c r="A13" t="s">
        <v>598</v>
      </c>
      <c r="C13" s="612">
        <v>0.43640000000000001</v>
      </c>
      <c r="P13" t="s">
        <v>909</v>
      </c>
      <c r="Q13">
        <v>0.89472564651536957</v>
      </c>
    </row>
    <row r="14" spans="1:58" ht="17.25" x14ac:dyDescent="0.25">
      <c r="A14" t="s">
        <v>597</v>
      </c>
      <c r="C14" s="612">
        <v>2</v>
      </c>
      <c r="O14" s="536" t="s">
        <v>81</v>
      </c>
      <c r="P14" t="s">
        <v>907</v>
      </c>
      <c r="Q14" t="s">
        <v>910</v>
      </c>
      <c r="R14" s="395" t="s">
        <v>80</v>
      </c>
      <c r="S14" s="34" t="s">
        <v>912</v>
      </c>
      <c r="T14" s="34" t="s">
        <v>913</v>
      </c>
    </row>
    <row r="15" spans="1:58" x14ac:dyDescent="0.25">
      <c r="A15" t="s">
        <v>596</v>
      </c>
      <c r="C15" s="612">
        <v>1</v>
      </c>
      <c r="P15" s="404">
        <v>0</v>
      </c>
      <c r="Q15">
        <f t="shared" ref="Q15:Q20" si="0">LN(P15*$Q$12+$Q$13)</f>
        <v>-0.11123814790662545</v>
      </c>
      <c r="R15">
        <f t="shared" ref="R15:R20" si="1">Q3</f>
        <v>0</v>
      </c>
      <c r="S15">
        <f t="shared" ref="S15:S20" si="2">R15-Q15</f>
        <v>0.11123814790662545</v>
      </c>
      <c r="T15">
        <f t="shared" ref="T15:T20" si="3">S15^2</f>
        <v>1.2373925549696281E-2</v>
      </c>
    </row>
    <row r="16" spans="1:58" x14ac:dyDescent="0.25">
      <c r="A16" t="s">
        <v>595</v>
      </c>
      <c r="C16">
        <v>0.453592</v>
      </c>
      <c r="P16" s="515">
        <v>0.5</v>
      </c>
      <c r="Q16">
        <f t="shared" si="0"/>
        <v>1.3900144705349591</v>
      </c>
      <c r="R16">
        <f t="shared" si="1"/>
        <v>1</v>
      </c>
      <c r="S16">
        <f t="shared" si="2"/>
        <v>-0.39001447053495908</v>
      </c>
      <c r="T16">
        <f t="shared" si="3"/>
        <v>0.15211128722666448</v>
      </c>
    </row>
    <row r="17" spans="1:20" x14ac:dyDescent="0.25">
      <c r="A17" t="s">
        <v>786</v>
      </c>
      <c r="C17">
        <f>1/(C11*C16)</f>
        <v>0.89219927971824264</v>
      </c>
      <c r="P17" s="515">
        <v>5.5</v>
      </c>
      <c r="Q17">
        <f t="shared" si="0"/>
        <v>3.5615213443571001</v>
      </c>
      <c r="R17">
        <f t="shared" si="1"/>
        <v>2</v>
      </c>
      <c r="S17">
        <f t="shared" si="2"/>
        <v>-1.5615213443571001</v>
      </c>
      <c r="T17">
        <f t="shared" si="3"/>
        <v>2.4383489088828054</v>
      </c>
    </row>
    <row r="18" spans="1:20" x14ac:dyDescent="0.25">
      <c r="A18" t="s">
        <v>878</v>
      </c>
      <c r="C18">
        <f>1/C17</f>
        <v>1.120825832</v>
      </c>
      <c r="P18" s="404">
        <v>14.5</v>
      </c>
      <c r="Q18">
        <f t="shared" si="0"/>
        <v>4.515026835964445</v>
      </c>
      <c r="R18">
        <f t="shared" si="1"/>
        <v>4</v>
      </c>
      <c r="S18">
        <f t="shared" si="2"/>
        <v>-0.51502683596444498</v>
      </c>
      <c r="T18">
        <f t="shared" si="3"/>
        <v>0.26525264176354735</v>
      </c>
    </row>
    <row r="19" spans="1:20" x14ac:dyDescent="0.25">
      <c r="A19" t="s">
        <v>1104</v>
      </c>
      <c r="C19" s="97">
        <v>3.28</v>
      </c>
      <c r="P19" s="515">
        <v>21.5</v>
      </c>
      <c r="Q19">
        <f t="shared" si="0"/>
        <v>4.9057381770925845</v>
      </c>
      <c r="R19">
        <f t="shared" si="1"/>
        <v>8</v>
      </c>
      <c r="S19">
        <f t="shared" si="2"/>
        <v>3.0942618229074155</v>
      </c>
      <c r="T19">
        <f t="shared" si="3"/>
        <v>9.5744562287023225</v>
      </c>
    </row>
    <row r="20" spans="1:20" x14ac:dyDescent="0.25">
      <c r="E20" t="s">
        <v>1291</v>
      </c>
      <c r="J20" t="s">
        <v>1293</v>
      </c>
      <c r="P20" s="515">
        <v>1000</v>
      </c>
      <c r="Q20">
        <f t="shared" si="0"/>
        <v>8.7389373213571204</v>
      </c>
      <c r="R20">
        <f t="shared" si="1"/>
        <v>8</v>
      </c>
      <c r="S20">
        <f t="shared" si="2"/>
        <v>-0.73893732135712042</v>
      </c>
      <c r="T20">
        <f t="shared" si="3"/>
        <v>0.54602836489443629</v>
      </c>
    </row>
    <row r="21" spans="1:20" ht="30.75" customHeight="1" x14ac:dyDescent="0.25">
      <c r="B21" s="32" t="s">
        <v>1034</v>
      </c>
      <c r="C21" s="32" t="s">
        <v>593</v>
      </c>
      <c r="D21" s="32" t="s">
        <v>592</v>
      </c>
      <c r="E21" s="32" t="s">
        <v>1292</v>
      </c>
      <c r="F21" s="32" t="s">
        <v>83</v>
      </c>
      <c r="J21">
        <v>0</v>
      </c>
      <c r="K21">
        <v>12</v>
      </c>
      <c r="L21">
        <v>16</v>
      </c>
      <c r="M21">
        <v>21</v>
      </c>
      <c r="T21">
        <f>SUM(T15:T20)</f>
        <v>12.988571357019472</v>
      </c>
    </row>
    <row r="22" spans="1:20" x14ac:dyDescent="0.25">
      <c r="A22" t="s">
        <v>252</v>
      </c>
      <c r="B22" s="213">
        <v>50</v>
      </c>
      <c r="C22" s="476">
        <v>0.72</v>
      </c>
      <c r="D22" s="612">
        <v>0.34</v>
      </c>
      <c r="E22" s="11">
        <v>0.7</v>
      </c>
      <c r="F22" s="11">
        <v>3.5000000000000003E-2</v>
      </c>
    </row>
    <row r="23" spans="1:20" x14ac:dyDescent="0.25">
      <c r="A23" t="s">
        <v>591</v>
      </c>
      <c r="B23" s="213">
        <v>41</v>
      </c>
      <c r="C23" s="476">
        <v>0.88</v>
      </c>
      <c r="D23" s="612">
        <v>0.53</v>
      </c>
      <c r="E23" s="11">
        <v>1.071</v>
      </c>
      <c r="F23" s="11">
        <v>5.3999999999999999E-2</v>
      </c>
    </row>
    <row r="24" spans="1:20" x14ac:dyDescent="0.25">
      <c r="A24" t="s">
        <v>590</v>
      </c>
      <c r="B24" s="213">
        <v>40</v>
      </c>
      <c r="C24" s="476">
        <v>0.18</v>
      </c>
      <c r="D24" s="612">
        <v>0.82</v>
      </c>
      <c r="E24" s="11">
        <v>1.752</v>
      </c>
      <c r="F24" s="11">
        <v>8.3599999999999994E-2</v>
      </c>
    </row>
    <row r="25" spans="1:20" x14ac:dyDescent="0.25">
      <c r="A25" t="s">
        <v>589</v>
      </c>
      <c r="B25" s="213">
        <v>100</v>
      </c>
      <c r="C25" s="476">
        <v>1</v>
      </c>
      <c r="D25" s="612">
        <f>33/500</f>
        <v>6.6000000000000003E-2</v>
      </c>
    </row>
    <row r="26" spans="1:20" x14ac:dyDescent="0.25">
      <c r="A26" t="s">
        <v>588</v>
      </c>
      <c r="B26" s="213">
        <v>50</v>
      </c>
      <c r="C26" s="476">
        <v>1</v>
      </c>
      <c r="D26" s="612">
        <f>2.2/10</f>
        <v>0.22000000000000003</v>
      </c>
      <c r="J26" s="11">
        <v>55</v>
      </c>
      <c r="K26" s="11">
        <v>35</v>
      </c>
      <c r="L26" s="11">
        <v>10</v>
      </c>
      <c r="M26" s="11">
        <v>0</v>
      </c>
    </row>
    <row r="27" spans="1:20" x14ac:dyDescent="0.25">
      <c r="A27" t="s">
        <v>587</v>
      </c>
      <c r="B27" s="213">
        <v>40</v>
      </c>
      <c r="C27" s="476">
        <v>1</v>
      </c>
      <c r="D27" s="612">
        <v>0.01</v>
      </c>
      <c r="E27" s="11">
        <v>2.3099999999999999E-2</v>
      </c>
      <c r="F27" s="11">
        <v>1.1000000000000001E-3</v>
      </c>
    </row>
    <row r="29" spans="1:20" x14ac:dyDescent="0.25">
      <c r="A29" t="s">
        <v>586</v>
      </c>
      <c r="C29" s="617">
        <v>0.5</v>
      </c>
    </row>
    <row r="30" spans="1:20" x14ac:dyDescent="0.25">
      <c r="C30" s="1"/>
    </row>
    <row r="31" spans="1:20" x14ac:dyDescent="0.25">
      <c r="A31" t="s">
        <v>585</v>
      </c>
    </row>
    <row r="32" spans="1:20" x14ac:dyDescent="0.25">
      <c r="A32" t="s">
        <v>193</v>
      </c>
      <c r="B32" s="612">
        <v>1.5</v>
      </c>
      <c r="C32" t="s">
        <v>584</v>
      </c>
    </row>
    <row r="34" spans="1:3" x14ac:dyDescent="0.25">
      <c r="A34" t="s">
        <v>868</v>
      </c>
      <c r="C34" s="612">
        <v>5.0000000000000001E-3</v>
      </c>
    </row>
    <row r="36" spans="1:3" x14ac:dyDescent="0.25">
      <c r="A36" t="s">
        <v>1220</v>
      </c>
      <c r="C36" s="612">
        <v>50</v>
      </c>
    </row>
  </sheetData>
  <sheetProtection algorithmName="SHA-512" hashValue="mkKq6pGoVoO9/Pn+RpSSV7h+7yB4x2mugJ1D6x8QdJIZe6BQ2v80A+fpaSP6JAkhXbzhlLRGpxmWWITlomQUUA==" saltValue="JjTS84q3wGd9vLM13VqY4w==" spinCount="100000" sheet="1" objects="1" scenarios="1"/>
  <pageMargins left="0.7" right="0.7" top="0.75" bottom="0.75" header="0.3" footer="0.3"/>
  <pageSetup orientation="portrait" r:id="rId1"/>
  <legacyDrawing r:id="rId2"/>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2"/>
  <dimension ref="A1:AS110"/>
  <sheetViews>
    <sheetView workbookViewId="0">
      <pane xSplit="1" ySplit="5" topLeftCell="B6" activePane="bottomRight" state="frozen"/>
      <selection pane="topRight" activeCell="B1" sqref="B1"/>
      <selection pane="bottomLeft" activeCell="A6" sqref="A6"/>
      <selection pane="bottomRight" activeCell="A12" sqref="A12"/>
    </sheetView>
  </sheetViews>
  <sheetFormatPr defaultRowHeight="15" x14ac:dyDescent="0.25"/>
  <cols>
    <col min="1" max="1" width="59.42578125" customWidth="1"/>
    <col min="2" max="2" width="21.42578125" bestFit="1" customWidth="1"/>
    <col min="3" max="3" width="13.28515625" bestFit="1" customWidth="1"/>
    <col min="4" max="6" width="14.28515625" bestFit="1" customWidth="1"/>
    <col min="7" max="7" width="12" customWidth="1"/>
    <col min="8" max="11" width="14.28515625" bestFit="1" customWidth="1"/>
    <col min="12" max="12" width="15.140625" bestFit="1" customWidth="1"/>
    <col min="13" max="13" width="13.28515625" bestFit="1" customWidth="1"/>
    <col min="14" max="14" width="14.28515625" bestFit="1" customWidth="1"/>
    <col min="15" max="15" width="18.140625" bestFit="1" customWidth="1"/>
    <col min="16" max="16" width="14.28515625" bestFit="1" customWidth="1"/>
    <col min="17" max="17" width="17.5703125" bestFit="1" customWidth="1"/>
    <col min="18" max="18" width="9.5703125" bestFit="1" customWidth="1"/>
    <col min="19" max="19" width="13.7109375" bestFit="1" customWidth="1"/>
    <col min="20" max="20" width="12.28515625" bestFit="1" customWidth="1"/>
    <col min="21" max="21" width="11.5703125" bestFit="1" customWidth="1"/>
    <col min="22" max="22" width="18.85546875" bestFit="1" customWidth="1"/>
    <col min="23" max="23" width="15.85546875" bestFit="1" customWidth="1"/>
    <col min="24" max="24" width="11.5703125" bestFit="1" customWidth="1"/>
    <col min="25" max="26" width="14.28515625" bestFit="1" customWidth="1"/>
    <col min="27" max="27" width="18.140625" bestFit="1" customWidth="1"/>
    <col min="28" max="28" width="14.28515625" bestFit="1" customWidth="1"/>
    <col min="29" max="29" width="13.28515625" bestFit="1" customWidth="1"/>
    <col min="30" max="30" width="14.42578125" bestFit="1" customWidth="1"/>
    <col min="31" max="31" width="13.5703125" bestFit="1" customWidth="1"/>
    <col min="32" max="32" width="14" bestFit="1" customWidth="1"/>
    <col min="33" max="33" width="11.5703125" bestFit="1" customWidth="1"/>
    <col min="34" max="34" width="14.28515625" bestFit="1" customWidth="1"/>
    <col min="35" max="35" width="14.7109375" bestFit="1" customWidth="1"/>
    <col min="36" max="36" width="19.5703125" bestFit="1" customWidth="1"/>
    <col min="37" max="37" width="14.28515625" bestFit="1" customWidth="1"/>
    <col min="38" max="38" width="14.42578125" bestFit="1" customWidth="1"/>
    <col min="39" max="39" width="14.7109375" bestFit="1" customWidth="1"/>
    <col min="40" max="40" width="15.7109375" bestFit="1" customWidth="1"/>
    <col min="41" max="41" width="17.7109375" style="43" customWidth="1"/>
    <col min="42" max="42" width="13.28515625" customWidth="1"/>
    <col min="44" max="44" width="14.28515625" bestFit="1" customWidth="1"/>
    <col min="47" max="47" width="12.28515625" customWidth="1"/>
    <col min="50" max="50" width="9.7109375" customWidth="1"/>
    <col min="51" max="51" width="27.42578125" customWidth="1"/>
  </cols>
  <sheetData>
    <row r="1" spans="1:41" x14ac:dyDescent="0.25">
      <c r="A1" t="s">
        <v>633</v>
      </c>
      <c r="B1" s="1">
        <f>Main!$E$33</f>
        <v>0</v>
      </c>
    </row>
    <row r="2" spans="1:41" x14ac:dyDescent="0.25">
      <c r="A2" s="8" t="s">
        <v>5</v>
      </c>
      <c r="B2" s="1">
        <f ca="1">Main!C161</f>
        <v>0.8</v>
      </c>
    </row>
    <row r="3" spans="1:41" x14ac:dyDescent="0.25">
      <c r="A3" s="8" t="s">
        <v>1290</v>
      </c>
      <c r="B3" s="850">
        <f>Parameters!C12</f>
        <v>21</v>
      </c>
    </row>
    <row r="4" spans="1:41" ht="30" customHeight="1" x14ac:dyDescent="0.25">
      <c r="A4" s="21" t="s">
        <v>61</v>
      </c>
      <c r="B4" s="21">
        <v>1</v>
      </c>
      <c r="C4" s="21">
        <v>2</v>
      </c>
      <c r="D4" s="21">
        <v>3</v>
      </c>
      <c r="E4" s="21">
        <v>4</v>
      </c>
      <c r="F4" s="21">
        <v>5</v>
      </c>
      <c r="G4" s="21">
        <v>6</v>
      </c>
      <c r="H4" s="21">
        <v>7</v>
      </c>
      <c r="I4" s="21">
        <v>8</v>
      </c>
      <c r="J4" s="21">
        <v>9</v>
      </c>
      <c r="K4" s="21">
        <v>10</v>
      </c>
      <c r="L4" s="21">
        <v>11</v>
      </c>
      <c r="M4" s="21">
        <v>12</v>
      </c>
      <c r="N4" s="21">
        <v>13</v>
      </c>
      <c r="O4" s="21">
        <v>14</v>
      </c>
      <c r="P4" s="21">
        <v>15</v>
      </c>
      <c r="Q4" s="21">
        <v>16</v>
      </c>
      <c r="R4" s="21">
        <v>17</v>
      </c>
      <c r="S4" s="21">
        <v>18</v>
      </c>
      <c r="T4" s="21">
        <v>19</v>
      </c>
      <c r="U4" s="21">
        <v>20</v>
      </c>
      <c r="V4" s="21">
        <v>21</v>
      </c>
      <c r="W4" s="21">
        <v>22</v>
      </c>
      <c r="X4" s="21">
        <v>23</v>
      </c>
      <c r="Y4" s="21">
        <v>24</v>
      </c>
      <c r="Z4" s="21">
        <v>25</v>
      </c>
      <c r="AA4" s="21">
        <v>26</v>
      </c>
      <c r="AB4" s="21">
        <v>27</v>
      </c>
      <c r="AC4" s="21">
        <v>28</v>
      </c>
      <c r="AD4" s="21">
        <v>29</v>
      </c>
      <c r="AE4" s="21">
        <v>30</v>
      </c>
      <c r="AF4" s="21">
        <v>31</v>
      </c>
      <c r="AG4" s="21">
        <v>32</v>
      </c>
      <c r="AH4" s="21">
        <v>33</v>
      </c>
      <c r="AI4" s="21">
        <v>34</v>
      </c>
      <c r="AJ4" s="21">
        <v>35</v>
      </c>
      <c r="AK4" s="21">
        <v>36</v>
      </c>
      <c r="AL4" s="21">
        <v>37</v>
      </c>
      <c r="AM4" s="21">
        <v>38</v>
      </c>
      <c r="AN4" s="21">
        <v>39</v>
      </c>
    </row>
    <row r="5" spans="1:41" s="32" customFormat="1" ht="45" x14ac:dyDescent="0.25">
      <c r="A5" s="32" t="s">
        <v>111</v>
      </c>
      <c r="B5" s="32" t="s">
        <v>60</v>
      </c>
      <c r="C5" s="32" t="s">
        <v>59</v>
      </c>
      <c r="D5" s="32" t="s">
        <v>58</v>
      </c>
      <c r="E5" s="32" t="s">
        <v>57</v>
      </c>
      <c r="F5" s="32" t="s">
        <v>56</v>
      </c>
      <c r="G5" s="32" t="s">
        <v>55</v>
      </c>
      <c r="H5" s="32" t="s">
        <v>54</v>
      </c>
      <c r="I5" s="32" t="s">
        <v>53</v>
      </c>
      <c r="J5" s="32" t="s">
        <v>52</v>
      </c>
      <c r="K5" s="32" t="s">
        <v>51</v>
      </c>
      <c r="L5" s="32" t="s">
        <v>50</v>
      </c>
      <c r="M5" s="32" t="s">
        <v>49</v>
      </c>
      <c r="N5" s="32" t="s">
        <v>48</v>
      </c>
      <c r="O5" s="32" t="s">
        <v>47</v>
      </c>
      <c r="P5" s="32" t="s">
        <v>46</v>
      </c>
      <c r="Q5" s="32" t="s">
        <v>45</v>
      </c>
      <c r="R5" s="32" t="s">
        <v>44</v>
      </c>
      <c r="S5" s="32" t="s">
        <v>43</v>
      </c>
      <c r="T5" s="32" t="s">
        <v>42</v>
      </c>
      <c r="U5" s="32" t="s">
        <v>41</v>
      </c>
      <c r="V5" s="32" t="s">
        <v>40</v>
      </c>
      <c r="W5" s="32" t="s">
        <v>39</v>
      </c>
      <c r="X5" s="32" t="s">
        <v>38</v>
      </c>
      <c r="Y5" s="32" t="s">
        <v>37</v>
      </c>
      <c r="Z5" s="32" t="s">
        <v>36</v>
      </c>
      <c r="AA5" s="32" t="s">
        <v>35</v>
      </c>
      <c r="AB5" s="32" t="s">
        <v>34</v>
      </c>
      <c r="AC5" s="32" t="s">
        <v>33</v>
      </c>
      <c r="AD5" s="32" t="s">
        <v>32</v>
      </c>
      <c r="AE5" s="32" t="s">
        <v>31</v>
      </c>
      <c r="AF5" s="32" t="s">
        <v>30</v>
      </c>
      <c r="AG5" s="32" t="s">
        <v>29</v>
      </c>
      <c r="AH5" s="32" t="s">
        <v>28</v>
      </c>
      <c r="AI5" s="32" t="s">
        <v>27</v>
      </c>
      <c r="AJ5" s="32" t="s">
        <v>26</v>
      </c>
      <c r="AK5" s="32" t="s">
        <v>25</v>
      </c>
      <c r="AL5" s="32" t="s">
        <v>24</v>
      </c>
      <c r="AM5" s="32" t="s">
        <v>23</v>
      </c>
      <c r="AN5" s="32" t="s">
        <v>22</v>
      </c>
      <c r="AO5" s="193" t="s">
        <v>632</v>
      </c>
    </row>
    <row r="6" spans="1:41" x14ac:dyDescent="0.25">
      <c r="A6" s="21" t="str">
        <f>INDEX(watershed_list,Main!B7)</f>
        <v>Statewide</v>
      </c>
      <c r="B6" s="22">
        <f>Watersheds!B122</f>
        <v>1</v>
      </c>
      <c r="C6" s="22">
        <f>Watersheds!C122</f>
        <v>1</v>
      </c>
      <c r="D6" s="22">
        <f>Watersheds!D122</f>
        <v>1</v>
      </c>
      <c r="E6" s="22">
        <f>Watersheds!E122</f>
        <v>1</v>
      </c>
      <c r="F6" s="22">
        <f>Watersheds!F122</f>
        <v>1</v>
      </c>
      <c r="G6" s="22">
        <f>Watersheds!G122</f>
        <v>1</v>
      </c>
      <c r="H6" s="22">
        <f>Watersheds!H122</f>
        <v>1</v>
      </c>
      <c r="I6" s="22">
        <f>Watersheds!I122</f>
        <v>1</v>
      </c>
      <c r="J6" s="22">
        <f>Watersheds!J122</f>
        <v>1</v>
      </c>
      <c r="K6" s="22">
        <f>Watersheds!K122</f>
        <v>1</v>
      </c>
      <c r="L6" s="22">
        <f>Watersheds!L122</f>
        <v>1</v>
      </c>
      <c r="M6" s="22">
        <f>Watersheds!M122</f>
        <v>1</v>
      </c>
      <c r="N6" s="22">
        <f>Watersheds!N122</f>
        <v>1</v>
      </c>
      <c r="O6" s="22">
        <f>Watersheds!O122</f>
        <v>1</v>
      </c>
      <c r="P6" s="22">
        <f>Watersheds!P122</f>
        <v>1</v>
      </c>
      <c r="Q6" s="22">
        <f>Watersheds!Q122</f>
        <v>1</v>
      </c>
      <c r="R6" s="22">
        <f>Watersheds!R122</f>
        <v>1</v>
      </c>
      <c r="S6" s="22">
        <f>Watersheds!S122</f>
        <v>1</v>
      </c>
      <c r="T6" s="22">
        <f>Watersheds!T122</f>
        <v>1</v>
      </c>
      <c r="U6" s="22">
        <f>Watersheds!U122</f>
        <v>1</v>
      </c>
      <c r="V6" s="22">
        <f>Watersheds!V122</f>
        <v>1</v>
      </c>
      <c r="W6" s="22">
        <f>Watersheds!W122</f>
        <v>1</v>
      </c>
      <c r="X6" s="22">
        <f>Watersheds!X122</f>
        <v>1</v>
      </c>
      <c r="Y6" s="22">
        <f>Watersheds!Y122</f>
        <v>1</v>
      </c>
      <c r="Z6" s="22">
        <f>Watersheds!Z122</f>
        <v>1</v>
      </c>
      <c r="AA6" s="22">
        <f>Watersheds!AA122</f>
        <v>1</v>
      </c>
      <c r="AB6" s="22">
        <f>Watersheds!AB122</f>
        <v>1</v>
      </c>
      <c r="AC6" s="22">
        <f>Watersheds!AC122</f>
        <v>1</v>
      </c>
      <c r="AD6" s="22">
        <f>Watersheds!AD122</f>
        <v>1</v>
      </c>
      <c r="AE6" s="22">
        <f>Watersheds!AE122</f>
        <v>1</v>
      </c>
      <c r="AF6" s="22">
        <f>Watersheds!AF122</f>
        <v>1</v>
      </c>
      <c r="AG6" s="22">
        <f>Watersheds!AG122</f>
        <v>1</v>
      </c>
      <c r="AH6" s="22">
        <f>Watersheds!AH122</f>
        <v>1</v>
      </c>
      <c r="AI6" s="22">
        <f>Watersheds!AI122</f>
        <v>1</v>
      </c>
      <c r="AJ6" s="22">
        <f>Watersheds!AJ122</f>
        <v>1</v>
      </c>
      <c r="AK6" s="22">
        <f>Watersheds!AK122</f>
        <v>1</v>
      </c>
      <c r="AL6" s="22">
        <f>Watersheds!AL122</f>
        <v>1</v>
      </c>
      <c r="AM6" s="22">
        <f>Watersheds!AM122</f>
        <v>1</v>
      </c>
      <c r="AN6" s="22">
        <f>Watersheds!AN122</f>
        <v>1</v>
      </c>
    </row>
    <row r="7" spans="1:41" x14ac:dyDescent="0.25">
      <c r="A7" s="21" t="s">
        <v>798</v>
      </c>
      <c r="B7" s="51">
        <f>Watersheds!B4</f>
        <v>1183611.8269754262</v>
      </c>
      <c r="C7" s="51">
        <f>Watersheds!C4</f>
        <v>95754.758676922065</v>
      </c>
      <c r="D7" s="51">
        <f>Watersheds!D4</f>
        <v>384363.31644598173</v>
      </c>
      <c r="E7" s="51">
        <f>Watersheds!E4</f>
        <v>526499.4754478957</v>
      </c>
      <c r="F7" s="51">
        <f>Watersheds!F4</f>
        <v>1087765.8836466994</v>
      </c>
      <c r="G7" s="51">
        <f>Watersheds!G4</f>
        <v>21773.538325770438</v>
      </c>
      <c r="H7" s="51">
        <f>Watersheds!H4</f>
        <v>476975.34015582805</v>
      </c>
      <c r="I7" s="51">
        <f>Watersheds!I4</f>
        <v>1782881.9850823712</v>
      </c>
      <c r="J7" s="51">
        <f>Watersheds!J4</f>
        <v>458429.57002898154</v>
      </c>
      <c r="K7" s="51">
        <f>Watersheds!K4</f>
        <v>819176.20611457271</v>
      </c>
      <c r="L7" s="51">
        <f>Watersheds!L4</f>
        <v>49840.38319707138</v>
      </c>
      <c r="M7" s="51">
        <f>Watersheds!M4</f>
        <v>264659.08028609783</v>
      </c>
      <c r="N7" s="51">
        <f>Watersheds!N4</f>
        <v>769733.41808108834</v>
      </c>
      <c r="O7" s="51">
        <f>Watersheds!O4</f>
        <v>828673.71056960034</v>
      </c>
      <c r="P7" s="51">
        <f>Watersheds!P4</f>
        <v>241824.56323169585</v>
      </c>
      <c r="Q7" s="51">
        <f>Watersheds!Q4</f>
        <v>246814.27028150437</v>
      </c>
      <c r="R7" s="51">
        <f>Watersheds!R4</f>
        <v>4285.7491912003497</v>
      </c>
      <c r="S7" s="51">
        <f>Watersheds!S4</f>
        <v>178246.72078017835</v>
      </c>
      <c r="T7" s="51">
        <f>Watersheds!T4</f>
        <v>6495.4972264639991</v>
      </c>
      <c r="U7" s="51">
        <f>Watersheds!U4</f>
        <v>106361.17112664782</v>
      </c>
      <c r="V7" s="51">
        <f>Watersheds!V4</f>
        <v>64243.015453628861</v>
      </c>
      <c r="W7" s="51">
        <f>Watersheds!W4</f>
        <v>534860.91880764207</v>
      </c>
      <c r="X7" s="51">
        <f>Watersheds!X4</f>
        <v>72691.488463081871</v>
      </c>
      <c r="Y7" s="51">
        <f>Watersheds!Y4</f>
        <v>578435.98666543269</v>
      </c>
      <c r="Z7" s="51">
        <f>Watersheds!Z4</f>
        <v>1740522.0190968888</v>
      </c>
      <c r="AA7" s="51">
        <f>Watersheds!AA4</f>
        <v>310501.91638817242</v>
      </c>
      <c r="AB7" s="51">
        <f>Watersheds!AB4</f>
        <v>1118256.768589003</v>
      </c>
      <c r="AC7" s="51">
        <f>Watersheds!AC4</f>
        <v>46608.093375328019</v>
      </c>
      <c r="AD7" s="51">
        <f>Watersheds!AD4</f>
        <v>54441.211277657254</v>
      </c>
      <c r="AE7" s="51">
        <f>Watersheds!AE4</f>
        <v>65663.160762143409</v>
      </c>
      <c r="AF7" s="51">
        <f>Watersheds!AF4</f>
        <v>130947.11348153767</v>
      </c>
      <c r="AG7" s="51">
        <f>Watersheds!AG4</f>
        <v>25765.81148644643</v>
      </c>
      <c r="AH7" s="51">
        <f>Watersheds!AH4</f>
        <v>1340660.9713842301</v>
      </c>
      <c r="AI7" s="51">
        <f>Watersheds!AI4</f>
        <v>128358.10151161565</v>
      </c>
      <c r="AJ7" s="51">
        <f>Watersheds!AJ4</f>
        <v>574366.93169227603</v>
      </c>
      <c r="AK7" s="51">
        <f>Watersheds!AK4</f>
        <v>522509.10459876515</v>
      </c>
      <c r="AL7" s="51">
        <f>Watersheds!AL4</f>
        <v>1064528.7062601971</v>
      </c>
      <c r="AM7" s="51">
        <f>Watersheds!AM4</f>
        <v>790004.66459855298</v>
      </c>
      <c r="AN7" s="51">
        <f>Watersheds!AN4</f>
        <v>949734.58489426761</v>
      </c>
      <c r="AO7" s="457">
        <f>SUM(B7:AN7)</f>
        <v>19647267.033658866</v>
      </c>
    </row>
    <row r="8" spans="1:41" x14ac:dyDescent="0.25">
      <c r="A8" s="121" t="s">
        <v>359</v>
      </c>
      <c r="B8" s="344">
        <f>Watersheds!B24*B$6</f>
        <v>506597.70712019998</v>
      </c>
      <c r="C8" s="344">
        <f>Watersheds!C24*C$6</f>
        <v>31011.809260819999</v>
      </c>
      <c r="D8" s="344">
        <f>Watersheds!D24*D$6</f>
        <v>200993.56008679999</v>
      </c>
      <c r="E8" s="344">
        <f>Watersheds!E24*E$6</f>
        <v>215972.39465229999</v>
      </c>
      <c r="F8" s="344">
        <f>Watersheds!F24*F$6</f>
        <v>550320.38415072998</v>
      </c>
      <c r="G8" s="344">
        <f>Watersheds!G24*G$6</f>
        <v>0.77492249012000003</v>
      </c>
      <c r="H8" s="344">
        <f>Watersheds!H24*H$6</f>
        <v>196379.92969290001</v>
      </c>
      <c r="I8" s="344">
        <f>Watersheds!I24*I$6</f>
        <v>912517.08039946004</v>
      </c>
      <c r="J8" s="344">
        <f>Watersheds!J24*J$6</f>
        <v>221982.35102209001</v>
      </c>
      <c r="K8" s="344">
        <f>Watersheds!K24*K$6</f>
        <v>204721.18489547999</v>
      </c>
      <c r="L8" s="344">
        <f>Watersheds!L24*L$6</f>
        <v>337.23005384470002</v>
      </c>
      <c r="M8" s="344">
        <f>Watersheds!M24*M$6</f>
        <v>11947.86594354</v>
      </c>
      <c r="N8" s="344">
        <f>Watersheds!N24*N$6</f>
        <v>412053.655084864</v>
      </c>
      <c r="O8" s="344">
        <f>Watersheds!O24*O$6</f>
        <v>81246.726180219994</v>
      </c>
      <c r="P8" s="344">
        <f>Watersheds!P24*P$6</f>
        <v>125732.16555819</v>
      </c>
      <c r="Q8" s="344">
        <f>Watersheds!Q24*Q$6</f>
        <v>30208.791063483</v>
      </c>
      <c r="R8" s="344">
        <f>Watersheds!R24*R$6</f>
        <v>12.3987598419</v>
      </c>
      <c r="S8" s="344">
        <f>Watersheds!S24*S$6</f>
        <v>24001.311690269999</v>
      </c>
      <c r="T8" s="344">
        <f>Watersheds!T24*T$6</f>
        <v>20.922906875599999</v>
      </c>
      <c r="U8" s="344">
        <f>Watersheds!U24*U$6</f>
        <v>1051.294158529</v>
      </c>
      <c r="V8" s="344">
        <f>Watersheds!V24*V$6</f>
        <v>33050.6132813</v>
      </c>
      <c r="W8" s="344">
        <f>Watersheds!W24*W$6</f>
        <v>142838.242501842</v>
      </c>
      <c r="X8" s="344">
        <f>Watersheds!X24*X$6</f>
        <v>1643.5656707959999</v>
      </c>
      <c r="Y8" s="344">
        <f>Watersheds!Y24*Y$6</f>
        <v>351132.96567569999</v>
      </c>
      <c r="Z8" s="344">
        <f>Watersheds!Z24*Z$6</f>
        <v>893863.22778421</v>
      </c>
      <c r="AA8" s="344">
        <f>Watersheds!AA24*AA$6</f>
        <v>8852.2606688300002</v>
      </c>
      <c r="AB8" s="344">
        <f>Watersheds!AB24*AB$6</f>
        <v>416636.837872</v>
      </c>
      <c r="AC8" s="344">
        <f>Watersheds!AC24*AC$6</f>
        <v>3431.5561253799997</v>
      </c>
      <c r="AD8" s="344">
        <f>Watersheds!AD24*AD$6</f>
        <v>27698.831710721999</v>
      </c>
      <c r="AE8" s="344">
        <f>Watersheds!AE24*AE$6</f>
        <v>29088.143480120001</v>
      </c>
      <c r="AF8" s="344">
        <f>Watersheds!AF24*AF$6</f>
        <v>60570.672050250003</v>
      </c>
      <c r="AG8" s="344">
        <f>Watersheds!AG24*AG$6</f>
        <v>13748.49875544</v>
      </c>
      <c r="AH8" s="344">
        <f>Watersheds!AH24*AH$6</f>
        <v>662315.56607906998</v>
      </c>
      <c r="AI8" s="344">
        <f>Watersheds!AI24*AI$6</f>
        <v>63986.411631870003</v>
      </c>
      <c r="AJ8" s="344">
        <f>Watersheds!AJ24*AJ$6</f>
        <v>43960.983059209997</v>
      </c>
      <c r="AK8" s="344">
        <f>Watersheds!AK24*AK$6</f>
        <v>272708.68336565001</v>
      </c>
      <c r="AL8" s="344">
        <f>Watersheds!AL24*AL$6</f>
        <v>111687.33896030999</v>
      </c>
      <c r="AM8" s="344">
        <f>Watersheds!AM24*AM$6</f>
        <v>420897.62111941999</v>
      </c>
      <c r="AN8" s="344">
        <f>Watersheds!AN24*AN$6</f>
        <v>503229.74504463898</v>
      </c>
    </row>
    <row r="9" spans="1:41" x14ac:dyDescent="0.25">
      <c r="A9" s="121" t="s">
        <v>186</v>
      </c>
      <c r="B9" s="344">
        <f>Watersheds!B16*B$6</f>
        <v>46418.758933199999</v>
      </c>
      <c r="C9" s="344">
        <f>Watersheds!C16*C$6</f>
        <v>3842.5345758100002</v>
      </c>
      <c r="D9" s="344">
        <f>Watersheds!D16*D$6</f>
        <v>955.69712999599994</v>
      </c>
      <c r="E9" s="344">
        <f>Watersheds!E16*E$6</f>
        <v>15145.627656799999</v>
      </c>
      <c r="F9" s="344">
        <f>Watersheds!F16*F$6</f>
        <v>18427.890144699999</v>
      </c>
      <c r="G9" s="344">
        <f>Watersheds!G16*G$6</f>
        <v>504.17350773300001</v>
      </c>
      <c r="H9" s="344">
        <f>Watersheds!H16*H$6</f>
        <v>15916.2242303</v>
      </c>
      <c r="I9" s="344">
        <f>Watersheds!I16*I$6</f>
        <v>25668.0957342</v>
      </c>
      <c r="J9" s="344">
        <f>Watersheds!J16*J$6</f>
        <v>22988.893876099999</v>
      </c>
      <c r="K9" s="344">
        <f>Watersheds!K16*K$6</f>
        <v>164603.083748</v>
      </c>
      <c r="L9" s="344">
        <f>Watersheds!L16*L$6</f>
        <v>3702.5742105300001</v>
      </c>
      <c r="M9" s="344">
        <f>Watersheds!M16*M$6</f>
        <v>92621.547611300004</v>
      </c>
      <c r="N9" s="344">
        <f>Watersheds!N16*N$6</f>
        <v>4876.2073744299996</v>
      </c>
      <c r="O9" s="344">
        <f>Watersheds!O16*O$6</f>
        <v>292259.96355500002</v>
      </c>
      <c r="P9" s="344">
        <f>Watersheds!P16*P$6</f>
        <v>306.11132484400002</v>
      </c>
      <c r="Q9" s="344">
        <f>Watersheds!Q16*Q$6</f>
        <v>81406.907597500001</v>
      </c>
      <c r="R9" s="344">
        <f>Watersheds!R16*R$6</f>
        <v>89.702253528200004</v>
      </c>
      <c r="S9" s="344">
        <f>Watersheds!S16*S$6</f>
        <v>40616.6732233</v>
      </c>
      <c r="T9" s="344">
        <f>Watersheds!T16*T$6</f>
        <v>105.42348853599999</v>
      </c>
      <c r="U9" s="344">
        <f>Watersheds!U16*U$6</f>
        <v>44051.667663200002</v>
      </c>
      <c r="V9" s="344">
        <f>Watersheds!V16*V$6</f>
        <v>172.65700304500001</v>
      </c>
      <c r="W9" s="344">
        <f>Watersheds!W16*W$6</f>
        <v>108785.22915</v>
      </c>
      <c r="X9" s="344">
        <f>Watersheds!X16*X$6</f>
        <v>16635.0670102</v>
      </c>
      <c r="Y9" s="344">
        <f>Watersheds!Y16*Y$6</f>
        <v>827.08452865799995</v>
      </c>
      <c r="Z9" s="344">
        <f>Watersheds!Z16*Z$6</f>
        <v>39135.316447099998</v>
      </c>
      <c r="AA9" s="344">
        <f>Watersheds!AA16*AA$6</f>
        <v>89598.661550699995</v>
      </c>
      <c r="AB9" s="344">
        <f>Watersheds!AB16*AB$6</f>
        <v>144474.97468399999</v>
      </c>
      <c r="AC9" s="344">
        <f>Watersheds!AC16*AC$6</f>
        <v>670.11963214599996</v>
      </c>
      <c r="AD9" s="344">
        <f>Watersheds!AD16*AD$6</f>
        <v>296.42752501199999</v>
      </c>
      <c r="AE9" s="344">
        <f>Watersheds!AE16*AE$6</f>
        <v>1930.2977445700001</v>
      </c>
      <c r="AF9" s="344">
        <f>Watersheds!AF16*AF$6</f>
        <v>2036.99808749</v>
      </c>
      <c r="AG9" s="344">
        <f>Watersheds!AG16*AG$6</f>
        <v>96.628536245399999</v>
      </c>
      <c r="AH9" s="344">
        <f>Watersheds!AH16*AH$6</f>
        <v>42454.277972000004</v>
      </c>
      <c r="AI9" s="344">
        <f>Watersheds!AI16*AI$6</f>
        <v>5023.9110966899998</v>
      </c>
      <c r="AJ9" s="344">
        <f>Watersheds!AJ16*AJ$6</f>
        <v>152455.18741300001</v>
      </c>
      <c r="AK9" s="344">
        <f>Watersheds!AK16*AK$6</f>
        <v>922.04684490099999</v>
      </c>
      <c r="AL9" s="344">
        <f>Watersheds!AL16*AL$6</f>
        <v>281541.37570700003</v>
      </c>
      <c r="AM9" s="344">
        <f>Watersheds!AM16*AM$6</f>
        <v>4932.1650630000004</v>
      </c>
      <c r="AN9" s="344">
        <f>Watersheds!AN16*AN$6</f>
        <v>5748.1894407299997</v>
      </c>
    </row>
    <row r="10" spans="1:41" x14ac:dyDescent="0.25">
      <c r="A10" s="121" t="s">
        <v>91</v>
      </c>
      <c r="B10" s="344">
        <f>Watersheds!B15*B$6</f>
        <v>309380.0625</v>
      </c>
      <c r="C10" s="344">
        <f>Watersheds!C15*C$6</f>
        <v>24313.96875</v>
      </c>
      <c r="D10" s="344">
        <f>Watersheds!D15*D$6</f>
        <v>73275.1171875</v>
      </c>
      <c r="E10" s="344">
        <f>Watersheds!E15*E$6</f>
        <v>118925.804688</v>
      </c>
      <c r="F10" s="344">
        <f>Watersheds!F15*F$6</f>
        <v>475914</v>
      </c>
      <c r="G10" s="344">
        <f>Watersheds!G15*G$6</f>
        <v>0</v>
      </c>
      <c r="H10" s="344">
        <f>Watersheds!H15*H$6</f>
        <v>50912.40625</v>
      </c>
      <c r="I10" s="344">
        <f>Watersheds!I15*I$6</f>
        <v>786223.1875</v>
      </c>
      <c r="J10" s="344">
        <f>Watersheds!J15*J$6</f>
        <v>179158.984375</v>
      </c>
      <c r="K10" s="344">
        <f>Watersheds!K15*K$6</f>
        <v>343299.96875</v>
      </c>
      <c r="L10" s="344">
        <f>Watersheds!L15*L$6</f>
        <v>13827.7167969</v>
      </c>
      <c r="M10" s="344">
        <f>Watersheds!M15*M$6</f>
        <v>3353.0895996099998</v>
      </c>
      <c r="N10" s="344">
        <f>Watersheds!N15*N$6</f>
        <v>316559.71875</v>
      </c>
      <c r="O10" s="344">
        <f>Watersheds!O15*O$6</f>
        <v>304866.125</v>
      </c>
      <c r="P10" s="344">
        <f>Watersheds!P15*P$6</f>
        <v>99758.875</v>
      </c>
      <c r="Q10" s="344">
        <f>Watersheds!Q15*Q$6</f>
        <v>92501.7265625</v>
      </c>
      <c r="R10" s="344">
        <f>Watersheds!R15*R$6</f>
        <v>24.797519683800001</v>
      </c>
      <c r="S10" s="344">
        <f>Watersheds!S15*S$6</f>
        <v>11593.6152344</v>
      </c>
      <c r="T10" s="344">
        <f>Watersheds!T15*T$6</f>
        <v>10.848915100099999</v>
      </c>
      <c r="U10" s="344">
        <f>Watersheds!U15*U$6</f>
        <v>6625.5874023400002</v>
      </c>
      <c r="V10" s="344">
        <f>Watersheds!V15*V$6</f>
        <v>30223.5273438</v>
      </c>
      <c r="W10" s="344">
        <f>Watersheds!W15*W$6</f>
        <v>233793.34375</v>
      </c>
      <c r="X10" s="344">
        <f>Watersheds!X15*X$6</f>
        <v>17094.015625</v>
      </c>
      <c r="Y10" s="344">
        <f>Watersheds!Y15*Y$6</f>
        <v>149262.46875</v>
      </c>
      <c r="Z10" s="344">
        <f>Watersheds!Z15*Z$6</f>
        <v>677930.0625</v>
      </c>
      <c r="AA10" s="344">
        <f>Watersheds!AA15*AA$6</f>
        <v>108291.546875</v>
      </c>
      <c r="AB10" s="344">
        <f>Watersheds!AB15*AB$6</f>
        <v>320657.5</v>
      </c>
      <c r="AC10" s="344">
        <f>Watersheds!AC15*AC$6</f>
        <v>379.71200561500001</v>
      </c>
      <c r="AD10" s="344">
        <f>Watersheds!AD15*AD$6</f>
        <v>24570.4667969</v>
      </c>
      <c r="AE10" s="344">
        <f>Watersheds!AE15*AE$6</f>
        <v>23809.4941406</v>
      </c>
      <c r="AF10" s="344">
        <f>Watersheds!AF15*AF$6</f>
        <v>34937.3789063</v>
      </c>
      <c r="AG10" s="344">
        <f>Watersheds!AG15*AG$6</f>
        <v>4533.2963867199996</v>
      </c>
      <c r="AH10" s="344">
        <f>Watersheds!AH15*AH$6</f>
        <v>491782.875</v>
      </c>
      <c r="AI10" s="344">
        <f>Watersheds!AI15*AI$6</f>
        <v>53279.0195313</v>
      </c>
      <c r="AJ10" s="344">
        <f>Watersheds!AJ15*AJ$6</f>
        <v>301000.8125</v>
      </c>
      <c r="AK10" s="344">
        <f>Watersheds!AK15*AK$6</f>
        <v>211876.984375</v>
      </c>
      <c r="AL10" s="344">
        <f>Watersheds!AL15*AL$6</f>
        <v>491468.25</v>
      </c>
      <c r="AM10" s="344">
        <f>Watersheds!AM15*AM$6</f>
        <v>332604.46875</v>
      </c>
      <c r="AN10" s="344">
        <f>Watersheds!AN15*AN$6</f>
        <v>393869.84375</v>
      </c>
    </row>
    <row r="11" spans="1:41" x14ac:dyDescent="0.25">
      <c r="A11" s="121" t="s">
        <v>358</v>
      </c>
      <c r="B11" s="344">
        <f>Watersheds!B20*B$6</f>
        <v>2614.2240929</v>
      </c>
      <c r="C11" s="344">
        <f>Watersheds!C20*C$6</f>
        <v>10.0579744273</v>
      </c>
      <c r="D11" s="344">
        <f>Watersheds!D20*D$6</f>
        <v>9.5771909905800001</v>
      </c>
      <c r="E11" s="344">
        <f>Watersheds!E20*E$6</f>
        <v>627.84652685900005</v>
      </c>
      <c r="F11" s="344">
        <f>Watersheds!F20*F$6</f>
        <v>0</v>
      </c>
      <c r="G11" s="344">
        <f>Watersheds!G20*G$6</f>
        <v>0.114750201816</v>
      </c>
      <c r="H11" s="344">
        <f>Watersheds!H20*H$6</f>
        <v>1441.8799529200001</v>
      </c>
      <c r="I11" s="344">
        <f>Watersheds!I20*I$6</f>
        <v>0.47777855867699998</v>
      </c>
      <c r="J11" s="344">
        <f>Watersheds!J20*J$6</f>
        <v>9.8703540606099995</v>
      </c>
      <c r="K11" s="344">
        <f>Watersheds!K20*K$6</f>
        <v>2478.3783536599999</v>
      </c>
      <c r="L11" s="344">
        <f>Watersheds!L20*L$6</f>
        <v>1.68869071869</v>
      </c>
      <c r="M11" s="344">
        <f>Watersheds!M20*M$6</f>
        <v>2098.9433069199999</v>
      </c>
      <c r="N11" s="344">
        <f>Watersheds!N20*N$6</f>
        <v>0</v>
      </c>
      <c r="O11" s="344">
        <f>Watersheds!O20*O$6</f>
        <v>1623.8970171799999</v>
      </c>
      <c r="P11" s="344">
        <f>Watersheds!P20*P$6</f>
        <v>37.414582883400001</v>
      </c>
      <c r="Q11" s="344">
        <f>Watersheds!Q20*Q$6</f>
        <v>612.45903160299997</v>
      </c>
      <c r="R11" s="344">
        <f>Watersheds!R20*R$6</f>
        <v>0</v>
      </c>
      <c r="S11" s="344">
        <f>Watersheds!S20*S$6</f>
        <v>1464.3128624399999</v>
      </c>
      <c r="T11" s="344">
        <f>Watersheds!T20*T$6</f>
        <v>0</v>
      </c>
      <c r="U11" s="344">
        <f>Watersheds!U20*U$6</f>
        <v>1.22791007492</v>
      </c>
      <c r="V11" s="344">
        <f>Watersheds!V20*V$6</f>
        <v>0</v>
      </c>
      <c r="W11" s="344">
        <f>Watersheds!W20*W$6</f>
        <v>258.29818375299999</v>
      </c>
      <c r="X11" s="344">
        <f>Watersheds!X20*X$6</f>
        <v>118.224055533</v>
      </c>
      <c r="Y11" s="344">
        <f>Watersheds!Y20*Y$6</f>
        <v>4.9215675378099997</v>
      </c>
      <c r="Z11" s="344">
        <f>Watersheds!Z20*Z$6</f>
        <v>2495.8948654000001</v>
      </c>
      <c r="AA11" s="344">
        <f>Watersheds!AA20*AA$6</f>
        <v>1.7765178660200001E-3</v>
      </c>
      <c r="AB11" s="344">
        <f>Watersheds!AB20*AB$6</f>
        <v>5340.5323957700002</v>
      </c>
      <c r="AC11" s="344">
        <f>Watersheds!AC20*AC$6</f>
        <v>0.64083862389900004</v>
      </c>
      <c r="AD11" s="344">
        <f>Watersheds!AD20*AD$6</f>
        <v>5.05431347443E-2</v>
      </c>
      <c r="AE11" s="344">
        <f>Watersheds!AE20*AE$6</f>
        <v>267.98400023699998</v>
      </c>
      <c r="AF11" s="344">
        <f>Watersheds!AF20*AF$6</f>
        <v>3386.85966607</v>
      </c>
      <c r="AG11" s="344">
        <f>Watersheds!AG20*AG$6</f>
        <v>0.65902234475499999</v>
      </c>
      <c r="AH11" s="344">
        <f>Watersheds!AH20*AH$6</f>
        <v>7.5734407126700001</v>
      </c>
      <c r="AI11" s="344">
        <f>Watersheds!AI20*AI$6</f>
        <v>0</v>
      </c>
      <c r="AJ11" s="344">
        <f>Watersheds!AJ20*AJ$6</f>
        <v>996.49043699200001</v>
      </c>
      <c r="AK11" s="344">
        <f>Watersheds!AK20*AK$6</f>
        <v>2.2168210511200002</v>
      </c>
      <c r="AL11" s="344">
        <f>Watersheds!AL20*AL$6</f>
        <v>2119.38236087</v>
      </c>
      <c r="AM11" s="344">
        <f>Watersheds!AM20*AM$6</f>
        <v>1.2989228131799999</v>
      </c>
      <c r="AN11" s="344">
        <f>Watersheds!AN20*AN$6</f>
        <v>65.898867034600002</v>
      </c>
    </row>
    <row r="12" spans="1:41" x14ac:dyDescent="0.25">
      <c r="A12" s="121" t="s">
        <v>357</v>
      </c>
      <c r="B12" s="344">
        <f>Watersheds!B19*B$6</f>
        <v>11145.8919326</v>
      </c>
      <c r="C12" s="344">
        <f>Watersheds!C19*C$6</f>
        <v>1538.3370733100001</v>
      </c>
      <c r="D12" s="344">
        <f>Watersheds!D19*D$6</f>
        <v>0</v>
      </c>
      <c r="E12" s="344">
        <f>Watersheds!E19*E$6</f>
        <v>932.82267485800003</v>
      </c>
      <c r="F12" s="344">
        <f>Watersheds!F19*F$6</f>
        <v>901.57243512599996</v>
      </c>
      <c r="G12" s="344">
        <f>Watersheds!G19*G$6</f>
        <v>0</v>
      </c>
      <c r="H12" s="344">
        <f>Watersheds!H19*H$6</f>
        <v>872.75056009800005</v>
      </c>
      <c r="I12" s="344">
        <f>Watersheds!I19*I$6</f>
        <v>5963.7235966799999</v>
      </c>
      <c r="J12" s="344">
        <f>Watersheds!J19*J$6</f>
        <v>20472.9245003</v>
      </c>
      <c r="K12" s="344">
        <f>Watersheds!K19*K$6</f>
        <v>44635.894244399999</v>
      </c>
      <c r="L12" s="344">
        <f>Watersheds!L19*L$6</f>
        <v>0</v>
      </c>
      <c r="M12" s="344">
        <f>Watersheds!M19*M$6</f>
        <v>15862.8303593</v>
      </c>
      <c r="N12" s="344">
        <f>Watersheds!N19*N$6</f>
        <v>0</v>
      </c>
      <c r="O12" s="344">
        <f>Watersheds!O19*O$6</f>
        <v>71109.512684100002</v>
      </c>
      <c r="P12" s="344">
        <f>Watersheds!P19*P$6</f>
        <v>0</v>
      </c>
      <c r="Q12" s="344">
        <f>Watersheds!Q19*Q$6</f>
        <v>17434.602904300002</v>
      </c>
      <c r="R12" s="344">
        <f>Watersheds!R19*R$6</f>
        <v>0</v>
      </c>
      <c r="S12" s="344">
        <f>Watersheds!S19*S$6</f>
        <v>5858.2405364200004</v>
      </c>
      <c r="T12" s="344">
        <f>Watersheds!T19*T$6</f>
        <v>0</v>
      </c>
      <c r="U12" s="344">
        <f>Watersheds!U19*U$6</f>
        <v>1292.60313481</v>
      </c>
      <c r="V12" s="344">
        <f>Watersheds!V19*V$6</f>
        <v>0</v>
      </c>
      <c r="W12" s="344">
        <f>Watersheds!W19*W$6</f>
        <v>34817.722396199999</v>
      </c>
      <c r="X12" s="344">
        <f>Watersheds!X19*X$6</f>
        <v>2284.51798775</v>
      </c>
      <c r="Y12" s="344">
        <f>Watersheds!Y19*Y$6</f>
        <v>0</v>
      </c>
      <c r="Z12" s="344">
        <f>Watersheds!Z19*Z$6</f>
        <v>8901.9525003500003</v>
      </c>
      <c r="AA12" s="344">
        <f>Watersheds!AA19*AA$6</f>
        <v>3514.40444751</v>
      </c>
      <c r="AB12" s="344">
        <f>Watersheds!AB19*AB$6</f>
        <v>33513.557089800001</v>
      </c>
      <c r="AC12" s="344">
        <f>Watersheds!AC19*AC$6</f>
        <v>0</v>
      </c>
      <c r="AD12" s="344">
        <f>Watersheds!AD19*AD$6</f>
        <v>53.575724756200003</v>
      </c>
      <c r="AE12" s="344">
        <f>Watersheds!AE19*AE$6</f>
        <v>6057.8804662299999</v>
      </c>
      <c r="AF12" s="344">
        <f>Watersheds!AF19*AF$6</f>
        <v>124.188003221</v>
      </c>
      <c r="AG12" s="344">
        <f>Watersheds!AG19*AG$6</f>
        <v>0</v>
      </c>
      <c r="AH12" s="344">
        <f>Watersheds!AH19*AH$6</f>
        <v>50482.4337027</v>
      </c>
      <c r="AI12" s="344">
        <f>Watersheds!AI19*AI$6</f>
        <v>1221.82030753</v>
      </c>
      <c r="AJ12" s="344">
        <f>Watersheds!AJ19*AJ$6</f>
        <v>44160.838244099999</v>
      </c>
      <c r="AK12" s="344">
        <f>Watersheds!AK19*AK$6</f>
        <v>0</v>
      </c>
      <c r="AL12" s="344">
        <f>Watersheds!AL19*AL$6</f>
        <v>64899.537034699999</v>
      </c>
      <c r="AM12" s="344">
        <f>Watersheds!AM19*AM$6</f>
        <v>1613.17087842</v>
      </c>
      <c r="AN12" s="344">
        <f>Watersheds!AN19*AN$6</f>
        <v>1673.23571393</v>
      </c>
    </row>
    <row r="13" spans="1:41" x14ac:dyDescent="0.25">
      <c r="A13" s="121" t="s">
        <v>356</v>
      </c>
      <c r="B13" s="344">
        <f>Watersheds!B23*B$6</f>
        <v>45503.477389976004</v>
      </c>
      <c r="C13" s="344">
        <f>Watersheds!C23*C$6</f>
        <v>338.43870405526957</v>
      </c>
      <c r="D13" s="344">
        <f>Watersheds!D23*D$6</f>
        <v>2691.5687715751155</v>
      </c>
      <c r="E13" s="344">
        <f>Watersheds!E23*E$6</f>
        <v>762.79520000877869</v>
      </c>
      <c r="F13" s="344">
        <f>Watersheds!F23*F$6</f>
        <v>331.66986158342775</v>
      </c>
      <c r="G13" s="344">
        <f>Watersheds!G23*G$6</f>
        <v>0</v>
      </c>
      <c r="H13" s="344">
        <f>Watersheds!H23*H$6</f>
        <v>1415.4124071600618</v>
      </c>
      <c r="I13" s="344">
        <f>Watersheds!I23*I$6</f>
        <v>15142.99588589612</v>
      </c>
      <c r="J13" s="344">
        <f>Watersheds!J23*J$6</f>
        <v>6590.0998024829223</v>
      </c>
      <c r="K13" s="344">
        <f>Watersheds!K23*K$6</f>
        <v>9182.5351993127661</v>
      </c>
      <c r="L13" s="344">
        <f>Watersheds!L23*L$6</f>
        <v>20</v>
      </c>
      <c r="M13" s="344">
        <f>Watersheds!M23*M$6</f>
        <v>378.46795286770816</v>
      </c>
      <c r="N13" s="344">
        <f>Watersheds!N23*N$6</f>
        <v>239.35661929422611</v>
      </c>
      <c r="O13" s="344">
        <f>Watersheds!O23*O$6</f>
        <v>17874.713605020424</v>
      </c>
      <c r="P13" s="344">
        <f>Watersheds!P23*P$6</f>
        <v>7945.6014887841457</v>
      </c>
      <c r="Q13" s="344">
        <f>Watersheds!Q23*Q$6</f>
        <v>1573.0089571983151</v>
      </c>
      <c r="R13" s="344">
        <f>Watersheds!R23*R$6</f>
        <v>0</v>
      </c>
      <c r="S13" s="344">
        <f>Watersheds!S23*S$6</f>
        <v>1003.3057094483933</v>
      </c>
      <c r="T13" s="344">
        <f>Watersheds!T23*T$6</f>
        <v>0</v>
      </c>
      <c r="U13" s="344">
        <f>Watersheds!U23*U$6</f>
        <v>9.0461400938981278</v>
      </c>
      <c r="V13" s="344">
        <f>Watersheds!V23*V$6</f>
        <v>53.2514919870667</v>
      </c>
      <c r="W13" s="344">
        <f>Watersheds!W23*W$6</f>
        <v>2305.6681616860365</v>
      </c>
      <c r="X13" s="344">
        <f>Watersheds!X23*X$6</f>
        <v>173.17618023286465</v>
      </c>
      <c r="Y13" s="344">
        <f>Watersheds!Y23*Y$6</f>
        <v>8339.3052578969018</v>
      </c>
      <c r="Z13" s="344">
        <f>Watersheds!Z23*Z$6</f>
        <v>25233.886789478966</v>
      </c>
      <c r="AA13" s="344">
        <f>Watersheds!AA23*AA$6</f>
        <v>126.13625174459438</v>
      </c>
      <c r="AB13" s="344">
        <f>Watersheds!AB23*AB$6</f>
        <v>7803.6412255330806</v>
      </c>
      <c r="AC13" s="344">
        <f>Watersheds!AC23*AC$6</f>
        <v>3.6863154261125395</v>
      </c>
      <c r="AD13" s="344">
        <f>Watersheds!AD23*AD$6</f>
        <v>625.21364420491909</v>
      </c>
      <c r="AE13" s="344">
        <f>Watersheds!AE23*AE$6</f>
        <v>598.64871606210738</v>
      </c>
      <c r="AF13" s="344">
        <f>Watersheds!AF23*AF$6</f>
        <v>267.50199806463814</v>
      </c>
      <c r="AG13" s="344">
        <f>Watersheds!AG23*AG$6</f>
        <v>118.19716853326923</v>
      </c>
      <c r="AH13" s="344">
        <f>Watersheds!AH23*AH$6</f>
        <v>63011.060152779683</v>
      </c>
      <c r="AI13" s="344">
        <f>Watersheds!AI23*AI$6</f>
        <v>963.84351522314569</v>
      </c>
      <c r="AJ13" s="344">
        <f>Watersheds!AJ23*AJ$6</f>
        <v>7038.8513319540052</v>
      </c>
      <c r="AK13" s="344">
        <f>Watersheds!AK23*AK$6</f>
        <v>9396.9695160690371</v>
      </c>
      <c r="AL13" s="344">
        <f>Watersheds!AL23*AL$6</f>
        <v>44411.44594624707</v>
      </c>
      <c r="AM13" s="344">
        <f>Watersheds!AM23*AM$6</f>
        <v>14053.805863844696</v>
      </c>
      <c r="AN13" s="344">
        <f>Watersheds!AN23*AN$6</f>
        <v>24293.107342874893</v>
      </c>
    </row>
    <row r="14" spans="1:41" x14ac:dyDescent="0.25">
      <c r="A14" s="121" t="s">
        <v>863</v>
      </c>
      <c r="B14" s="344">
        <f>SUM(B8:B13)</f>
        <v>921660.12196887599</v>
      </c>
      <c r="C14" s="344">
        <f t="shared" ref="C14:AN14" si="0">SUM(C8:C13)</f>
        <v>61055.146338422564</v>
      </c>
      <c r="D14" s="344">
        <f t="shared" si="0"/>
        <v>277925.52036686166</v>
      </c>
      <c r="E14" s="344">
        <f t="shared" si="0"/>
        <v>352367.29139882576</v>
      </c>
      <c r="F14" s="344">
        <f t="shared" si="0"/>
        <v>1045895.5165921394</v>
      </c>
      <c r="G14" s="344">
        <f t="shared" si="0"/>
        <v>505.06318042493598</v>
      </c>
      <c r="H14" s="344">
        <f t="shared" si="0"/>
        <v>266938.60309337801</v>
      </c>
      <c r="I14" s="344">
        <f t="shared" si="0"/>
        <v>1745515.5608947948</v>
      </c>
      <c r="J14" s="344">
        <f t="shared" si="0"/>
        <v>451203.12393003359</v>
      </c>
      <c r="K14" s="344">
        <f t="shared" si="0"/>
        <v>768921.04519085272</v>
      </c>
      <c r="L14" s="344">
        <f t="shared" si="0"/>
        <v>17889.209751993389</v>
      </c>
      <c r="M14" s="344">
        <f t="shared" si="0"/>
        <v>126262.74477353772</v>
      </c>
      <c r="N14" s="344">
        <f t="shared" si="0"/>
        <v>733728.9378285883</v>
      </c>
      <c r="O14" s="344">
        <f t="shared" si="0"/>
        <v>768980.93804152042</v>
      </c>
      <c r="P14" s="344">
        <f t="shared" si="0"/>
        <v>233780.16795470152</v>
      </c>
      <c r="Q14" s="344">
        <f t="shared" si="0"/>
        <v>223737.49611658434</v>
      </c>
      <c r="R14" s="344">
        <f t="shared" si="0"/>
        <v>126.89853305390001</v>
      </c>
      <c r="S14" s="344">
        <f t="shared" si="0"/>
        <v>84537.45925627838</v>
      </c>
      <c r="T14" s="344">
        <f t="shared" si="0"/>
        <v>137.19531051169997</v>
      </c>
      <c r="U14" s="344">
        <f t="shared" si="0"/>
        <v>53031.426409047825</v>
      </c>
      <c r="V14" s="344">
        <f t="shared" si="0"/>
        <v>63500.049120132069</v>
      </c>
      <c r="W14" s="344">
        <f t="shared" si="0"/>
        <v>522798.50414348103</v>
      </c>
      <c r="X14" s="344">
        <f t="shared" si="0"/>
        <v>37948.56652951186</v>
      </c>
      <c r="Y14" s="344">
        <f t="shared" si="0"/>
        <v>509566.74577979272</v>
      </c>
      <c r="Z14" s="344">
        <f t="shared" si="0"/>
        <v>1647560.3408865391</v>
      </c>
      <c r="AA14" s="344">
        <f t="shared" si="0"/>
        <v>210383.01157030242</v>
      </c>
      <c r="AB14" s="344">
        <f t="shared" si="0"/>
        <v>928427.04326710303</v>
      </c>
      <c r="AC14" s="344">
        <f t="shared" si="0"/>
        <v>4485.7149171910114</v>
      </c>
      <c r="AD14" s="344">
        <f t="shared" si="0"/>
        <v>53244.56594472986</v>
      </c>
      <c r="AE14" s="344">
        <f t="shared" si="0"/>
        <v>61752.448547819113</v>
      </c>
      <c r="AF14" s="344">
        <f t="shared" si="0"/>
        <v>101323.59871139564</v>
      </c>
      <c r="AG14" s="344">
        <f t="shared" si="0"/>
        <v>18497.279869283426</v>
      </c>
      <c r="AH14" s="344">
        <f t="shared" si="0"/>
        <v>1310053.7863472626</v>
      </c>
      <c r="AI14" s="344">
        <f t="shared" si="0"/>
        <v>124475.00608261314</v>
      </c>
      <c r="AJ14" s="344">
        <f t="shared" si="0"/>
        <v>549613.16298525606</v>
      </c>
      <c r="AK14" s="344">
        <f t="shared" si="0"/>
        <v>494906.90092267119</v>
      </c>
      <c r="AL14" s="344">
        <f t="shared" si="0"/>
        <v>996127.33000912715</v>
      </c>
      <c r="AM14" s="344">
        <f t="shared" si="0"/>
        <v>774102.53059749783</v>
      </c>
      <c r="AN14" s="344">
        <f t="shared" si="0"/>
        <v>928880.02015920845</v>
      </c>
      <c r="AO14" s="457">
        <f>SUM(B14:AN14)</f>
        <v>17471846.073321342</v>
      </c>
    </row>
    <row r="15" spans="1:41" x14ac:dyDescent="0.25">
      <c r="A15" s="121" t="s">
        <v>1289</v>
      </c>
      <c r="B15" s="344">
        <f>B14*0.5*(IF(STP!B9&gt;$B$3,1,0)+IF(STP!B10&gt;$B$3,1,0))</f>
        <v>460830.06098443799</v>
      </c>
      <c r="C15" s="344">
        <f>C14*0.5*(IF(STP!C9&gt;$B$3,1,0)+IF(STP!C10&gt;$B$3,1,0))</f>
        <v>30527.573169211282</v>
      </c>
      <c r="D15" s="344">
        <f>D14*0.5*(IF(STP!D9&gt;$B$3,1,0)+IF(STP!D10&gt;$B$3,1,0))</f>
        <v>138962.76018343083</v>
      </c>
      <c r="E15" s="344">
        <f>E14*0.5*(IF(STP!E9&gt;$B$3,1,0)+IF(STP!E10&gt;$B$3,1,0))</f>
        <v>352367.29139882576</v>
      </c>
      <c r="F15" s="344">
        <f>F14*0.5*(IF(STP!F9&gt;$B$3,1,0)+IF(STP!F10&gt;$B$3,1,0))</f>
        <v>522947.75829606969</v>
      </c>
      <c r="G15" s="344">
        <f>G14*0.5*(IF(STP!G9&gt;$B$3,1,0)+IF(STP!G10&gt;$B$3,1,0))</f>
        <v>252.53159021246799</v>
      </c>
      <c r="H15" s="344">
        <f>H14*0.5*(IF(STP!H9&gt;$B$3,1,0)+IF(STP!H10&gt;$B$3,1,0))</f>
        <v>133469.30154668901</v>
      </c>
      <c r="I15" s="344">
        <f>I14*0.5*(IF(STP!I9&gt;$B$3,1,0)+IF(STP!I10&gt;$B$3,1,0))</f>
        <v>872757.78044739738</v>
      </c>
      <c r="J15" s="344">
        <f>J14*0.5*(IF(STP!J9&gt;$B$3,1,0)+IF(STP!J10&gt;$B$3,1,0))</f>
        <v>225601.56196501679</v>
      </c>
      <c r="K15" s="344">
        <f>K14*0.5*(IF(STP!K9&gt;$B$3,1,0)+IF(STP!K10&gt;$B$3,1,0))</f>
        <v>384460.52259542636</v>
      </c>
      <c r="L15" s="344">
        <f>L14*0.5*(IF(STP!L9&gt;$B$3,1,0)+IF(STP!L10&gt;$B$3,1,0))</f>
        <v>8944.6048759966943</v>
      </c>
      <c r="M15" s="344">
        <f>M14*0.5*(IF(STP!M9&gt;$B$3,1,0)+IF(STP!M10&gt;$B$3,1,0))</f>
        <v>63131.37238676886</v>
      </c>
      <c r="N15" s="344">
        <f>N14*0.5*(IF(STP!N9&gt;$B$3,1,0)+IF(STP!N10&gt;$B$3,1,0))</f>
        <v>366864.46891429415</v>
      </c>
      <c r="O15" s="344">
        <f>O14*0.5*(IF(STP!O9&gt;$B$3,1,0)+IF(STP!O10&gt;$B$3,1,0))</f>
        <v>384490.46902076021</v>
      </c>
      <c r="P15" s="344">
        <f>P14*0.5*(IF(STP!P9&gt;$B$3,1,0)+IF(STP!P10&gt;$B$3,1,0))</f>
        <v>116890.08397735076</v>
      </c>
      <c r="Q15" s="344">
        <f>Q14*0.5*(IF(STP!Q9&gt;$B$3,1,0)+IF(STP!Q10&gt;$B$3,1,0))</f>
        <v>111868.74805829217</v>
      </c>
      <c r="R15" s="344">
        <f>R14*0.5*(IF(STP!R9&gt;$B$3,1,0)+IF(STP!R10&gt;$B$3,1,0))</f>
        <v>63.449266526950005</v>
      </c>
      <c r="S15" s="344">
        <f>S14*0.5*(IF(STP!S9&gt;$B$3,1,0)+IF(STP!S10&gt;$B$3,1,0))</f>
        <v>42268.72962813919</v>
      </c>
      <c r="T15" s="344">
        <f>T14*0.5*(IF(STP!T9&gt;$B$3,1,0)+IF(STP!T10&gt;$B$3,1,0))</f>
        <v>68.597655255849986</v>
      </c>
      <c r="U15" s="344">
        <f>U14*0.5*(IF(STP!U9&gt;$B$3,1,0)+IF(STP!U10&gt;$B$3,1,0))</f>
        <v>26515.713204523912</v>
      </c>
      <c r="V15" s="344">
        <f>V14*0.5*(IF(STP!V9&gt;$B$3,1,0)+IF(STP!V10&gt;$B$3,1,0))</f>
        <v>31750.024560066035</v>
      </c>
      <c r="W15" s="344">
        <f>W14*0.5*(IF(STP!W9&gt;$B$3,1,0)+IF(STP!W10&gt;$B$3,1,0))</f>
        <v>261399.25207174051</v>
      </c>
      <c r="X15" s="344">
        <f>X14*0.5*(IF(STP!X9&gt;$B$3,1,0)+IF(STP!X10&gt;$B$3,1,0))</f>
        <v>18974.28326475593</v>
      </c>
      <c r="Y15" s="344">
        <f>Y14*0.5*(IF(STP!Y9&gt;$B$3,1,0)+IF(STP!Y10&gt;$B$3,1,0))</f>
        <v>254783.37288989636</v>
      </c>
      <c r="Z15" s="344">
        <f>Z14*0.5*(IF(STP!Z9&gt;$B$3,1,0)+IF(STP!Z10&gt;$B$3,1,0))</f>
        <v>823780.17044326954</v>
      </c>
      <c r="AA15" s="344">
        <f>AA14*0.5*(IF(STP!AA9&gt;$B$3,1,0)+IF(STP!AA10&gt;$B$3,1,0))</f>
        <v>105191.50578515121</v>
      </c>
      <c r="AB15" s="344">
        <f>AB14*0.5*(IF(STP!AB9&gt;$B$3,1,0)+IF(STP!AB10&gt;$B$3,1,0))</f>
        <v>464213.52163355151</v>
      </c>
      <c r="AC15" s="344">
        <f>AC14*0.5*(IF(STP!AC9&gt;$B$3,1,0)+IF(STP!AC10&gt;$B$3,1,0))</f>
        <v>2242.8574585955057</v>
      </c>
      <c r="AD15" s="344">
        <f>AD14*0.5*(IF(STP!AD9&gt;$B$3,1,0)+IF(STP!AD10&gt;$B$3,1,0))</f>
        <v>26622.28297236493</v>
      </c>
      <c r="AE15" s="344">
        <f>AE14*0.5*(IF(STP!AE9&gt;$B$3,1,0)+IF(STP!AE10&gt;$B$3,1,0))</f>
        <v>30876.224273909556</v>
      </c>
      <c r="AF15" s="344">
        <f>AF14*0.5*(IF(STP!AF9&gt;$B$3,1,0)+IF(STP!AF10&gt;$B$3,1,0))</f>
        <v>50661.799355697818</v>
      </c>
      <c r="AG15" s="344">
        <f>AG14*0.5*(IF(STP!AG9&gt;$B$3,1,0)+IF(STP!AG10&gt;$B$3,1,0))</f>
        <v>9248.6399346417129</v>
      </c>
      <c r="AH15" s="344">
        <f>AH14*0.5*(IF(STP!AH9&gt;$B$3,1,0)+IF(STP!AH10&gt;$B$3,1,0))</f>
        <v>655026.89317363128</v>
      </c>
      <c r="AI15" s="344">
        <f>AI14*0.5*(IF(STP!AI9&gt;$B$3,1,0)+IF(STP!AI10&gt;$B$3,1,0))</f>
        <v>62237.503041306569</v>
      </c>
      <c r="AJ15" s="344">
        <f>AJ14*0.5*(IF(STP!AJ9&gt;$B$3,1,0)+IF(STP!AJ10&gt;$B$3,1,0))</f>
        <v>274806.58149262803</v>
      </c>
      <c r="AK15" s="344">
        <f>AK14*0.5*(IF(STP!AK9&gt;$B$3,1,0)+IF(STP!AK10&gt;$B$3,1,0))</f>
        <v>247453.4504613356</v>
      </c>
      <c r="AL15" s="344">
        <f>AL14*0.5*(IF(STP!AL9&gt;$B$3,1,0)+IF(STP!AL10&gt;$B$3,1,0))</f>
        <v>498063.66500456358</v>
      </c>
      <c r="AM15" s="344">
        <f>AM14*0.5*(IF(STP!AM9&gt;$B$3,1,0)+IF(STP!AM10&gt;$B$3,1,0))</f>
        <v>387051.26529874891</v>
      </c>
      <c r="AN15" s="344">
        <f>AN14*0.5*(IF(STP!AN9&gt;$B$3,1,0)+IF(STP!AN10&gt;$B$3,1,0))</f>
        <v>464440.01007960422</v>
      </c>
      <c r="AO15" s="457">
        <f>SUM(B15:AN15)</f>
        <v>8912106.6823600829</v>
      </c>
    </row>
    <row r="16" spans="1:41" x14ac:dyDescent="0.25">
      <c r="A16" s="121" t="s">
        <v>1082</v>
      </c>
      <c r="B16" s="344">
        <f>B14-B15</f>
        <v>460830.06098443799</v>
      </c>
      <c r="C16" s="344">
        <f t="shared" ref="C16:AN16" si="1">C14-C15</f>
        <v>30527.573169211282</v>
      </c>
      <c r="D16" s="344">
        <f t="shared" si="1"/>
        <v>138962.76018343083</v>
      </c>
      <c r="E16" s="344">
        <f t="shared" si="1"/>
        <v>0</v>
      </c>
      <c r="F16" s="344">
        <f t="shared" si="1"/>
        <v>522947.75829606969</v>
      </c>
      <c r="G16" s="344">
        <f t="shared" si="1"/>
        <v>252.53159021246799</v>
      </c>
      <c r="H16" s="344">
        <f t="shared" si="1"/>
        <v>133469.30154668901</v>
      </c>
      <c r="I16" s="344">
        <f t="shared" si="1"/>
        <v>872757.78044739738</v>
      </c>
      <c r="J16" s="344">
        <f t="shared" si="1"/>
        <v>225601.56196501679</v>
      </c>
      <c r="K16" s="344">
        <f t="shared" si="1"/>
        <v>384460.52259542636</v>
      </c>
      <c r="L16" s="344">
        <f t="shared" si="1"/>
        <v>8944.6048759966943</v>
      </c>
      <c r="M16" s="344">
        <f t="shared" si="1"/>
        <v>63131.37238676886</v>
      </c>
      <c r="N16" s="344">
        <f t="shared" si="1"/>
        <v>366864.46891429415</v>
      </c>
      <c r="O16" s="344">
        <f t="shared" si="1"/>
        <v>384490.46902076021</v>
      </c>
      <c r="P16" s="344">
        <f t="shared" si="1"/>
        <v>116890.08397735076</v>
      </c>
      <c r="Q16" s="344">
        <f t="shared" si="1"/>
        <v>111868.74805829217</v>
      </c>
      <c r="R16" s="344">
        <f t="shared" si="1"/>
        <v>63.449266526950005</v>
      </c>
      <c r="S16" s="344">
        <f t="shared" si="1"/>
        <v>42268.72962813919</v>
      </c>
      <c r="T16" s="344">
        <f t="shared" si="1"/>
        <v>68.597655255849986</v>
      </c>
      <c r="U16" s="344">
        <f t="shared" si="1"/>
        <v>26515.713204523912</v>
      </c>
      <c r="V16" s="344">
        <f t="shared" si="1"/>
        <v>31750.024560066035</v>
      </c>
      <c r="W16" s="344">
        <f t="shared" si="1"/>
        <v>261399.25207174051</v>
      </c>
      <c r="X16" s="344">
        <f t="shared" si="1"/>
        <v>18974.28326475593</v>
      </c>
      <c r="Y16" s="344">
        <f t="shared" si="1"/>
        <v>254783.37288989636</v>
      </c>
      <c r="Z16" s="344">
        <f t="shared" si="1"/>
        <v>823780.17044326954</v>
      </c>
      <c r="AA16" s="344">
        <f t="shared" si="1"/>
        <v>105191.50578515121</v>
      </c>
      <c r="AB16" s="344">
        <f t="shared" si="1"/>
        <v>464213.52163355151</v>
      </c>
      <c r="AC16" s="344">
        <f t="shared" si="1"/>
        <v>2242.8574585955057</v>
      </c>
      <c r="AD16" s="344">
        <f t="shared" si="1"/>
        <v>26622.28297236493</v>
      </c>
      <c r="AE16" s="344">
        <f t="shared" si="1"/>
        <v>30876.224273909556</v>
      </c>
      <c r="AF16" s="344">
        <f t="shared" si="1"/>
        <v>50661.799355697818</v>
      </c>
      <c r="AG16" s="344">
        <f t="shared" si="1"/>
        <v>9248.6399346417129</v>
      </c>
      <c r="AH16" s="344">
        <f t="shared" si="1"/>
        <v>655026.89317363128</v>
      </c>
      <c r="AI16" s="344">
        <f t="shared" si="1"/>
        <v>62237.503041306569</v>
      </c>
      <c r="AJ16" s="344">
        <f t="shared" si="1"/>
        <v>274806.58149262803</v>
      </c>
      <c r="AK16" s="344">
        <f t="shared" si="1"/>
        <v>247453.4504613356</v>
      </c>
      <c r="AL16" s="344">
        <f t="shared" si="1"/>
        <v>498063.66500456358</v>
      </c>
      <c r="AM16" s="344">
        <f t="shared" si="1"/>
        <v>387051.26529874891</v>
      </c>
      <c r="AN16" s="344">
        <f t="shared" si="1"/>
        <v>464440.01007960422</v>
      </c>
      <c r="AO16" s="457">
        <f t="shared" ref="AO16:AO18" si="2">SUM(B16:AN16)</f>
        <v>8559739.3909612577</v>
      </c>
    </row>
    <row r="17" spans="1:41" x14ac:dyDescent="0.25">
      <c r="A17" s="121" t="s">
        <v>1083</v>
      </c>
      <c r="B17" s="344">
        <f>B7-B14</f>
        <v>261951.70500655018</v>
      </c>
      <c r="C17" s="344">
        <f t="shared" ref="C17:AN17" si="3">C7-C14</f>
        <v>34699.612338499501</v>
      </c>
      <c r="D17" s="344">
        <f t="shared" si="3"/>
        <v>106437.79607912007</v>
      </c>
      <c r="E17" s="344">
        <f t="shared" si="3"/>
        <v>174132.18404906994</v>
      </c>
      <c r="F17" s="344">
        <f t="shared" si="3"/>
        <v>41870.367054559989</v>
      </c>
      <c r="G17" s="344">
        <f t="shared" si="3"/>
        <v>21268.475145345503</v>
      </c>
      <c r="H17" s="344">
        <f t="shared" si="3"/>
        <v>210036.73706245003</v>
      </c>
      <c r="I17" s="344">
        <f t="shared" si="3"/>
        <v>37366.424187576398</v>
      </c>
      <c r="J17" s="344">
        <f t="shared" si="3"/>
        <v>7226.4460989479558</v>
      </c>
      <c r="K17" s="344">
        <f t="shared" si="3"/>
        <v>50255.160923719988</v>
      </c>
      <c r="L17" s="344">
        <f t="shared" si="3"/>
        <v>31951.173445077991</v>
      </c>
      <c r="M17" s="344">
        <f t="shared" si="3"/>
        <v>138396.33551256009</v>
      </c>
      <c r="N17" s="344">
        <f t="shared" si="3"/>
        <v>36004.480252500041</v>
      </c>
      <c r="O17" s="344">
        <f t="shared" si="3"/>
        <v>59692.77252807992</v>
      </c>
      <c r="P17" s="344">
        <f t="shared" si="3"/>
        <v>8044.395276994328</v>
      </c>
      <c r="Q17" s="344">
        <f t="shared" si="3"/>
        <v>23076.774164920032</v>
      </c>
      <c r="R17" s="344">
        <f t="shared" si="3"/>
        <v>4158.8506581464499</v>
      </c>
      <c r="S17" s="344">
        <f t="shared" si="3"/>
        <v>93709.261523899972</v>
      </c>
      <c r="T17" s="344">
        <f t="shared" si="3"/>
        <v>6358.3019159522992</v>
      </c>
      <c r="U17" s="344">
        <f t="shared" si="3"/>
        <v>53329.744717599999</v>
      </c>
      <c r="V17" s="344">
        <f t="shared" si="3"/>
        <v>742.96633349679178</v>
      </c>
      <c r="W17" s="344">
        <f t="shared" si="3"/>
        <v>12062.414664161042</v>
      </c>
      <c r="X17" s="344">
        <f t="shared" si="3"/>
        <v>34742.921933570011</v>
      </c>
      <c r="Y17" s="344">
        <f t="shared" si="3"/>
        <v>68869.240885639971</v>
      </c>
      <c r="Z17" s="344">
        <f t="shared" si="3"/>
        <v>92961.678210349753</v>
      </c>
      <c r="AA17" s="344">
        <f t="shared" si="3"/>
        <v>100118.90481787</v>
      </c>
      <c r="AB17" s="344">
        <f t="shared" si="3"/>
        <v>189829.72532189998</v>
      </c>
      <c r="AC17" s="344">
        <f t="shared" si="3"/>
        <v>42122.378458137006</v>
      </c>
      <c r="AD17" s="344">
        <f t="shared" si="3"/>
        <v>1196.6453329273936</v>
      </c>
      <c r="AE17" s="344">
        <f t="shared" si="3"/>
        <v>3910.7122143242959</v>
      </c>
      <c r="AF17" s="344">
        <f t="shared" si="3"/>
        <v>29623.514770142036</v>
      </c>
      <c r="AG17" s="344">
        <f t="shared" si="3"/>
        <v>7268.5316171630038</v>
      </c>
      <c r="AH17" s="344">
        <f t="shared" si="3"/>
        <v>30607.185036967508</v>
      </c>
      <c r="AI17" s="344">
        <f t="shared" si="3"/>
        <v>3883.0954290025111</v>
      </c>
      <c r="AJ17" s="344">
        <f t="shared" si="3"/>
        <v>24753.768707019975</v>
      </c>
      <c r="AK17" s="344">
        <f t="shared" si="3"/>
        <v>27602.203676093952</v>
      </c>
      <c r="AL17" s="344">
        <f t="shared" si="3"/>
        <v>68401.376251069945</v>
      </c>
      <c r="AM17" s="344">
        <f t="shared" si="3"/>
        <v>15902.13400105515</v>
      </c>
      <c r="AN17" s="344">
        <f t="shared" si="3"/>
        <v>20854.564735059161</v>
      </c>
      <c r="AO17" s="457">
        <f t="shared" si="2"/>
        <v>2175420.9603375201</v>
      </c>
    </row>
    <row r="18" spans="1:41" x14ac:dyDescent="0.25">
      <c r="A18" s="121" t="s">
        <v>1084</v>
      </c>
      <c r="B18" s="344">
        <f>B15+B16+B17</f>
        <v>1183611.8269754262</v>
      </c>
      <c r="C18" s="344">
        <f t="shared" ref="C18:AN18" si="4">C15+C16+C17</f>
        <v>95754.758676922065</v>
      </c>
      <c r="D18" s="344">
        <f t="shared" si="4"/>
        <v>384363.31644598173</v>
      </c>
      <c r="E18" s="344">
        <f t="shared" si="4"/>
        <v>526499.4754478957</v>
      </c>
      <c r="F18" s="344">
        <f t="shared" si="4"/>
        <v>1087765.8836466994</v>
      </c>
      <c r="G18" s="344">
        <f t="shared" si="4"/>
        <v>21773.538325770438</v>
      </c>
      <c r="H18" s="344">
        <f t="shared" si="4"/>
        <v>476975.34015582805</v>
      </c>
      <c r="I18" s="344">
        <f t="shared" si="4"/>
        <v>1782881.9850823712</v>
      </c>
      <c r="J18" s="344">
        <f t="shared" si="4"/>
        <v>458429.57002898154</v>
      </c>
      <c r="K18" s="344">
        <f t="shared" si="4"/>
        <v>819176.20611457271</v>
      </c>
      <c r="L18" s="344">
        <f t="shared" si="4"/>
        <v>49840.38319707138</v>
      </c>
      <c r="M18" s="344">
        <f t="shared" si="4"/>
        <v>264659.08028609783</v>
      </c>
      <c r="N18" s="344">
        <f t="shared" si="4"/>
        <v>769733.41808108834</v>
      </c>
      <c r="O18" s="344">
        <f t="shared" si="4"/>
        <v>828673.71056960034</v>
      </c>
      <c r="P18" s="344">
        <f t="shared" si="4"/>
        <v>241824.56323169585</v>
      </c>
      <c r="Q18" s="344">
        <f t="shared" si="4"/>
        <v>246814.27028150437</v>
      </c>
      <c r="R18" s="344">
        <f t="shared" si="4"/>
        <v>4285.7491912003497</v>
      </c>
      <c r="S18" s="344">
        <f t="shared" si="4"/>
        <v>178246.72078017835</v>
      </c>
      <c r="T18" s="344">
        <f t="shared" si="4"/>
        <v>6495.4972264639991</v>
      </c>
      <c r="U18" s="344">
        <f t="shared" si="4"/>
        <v>106361.17112664782</v>
      </c>
      <c r="V18" s="344">
        <f t="shared" si="4"/>
        <v>64243.015453628861</v>
      </c>
      <c r="W18" s="344">
        <f t="shared" si="4"/>
        <v>534860.91880764207</v>
      </c>
      <c r="X18" s="344">
        <f t="shared" si="4"/>
        <v>72691.488463081871</v>
      </c>
      <c r="Y18" s="344">
        <f t="shared" si="4"/>
        <v>578435.98666543269</v>
      </c>
      <c r="Z18" s="344">
        <f t="shared" si="4"/>
        <v>1740522.0190968888</v>
      </c>
      <c r="AA18" s="344">
        <f t="shared" si="4"/>
        <v>310501.91638817242</v>
      </c>
      <c r="AB18" s="344">
        <f t="shared" si="4"/>
        <v>1118256.768589003</v>
      </c>
      <c r="AC18" s="344">
        <f t="shared" si="4"/>
        <v>46608.093375328019</v>
      </c>
      <c r="AD18" s="344">
        <f t="shared" si="4"/>
        <v>54441.211277657254</v>
      </c>
      <c r="AE18" s="344">
        <f t="shared" si="4"/>
        <v>65663.160762143409</v>
      </c>
      <c r="AF18" s="344">
        <f t="shared" si="4"/>
        <v>130947.11348153767</v>
      </c>
      <c r="AG18" s="344">
        <f t="shared" si="4"/>
        <v>25765.81148644643</v>
      </c>
      <c r="AH18" s="344">
        <f t="shared" si="4"/>
        <v>1340660.9713842301</v>
      </c>
      <c r="AI18" s="344">
        <f t="shared" si="4"/>
        <v>128358.10151161565</v>
      </c>
      <c r="AJ18" s="344">
        <f t="shared" si="4"/>
        <v>574366.93169227603</v>
      </c>
      <c r="AK18" s="344">
        <f t="shared" si="4"/>
        <v>522509.10459876515</v>
      </c>
      <c r="AL18" s="344">
        <f t="shared" si="4"/>
        <v>1064528.7062601971</v>
      </c>
      <c r="AM18" s="344">
        <f t="shared" si="4"/>
        <v>790004.66459855298</v>
      </c>
      <c r="AN18" s="344">
        <f t="shared" si="4"/>
        <v>949734.58489426761</v>
      </c>
      <c r="AO18" s="457">
        <f t="shared" si="2"/>
        <v>19647267.033658866</v>
      </c>
    </row>
    <row r="19" spans="1:41" x14ac:dyDescent="0.25">
      <c r="A19" s="148" t="s">
        <v>1024</v>
      </c>
      <c r="B19" s="342">
        <f>B8*Parameters!$B$22*Parameters!$C$22</f>
        <v>18237517.456327196</v>
      </c>
      <c r="C19" s="342">
        <f>C8*Parameters!$B$22*Parameters!$C$22</f>
        <v>1116425.1333895198</v>
      </c>
      <c r="D19" s="342">
        <f>D8*Parameters!$B$22*Parameters!$C$22</f>
        <v>7235768.1631247988</v>
      </c>
      <c r="E19" s="342">
        <f>E8*Parameters!$B$22*Parameters!$C$22</f>
        <v>7775006.2074827999</v>
      </c>
      <c r="F19" s="342">
        <f>F8*Parameters!$B$22*Parameters!$C$22</f>
        <v>19811533.829426277</v>
      </c>
      <c r="G19" s="342">
        <f>G8*Parameters!$B$22*Parameters!$C$22</f>
        <v>27.89720964432</v>
      </c>
      <c r="H19" s="342">
        <f>H8*Parameters!$B$22*Parameters!$C$22</f>
        <v>7069677.4689443996</v>
      </c>
      <c r="I19" s="342">
        <f>I8*Parameters!$B$22*Parameters!$C$22</f>
        <v>32850614.894380562</v>
      </c>
      <c r="J19" s="342">
        <f>J8*Parameters!$B$22*Parameters!$C$22</f>
        <v>7991364.6367952405</v>
      </c>
      <c r="K19" s="342">
        <f>K8*Parameters!$B$22*Parameters!$C$22</f>
        <v>7369962.6562372791</v>
      </c>
      <c r="L19" s="342">
        <f>L8*Parameters!$B$22*Parameters!$C$22</f>
        <v>12140.2819384092</v>
      </c>
      <c r="M19" s="342">
        <f>M8*Parameters!$B$22*Parameters!$C$22</f>
        <v>430123.17396743997</v>
      </c>
      <c r="N19" s="342">
        <f>N8*Parameters!$B$22*Parameters!$C$22</f>
        <v>14833931.583055103</v>
      </c>
      <c r="O19" s="342">
        <f>O8*Parameters!$B$22*Parameters!$C$22</f>
        <v>2924882.1424879199</v>
      </c>
      <c r="P19" s="342">
        <f>P8*Parameters!$B$22*Parameters!$C$22</f>
        <v>4526357.9600948393</v>
      </c>
      <c r="Q19" s="342">
        <f>Q8*Parameters!$B$22*Parameters!$C$22</f>
        <v>1087516.4782853879</v>
      </c>
      <c r="R19" s="342">
        <f>R8*Parameters!$B$22*Parameters!$C$22</f>
        <v>446.35535430840002</v>
      </c>
      <c r="S19" s="342">
        <f>S8*Parameters!$B$22*Parameters!$C$22</f>
        <v>864047.22084971983</v>
      </c>
      <c r="T19" s="342">
        <f>T8*Parameters!$B$22*Parameters!$C$22</f>
        <v>753.22464752159988</v>
      </c>
      <c r="U19" s="342">
        <f>U8*Parameters!$B$22*Parameters!$C$22</f>
        <v>37846.589707043997</v>
      </c>
      <c r="V19" s="342">
        <f>V8*Parameters!$B$22*Parameters!$C$22</f>
        <v>1189822.0781268</v>
      </c>
      <c r="W19" s="342">
        <f>W8*Parameters!$B$22*Parameters!$C$22</f>
        <v>5142176.7300663125</v>
      </c>
      <c r="X19" s="342">
        <f>X8*Parameters!$B$22*Parameters!$C$22</f>
        <v>59168.364148656001</v>
      </c>
      <c r="Y19" s="342">
        <f>Y8*Parameters!$B$22*Parameters!$C$22</f>
        <v>12640786.7643252</v>
      </c>
      <c r="Z19" s="342">
        <f>Z8*Parameters!$B$22*Parameters!$C$22</f>
        <v>32179076.20023156</v>
      </c>
      <c r="AA19" s="342">
        <f>AA8*Parameters!$B$22*Parameters!$C$22</f>
        <v>318681.38407788001</v>
      </c>
      <c r="AB19" s="342">
        <f>AB8*Parameters!$B$22*Parameters!$C$22</f>
        <v>14998926.163392002</v>
      </c>
      <c r="AC19" s="342">
        <f>AC8*Parameters!$B$22*Parameters!$C$22</f>
        <v>123536.02051367999</v>
      </c>
      <c r="AD19" s="342">
        <f>AD8*Parameters!$B$22*Parameters!$C$22</f>
        <v>997157.941585992</v>
      </c>
      <c r="AE19" s="342">
        <f>AE8*Parameters!$B$22*Parameters!$C$22</f>
        <v>1047173.1652843201</v>
      </c>
      <c r="AF19" s="342">
        <f>AF8*Parameters!$B$22*Parameters!$C$22</f>
        <v>2180544.1938090003</v>
      </c>
      <c r="AG19" s="342">
        <f>AG8*Parameters!$B$22*Parameters!$C$22</f>
        <v>494945.95519583998</v>
      </c>
      <c r="AH19" s="342">
        <f>AH8*Parameters!$B$22*Parameters!$C$22</f>
        <v>23843360.378846519</v>
      </c>
      <c r="AI19" s="342">
        <f>AI8*Parameters!$B$22*Parameters!$C$22</f>
        <v>2303510.8187473197</v>
      </c>
      <c r="AJ19" s="342">
        <f>AJ8*Parameters!$B$22*Parameters!$C$22</f>
        <v>1582595.3901315597</v>
      </c>
      <c r="AK19" s="342">
        <f>AK8*Parameters!$B$22*Parameters!$C$22</f>
        <v>9817512.6011634003</v>
      </c>
      <c r="AL19" s="342">
        <f>AL8*Parameters!$B$22*Parameters!$C$22</f>
        <v>4020744.2025711597</v>
      </c>
      <c r="AM19" s="342">
        <f>AM8*Parameters!$B$22*Parameters!$C$22</f>
        <v>15152314.36029912</v>
      </c>
      <c r="AN19" s="342">
        <f>AN8*Parameters!$B$22*Parameters!$C$22</f>
        <v>18116270.821607001</v>
      </c>
    </row>
    <row r="20" spans="1:41" x14ac:dyDescent="0.25">
      <c r="A20" s="121" t="s">
        <v>202</v>
      </c>
      <c r="B20" s="342">
        <f>B9*Parameters!$B$23*Parameters!$C$23</f>
        <v>1674788.8223098561</v>
      </c>
      <c r="C20" s="342">
        <f>C9*Parameters!$B$23*Parameters!$C$23</f>
        <v>138638.64749522481</v>
      </c>
      <c r="D20" s="342">
        <f>D9*Parameters!$B$23*Parameters!$C$23</f>
        <v>34481.55245025568</v>
      </c>
      <c r="E20" s="342">
        <f>E9*Parameters!$B$23*Parameters!$C$23</f>
        <v>546454.24585734401</v>
      </c>
      <c r="F20" s="342">
        <f>F9*Parameters!$B$23*Parameters!$C$23</f>
        <v>664878.27642077603</v>
      </c>
      <c r="G20" s="342">
        <f>G9*Parameters!$B$23*Parameters!$C$23</f>
        <v>18190.58015900664</v>
      </c>
      <c r="H20" s="342">
        <f>H9*Parameters!$B$23*Parameters!$C$23</f>
        <v>574257.37022922398</v>
      </c>
      <c r="I20" s="342">
        <f>I9*Parameters!$B$23*Parameters!$C$23</f>
        <v>926104.89408993593</v>
      </c>
      <c r="J20" s="342">
        <f>J9*Parameters!$B$23*Parameters!$C$23</f>
        <v>829439.29104968801</v>
      </c>
      <c r="K20" s="342">
        <f>K9*Parameters!$B$23*Parameters!$C$23</f>
        <v>5938879.2616278408</v>
      </c>
      <c r="L20" s="342">
        <f>L9*Parameters!$B$23*Parameters!$C$23</f>
        <v>133588.87751592239</v>
      </c>
      <c r="M20" s="342">
        <f>M9*Parameters!$B$23*Parameters!$C$23</f>
        <v>3341785.4378157044</v>
      </c>
      <c r="N20" s="342">
        <f>N9*Parameters!$B$23*Parameters!$C$23</f>
        <v>175933.56206943438</v>
      </c>
      <c r="O20" s="342">
        <f>O9*Parameters!$B$23*Parameters!$C$23</f>
        <v>10544739.485064402</v>
      </c>
      <c r="P20" s="342">
        <f>P9*Parameters!$B$23*Parameters!$C$23</f>
        <v>11044.496600371522</v>
      </c>
      <c r="Q20" s="342">
        <f>Q9*Parameters!$B$23*Parameters!$C$23</f>
        <v>2937161.2261178</v>
      </c>
      <c r="R20" s="342">
        <f>R9*Parameters!$B$23*Parameters!$C$23</f>
        <v>3236.4573072974558</v>
      </c>
      <c r="S20" s="342">
        <f>S9*Parameters!$B$23*Parameters!$C$23</f>
        <v>1465449.569896664</v>
      </c>
      <c r="T20" s="342">
        <f>T9*Parameters!$B$23*Parameters!$C$23</f>
        <v>3803.6794663788796</v>
      </c>
      <c r="U20" s="342">
        <f>U9*Parameters!$B$23*Parameters!$C$23</f>
        <v>1589384.1692882562</v>
      </c>
      <c r="V20" s="342">
        <f>V9*Parameters!$B$23*Parameters!$C$23</f>
        <v>6229.4646698636006</v>
      </c>
      <c r="W20" s="342">
        <f>W9*Parameters!$B$23*Parameters!$C$23</f>
        <v>3924971.0677320003</v>
      </c>
      <c r="X20" s="342">
        <f>X9*Parameters!$B$23*Parameters!$C$23</f>
        <v>600193.21772801597</v>
      </c>
      <c r="Y20" s="342">
        <f>Y9*Parameters!$B$23*Parameters!$C$23</f>
        <v>29841.209793980637</v>
      </c>
      <c r="Z20" s="342">
        <f>Z9*Parameters!$B$23*Parameters!$C$23</f>
        <v>1412002.2174113679</v>
      </c>
      <c r="AA20" s="342">
        <f>AA9*Parameters!$B$23*Parameters!$C$23</f>
        <v>3232719.7087492556</v>
      </c>
      <c r="AB20" s="342">
        <f>AB9*Parameters!$B$23*Parameters!$C$23</f>
        <v>5212657.0865987195</v>
      </c>
      <c r="AC20" s="342">
        <f>AC9*Parameters!$B$23*Parameters!$C$23</f>
        <v>24177.916327827679</v>
      </c>
      <c r="AD20" s="342">
        <f>AD9*Parameters!$B$23*Parameters!$C$23</f>
        <v>10695.105102432961</v>
      </c>
      <c r="AE20" s="342">
        <f>AE9*Parameters!$B$23*Parameters!$C$23</f>
        <v>69645.142624085609</v>
      </c>
      <c r="AF20" s="342">
        <f>AF9*Parameters!$B$23*Parameters!$C$23</f>
        <v>73494.890996639195</v>
      </c>
      <c r="AG20" s="342">
        <f>AG9*Parameters!$B$23*Parameters!$C$23</f>
        <v>3486.3575877340318</v>
      </c>
      <c r="AH20" s="342">
        <f>AH9*Parameters!$B$23*Parameters!$C$23</f>
        <v>1531750.3492297602</v>
      </c>
      <c r="AI20" s="342">
        <f>AI9*Parameters!$B$23*Parameters!$C$23</f>
        <v>181262.71236857519</v>
      </c>
      <c r="AJ20" s="342">
        <f>AJ9*Parameters!$B$23*Parameters!$C$23</f>
        <v>5500583.1618610397</v>
      </c>
      <c r="AK20" s="342">
        <f>AK9*Parameters!$B$23*Parameters!$C$23</f>
        <v>33267.45016402808</v>
      </c>
      <c r="AL20" s="342">
        <f>AL9*Parameters!$B$23*Parameters!$C$23</f>
        <v>10158012.835508561</v>
      </c>
      <c r="AM20" s="342">
        <f>AM9*Parameters!$B$23*Parameters!$C$23</f>
        <v>177952.51547304</v>
      </c>
      <c r="AN20" s="342">
        <f>AN9*Parameters!$B$23*Parameters!$C$23</f>
        <v>207394.67502153839</v>
      </c>
      <c r="AO20" s="454">
        <f>SUM(B20:AN20)</f>
        <v>63942576.987779856</v>
      </c>
    </row>
    <row r="21" spans="1:41" x14ac:dyDescent="0.25">
      <c r="A21" s="121" t="s">
        <v>91</v>
      </c>
      <c r="B21" s="342">
        <f>B10*Parameters!$B$24*Parameters!$C$24</f>
        <v>2227536.4499999997</v>
      </c>
      <c r="C21" s="342">
        <f>C10*Parameters!$B$24*Parameters!$C$24</f>
        <v>175060.57499999998</v>
      </c>
      <c r="D21" s="342">
        <f>D10*Parameters!$B$24*Parameters!$C$24</f>
        <v>527580.84375</v>
      </c>
      <c r="E21" s="342">
        <f>E10*Parameters!$B$24*Parameters!$C$24</f>
        <v>856265.79375359998</v>
      </c>
      <c r="F21" s="342">
        <f>F10*Parameters!$B$24*Parameters!$C$24</f>
        <v>3426580.8</v>
      </c>
      <c r="G21" s="342">
        <f>G10*Parameters!$B$24*Parameters!$C$24</f>
        <v>0</v>
      </c>
      <c r="H21" s="342">
        <f>H10*Parameters!$B$24*Parameters!$C$24</f>
        <v>366569.32500000001</v>
      </c>
      <c r="I21" s="342">
        <f>I10*Parameters!$B$24*Parameters!$C$24</f>
        <v>5660806.9500000002</v>
      </c>
      <c r="J21" s="342">
        <f>J10*Parameters!$B$24*Parameters!$C$24</f>
        <v>1289944.6875</v>
      </c>
      <c r="K21" s="342">
        <f>K10*Parameters!$B$24*Parameters!$C$24</f>
        <v>2471759.7749999999</v>
      </c>
      <c r="L21" s="342">
        <f>L10*Parameters!$B$24*Parameters!$C$24</f>
        <v>99559.560937679998</v>
      </c>
      <c r="M21" s="342">
        <f>M10*Parameters!$B$24*Parameters!$C$24</f>
        <v>24142.245117192</v>
      </c>
      <c r="N21" s="342">
        <f>N10*Parameters!$B$24*Parameters!$C$24</f>
        <v>2279229.9750000001</v>
      </c>
      <c r="O21" s="342">
        <f>O10*Parameters!$B$24*Parameters!$C$24</f>
        <v>2195036.1</v>
      </c>
      <c r="P21" s="342">
        <f>P10*Parameters!$B$24*Parameters!$C$24</f>
        <v>718263.9</v>
      </c>
      <c r="Q21" s="342">
        <f>Q10*Parameters!$B$24*Parameters!$C$24</f>
        <v>666012.43125000002</v>
      </c>
      <c r="R21" s="342">
        <f>R10*Parameters!$B$24*Parameters!$C$24</f>
        <v>178.54214172336</v>
      </c>
      <c r="S21" s="342">
        <f>S10*Parameters!$B$24*Parameters!$C$24</f>
        <v>83474.029687679998</v>
      </c>
      <c r="T21" s="342">
        <f>T10*Parameters!$B$24*Parameters!$C$24</f>
        <v>78.112188720719999</v>
      </c>
      <c r="U21" s="342">
        <f>U10*Parameters!$B$24*Parameters!$C$24</f>
        <v>47704.229296847996</v>
      </c>
      <c r="V21" s="342">
        <f>V10*Parameters!$B$24*Parameters!$C$24</f>
        <v>217609.39687535999</v>
      </c>
      <c r="W21" s="342">
        <f>W10*Parameters!$B$24*Parameters!$C$24</f>
        <v>1683312.075</v>
      </c>
      <c r="X21" s="342">
        <f>X10*Parameters!$B$24*Parameters!$C$24</f>
        <v>123076.91249999999</v>
      </c>
      <c r="Y21" s="342">
        <f>Y10*Parameters!$B$24*Parameters!$C$24</f>
        <v>1074689.7749999999</v>
      </c>
      <c r="Z21" s="342">
        <f>Z10*Parameters!$B$24*Parameters!$C$24</f>
        <v>4881096.45</v>
      </c>
      <c r="AA21" s="342">
        <f>AA10*Parameters!$B$24*Parameters!$C$24</f>
        <v>779699.13749999995</v>
      </c>
      <c r="AB21" s="342">
        <f>AB10*Parameters!$B$24*Parameters!$C$24</f>
        <v>2308734</v>
      </c>
      <c r="AC21" s="342">
        <f>AC10*Parameters!$B$24*Parameters!$C$24</f>
        <v>2733.9264404279998</v>
      </c>
      <c r="AD21" s="342">
        <f>AD10*Parameters!$B$24*Parameters!$C$24</f>
        <v>176907.36093768</v>
      </c>
      <c r="AE21" s="342">
        <f>AE10*Parameters!$B$24*Parameters!$C$24</f>
        <v>171428.35781232</v>
      </c>
      <c r="AF21" s="342">
        <f>AF10*Parameters!$B$24*Parameters!$C$24</f>
        <v>251549.12812536</v>
      </c>
      <c r="AG21" s="342">
        <f>AG10*Parameters!$B$24*Parameters!$C$24</f>
        <v>32639.733984383998</v>
      </c>
      <c r="AH21" s="342">
        <f>AH10*Parameters!$B$24*Parameters!$C$24</f>
        <v>3540836.6999999997</v>
      </c>
      <c r="AI21" s="342">
        <f>AI10*Parameters!$B$24*Parameters!$C$24</f>
        <v>383608.94062536</v>
      </c>
      <c r="AJ21" s="342">
        <f>AJ10*Parameters!$B$24*Parameters!$C$24</f>
        <v>2167205.85</v>
      </c>
      <c r="AK21" s="342">
        <f>AK10*Parameters!$B$24*Parameters!$C$24</f>
        <v>1525514.2874999999</v>
      </c>
      <c r="AL21" s="342">
        <f>AL10*Parameters!$B$24*Parameters!$C$24</f>
        <v>3538571.4</v>
      </c>
      <c r="AM21" s="342">
        <f>AM10*Parameters!$B$24*Parameters!$C$24</f>
        <v>2394752.1749999998</v>
      </c>
      <c r="AN21" s="342">
        <f>AN10*Parameters!$B$24*Parameters!$C$24</f>
        <v>2835862.875</v>
      </c>
    </row>
    <row r="22" spans="1:41" x14ac:dyDescent="0.25">
      <c r="A22" s="121" t="s">
        <v>628</v>
      </c>
      <c r="B22" s="342">
        <f>B11*Parameters!$B$25*Parameters!$C$25</f>
        <v>261422.40928999998</v>
      </c>
      <c r="C22" s="342">
        <f>C11*Parameters!$B$25*Parameters!$C$25</f>
        <v>1005.7974427299999</v>
      </c>
      <c r="D22" s="342">
        <f>D11*Parameters!$B$25*Parameters!$C$25</f>
        <v>957.71909905799998</v>
      </c>
      <c r="E22" s="342">
        <f>E11*Parameters!$B$25*Parameters!$C$25</f>
        <v>62784.652685900008</v>
      </c>
      <c r="F22" s="342">
        <f>F11*Parameters!$B$25*Parameters!$C$25</f>
        <v>0</v>
      </c>
      <c r="G22" s="342">
        <f>G11*Parameters!$B$25*Parameters!$C$25</f>
        <v>11.4750201816</v>
      </c>
      <c r="H22" s="342">
        <f>H11*Parameters!$B$25*Parameters!$C$25</f>
        <v>144187.99529200001</v>
      </c>
      <c r="I22" s="342">
        <f>I11*Parameters!$B$25*Parameters!$C$25</f>
        <v>47.777855867699998</v>
      </c>
      <c r="J22" s="342">
        <f>J11*Parameters!$B$25*Parameters!$C$25</f>
        <v>987.035406061</v>
      </c>
      <c r="K22" s="342">
        <f>K11*Parameters!$B$25*Parameters!$C$25</f>
        <v>247837.83536599998</v>
      </c>
      <c r="L22" s="342">
        <f>L11*Parameters!$B$25*Parameters!$C$25</f>
        <v>168.86907186900001</v>
      </c>
      <c r="M22" s="342">
        <f>M11*Parameters!$B$25*Parameters!$C$25</f>
        <v>209894.33069199999</v>
      </c>
      <c r="N22" s="342">
        <f>N11*Parameters!$B$25*Parameters!$C$25</f>
        <v>0</v>
      </c>
      <c r="O22" s="342">
        <f>O11*Parameters!$B$25*Parameters!$C$25</f>
        <v>162389.701718</v>
      </c>
      <c r="P22" s="342">
        <f>P11*Parameters!$B$25*Parameters!$C$25</f>
        <v>3741.4582883400003</v>
      </c>
      <c r="Q22" s="342">
        <f>Q11*Parameters!$B$25*Parameters!$C$25</f>
        <v>61245.903160299997</v>
      </c>
      <c r="R22" s="342">
        <f>R11*Parameters!$B$25*Parameters!$C$25</f>
        <v>0</v>
      </c>
      <c r="S22" s="342">
        <f>S11*Parameters!$B$25*Parameters!$C$25</f>
        <v>146431.28624399999</v>
      </c>
      <c r="T22" s="342">
        <f>T11*Parameters!$B$25*Parameters!$C$25</f>
        <v>0</v>
      </c>
      <c r="U22" s="342">
        <f>U11*Parameters!$B$25*Parameters!$C$25</f>
        <v>122.79100749200001</v>
      </c>
      <c r="V22" s="342">
        <f>V11*Parameters!$B$25*Parameters!$C$25</f>
        <v>0</v>
      </c>
      <c r="W22" s="342">
        <f>W11*Parameters!$B$25*Parameters!$C$25</f>
        <v>25829.818375299998</v>
      </c>
      <c r="X22" s="342">
        <f>X11*Parameters!$B$25*Parameters!$C$25</f>
        <v>11822.405553299999</v>
      </c>
      <c r="Y22" s="342">
        <f>Y11*Parameters!$B$25*Parameters!$C$25</f>
        <v>492.15675378099996</v>
      </c>
      <c r="Z22" s="342">
        <f>Z11*Parameters!$B$25*Parameters!$C$25</f>
        <v>249589.48654000001</v>
      </c>
      <c r="AA22" s="342">
        <f>AA11*Parameters!$B$25*Parameters!$C$25</f>
        <v>0.17765178660200001</v>
      </c>
      <c r="AB22" s="342">
        <f>AB11*Parameters!$B$25*Parameters!$C$25</f>
        <v>534053.23957700003</v>
      </c>
      <c r="AC22" s="342">
        <f>AC11*Parameters!$B$25*Parameters!$C$25</f>
        <v>64.083862389900005</v>
      </c>
      <c r="AD22" s="342">
        <f>AD11*Parameters!$B$25*Parameters!$C$25</f>
        <v>5.0543134744299998</v>
      </c>
      <c r="AE22" s="342">
        <f>AE11*Parameters!$B$25*Parameters!$C$25</f>
        <v>26798.400023699996</v>
      </c>
      <c r="AF22" s="342">
        <f>AF11*Parameters!$B$25*Parameters!$C$25</f>
        <v>338685.96660699998</v>
      </c>
      <c r="AG22" s="342">
        <f>AG11*Parameters!$B$25*Parameters!$C$25</f>
        <v>65.902234475499995</v>
      </c>
      <c r="AH22" s="342">
        <f>AH11*Parameters!$B$25*Parameters!$C$25</f>
        <v>757.344071267</v>
      </c>
      <c r="AI22" s="342">
        <f>AI11*Parameters!$B$25*Parameters!$C$25</f>
        <v>0</v>
      </c>
      <c r="AJ22" s="342">
        <f>AJ11*Parameters!$B$25*Parameters!$C$25</f>
        <v>99649.043699200003</v>
      </c>
      <c r="AK22" s="342">
        <f>AK11*Parameters!$B$25*Parameters!$C$25</f>
        <v>221.68210511200002</v>
      </c>
      <c r="AL22" s="342">
        <f>AL11*Parameters!$B$25*Parameters!$C$25</f>
        <v>211938.236087</v>
      </c>
      <c r="AM22" s="342">
        <f>AM11*Parameters!$B$25*Parameters!$C$25</f>
        <v>129.89228131799999</v>
      </c>
      <c r="AN22" s="342">
        <f>AN11*Parameters!$B$25*Parameters!$C$25</f>
        <v>6589.8867034599998</v>
      </c>
    </row>
    <row r="23" spans="1:41" x14ac:dyDescent="0.25">
      <c r="A23" s="121" t="s">
        <v>631</v>
      </c>
      <c r="B23" s="342">
        <f>B12*Parameters!$B$26*Parameters!$C$26</f>
        <v>557294.59662999993</v>
      </c>
      <c r="C23" s="342">
        <f>C12*Parameters!$B$26*Parameters!$C$26</f>
        <v>76916.853665500006</v>
      </c>
      <c r="D23" s="342">
        <f>D12*Parameters!$B$26*Parameters!$C$26</f>
        <v>0</v>
      </c>
      <c r="E23" s="342">
        <f>E12*Parameters!$B$26*Parameters!$C$26</f>
        <v>46641.133742899998</v>
      </c>
      <c r="F23" s="342">
        <f>F12*Parameters!$B$26*Parameters!$C$26</f>
        <v>45078.621756299995</v>
      </c>
      <c r="G23" s="342">
        <f>G12*Parameters!$B$26*Parameters!$C$26</f>
        <v>0</v>
      </c>
      <c r="H23" s="342">
        <f>H12*Parameters!$B$26*Parameters!$C$26</f>
        <v>43637.528004899999</v>
      </c>
      <c r="I23" s="342">
        <f>I12*Parameters!$B$26*Parameters!$C$26</f>
        <v>298186.17983400001</v>
      </c>
      <c r="J23" s="342">
        <f>J12*Parameters!$B$26*Parameters!$C$26</f>
        <v>1023646.225015</v>
      </c>
      <c r="K23" s="342">
        <f>K12*Parameters!$B$26*Parameters!$C$26</f>
        <v>2231794.7122200001</v>
      </c>
      <c r="L23" s="342">
        <f>L12*Parameters!$B$26*Parameters!$C$26</f>
        <v>0</v>
      </c>
      <c r="M23" s="342">
        <f>M12*Parameters!$B$26*Parameters!$C$26</f>
        <v>793141.51796500001</v>
      </c>
      <c r="N23" s="342">
        <f>N12*Parameters!$B$26*Parameters!$C$26</f>
        <v>0</v>
      </c>
      <c r="O23" s="342">
        <f>O12*Parameters!$B$26*Parameters!$C$26</f>
        <v>3555475.634205</v>
      </c>
      <c r="P23" s="342">
        <f>P12*Parameters!$B$26*Parameters!$C$26</f>
        <v>0</v>
      </c>
      <c r="Q23" s="342">
        <f>Q12*Parameters!$B$26*Parameters!$C$26</f>
        <v>871730.14521500003</v>
      </c>
      <c r="R23" s="342">
        <f>R12*Parameters!$B$26*Parameters!$C$26</f>
        <v>0</v>
      </c>
      <c r="S23" s="342">
        <f>S12*Parameters!$B$26*Parameters!$C$26</f>
        <v>292912.02682100004</v>
      </c>
      <c r="T23" s="342">
        <f>T12*Parameters!$B$26*Parameters!$C$26</f>
        <v>0</v>
      </c>
      <c r="U23" s="342">
        <f>U12*Parameters!$B$26*Parameters!$C$26</f>
        <v>64630.156740500002</v>
      </c>
      <c r="V23" s="342">
        <f>V12*Parameters!$B$26*Parameters!$C$26</f>
        <v>0</v>
      </c>
      <c r="W23" s="342">
        <f>W12*Parameters!$B$26*Parameters!$C$26</f>
        <v>1740886.1198100001</v>
      </c>
      <c r="X23" s="342">
        <f>X12*Parameters!$B$26*Parameters!$C$26</f>
        <v>114225.8993875</v>
      </c>
      <c r="Y23" s="342">
        <f>Y12*Parameters!$B$26*Parameters!$C$26</f>
        <v>0</v>
      </c>
      <c r="Z23" s="342">
        <f>Z12*Parameters!$B$26*Parameters!$C$26</f>
        <v>445097.62501750002</v>
      </c>
      <c r="AA23" s="342">
        <f>AA12*Parameters!$B$26*Parameters!$C$26</f>
        <v>175720.22237549999</v>
      </c>
      <c r="AB23" s="342">
        <f>AB12*Parameters!$B$26*Parameters!$C$26</f>
        <v>1675677.8544900001</v>
      </c>
      <c r="AC23" s="342">
        <f>AC12*Parameters!$B$26*Parameters!$C$26</f>
        <v>0</v>
      </c>
      <c r="AD23" s="342">
        <f>AD12*Parameters!$B$26*Parameters!$C$26</f>
        <v>2678.7862378100003</v>
      </c>
      <c r="AE23" s="342">
        <f>AE12*Parameters!$B$26*Parameters!$C$26</f>
        <v>302894.02331149997</v>
      </c>
      <c r="AF23" s="342">
        <f>AF12*Parameters!$B$26*Parameters!$C$26</f>
        <v>6209.40016105</v>
      </c>
      <c r="AG23" s="342">
        <f>AG12*Parameters!$B$26*Parameters!$C$26</f>
        <v>0</v>
      </c>
      <c r="AH23" s="342">
        <f>AH12*Parameters!$B$26*Parameters!$C$26</f>
        <v>2524121.6851349999</v>
      </c>
      <c r="AI23" s="342">
        <f>AI12*Parameters!$B$26*Parameters!$C$26</f>
        <v>61091.0153765</v>
      </c>
      <c r="AJ23" s="342">
        <f>AJ12*Parameters!$B$26*Parameters!$C$26</f>
        <v>2208041.9122049999</v>
      </c>
      <c r="AK23" s="342">
        <f>AK12*Parameters!$B$26*Parameters!$C$26</f>
        <v>0</v>
      </c>
      <c r="AL23" s="342">
        <f>AL12*Parameters!$B$26*Parameters!$C$26</f>
        <v>3244976.851735</v>
      </c>
      <c r="AM23" s="342">
        <f>AM12*Parameters!$B$26*Parameters!$C$26</f>
        <v>80658.543921000004</v>
      </c>
      <c r="AN23" s="342">
        <f>AN12*Parameters!$B$26*Parameters!$C$26</f>
        <v>83661.785696499996</v>
      </c>
    </row>
    <row r="24" spans="1:41" x14ac:dyDescent="0.25">
      <c r="A24" s="121" t="s">
        <v>630</v>
      </c>
      <c r="B24" s="342">
        <f>B13*Parameters!$B$27*Parameters!$C$27</f>
        <v>1820139.0955990402</v>
      </c>
      <c r="C24" s="342">
        <f>C13*Parameters!$B$27*Parameters!$C$27</f>
        <v>13537.548162210784</v>
      </c>
      <c r="D24" s="342">
        <f>D13*Parameters!$B$27*Parameters!$C$27</f>
        <v>107662.75086300462</v>
      </c>
      <c r="E24" s="342">
        <f>E13*Parameters!$B$27*Parameters!$C$27</f>
        <v>30511.80800035115</v>
      </c>
      <c r="F24" s="342">
        <f>F13*Parameters!$B$27*Parameters!$C$27</f>
        <v>13266.79446333711</v>
      </c>
      <c r="G24" s="342">
        <f>G13*Parameters!$B$27*Parameters!$C$27</f>
        <v>0</v>
      </c>
      <c r="H24" s="342">
        <f>H13*Parameters!$B$27*Parameters!$C$27</f>
        <v>56616.496286402471</v>
      </c>
      <c r="I24" s="342">
        <f>I13*Parameters!$B$27*Parameters!$C$27</f>
        <v>605719.83543584484</v>
      </c>
      <c r="J24" s="342">
        <f>J13*Parameters!$B$27*Parameters!$C$27</f>
        <v>263603.99209931691</v>
      </c>
      <c r="K24" s="342">
        <f>K13*Parameters!$B$27*Parameters!$C$27</f>
        <v>367301.40797251067</v>
      </c>
      <c r="L24" s="342">
        <f>L13*Parameters!$B$27*Parameters!$C$27</f>
        <v>800</v>
      </c>
      <c r="M24" s="342">
        <f>M13*Parameters!$B$27*Parameters!$C$27</f>
        <v>15138.718114708327</v>
      </c>
      <c r="N24" s="342">
        <f>N13*Parameters!$B$27*Parameters!$C$27</f>
        <v>9574.2647717690452</v>
      </c>
      <c r="O24" s="342">
        <f>O13*Parameters!$B$27*Parameters!$C$27</f>
        <v>714988.54420081701</v>
      </c>
      <c r="P24" s="342">
        <f>P13*Parameters!$B$27*Parameters!$C$27</f>
        <v>317824.05955136585</v>
      </c>
      <c r="Q24" s="342">
        <f>Q13*Parameters!$B$27*Parameters!$C$27</f>
        <v>62920.358287932606</v>
      </c>
      <c r="R24" s="342">
        <f>R13*Parameters!$B$27*Parameters!$C$27</f>
        <v>0</v>
      </c>
      <c r="S24" s="342">
        <f>S13*Parameters!$B$27*Parameters!$C$27</f>
        <v>40132.228377935731</v>
      </c>
      <c r="T24" s="342">
        <f>T13*Parameters!$B$27*Parameters!$C$27</f>
        <v>0</v>
      </c>
      <c r="U24" s="342">
        <f>U13*Parameters!$B$27*Parameters!$C$27</f>
        <v>361.84560375592514</v>
      </c>
      <c r="V24" s="342">
        <f>V13*Parameters!$B$27*Parameters!$C$27</f>
        <v>2130.0596794826679</v>
      </c>
      <c r="W24" s="342">
        <f>W13*Parameters!$B$27*Parameters!$C$27</f>
        <v>92226.726467441462</v>
      </c>
      <c r="X24" s="342">
        <f>X13*Parameters!$B$27*Parameters!$C$27</f>
        <v>6927.0472093145863</v>
      </c>
      <c r="Y24" s="342">
        <f>Y13*Parameters!$B$27*Parameters!$C$27</f>
        <v>333572.21031587606</v>
      </c>
      <c r="Z24" s="342">
        <f>Z13*Parameters!$B$27*Parameters!$C$27</f>
        <v>1009355.4715791587</v>
      </c>
      <c r="AA24" s="342">
        <f>AA13*Parameters!$B$27*Parameters!$C$27</f>
        <v>5045.4500697837748</v>
      </c>
      <c r="AB24" s="342">
        <f>AB13*Parameters!$B$27*Parameters!$C$27</f>
        <v>312145.64902132325</v>
      </c>
      <c r="AC24" s="342">
        <f>AC13*Parameters!$B$27*Parameters!$C$27</f>
        <v>147.45261704450158</v>
      </c>
      <c r="AD24" s="342">
        <f>AD13*Parameters!$B$27*Parameters!$C$27</f>
        <v>25008.545768196764</v>
      </c>
      <c r="AE24" s="342">
        <f>AE13*Parameters!$B$27*Parameters!$C$27</f>
        <v>23945.948642484294</v>
      </c>
      <c r="AF24" s="342">
        <f>AF13*Parameters!$B$27*Parameters!$C$27</f>
        <v>10700.079922585526</v>
      </c>
      <c r="AG24" s="342">
        <f>AG13*Parameters!$B$27*Parameters!$C$27</f>
        <v>4727.8867413307689</v>
      </c>
      <c r="AH24" s="342">
        <f>AH13*Parameters!$B$27*Parameters!$C$27</f>
        <v>2520442.4061111873</v>
      </c>
      <c r="AI24" s="342">
        <f>AI13*Parameters!$B$27*Parameters!$C$27</f>
        <v>38553.740608925829</v>
      </c>
      <c r="AJ24" s="342">
        <f>AJ13*Parameters!$B$27*Parameters!$C$27</f>
        <v>281554.05327816022</v>
      </c>
      <c r="AK24" s="342">
        <f>AK13*Parameters!$B$27*Parameters!$C$27</f>
        <v>375878.7806427615</v>
      </c>
      <c r="AL24" s="342">
        <f>AL13*Parameters!$B$27*Parameters!$C$27</f>
        <v>1776457.8378498829</v>
      </c>
      <c r="AM24" s="342">
        <f>AM13*Parameters!$B$27*Parameters!$C$27</f>
        <v>562152.23455378786</v>
      </c>
      <c r="AN24" s="342">
        <f>AN13*Parameters!$B$27*Parameters!$C$27</f>
        <v>971724.29371499573</v>
      </c>
    </row>
    <row r="25" spans="1:41" x14ac:dyDescent="0.25">
      <c r="A25" s="343" t="s">
        <v>97</v>
      </c>
      <c r="B25" s="342">
        <f>SUM(B19:B24)</f>
        <v>24778698.830156092</v>
      </c>
      <c r="C25" s="342">
        <f t="shared" ref="C25:AN25" si="5">SUM(C19:C24)</f>
        <v>1521584.5551551853</v>
      </c>
      <c r="D25" s="342">
        <f t="shared" si="5"/>
        <v>7906451.0292871166</v>
      </c>
      <c r="E25" s="342">
        <f t="shared" si="5"/>
        <v>9317663.8415228948</v>
      </c>
      <c r="F25" s="342">
        <f t="shared" si="5"/>
        <v>23961338.322066691</v>
      </c>
      <c r="G25" s="342">
        <f t="shared" si="5"/>
        <v>18229.95238883256</v>
      </c>
      <c r="H25" s="342">
        <f t="shared" si="5"/>
        <v>8254946.1837569261</v>
      </c>
      <c r="I25" s="342">
        <f t="shared" si="5"/>
        <v>40341480.531596214</v>
      </c>
      <c r="J25" s="342">
        <f t="shared" si="5"/>
        <v>11398985.867865305</v>
      </c>
      <c r="K25" s="342">
        <f t="shared" si="5"/>
        <v>18627535.648423631</v>
      </c>
      <c r="L25" s="342">
        <f t="shared" si="5"/>
        <v>246257.58946388058</v>
      </c>
      <c r="M25" s="342">
        <f t="shared" si="5"/>
        <v>4814225.4236720456</v>
      </c>
      <c r="N25" s="342">
        <f t="shared" si="5"/>
        <v>17298669.384896308</v>
      </c>
      <c r="O25" s="342">
        <f t="shared" si="5"/>
        <v>20097511.607676137</v>
      </c>
      <c r="P25" s="342">
        <f t="shared" si="5"/>
        <v>5577231.8745349171</v>
      </c>
      <c r="Q25" s="342">
        <f t="shared" si="5"/>
        <v>5686586.5423164209</v>
      </c>
      <c r="R25" s="342">
        <f t="shared" si="5"/>
        <v>3861.3548033292159</v>
      </c>
      <c r="S25" s="342">
        <f t="shared" si="5"/>
        <v>2892446.3618769995</v>
      </c>
      <c r="T25" s="342">
        <f t="shared" si="5"/>
        <v>4635.0163026211994</v>
      </c>
      <c r="U25" s="342">
        <f t="shared" si="5"/>
        <v>1740049.7816438959</v>
      </c>
      <c r="V25" s="342">
        <f t="shared" si="5"/>
        <v>1415790.9993515064</v>
      </c>
      <c r="W25" s="342">
        <f t="shared" si="5"/>
        <v>12609402.537451055</v>
      </c>
      <c r="X25" s="342">
        <f t="shared" si="5"/>
        <v>915413.84652678657</v>
      </c>
      <c r="Y25" s="342">
        <f t="shared" si="5"/>
        <v>14079382.116188837</v>
      </c>
      <c r="Z25" s="342">
        <f t="shared" si="5"/>
        <v>40176217.450779587</v>
      </c>
      <c r="AA25" s="342">
        <f t="shared" si="5"/>
        <v>4511866.0804242063</v>
      </c>
      <c r="AB25" s="342">
        <f t="shared" si="5"/>
        <v>25042193.993079044</v>
      </c>
      <c r="AC25" s="342">
        <f t="shared" si="5"/>
        <v>150659.39976137009</v>
      </c>
      <c r="AD25" s="342">
        <f t="shared" si="5"/>
        <v>1212452.7939455861</v>
      </c>
      <c r="AE25" s="342">
        <f t="shared" si="5"/>
        <v>1641885.0376984102</v>
      </c>
      <c r="AF25" s="342">
        <f t="shared" si="5"/>
        <v>2861183.659621635</v>
      </c>
      <c r="AG25" s="342">
        <f t="shared" si="5"/>
        <v>535865.83574376418</v>
      </c>
      <c r="AH25" s="342">
        <f t="shared" si="5"/>
        <v>33961268.863393731</v>
      </c>
      <c r="AI25" s="342">
        <f t="shared" si="5"/>
        <v>2968027.2277266812</v>
      </c>
      <c r="AJ25" s="342">
        <f t="shared" si="5"/>
        <v>11839629.411174957</v>
      </c>
      <c r="AK25" s="342">
        <f t="shared" si="5"/>
        <v>11752394.801575301</v>
      </c>
      <c r="AL25" s="342">
        <f t="shared" si="5"/>
        <v>22950701.363751598</v>
      </c>
      <c r="AM25" s="342">
        <f t="shared" si="5"/>
        <v>18367959.721528266</v>
      </c>
      <c r="AN25" s="342">
        <f t="shared" si="5"/>
        <v>22221504.337743495</v>
      </c>
      <c r="AO25" s="454">
        <f>SUM(B25:AN25)</f>
        <v>433702189.1768713</v>
      </c>
    </row>
    <row r="26" spans="1:41" x14ac:dyDescent="0.25">
      <c r="A26" s="585" t="s">
        <v>1023</v>
      </c>
      <c r="B26" s="586">
        <f t="shared" ref="B26:AO26" si="6">IFERROR(B25/B14,0)</f>
        <v>26.88485509953837</v>
      </c>
      <c r="C26" s="586">
        <f t="shared" si="6"/>
        <v>24.92147912841277</v>
      </c>
      <c r="D26" s="586">
        <f t="shared" si="6"/>
        <v>28.44809292378261</v>
      </c>
      <c r="E26" s="586">
        <f t="shared" si="6"/>
        <v>26.443044144459844</v>
      </c>
      <c r="F26" s="586">
        <f t="shared" si="6"/>
        <v>22.909877652158183</v>
      </c>
      <c r="G26" s="586">
        <f t="shared" si="6"/>
        <v>36.094399860022961</v>
      </c>
      <c r="H26" s="586">
        <f t="shared" si="6"/>
        <v>30.924512558677236</v>
      </c>
      <c r="I26" s="586">
        <f t="shared" si="6"/>
        <v>23.111498651387652</v>
      </c>
      <c r="J26" s="586">
        <f t="shared" si="6"/>
        <v>25.263534898825089</v>
      </c>
      <c r="K26" s="586">
        <f t="shared" si="6"/>
        <v>24.22555054895151</v>
      </c>
      <c r="L26" s="586">
        <f t="shared" si="6"/>
        <v>13.765705298214202</v>
      </c>
      <c r="M26" s="586">
        <f t="shared" si="6"/>
        <v>38.128629567706149</v>
      </c>
      <c r="N26" s="586">
        <f t="shared" si="6"/>
        <v>23.576376088001009</v>
      </c>
      <c r="O26" s="586">
        <f t="shared" si="6"/>
        <v>26.135253311820051</v>
      </c>
      <c r="P26" s="586">
        <f t="shared" si="6"/>
        <v>23.856736537273729</v>
      </c>
      <c r="Q26" s="586">
        <f t="shared" si="6"/>
        <v>25.416332268924982</v>
      </c>
      <c r="R26" s="586">
        <f t="shared" si="6"/>
        <v>30.428679594657801</v>
      </c>
      <c r="S26" s="586">
        <f t="shared" si="6"/>
        <v>34.214966800793519</v>
      </c>
      <c r="T26" s="586">
        <f t="shared" si="6"/>
        <v>33.784072395287353</v>
      </c>
      <c r="U26" s="586">
        <f t="shared" si="6"/>
        <v>32.811672237935916</v>
      </c>
      <c r="V26" s="586">
        <f t="shared" si="6"/>
        <v>22.295904002736332</v>
      </c>
      <c r="W26" s="586">
        <f t="shared" si="6"/>
        <v>24.119048615315911</v>
      </c>
      <c r="X26" s="586">
        <f t="shared" si="6"/>
        <v>24.122488152876265</v>
      </c>
      <c r="Y26" s="586">
        <f t="shared" si="6"/>
        <v>27.630103873130661</v>
      </c>
      <c r="Z26" s="586">
        <f t="shared" si="6"/>
        <v>24.385278313485674</v>
      </c>
      <c r="AA26" s="586">
        <f t="shared" si="6"/>
        <v>21.445962042027826</v>
      </c>
      <c r="AB26" s="586">
        <f t="shared" si="6"/>
        <v>26.972710645045861</v>
      </c>
      <c r="AC26" s="586">
        <f t="shared" si="6"/>
        <v>33.586485664522378</v>
      </c>
      <c r="AD26" s="586">
        <f t="shared" si="6"/>
        <v>22.771390327496782</v>
      </c>
      <c r="AE26" s="586">
        <f t="shared" si="6"/>
        <v>26.588177089479895</v>
      </c>
      <c r="AF26" s="586">
        <f t="shared" si="6"/>
        <v>28.238077762824705</v>
      </c>
      <c r="AG26" s="586">
        <f t="shared" si="6"/>
        <v>28.96998042580427</v>
      </c>
      <c r="AH26" s="586">
        <f t="shared" si="6"/>
        <v>25.923568343011105</v>
      </c>
      <c r="AI26" s="586">
        <f t="shared" si="6"/>
        <v>23.844362986066646</v>
      </c>
      <c r="AJ26" s="586">
        <f t="shared" si="6"/>
        <v>21.541750104504988</v>
      </c>
      <c r="AK26" s="586">
        <f t="shared" si="6"/>
        <v>23.746677970472678</v>
      </c>
      <c r="AL26" s="586">
        <f t="shared" si="6"/>
        <v>23.0399273991823</v>
      </c>
      <c r="AM26" s="586">
        <f t="shared" si="6"/>
        <v>23.728070889202229</v>
      </c>
      <c r="AN26" s="586">
        <f t="shared" si="6"/>
        <v>23.922900542025619</v>
      </c>
      <c r="AO26" s="586">
        <f t="shared" si="6"/>
        <v>24.822917243937571</v>
      </c>
    </row>
    <row r="27" spans="1:41" x14ac:dyDescent="0.25">
      <c r="A27" s="148" t="s">
        <v>1035</v>
      </c>
      <c r="B27" s="342">
        <f>B19*Parameters!$C$13</f>
        <v>7958852.6179411886</v>
      </c>
      <c r="C27" s="342">
        <f>C19*Parameters!$C$13</f>
        <v>487207.92821118643</v>
      </c>
      <c r="D27" s="342">
        <f>D19*Parameters!$C$13</f>
        <v>3157689.2263876623</v>
      </c>
      <c r="E27" s="342">
        <f>E19*Parameters!$C$13</f>
        <v>3393012.7089454941</v>
      </c>
      <c r="F27" s="342">
        <f>F19*Parameters!$C$13</f>
        <v>8645753.3631616272</v>
      </c>
      <c r="G27" s="342">
        <f>G19*Parameters!$C$13</f>
        <v>12.174342288781249</v>
      </c>
      <c r="H27" s="342">
        <f>H19*Parameters!$C$13</f>
        <v>3085207.2474473361</v>
      </c>
      <c r="I27" s="342">
        <f>I19*Parameters!$C$13</f>
        <v>14336008.339907678</v>
      </c>
      <c r="J27" s="342">
        <f>J19*Parameters!$C$13</f>
        <v>3487431.5274974429</v>
      </c>
      <c r="K27" s="342">
        <f>K19*Parameters!$C$13</f>
        <v>3216251.7031819485</v>
      </c>
      <c r="L27" s="342">
        <f>L19*Parameters!$C$13</f>
        <v>5298.0190379217747</v>
      </c>
      <c r="M27" s="342">
        <f>M19*Parameters!$C$13</f>
        <v>187705.75311939081</v>
      </c>
      <c r="N27" s="342">
        <f>N19*Parameters!$C$13</f>
        <v>6473527.7428452475</v>
      </c>
      <c r="O27" s="342">
        <f>O19*Parameters!$C$13</f>
        <v>1276418.5669817282</v>
      </c>
      <c r="P27" s="342">
        <f>P19*Parameters!$C$13</f>
        <v>1975302.6137853879</v>
      </c>
      <c r="Q27" s="342">
        <f>Q19*Parameters!$C$13</f>
        <v>474592.19112374325</v>
      </c>
      <c r="R27" s="342">
        <f>R19*Parameters!$C$13</f>
        <v>194.78947662018578</v>
      </c>
      <c r="S27" s="342">
        <f>S19*Parameters!$C$13</f>
        <v>377070.20717881777</v>
      </c>
      <c r="T27" s="342">
        <f>T19*Parameters!$C$13</f>
        <v>328.70723617842617</v>
      </c>
      <c r="U27" s="342">
        <f>U19*Parameters!$C$13</f>
        <v>16516.251748154002</v>
      </c>
      <c r="V27" s="342">
        <f>V19*Parameters!$C$13</f>
        <v>519238.35489453556</v>
      </c>
      <c r="W27" s="342">
        <f>W19*Parameters!$C$13</f>
        <v>2244045.9250009386</v>
      </c>
      <c r="X27" s="342">
        <f>X19*Parameters!$C$13</f>
        <v>25821.074114473478</v>
      </c>
      <c r="Y27" s="342">
        <f>Y19*Parameters!$C$13</f>
        <v>5516439.3439515177</v>
      </c>
      <c r="Z27" s="342">
        <f>Z19*Parameters!$C$13</f>
        <v>14042948.853781054</v>
      </c>
      <c r="AA27" s="342">
        <f>AA19*Parameters!$C$13</f>
        <v>139072.55601158683</v>
      </c>
      <c r="AB27" s="342">
        <f>AB19*Parameters!$C$13</f>
        <v>6545531.3777042702</v>
      </c>
      <c r="AC27" s="342">
        <f>AC19*Parameters!$C$13</f>
        <v>53911.119352169953</v>
      </c>
      <c r="AD27" s="342">
        <f>AD19*Parameters!$C$13</f>
        <v>435159.72570812691</v>
      </c>
      <c r="AE27" s="342">
        <f>AE19*Parameters!$C$13</f>
        <v>456986.36933007732</v>
      </c>
      <c r="AF27" s="342">
        <f>AF19*Parameters!$C$13</f>
        <v>951589.48617824772</v>
      </c>
      <c r="AG27" s="342">
        <f>AG19*Parameters!$C$13</f>
        <v>215994.41484746456</v>
      </c>
      <c r="AH27" s="342">
        <f>AH19*Parameters!$C$13</f>
        <v>10405242.469328621</v>
      </c>
      <c r="AI27" s="342">
        <f>AI19*Parameters!$C$13</f>
        <v>1005252.1213013304</v>
      </c>
      <c r="AJ27" s="342">
        <f>AJ19*Parameters!$C$13</f>
        <v>690644.62825341267</v>
      </c>
      <c r="AK27" s="342">
        <f>AK19*Parameters!$C$13</f>
        <v>4284362.4991477076</v>
      </c>
      <c r="AL27" s="342">
        <f>AL19*Parameters!$C$13</f>
        <v>1754652.7700020541</v>
      </c>
      <c r="AM27" s="342">
        <f>AM19*Parameters!$C$13</f>
        <v>6612469.9868345363</v>
      </c>
      <c r="AN27" s="342">
        <f>AN19*Parameters!$C$13</f>
        <v>7905940.5865492951</v>
      </c>
    </row>
    <row r="28" spans="1:41" x14ac:dyDescent="0.25">
      <c r="A28" s="121" t="s">
        <v>186</v>
      </c>
      <c r="B28" s="342">
        <f>B20*Parameters!$C$13</f>
        <v>730877.84205602121</v>
      </c>
      <c r="C28" s="342">
        <f>C20*Parameters!$C$13</f>
        <v>60501.905766916112</v>
      </c>
      <c r="D28" s="342">
        <f>D20*Parameters!$C$13</f>
        <v>15047.749489291578</v>
      </c>
      <c r="E28" s="342">
        <f>E20*Parameters!$C$13</f>
        <v>238472.63289214493</v>
      </c>
      <c r="F28" s="342">
        <f>F20*Parameters!$C$13</f>
        <v>290152.87983002665</v>
      </c>
      <c r="G28" s="342">
        <f>G20*Parameters!$C$13</f>
        <v>7938.3691813904979</v>
      </c>
      <c r="H28" s="342">
        <f>H20*Parameters!$C$13</f>
        <v>250605.91636803336</v>
      </c>
      <c r="I28" s="342">
        <f>I20*Parameters!$C$13</f>
        <v>404152.17578084808</v>
      </c>
      <c r="J28" s="342">
        <f>J20*Parameters!$C$13</f>
        <v>361967.30661408388</v>
      </c>
      <c r="K28" s="342">
        <f>K20*Parameters!$C$13</f>
        <v>2591726.9097743896</v>
      </c>
      <c r="L28" s="342">
        <f>L20*Parameters!$C$13</f>
        <v>58298.186147948531</v>
      </c>
      <c r="M28" s="342">
        <f>M20*Parameters!$C$13</f>
        <v>1458355.1650627735</v>
      </c>
      <c r="N28" s="342">
        <f>N20*Parameters!$C$13</f>
        <v>76777.406487101165</v>
      </c>
      <c r="O28" s="342">
        <f>O20*Parameters!$C$13</f>
        <v>4601724.3112821048</v>
      </c>
      <c r="P28" s="342">
        <f>P20*Parameters!$C$13</f>
        <v>4819.818316402132</v>
      </c>
      <c r="Q28" s="342">
        <f>Q20*Parameters!$C$13</f>
        <v>1281777.159077808</v>
      </c>
      <c r="R28" s="342">
        <f>R20*Parameters!$C$13</f>
        <v>1412.3899689046098</v>
      </c>
      <c r="S28" s="342">
        <f>S20*Parameters!$C$13</f>
        <v>639522.19230290421</v>
      </c>
      <c r="T28" s="342">
        <f>T20*Parameters!$C$13</f>
        <v>1659.9257191277432</v>
      </c>
      <c r="U28" s="342">
        <f>U20*Parameters!$C$13</f>
        <v>693607.25147739507</v>
      </c>
      <c r="V28" s="342">
        <f>V20*Parameters!$C$13</f>
        <v>2718.5383819284752</v>
      </c>
      <c r="W28" s="342">
        <f>W20*Parameters!$C$13</f>
        <v>1712857.3739582449</v>
      </c>
      <c r="X28" s="342">
        <f>X20*Parameters!$C$13</f>
        <v>261924.32021650617</v>
      </c>
      <c r="Y28" s="342">
        <f>Y20*Parameters!$C$13</f>
        <v>13022.703954093151</v>
      </c>
      <c r="Z28" s="342">
        <f>Z20*Parameters!$C$13</f>
        <v>616197.76767832099</v>
      </c>
      <c r="AA28" s="342">
        <f>AA20*Parameters!$C$13</f>
        <v>1410758.8808981753</v>
      </c>
      <c r="AB28" s="342">
        <f>AB20*Parameters!$C$13</f>
        <v>2274803.552591681</v>
      </c>
      <c r="AC28" s="342">
        <f>AC20*Parameters!$C$13</f>
        <v>10551.242685464</v>
      </c>
      <c r="AD28" s="342">
        <f>AD20*Parameters!$C$13</f>
        <v>4667.3438667017444</v>
      </c>
      <c r="AE28" s="342">
        <f>AE20*Parameters!$C$13</f>
        <v>30393.140241150959</v>
      </c>
      <c r="AF28" s="342">
        <f>AF20*Parameters!$C$13</f>
        <v>32073.170430933344</v>
      </c>
      <c r="AG28" s="342">
        <f>AG20*Parameters!$C$13</f>
        <v>1521.4464512871316</v>
      </c>
      <c r="AH28" s="342">
        <f>AH20*Parameters!$C$13</f>
        <v>668455.85240386741</v>
      </c>
      <c r="AI28" s="342">
        <f>AI20*Parameters!$C$13</f>
        <v>79103.047677646216</v>
      </c>
      <c r="AJ28" s="342">
        <f>AJ20*Parameters!$C$13</f>
        <v>2400454.4918361576</v>
      </c>
      <c r="AK28" s="342">
        <f>AK20*Parameters!$C$13</f>
        <v>14517.915251581855</v>
      </c>
      <c r="AL28" s="342">
        <f>AL20*Parameters!$C$13</f>
        <v>4432956.8014159361</v>
      </c>
      <c r="AM28" s="342">
        <f>AM20*Parameters!$C$13</f>
        <v>77658.477752434657</v>
      </c>
      <c r="AN28" s="342">
        <f>AN20*Parameters!$C$13</f>
        <v>90507.036179399351</v>
      </c>
    </row>
    <row r="29" spans="1:41" x14ac:dyDescent="0.25">
      <c r="A29" s="121" t="s">
        <v>629</v>
      </c>
      <c r="B29" s="342">
        <f>B21*Parameters!$C$13</f>
        <v>972096.90677999984</v>
      </c>
      <c r="C29" s="342">
        <f>C21*Parameters!$C$13</f>
        <v>76396.434929999989</v>
      </c>
      <c r="D29" s="342">
        <f>D21*Parameters!$C$13</f>
        <v>230236.28021250002</v>
      </c>
      <c r="E29" s="342">
        <f>E21*Parameters!$C$13</f>
        <v>373674.39239407104</v>
      </c>
      <c r="F29" s="342">
        <f>F21*Parameters!$C$13</f>
        <v>1495359.86112</v>
      </c>
      <c r="G29" s="342">
        <f>G21*Parameters!$C$13</f>
        <v>0</v>
      </c>
      <c r="H29" s="342">
        <f>H21*Parameters!$C$13</f>
        <v>159970.85343000002</v>
      </c>
      <c r="I29" s="342">
        <f>I21*Parameters!$C$13</f>
        <v>2470376.1529800002</v>
      </c>
      <c r="J29" s="342">
        <f>J21*Parameters!$C$13</f>
        <v>562931.86162500002</v>
      </c>
      <c r="K29" s="342">
        <f>K21*Parameters!$C$13</f>
        <v>1078675.96581</v>
      </c>
      <c r="L29" s="342">
        <f>L21*Parameters!$C$13</f>
        <v>43447.792393203556</v>
      </c>
      <c r="M29" s="342">
        <f>M21*Parameters!$C$13</f>
        <v>10535.675769142588</v>
      </c>
      <c r="N29" s="342">
        <f>N21*Parameters!$C$13</f>
        <v>994655.96109000011</v>
      </c>
      <c r="O29" s="342">
        <f>O21*Parameters!$C$13</f>
        <v>957913.75404000003</v>
      </c>
      <c r="P29" s="342">
        <f>P21*Parameters!$C$13</f>
        <v>313450.36596000002</v>
      </c>
      <c r="Q29" s="342">
        <f>Q21*Parameters!$C$13</f>
        <v>290647.82499749999</v>
      </c>
      <c r="R29" s="342">
        <f>R21*Parameters!$C$13</f>
        <v>77.915790648074307</v>
      </c>
      <c r="S29" s="342">
        <f>S21*Parameters!$C$13</f>
        <v>36428.066555703554</v>
      </c>
      <c r="T29" s="342">
        <f>T21*Parameters!$C$13</f>
        <v>34.08815915772221</v>
      </c>
      <c r="U29" s="342">
        <f>U21*Parameters!$C$13</f>
        <v>20818.125665144467</v>
      </c>
      <c r="V29" s="342">
        <f>V21*Parameters!$C$13</f>
        <v>94964.740796407103</v>
      </c>
      <c r="W29" s="342">
        <f>W21*Parameters!$C$13</f>
        <v>734597.38953000004</v>
      </c>
      <c r="X29" s="342">
        <f>X21*Parameters!$C$13</f>
        <v>53710.764615</v>
      </c>
      <c r="Y29" s="342">
        <f>Y21*Parameters!$C$13</f>
        <v>468994.61780999997</v>
      </c>
      <c r="Z29" s="342">
        <f>Z21*Parameters!$C$13</f>
        <v>2130110.4907800001</v>
      </c>
      <c r="AA29" s="342">
        <f>AA21*Parameters!$C$13</f>
        <v>340260.70360499999</v>
      </c>
      <c r="AB29" s="342">
        <f>AB21*Parameters!$C$13</f>
        <v>1007531.5176</v>
      </c>
      <c r="AC29" s="342">
        <f>AC21*Parameters!$C$13</f>
        <v>1193.0854986027791</v>
      </c>
      <c r="AD29" s="342">
        <f>AD21*Parameters!$C$13</f>
        <v>77202.372313203552</v>
      </c>
      <c r="AE29" s="342">
        <f>AE21*Parameters!$C$13</f>
        <v>74811.335349296452</v>
      </c>
      <c r="AF29" s="342">
        <f>AF21*Parameters!$C$13</f>
        <v>109776.0395139071</v>
      </c>
      <c r="AG29" s="342">
        <f>AG21*Parameters!$C$13</f>
        <v>14243.979910785178</v>
      </c>
      <c r="AH29" s="342">
        <f>AH21*Parameters!$C$13</f>
        <v>1545221.13588</v>
      </c>
      <c r="AI29" s="342">
        <f>AI21*Parameters!$C$13</f>
        <v>167406.9416889071</v>
      </c>
      <c r="AJ29" s="342">
        <f>AJ21*Parameters!$C$13</f>
        <v>945768.63294000004</v>
      </c>
      <c r="AK29" s="342">
        <f>AK21*Parameters!$C$13</f>
        <v>665734.43506499997</v>
      </c>
      <c r="AL29" s="342">
        <f>AL21*Parameters!$C$13</f>
        <v>1544232.5589600001</v>
      </c>
      <c r="AM29" s="342">
        <f>AM21*Parameters!$C$13</f>
        <v>1045069.8491699999</v>
      </c>
      <c r="AN29" s="342">
        <f>AN21*Parameters!$C$13</f>
        <v>1237570.55865</v>
      </c>
    </row>
    <row r="30" spans="1:41" x14ac:dyDescent="0.25">
      <c r="A30" s="121" t="s">
        <v>628</v>
      </c>
      <c r="B30" s="342">
        <f>B22*Parameters!$C$13</f>
        <v>114084.73941415599</v>
      </c>
      <c r="C30" s="342">
        <f>C22*Parameters!$C$13</f>
        <v>438.93000400737196</v>
      </c>
      <c r="D30" s="342">
        <f>D22*Parameters!$C$13</f>
        <v>417.94861482891122</v>
      </c>
      <c r="E30" s="342">
        <f>E22*Parameters!$C$13</f>
        <v>27399.222432126764</v>
      </c>
      <c r="F30" s="342">
        <f>F22*Parameters!$C$13</f>
        <v>0</v>
      </c>
      <c r="G30" s="342">
        <f>G22*Parameters!$C$13</f>
        <v>5.0076988072502404</v>
      </c>
      <c r="H30" s="342">
        <f>H22*Parameters!$C$13</f>
        <v>62923.641145428803</v>
      </c>
      <c r="I30" s="342">
        <f>I22*Parameters!$C$13</f>
        <v>20.850256300664281</v>
      </c>
      <c r="J30" s="342">
        <f>J22*Parameters!$C$13</f>
        <v>430.74225120502041</v>
      </c>
      <c r="K30" s="342">
        <f>K22*Parameters!$C$13</f>
        <v>108156.43135372239</v>
      </c>
      <c r="L30" s="342">
        <f>L22*Parameters!$C$13</f>
        <v>73.694462963631608</v>
      </c>
      <c r="M30" s="342">
        <f>M22*Parameters!$C$13</f>
        <v>91597.885913988794</v>
      </c>
      <c r="N30" s="342">
        <f>N22*Parameters!$C$13</f>
        <v>0</v>
      </c>
      <c r="O30" s="342">
        <f>O22*Parameters!$C$13</f>
        <v>70866.865829735194</v>
      </c>
      <c r="P30" s="342">
        <f>P22*Parameters!$C$13</f>
        <v>1632.7723970315762</v>
      </c>
      <c r="Q30" s="342">
        <f>Q22*Parameters!$C$13</f>
        <v>26727.712139154919</v>
      </c>
      <c r="R30" s="342">
        <f>R22*Parameters!$C$13</f>
        <v>0</v>
      </c>
      <c r="S30" s="342">
        <f>S22*Parameters!$C$13</f>
        <v>63902.613316881594</v>
      </c>
      <c r="T30" s="342">
        <f>T22*Parameters!$C$13</f>
        <v>0</v>
      </c>
      <c r="U30" s="342">
        <f>U22*Parameters!$C$13</f>
        <v>53.585995669508804</v>
      </c>
      <c r="V30" s="342">
        <f>V22*Parameters!$C$13</f>
        <v>0</v>
      </c>
      <c r="W30" s="342">
        <f>W22*Parameters!$C$13</f>
        <v>11272.132738980919</v>
      </c>
      <c r="X30" s="342">
        <f>X22*Parameters!$C$13</f>
        <v>5159.2977834601197</v>
      </c>
      <c r="Y30" s="342">
        <f>Y22*Parameters!$C$13</f>
        <v>214.77720735002839</v>
      </c>
      <c r="Z30" s="342">
        <f>Z22*Parameters!$C$13</f>
        <v>108920.85192605601</v>
      </c>
      <c r="AA30" s="342">
        <f>AA22*Parameters!$C$13</f>
        <v>7.7527239673112813E-2</v>
      </c>
      <c r="AB30" s="342">
        <f>AB22*Parameters!$C$13</f>
        <v>233060.83375140282</v>
      </c>
      <c r="AC30" s="342">
        <f>AC22*Parameters!$C$13</f>
        <v>27.966197546952362</v>
      </c>
      <c r="AD30" s="342">
        <f>AD22*Parameters!$C$13</f>
        <v>2.2057024002412517</v>
      </c>
      <c r="AE30" s="342">
        <f>AE22*Parameters!$C$13</f>
        <v>11694.821770342678</v>
      </c>
      <c r="AF30" s="342">
        <f>AF22*Parameters!$C$13</f>
        <v>147802.5558272948</v>
      </c>
      <c r="AG30" s="342">
        <f>AG22*Parameters!$C$13</f>
        <v>28.759735125108197</v>
      </c>
      <c r="AH30" s="342">
        <f>AH22*Parameters!$C$13</f>
        <v>330.50495270091881</v>
      </c>
      <c r="AI30" s="342">
        <f>AI22*Parameters!$C$13</f>
        <v>0</v>
      </c>
      <c r="AJ30" s="342">
        <f>AJ22*Parameters!$C$13</f>
        <v>43486.84267033088</v>
      </c>
      <c r="AK30" s="342">
        <f>AK22*Parameters!$C$13</f>
        <v>96.742070670876814</v>
      </c>
      <c r="AL30" s="342">
        <f>AL22*Parameters!$C$13</f>
        <v>92489.846228366805</v>
      </c>
      <c r="AM30" s="342">
        <f>AM22*Parameters!$C$13</f>
        <v>56.684991567175196</v>
      </c>
      <c r="AN30" s="342">
        <f>AN22*Parameters!$C$13</f>
        <v>2875.8265573899439</v>
      </c>
    </row>
    <row r="31" spans="1:41" x14ac:dyDescent="0.25">
      <c r="A31" s="121" t="s">
        <v>627</v>
      </c>
      <c r="B31" s="342">
        <f>B23*Parameters!$C$13</f>
        <v>243203.36196933198</v>
      </c>
      <c r="C31" s="342">
        <f>C23*Parameters!$C$13</f>
        <v>33566.514939624205</v>
      </c>
      <c r="D31" s="342">
        <f>D23*Parameters!$C$13</f>
        <v>0</v>
      </c>
      <c r="E31" s="342">
        <f>E23*Parameters!$C$13</f>
        <v>20354.190765401559</v>
      </c>
      <c r="F31" s="342">
        <f>F23*Parameters!$C$13</f>
        <v>19672.31053444932</v>
      </c>
      <c r="G31" s="342">
        <f>G23*Parameters!$C$13</f>
        <v>0</v>
      </c>
      <c r="H31" s="342">
        <f>H23*Parameters!$C$13</f>
        <v>19043.417221338361</v>
      </c>
      <c r="I31" s="342">
        <f>I23*Parameters!$C$13</f>
        <v>130128.4488795576</v>
      </c>
      <c r="J31" s="342">
        <f>J23*Parameters!$C$13</f>
        <v>446719.21259654599</v>
      </c>
      <c r="K31" s="342">
        <f>K23*Parameters!$C$13</f>
        <v>973955.21241280809</v>
      </c>
      <c r="L31" s="342">
        <f>L23*Parameters!$C$13</f>
        <v>0</v>
      </c>
      <c r="M31" s="342">
        <f>M23*Parameters!$C$13</f>
        <v>346126.95843992603</v>
      </c>
      <c r="N31" s="342">
        <f>N23*Parameters!$C$13</f>
        <v>0</v>
      </c>
      <c r="O31" s="342">
        <f>O23*Parameters!$C$13</f>
        <v>1551609.5667670621</v>
      </c>
      <c r="P31" s="342">
        <f>P23*Parameters!$C$13</f>
        <v>0</v>
      </c>
      <c r="Q31" s="342">
        <f>Q23*Parameters!$C$13</f>
        <v>380423.03537182603</v>
      </c>
      <c r="R31" s="342">
        <f>R23*Parameters!$C$13</f>
        <v>0</v>
      </c>
      <c r="S31" s="342">
        <f>S23*Parameters!$C$13</f>
        <v>127826.80850468442</v>
      </c>
      <c r="T31" s="342">
        <f>T23*Parameters!$C$13</f>
        <v>0</v>
      </c>
      <c r="U31" s="342">
        <f>U23*Parameters!$C$13</f>
        <v>28204.600401554202</v>
      </c>
      <c r="V31" s="342">
        <f>V23*Parameters!$C$13</f>
        <v>0</v>
      </c>
      <c r="W31" s="342">
        <f>W23*Parameters!$C$13</f>
        <v>759722.70268508408</v>
      </c>
      <c r="X31" s="342">
        <f>X23*Parameters!$C$13</f>
        <v>49848.182492705004</v>
      </c>
      <c r="Y31" s="342">
        <f>Y23*Parameters!$C$13</f>
        <v>0</v>
      </c>
      <c r="Z31" s="342">
        <f>Z23*Parameters!$C$13</f>
        <v>194240.60355763702</v>
      </c>
      <c r="AA31" s="342">
        <f>AA23*Parameters!$C$13</f>
        <v>76684.305044668203</v>
      </c>
      <c r="AB31" s="342">
        <f>AB23*Parameters!$C$13</f>
        <v>731265.815699436</v>
      </c>
      <c r="AC31" s="342">
        <f>AC23*Parameters!$C$13</f>
        <v>0</v>
      </c>
      <c r="AD31" s="342">
        <f>AD23*Parameters!$C$13</f>
        <v>1169.0223141802842</v>
      </c>
      <c r="AE31" s="342">
        <f>AE23*Parameters!$C$13</f>
        <v>132182.9517731386</v>
      </c>
      <c r="AF31" s="342">
        <f>AF23*Parameters!$C$13</f>
        <v>2709.7822302822201</v>
      </c>
      <c r="AG31" s="342">
        <f>AG23*Parameters!$C$13</f>
        <v>0</v>
      </c>
      <c r="AH31" s="342">
        <f>AH23*Parameters!$C$13</f>
        <v>1101526.703392914</v>
      </c>
      <c r="AI31" s="342">
        <f>AI23*Parameters!$C$13</f>
        <v>26660.1191103046</v>
      </c>
      <c r="AJ31" s="342">
        <f>AJ23*Parameters!$C$13</f>
        <v>963589.49048626202</v>
      </c>
      <c r="AK31" s="342">
        <f>AK23*Parameters!$C$13</f>
        <v>0</v>
      </c>
      <c r="AL31" s="342">
        <f>AL23*Parameters!$C$13</f>
        <v>1416107.898097154</v>
      </c>
      <c r="AM31" s="342">
        <f>AM23*Parameters!$C$13</f>
        <v>35199.388567124406</v>
      </c>
      <c r="AN31" s="342">
        <f>AN23*Parameters!$C$13</f>
        <v>36510.003277952601</v>
      </c>
    </row>
    <row r="32" spans="1:41" x14ac:dyDescent="0.25">
      <c r="A32" s="121" t="s">
        <v>626</v>
      </c>
      <c r="B32" s="342">
        <f>B24*Parameters!$C$13</f>
        <v>794308.70131942118</v>
      </c>
      <c r="C32" s="342">
        <f>C24*Parameters!$C$13</f>
        <v>5907.7860179887857</v>
      </c>
      <c r="D32" s="342">
        <f>D24*Parameters!$C$13</f>
        <v>46984.024476615217</v>
      </c>
      <c r="E32" s="342">
        <f>E24*Parameters!$C$13</f>
        <v>13315.353011353242</v>
      </c>
      <c r="F32" s="342">
        <f>F24*Parameters!$C$13</f>
        <v>5789.6291038003146</v>
      </c>
      <c r="G32" s="342">
        <f>G24*Parameters!$C$13</f>
        <v>0</v>
      </c>
      <c r="H32" s="342">
        <f>H24*Parameters!$C$13</f>
        <v>24707.438979386039</v>
      </c>
      <c r="I32" s="342">
        <f>I24*Parameters!$C$13</f>
        <v>264336.13618420268</v>
      </c>
      <c r="J32" s="342">
        <f>J24*Parameters!$C$13</f>
        <v>115036.7821521419</v>
      </c>
      <c r="K32" s="342">
        <f>K24*Parameters!$C$13</f>
        <v>160290.33443920367</v>
      </c>
      <c r="L32" s="342">
        <f>L24*Parameters!$C$13</f>
        <v>349.12</v>
      </c>
      <c r="M32" s="342">
        <f>M24*Parameters!$C$13</f>
        <v>6606.5365852587138</v>
      </c>
      <c r="N32" s="342">
        <f>N24*Parameters!$C$13</f>
        <v>4178.2091464000114</v>
      </c>
      <c r="O32" s="342">
        <f>O24*Parameters!$C$13</f>
        <v>312021.00068923656</v>
      </c>
      <c r="P32" s="342">
        <f>P24*Parameters!$C$13</f>
        <v>138698.41958821606</v>
      </c>
      <c r="Q32" s="342">
        <f>Q24*Parameters!$C$13</f>
        <v>27458.44435685379</v>
      </c>
      <c r="R32" s="342">
        <f>R24*Parameters!$C$13</f>
        <v>0</v>
      </c>
      <c r="S32" s="342">
        <f>S24*Parameters!$C$13</f>
        <v>17513.704464131155</v>
      </c>
      <c r="T32" s="342">
        <f>T24*Parameters!$C$13</f>
        <v>0</v>
      </c>
      <c r="U32" s="342">
        <f>U24*Parameters!$C$13</f>
        <v>157.90942147908572</v>
      </c>
      <c r="V32" s="342">
        <f>V24*Parameters!$C$13</f>
        <v>929.55804412623627</v>
      </c>
      <c r="W32" s="342">
        <f>W24*Parameters!$C$13</f>
        <v>40247.743430391456</v>
      </c>
      <c r="X32" s="342">
        <f>X24*Parameters!$C$13</f>
        <v>3022.9634021448855</v>
      </c>
      <c r="Y32" s="342">
        <f>Y24*Parameters!$C$13</f>
        <v>145570.9125818483</v>
      </c>
      <c r="Z32" s="342">
        <f>Z24*Parameters!$C$13</f>
        <v>440482.72779714485</v>
      </c>
      <c r="AA32" s="342">
        <f>AA24*Parameters!$C$13</f>
        <v>2201.8344104536395</v>
      </c>
      <c r="AB32" s="342">
        <f>AB24*Parameters!$C$13</f>
        <v>136220.36123290547</v>
      </c>
      <c r="AC32" s="342">
        <f>AC24*Parameters!$C$13</f>
        <v>64.348322078220491</v>
      </c>
      <c r="AD32" s="342">
        <f>AD24*Parameters!$C$13</f>
        <v>10913.729373241067</v>
      </c>
      <c r="AE32" s="342">
        <f>AE24*Parameters!$C$13</f>
        <v>10450.011987580147</v>
      </c>
      <c r="AF32" s="342">
        <f>AF24*Parameters!$C$13</f>
        <v>4669.5148782163242</v>
      </c>
      <c r="AG32" s="342">
        <f>AG24*Parameters!$C$13</f>
        <v>2063.2497739167475</v>
      </c>
      <c r="AH32" s="342">
        <f>AH24*Parameters!$C$13</f>
        <v>1099921.0660269221</v>
      </c>
      <c r="AI32" s="342">
        <f>AI24*Parameters!$C$13</f>
        <v>16824.852401735232</v>
      </c>
      <c r="AJ32" s="342">
        <f>AJ24*Parameters!$C$13</f>
        <v>122870.18885058913</v>
      </c>
      <c r="AK32" s="342">
        <f>AK24*Parameters!$C$13</f>
        <v>164033.49987250112</v>
      </c>
      <c r="AL32" s="342">
        <f>AL24*Parameters!$C$13</f>
        <v>775246.20043768897</v>
      </c>
      <c r="AM32" s="342">
        <f>AM24*Parameters!$C$13</f>
        <v>245323.23515927303</v>
      </c>
      <c r="AN32" s="342">
        <f>AN24*Parameters!$C$13</f>
        <v>424060.48177722417</v>
      </c>
    </row>
    <row r="33" spans="1:41" x14ac:dyDescent="0.25">
      <c r="A33" s="343" t="s">
        <v>97</v>
      </c>
      <c r="B33" s="342">
        <f>SUM(B27:B32)</f>
        <v>10813424.169480119</v>
      </c>
      <c r="C33" s="342">
        <f t="shared" ref="C33:AN33" si="7">SUM(C27:C32)</f>
        <v>664019.49986972299</v>
      </c>
      <c r="D33" s="342">
        <f t="shared" si="7"/>
        <v>3450375.2291808981</v>
      </c>
      <c r="E33" s="342">
        <f t="shared" si="7"/>
        <v>4066228.5004405915</v>
      </c>
      <c r="F33" s="342">
        <f t="shared" si="7"/>
        <v>10456728.043749904</v>
      </c>
      <c r="G33" s="342">
        <f t="shared" si="7"/>
        <v>7955.5512224865297</v>
      </c>
      <c r="H33" s="342">
        <f t="shared" si="7"/>
        <v>3602458.5145915225</v>
      </c>
      <c r="I33" s="342">
        <f t="shared" si="7"/>
        <v>17605022.103988592</v>
      </c>
      <c r="J33" s="342">
        <f t="shared" si="7"/>
        <v>4974517.4327364191</v>
      </c>
      <c r="K33" s="342">
        <f t="shared" si="7"/>
        <v>8129056.5569720725</v>
      </c>
      <c r="L33" s="342">
        <f t="shared" si="7"/>
        <v>107466.81204203748</v>
      </c>
      <c r="M33" s="342">
        <f t="shared" si="7"/>
        <v>2100927.9748904807</v>
      </c>
      <c r="N33" s="342">
        <f t="shared" si="7"/>
        <v>7549139.3195687486</v>
      </c>
      <c r="O33" s="342">
        <f t="shared" si="7"/>
        <v>8770554.0655898657</v>
      </c>
      <c r="P33" s="342">
        <f t="shared" si="7"/>
        <v>2433903.9900470376</v>
      </c>
      <c r="Q33" s="342">
        <f t="shared" si="7"/>
        <v>2481626.3670668858</v>
      </c>
      <c r="R33" s="342">
        <f t="shared" si="7"/>
        <v>1685.0952361728698</v>
      </c>
      <c r="S33" s="342">
        <f t="shared" si="7"/>
        <v>1262263.5923231228</v>
      </c>
      <c r="T33" s="342">
        <f t="shared" si="7"/>
        <v>2022.7211144638916</v>
      </c>
      <c r="U33" s="342">
        <f t="shared" si="7"/>
        <v>759357.72470939637</v>
      </c>
      <c r="V33" s="342">
        <f t="shared" si="7"/>
        <v>617851.19211699744</v>
      </c>
      <c r="W33" s="342">
        <f t="shared" si="7"/>
        <v>5502743.2673436403</v>
      </c>
      <c r="X33" s="342">
        <f t="shared" si="7"/>
        <v>399486.60262428969</v>
      </c>
      <c r="Y33" s="342">
        <f t="shared" si="7"/>
        <v>6144242.3555048089</v>
      </c>
      <c r="Z33" s="342">
        <f t="shared" si="7"/>
        <v>17532901.295520213</v>
      </c>
      <c r="AA33" s="342">
        <f t="shared" si="7"/>
        <v>1968978.3574971238</v>
      </c>
      <c r="AB33" s="342">
        <f t="shared" si="7"/>
        <v>10928413.458579695</v>
      </c>
      <c r="AC33" s="342">
        <f t="shared" si="7"/>
        <v>65747.762055861909</v>
      </c>
      <c r="AD33" s="342">
        <f t="shared" si="7"/>
        <v>529114.39927785378</v>
      </c>
      <c r="AE33" s="342">
        <f t="shared" si="7"/>
        <v>716518.6304515861</v>
      </c>
      <c r="AF33" s="342">
        <f t="shared" si="7"/>
        <v>1248620.5490588816</v>
      </c>
      <c r="AG33" s="342">
        <f t="shared" si="7"/>
        <v>233851.85071857876</v>
      </c>
      <c r="AH33" s="342">
        <f t="shared" si="7"/>
        <v>14820697.731985025</v>
      </c>
      <c r="AI33" s="342">
        <f t="shared" si="7"/>
        <v>1295247.0821799235</v>
      </c>
      <c r="AJ33" s="342">
        <f t="shared" si="7"/>
        <v>5166814.2750367522</v>
      </c>
      <c r="AK33" s="342">
        <f t="shared" si="7"/>
        <v>5128745.091407462</v>
      </c>
      <c r="AL33" s="342">
        <f t="shared" si="7"/>
        <v>10015686.075141201</v>
      </c>
      <c r="AM33" s="342">
        <f t="shared" si="7"/>
        <v>8015777.6224749368</v>
      </c>
      <c r="AN33" s="342">
        <f t="shared" si="7"/>
        <v>9697464.4929912612</v>
      </c>
      <c r="AO33" s="330">
        <f>SUM(B33:AN33)</f>
        <v>189267635.35678661</v>
      </c>
    </row>
    <row r="34" spans="1:41" x14ac:dyDescent="0.25">
      <c r="A34" s="148" t="s">
        <v>1025</v>
      </c>
      <c r="B34">
        <f t="shared" ref="B34:AN34" si="8">IF(B8&gt;0,B27/B8,0)</f>
        <v>15.710399999999998</v>
      </c>
      <c r="C34">
        <f t="shared" si="8"/>
        <v>15.710399999999998</v>
      </c>
      <c r="D34">
        <f t="shared" si="8"/>
        <v>15.710399999999998</v>
      </c>
      <c r="E34">
        <f t="shared" si="8"/>
        <v>15.710400000000002</v>
      </c>
      <c r="F34">
        <f t="shared" si="8"/>
        <v>15.710399999999998</v>
      </c>
      <c r="G34">
        <f t="shared" si="8"/>
        <v>15.7104</v>
      </c>
      <c r="H34">
        <f t="shared" si="8"/>
        <v>15.710399999999998</v>
      </c>
      <c r="I34">
        <f t="shared" si="8"/>
        <v>15.710400000000002</v>
      </c>
      <c r="J34">
        <f t="shared" si="8"/>
        <v>15.7104</v>
      </c>
      <c r="K34">
        <f t="shared" si="8"/>
        <v>15.710399999999998</v>
      </c>
      <c r="L34">
        <f t="shared" si="8"/>
        <v>15.710399999999998</v>
      </c>
      <c r="M34">
        <f t="shared" si="8"/>
        <v>15.710399999999998</v>
      </c>
      <c r="N34">
        <f t="shared" si="8"/>
        <v>15.7104</v>
      </c>
      <c r="O34">
        <f t="shared" si="8"/>
        <v>15.7104</v>
      </c>
      <c r="P34">
        <f t="shared" si="8"/>
        <v>15.710399999999998</v>
      </c>
      <c r="Q34">
        <f t="shared" si="8"/>
        <v>15.710399999999998</v>
      </c>
      <c r="R34">
        <f t="shared" si="8"/>
        <v>15.710400000000002</v>
      </c>
      <c r="S34">
        <f t="shared" si="8"/>
        <v>15.7104</v>
      </c>
      <c r="T34">
        <f t="shared" si="8"/>
        <v>15.710399999999998</v>
      </c>
      <c r="U34">
        <f t="shared" si="8"/>
        <v>15.7104</v>
      </c>
      <c r="V34">
        <f t="shared" si="8"/>
        <v>15.710400000000002</v>
      </c>
      <c r="W34">
        <f t="shared" si="8"/>
        <v>15.7104</v>
      </c>
      <c r="X34">
        <f t="shared" si="8"/>
        <v>15.7104</v>
      </c>
      <c r="Y34">
        <f t="shared" si="8"/>
        <v>15.710400000000002</v>
      </c>
      <c r="Z34">
        <f t="shared" si="8"/>
        <v>15.710400000000002</v>
      </c>
      <c r="AA34">
        <f t="shared" si="8"/>
        <v>15.7104</v>
      </c>
      <c r="AB34">
        <f t="shared" si="8"/>
        <v>15.710400000000003</v>
      </c>
      <c r="AC34">
        <f t="shared" si="8"/>
        <v>15.710400000000002</v>
      </c>
      <c r="AD34">
        <f t="shared" si="8"/>
        <v>15.7104</v>
      </c>
      <c r="AE34">
        <f t="shared" si="8"/>
        <v>15.710400000000002</v>
      </c>
      <c r="AF34">
        <f t="shared" si="8"/>
        <v>15.710400000000002</v>
      </c>
      <c r="AG34">
        <f t="shared" si="8"/>
        <v>15.7104</v>
      </c>
      <c r="AH34">
        <f t="shared" si="8"/>
        <v>15.7104</v>
      </c>
      <c r="AI34">
        <f t="shared" si="8"/>
        <v>15.710399999999998</v>
      </c>
      <c r="AJ34">
        <f t="shared" si="8"/>
        <v>15.710399999999998</v>
      </c>
      <c r="AK34">
        <f t="shared" si="8"/>
        <v>15.710399999999998</v>
      </c>
      <c r="AL34">
        <f t="shared" si="8"/>
        <v>15.7104</v>
      </c>
      <c r="AM34">
        <f t="shared" si="8"/>
        <v>15.710400000000002</v>
      </c>
      <c r="AN34">
        <f t="shared" si="8"/>
        <v>15.710399999999998</v>
      </c>
    </row>
    <row r="35" spans="1:41" x14ac:dyDescent="0.25">
      <c r="A35" s="121" t="s">
        <v>186</v>
      </c>
      <c r="B35">
        <f>IF(B9&gt;0,B28/B9,0)</f>
        <v>15.745312000000002</v>
      </c>
      <c r="C35">
        <f t="shared" ref="C35:AN35" si="9">IF(C9&gt;0,C28/C9,0)</f>
        <v>15.745312000000002</v>
      </c>
      <c r="D35">
        <f t="shared" si="9"/>
        <v>15.745312</v>
      </c>
      <c r="E35">
        <f t="shared" si="9"/>
        <v>15.745312000000002</v>
      </c>
      <c r="F35">
        <f t="shared" si="9"/>
        <v>15.745312000000002</v>
      </c>
      <c r="G35">
        <f t="shared" si="9"/>
        <v>15.745312</v>
      </c>
      <c r="H35">
        <f t="shared" si="9"/>
        <v>15.745312</v>
      </c>
      <c r="I35">
        <f t="shared" si="9"/>
        <v>15.745312</v>
      </c>
      <c r="J35">
        <f t="shared" si="9"/>
        <v>15.745312000000002</v>
      </c>
      <c r="K35">
        <f t="shared" si="9"/>
        <v>15.745312</v>
      </c>
      <c r="L35">
        <f t="shared" si="9"/>
        <v>15.745311999999998</v>
      </c>
      <c r="M35">
        <f t="shared" si="9"/>
        <v>15.745312000000002</v>
      </c>
      <c r="N35">
        <f t="shared" si="9"/>
        <v>15.745312</v>
      </c>
      <c r="O35">
        <f t="shared" si="9"/>
        <v>15.745312</v>
      </c>
      <c r="P35">
        <f t="shared" si="9"/>
        <v>15.745312000000002</v>
      </c>
      <c r="Q35">
        <f t="shared" si="9"/>
        <v>15.745312</v>
      </c>
      <c r="R35">
        <f t="shared" si="9"/>
        <v>15.745311999999998</v>
      </c>
      <c r="S35">
        <f t="shared" si="9"/>
        <v>15.745312</v>
      </c>
      <c r="T35">
        <f t="shared" si="9"/>
        <v>15.745312</v>
      </c>
      <c r="U35">
        <f t="shared" si="9"/>
        <v>15.745312000000002</v>
      </c>
      <c r="V35">
        <f t="shared" si="9"/>
        <v>15.745312</v>
      </c>
      <c r="W35">
        <f t="shared" si="9"/>
        <v>15.745312000000002</v>
      </c>
      <c r="X35">
        <f t="shared" si="9"/>
        <v>15.745311999999998</v>
      </c>
      <c r="Y35">
        <f t="shared" si="9"/>
        <v>15.745312</v>
      </c>
      <c r="Z35">
        <f t="shared" si="9"/>
        <v>15.745312</v>
      </c>
      <c r="AA35">
        <f t="shared" si="9"/>
        <v>15.745312</v>
      </c>
      <c r="AB35">
        <f t="shared" si="9"/>
        <v>15.745311999999998</v>
      </c>
      <c r="AC35">
        <f t="shared" si="9"/>
        <v>15.745312000000002</v>
      </c>
      <c r="AD35">
        <f t="shared" si="9"/>
        <v>15.745312000000004</v>
      </c>
      <c r="AE35">
        <f t="shared" si="9"/>
        <v>15.745312</v>
      </c>
      <c r="AF35">
        <f t="shared" si="9"/>
        <v>15.745311999999998</v>
      </c>
      <c r="AG35">
        <f t="shared" si="9"/>
        <v>15.745312</v>
      </c>
      <c r="AH35">
        <f t="shared" si="9"/>
        <v>15.745312000000002</v>
      </c>
      <c r="AI35">
        <f t="shared" si="9"/>
        <v>15.745312</v>
      </c>
      <c r="AJ35">
        <f t="shared" si="9"/>
        <v>15.745311999999998</v>
      </c>
      <c r="AK35">
        <f t="shared" si="9"/>
        <v>15.745312000000002</v>
      </c>
      <c r="AL35">
        <f t="shared" si="9"/>
        <v>15.745312</v>
      </c>
      <c r="AM35">
        <f t="shared" si="9"/>
        <v>15.745311999999998</v>
      </c>
      <c r="AN35">
        <f t="shared" si="9"/>
        <v>15.745312</v>
      </c>
    </row>
    <row r="36" spans="1:41" x14ac:dyDescent="0.25">
      <c r="A36" s="121" t="s">
        <v>629</v>
      </c>
      <c r="B36">
        <f t="shared" ref="B36:AN36" si="10">IF(B10&gt;0,B29/B10,0)</f>
        <v>3.1420799999999995</v>
      </c>
      <c r="C36">
        <f t="shared" si="10"/>
        <v>3.1420799999999995</v>
      </c>
      <c r="D36">
        <f t="shared" si="10"/>
        <v>3.1420800000000004</v>
      </c>
      <c r="E36">
        <f t="shared" si="10"/>
        <v>3.14208</v>
      </c>
      <c r="F36">
        <f t="shared" si="10"/>
        <v>3.14208</v>
      </c>
      <c r="G36">
        <f t="shared" si="10"/>
        <v>0</v>
      </c>
      <c r="H36">
        <f t="shared" si="10"/>
        <v>3.1420800000000004</v>
      </c>
      <c r="I36">
        <f t="shared" si="10"/>
        <v>3.1420800000000004</v>
      </c>
      <c r="J36">
        <f t="shared" si="10"/>
        <v>3.14208</v>
      </c>
      <c r="K36">
        <f t="shared" si="10"/>
        <v>3.14208</v>
      </c>
      <c r="L36">
        <f t="shared" si="10"/>
        <v>3.1420800000000004</v>
      </c>
      <c r="M36">
        <f t="shared" si="10"/>
        <v>3.14208</v>
      </c>
      <c r="N36">
        <f t="shared" si="10"/>
        <v>3.1420800000000004</v>
      </c>
      <c r="O36">
        <f t="shared" si="10"/>
        <v>3.14208</v>
      </c>
      <c r="P36">
        <f t="shared" si="10"/>
        <v>3.1420800000000004</v>
      </c>
      <c r="Q36">
        <f t="shared" si="10"/>
        <v>3.14208</v>
      </c>
      <c r="R36">
        <f t="shared" si="10"/>
        <v>3.14208</v>
      </c>
      <c r="S36">
        <f t="shared" si="10"/>
        <v>3.14208</v>
      </c>
      <c r="T36">
        <f t="shared" si="10"/>
        <v>3.1420800000000004</v>
      </c>
      <c r="U36">
        <f t="shared" si="10"/>
        <v>3.14208</v>
      </c>
      <c r="V36">
        <f t="shared" si="10"/>
        <v>3.14208</v>
      </c>
      <c r="W36">
        <f t="shared" si="10"/>
        <v>3.14208</v>
      </c>
      <c r="X36">
        <f t="shared" si="10"/>
        <v>3.14208</v>
      </c>
      <c r="Y36">
        <f t="shared" si="10"/>
        <v>3.14208</v>
      </c>
      <c r="Z36">
        <f t="shared" si="10"/>
        <v>3.14208</v>
      </c>
      <c r="AA36">
        <f t="shared" si="10"/>
        <v>3.14208</v>
      </c>
      <c r="AB36">
        <f t="shared" si="10"/>
        <v>3.14208</v>
      </c>
      <c r="AC36">
        <f t="shared" si="10"/>
        <v>3.1420799999999995</v>
      </c>
      <c r="AD36">
        <f t="shared" si="10"/>
        <v>3.14208</v>
      </c>
      <c r="AE36">
        <f t="shared" si="10"/>
        <v>3.1420800000000004</v>
      </c>
      <c r="AF36">
        <f t="shared" si="10"/>
        <v>3.14208</v>
      </c>
      <c r="AG36">
        <f t="shared" si="10"/>
        <v>3.1420800000000004</v>
      </c>
      <c r="AH36">
        <f t="shared" si="10"/>
        <v>3.14208</v>
      </c>
      <c r="AI36">
        <f t="shared" si="10"/>
        <v>3.14208</v>
      </c>
      <c r="AJ36">
        <f t="shared" si="10"/>
        <v>3.14208</v>
      </c>
      <c r="AK36">
        <f t="shared" si="10"/>
        <v>3.14208</v>
      </c>
      <c r="AL36">
        <f t="shared" si="10"/>
        <v>3.14208</v>
      </c>
      <c r="AM36">
        <f t="shared" si="10"/>
        <v>3.14208</v>
      </c>
      <c r="AN36">
        <f t="shared" si="10"/>
        <v>3.14208</v>
      </c>
    </row>
    <row r="37" spans="1:41" x14ac:dyDescent="0.25">
      <c r="A37" s="121" t="s">
        <v>628</v>
      </c>
      <c r="B37">
        <f t="shared" ref="B37:AN37" si="11">IF(B11&gt;0,B30/B11,0)</f>
        <v>43.64</v>
      </c>
      <c r="C37">
        <f t="shared" si="11"/>
        <v>43.64</v>
      </c>
      <c r="D37">
        <f t="shared" si="11"/>
        <v>43.64</v>
      </c>
      <c r="E37">
        <f t="shared" si="11"/>
        <v>43.64</v>
      </c>
      <c r="F37">
        <f t="shared" si="11"/>
        <v>0</v>
      </c>
      <c r="G37">
        <f t="shared" si="11"/>
        <v>43.64</v>
      </c>
      <c r="H37">
        <f t="shared" si="11"/>
        <v>43.64</v>
      </c>
      <c r="I37">
        <f t="shared" si="11"/>
        <v>43.640000000000008</v>
      </c>
      <c r="J37">
        <f t="shared" si="11"/>
        <v>43.64</v>
      </c>
      <c r="K37">
        <f t="shared" si="11"/>
        <v>43.64</v>
      </c>
      <c r="L37">
        <f t="shared" si="11"/>
        <v>43.640000000000008</v>
      </c>
      <c r="M37">
        <f t="shared" si="11"/>
        <v>43.64</v>
      </c>
      <c r="N37">
        <f t="shared" si="11"/>
        <v>0</v>
      </c>
      <c r="O37">
        <f t="shared" si="11"/>
        <v>43.64</v>
      </c>
      <c r="P37">
        <f t="shared" si="11"/>
        <v>43.640000000000008</v>
      </c>
      <c r="Q37">
        <f t="shared" si="11"/>
        <v>43.64</v>
      </c>
      <c r="R37">
        <f t="shared" si="11"/>
        <v>0</v>
      </c>
      <c r="S37">
        <f t="shared" si="11"/>
        <v>43.64</v>
      </c>
      <c r="T37">
        <f t="shared" si="11"/>
        <v>0</v>
      </c>
      <c r="U37">
        <f t="shared" si="11"/>
        <v>43.64</v>
      </c>
      <c r="V37">
        <f t="shared" si="11"/>
        <v>0</v>
      </c>
      <c r="W37">
        <f t="shared" si="11"/>
        <v>43.64</v>
      </c>
      <c r="X37">
        <f t="shared" si="11"/>
        <v>43.64</v>
      </c>
      <c r="Y37">
        <f t="shared" si="11"/>
        <v>43.64</v>
      </c>
      <c r="Z37">
        <f t="shared" si="11"/>
        <v>43.64</v>
      </c>
      <c r="AA37">
        <f t="shared" si="11"/>
        <v>43.640000000000008</v>
      </c>
      <c r="AB37">
        <f t="shared" si="11"/>
        <v>43.64</v>
      </c>
      <c r="AC37">
        <f t="shared" si="11"/>
        <v>43.64</v>
      </c>
      <c r="AD37">
        <f t="shared" si="11"/>
        <v>43.639999999999993</v>
      </c>
      <c r="AE37">
        <f t="shared" si="11"/>
        <v>43.639999999999993</v>
      </c>
      <c r="AF37">
        <f t="shared" si="11"/>
        <v>43.64</v>
      </c>
      <c r="AG37">
        <f t="shared" si="11"/>
        <v>43.639999999999993</v>
      </c>
      <c r="AH37">
        <f t="shared" si="11"/>
        <v>43.64</v>
      </c>
      <c r="AI37">
        <f t="shared" si="11"/>
        <v>0</v>
      </c>
      <c r="AJ37">
        <f t="shared" si="11"/>
        <v>43.64</v>
      </c>
      <c r="AK37">
        <f t="shared" si="11"/>
        <v>43.64</v>
      </c>
      <c r="AL37">
        <f t="shared" si="11"/>
        <v>43.64</v>
      </c>
      <c r="AM37">
        <f t="shared" si="11"/>
        <v>43.64</v>
      </c>
      <c r="AN37">
        <f t="shared" si="11"/>
        <v>43.64</v>
      </c>
    </row>
    <row r="38" spans="1:41" x14ac:dyDescent="0.25">
      <c r="A38" s="121" t="s">
        <v>627</v>
      </c>
      <c r="B38">
        <f t="shared" ref="B38:AN38" si="12">IF(B12&gt;0,B31/B12,0)</f>
        <v>21.82</v>
      </c>
      <c r="C38">
        <f t="shared" si="12"/>
        <v>21.820000000000004</v>
      </c>
      <c r="D38">
        <f t="shared" si="12"/>
        <v>0</v>
      </c>
      <c r="E38">
        <f t="shared" si="12"/>
        <v>21.82</v>
      </c>
      <c r="F38">
        <f t="shared" si="12"/>
        <v>21.82</v>
      </c>
      <c r="G38">
        <f t="shared" si="12"/>
        <v>0</v>
      </c>
      <c r="H38">
        <f t="shared" si="12"/>
        <v>21.82</v>
      </c>
      <c r="I38">
        <f t="shared" si="12"/>
        <v>21.82</v>
      </c>
      <c r="J38">
        <f t="shared" si="12"/>
        <v>21.82</v>
      </c>
      <c r="K38">
        <f t="shared" si="12"/>
        <v>21.820000000000004</v>
      </c>
      <c r="L38">
        <f t="shared" si="12"/>
        <v>0</v>
      </c>
      <c r="M38">
        <f t="shared" si="12"/>
        <v>21.820000000000004</v>
      </c>
      <c r="N38">
        <f t="shared" si="12"/>
        <v>0</v>
      </c>
      <c r="O38">
        <f t="shared" si="12"/>
        <v>21.82</v>
      </c>
      <c r="P38">
        <f t="shared" si="12"/>
        <v>0</v>
      </c>
      <c r="Q38">
        <f t="shared" si="12"/>
        <v>21.82</v>
      </c>
      <c r="R38">
        <f t="shared" si="12"/>
        <v>0</v>
      </c>
      <c r="S38">
        <f t="shared" si="12"/>
        <v>21.820000000000004</v>
      </c>
      <c r="T38">
        <f t="shared" si="12"/>
        <v>0</v>
      </c>
      <c r="U38">
        <f t="shared" si="12"/>
        <v>21.82</v>
      </c>
      <c r="V38">
        <f t="shared" si="12"/>
        <v>0</v>
      </c>
      <c r="W38">
        <f t="shared" si="12"/>
        <v>21.820000000000004</v>
      </c>
      <c r="X38">
        <f t="shared" si="12"/>
        <v>21.82</v>
      </c>
      <c r="Y38">
        <f t="shared" si="12"/>
        <v>0</v>
      </c>
      <c r="Z38">
        <f t="shared" si="12"/>
        <v>21.82</v>
      </c>
      <c r="AA38">
        <f t="shared" si="12"/>
        <v>21.82</v>
      </c>
      <c r="AB38">
        <f t="shared" si="12"/>
        <v>21.82</v>
      </c>
      <c r="AC38">
        <f t="shared" si="12"/>
        <v>0</v>
      </c>
      <c r="AD38">
        <f t="shared" si="12"/>
        <v>21.820000000000004</v>
      </c>
      <c r="AE38">
        <f t="shared" si="12"/>
        <v>21.82</v>
      </c>
      <c r="AF38">
        <f t="shared" si="12"/>
        <v>21.82</v>
      </c>
      <c r="AG38">
        <f t="shared" si="12"/>
        <v>0</v>
      </c>
      <c r="AH38">
        <f t="shared" si="12"/>
        <v>21.82</v>
      </c>
      <c r="AI38">
        <f t="shared" si="12"/>
        <v>21.82</v>
      </c>
      <c r="AJ38">
        <f t="shared" si="12"/>
        <v>21.82</v>
      </c>
      <c r="AK38">
        <f t="shared" si="12"/>
        <v>0</v>
      </c>
      <c r="AL38">
        <f t="shared" si="12"/>
        <v>21.82</v>
      </c>
      <c r="AM38">
        <f t="shared" si="12"/>
        <v>21.820000000000004</v>
      </c>
      <c r="AN38">
        <f t="shared" si="12"/>
        <v>21.82</v>
      </c>
    </row>
    <row r="39" spans="1:41" x14ac:dyDescent="0.25">
      <c r="A39" s="121" t="s">
        <v>626</v>
      </c>
      <c r="B39">
        <f t="shared" ref="B39:AN39" si="13">IF(B13&gt;0,B32/B13,0)</f>
        <v>17.456</v>
      </c>
      <c r="C39">
        <f t="shared" si="13"/>
        <v>17.456</v>
      </c>
      <c r="D39">
        <f t="shared" si="13"/>
        <v>17.456</v>
      </c>
      <c r="E39">
        <f t="shared" si="13"/>
        <v>17.456</v>
      </c>
      <c r="F39">
        <f t="shared" si="13"/>
        <v>17.456</v>
      </c>
      <c r="G39">
        <f t="shared" si="13"/>
        <v>0</v>
      </c>
      <c r="H39">
        <f t="shared" si="13"/>
        <v>17.456</v>
      </c>
      <c r="I39">
        <f t="shared" si="13"/>
        <v>17.456</v>
      </c>
      <c r="J39">
        <f t="shared" si="13"/>
        <v>17.456</v>
      </c>
      <c r="K39">
        <f t="shared" si="13"/>
        <v>17.456000000000003</v>
      </c>
      <c r="L39">
        <f t="shared" si="13"/>
        <v>17.456</v>
      </c>
      <c r="M39">
        <f t="shared" si="13"/>
        <v>17.456</v>
      </c>
      <c r="N39">
        <f t="shared" si="13"/>
        <v>17.456000000000003</v>
      </c>
      <c r="O39">
        <f t="shared" si="13"/>
        <v>17.456000000000003</v>
      </c>
      <c r="P39">
        <f t="shared" si="13"/>
        <v>17.456</v>
      </c>
      <c r="Q39">
        <f t="shared" si="13"/>
        <v>17.456</v>
      </c>
      <c r="R39">
        <f t="shared" si="13"/>
        <v>0</v>
      </c>
      <c r="S39">
        <f t="shared" si="13"/>
        <v>17.456000000000003</v>
      </c>
      <c r="T39">
        <f t="shared" si="13"/>
        <v>0</v>
      </c>
      <c r="U39">
        <f t="shared" si="13"/>
        <v>17.456</v>
      </c>
      <c r="V39">
        <f t="shared" si="13"/>
        <v>17.456</v>
      </c>
      <c r="W39">
        <f t="shared" si="13"/>
        <v>17.456000000000003</v>
      </c>
      <c r="X39">
        <f t="shared" si="13"/>
        <v>17.456</v>
      </c>
      <c r="Y39">
        <f t="shared" si="13"/>
        <v>17.456</v>
      </c>
      <c r="Z39">
        <f t="shared" si="13"/>
        <v>17.456</v>
      </c>
      <c r="AA39">
        <f t="shared" si="13"/>
        <v>17.456</v>
      </c>
      <c r="AB39">
        <f t="shared" si="13"/>
        <v>17.456000000000003</v>
      </c>
      <c r="AC39">
        <f t="shared" si="13"/>
        <v>17.456</v>
      </c>
      <c r="AD39">
        <f t="shared" si="13"/>
        <v>17.456</v>
      </c>
      <c r="AE39">
        <f t="shared" si="13"/>
        <v>17.456</v>
      </c>
      <c r="AF39">
        <f t="shared" si="13"/>
        <v>17.456000000000003</v>
      </c>
      <c r="AG39">
        <f t="shared" si="13"/>
        <v>17.455999999999996</v>
      </c>
      <c r="AH39">
        <f t="shared" si="13"/>
        <v>17.456</v>
      </c>
      <c r="AI39">
        <f t="shared" si="13"/>
        <v>17.456</v>
      </c>
      <c r="AJ39">
        <f t="shared" si="13"/>
        <v>17.456000000000003</v>
      </c>
      <c r="AK39">
        <f t="shared" si="13"/>
        <v>17.456000000000003</v>
      </c>
      <c r="AL39">
        <f t="shared" si="13"/>
        <v>17.456000000000003</v>
      </c>
      <c r="AM39">
        <f t="shared" si="13"/>
        <v>17.456</v>
      </c>
      <c r="AN39">
        <f t="shared" si="13"/>
        <v>17.456</v>
      </c>
    </row>
    <row r="40" spans="1:41" x14ac:dyDescent="0.25">
      <c r="A40" s="148" t="s">
        <v>1026</v>
      </c>
      <c r="B40" s="36">
        <f>IF(B$81&gt;0,B34*B$82/B$81,0)</f>
        <v>23.805068679949791</v>
      </c>
      <c r="C40" s="36">
        <f t="shared" ref="C40:AN40" si="14">IF(C$81&gt;0,C34*C$82/C$81,0)</f>
        <v>23.805068679949787</v>
      </c>
      <c r="D40" s="36">
        <f t="shared" si="14"/>
        <v>23.805068679949791</v>
      </c>
      <c r="E40" s="36">
        <f t="shared" si="14"/>
        <v>23.805068679949795</v>
      </c>
      <c r="F40" s="36">
        <f t="shared" si="14"/>
        <v>23.805068679949787</v>
      </c>
      <c r="G40" s="36">
        <f t="shared" si="14"/>
        <v>23.805068679949795</v>
      </c>
      <c r="H40" s="36">
        <f t="shared" si="14"/>
        <v>23.805068679949787</v>
      </c>
      <c r="I40" s="36">
        <f t="shared" si="14"/>
        <v>23.805068679949795</v>
      </c>
      <c r="J40" s="36">
        <f t="shared" si="14"/>
        <v>23.805068679949791</v>
      </c>
      <c r="K40" s="36">
        <f t="shared" si="14"/>
        <v>23.805068679949791</v>
      </c>
      <c r="L40" s="36">
        <f t="shared" si="14"/>
        <v>23.805068679949787</v>
      </c>
      <c r="M40" s="36">
        <f t="shared" si="14"/>
        <v>23.805068679949787</v>
      </c>
      <c r="N40" s="36">
        <f t="shared" si="14"/>
        <v>23.805068679949791</v>
      </c>
      <c r="O40" s="36">
        <f t="shared" si="14"/>
        <v>23.805068679949791</v>
      </c>
      <c r="P40" s="36">
        <f t="shared" si="14"/>
        <v>23.805068679949787</v>
      </c>
      <c r="Q40" s="36">
        <f t="shared" si="14"/>
        <v>23.805068679949791</v>
      </c>
      <c r="R40" s="36">
        <f t="shared" si="14"/>
        <v>23.805068679949795</v>
      </c>
      <c r="S40" s="36">
        <f t="shared" si="14"/>
        <v>23.805068679949795</v>
      </c>
      <c r="T40" s="36">
        <f t="shared" si="14"/>
        <v>23.805068679949791</v>
      </c>
      <c r="U40" s="36">
        <f t="shared" si="14"/>
        <v>23.805068679949791</v>
      </c>
      <c r="V40" s="36">
        <f t="shared" si="14"/>
        <v>23.805068679949795</v>
      </c>
      <c r="W40" s="36">
        <f t="shared" si="14"/>
        <v>23.805068679949791</v>
      </c>
      <c r="X40" s="36">
        <f t="shared" si="14"/>
        <v>23.805068679949795</v>
      </c>
      <c r="Y40" s="36">
        <f t="shared" si="14"/>
        <v>23.805068679949791</v>
      </c>
      <c r="Z40" s="36">
        <f t="shared" si="14"/>
        <v>23.805068679949795</v>
      </c>
      <c r="AA40" s="36">
        <f t="shared" si="14"/>
        <v>23.805068679949791</v>
      </c>
      <c r="AB40" s="36">
        <f t="shared" si="14"/>
        <v>23.805068679949798</v>
      </c>
      <c r="AC40" s="36">
        <f t="shared" si="14"/>
        <v>23.805068679949795</v>
      </c>
      <c r="AD40" s="36">
        <f t="shared" si="14"/>
        <v>23.805068679949791</v>
      </c>
      <c r="AE40" s="36">
        <f t="shared" si="14"/>
        <v>23.805068679949795</v>
      </c>
      <c r="AF40" s="36">
        <f t="shared" si="14"/>
        <v>23.805068679949798</v>
      </c>
      <c r="AG40" s="36">
        <f t="shared" si="14"/>
        <v>23.805068679949795</v>
      </c>
      <c r="AH40" s="36">
        <f t="shared" si="14"/>
        <v>23.805068679949791</v>
      </c>
      <c r="AI40" s="36">
        <f t="shared" si="14"/>
        <v>23.805068679949787</v>
      </c>
      <c r="AJ40" s="36">
        <f t="shared" si="14"/>
        <v>23.805068679949787</v>
      </c>
      <c r="AK40" s="36">
        <f t="shared" si="14"/>
        <v>23.805068679949791</v>
      </c>
      <c r="AL40" s="36">
        <f t="shared" si="14"/>
        <v>23.805068679949795</v>
      </c>
      <c r="AM40" s="36">
        <f t="shared" si="14"/>
        <v>23.805068679949795</v>
      </c>
      <c r="AN40" s="36">
        <f t="shared" si="14"/>
        <v>23.805068679949787</v>
      </c>
    </row>
    <row r="41" spans="1:41" x14ac:dyDescent="0.25">
      <c r="A41" s="121" t="s">
        <v>186</v>
      </c>
      <c r="B41" s="36">
        <f t="shared" ref="B41:D45" si="15">IF(B$81&gt;0,B35*B$82/B$81,0)</f>
        <v>23.857968832571903</v>
      </c>
      <c r="C41" s="36">
        <f t="shared" si="15"/>
        <v>23.857968832571903</v>
      </c>
      <c r="D41" s="36">
        <f t="shared" si="15"/>
        <v>23.857968832571903</v>
      </c>
      <c r="E41" s="36">
        <f t="shared" ref="E41:AN41" si="16">IF(E$81&gt;0,E35*E$82/E$81,0)</f>
        <v>23.857968832571906</v>
      </c>
      <c r="F41" s="36">
        <f t="shared" si="16"/>
        <v>23.857968832571906</v>
      </c>
      <c r="G41" s="36">
        <f t="shared" si="16"/>
        <v>23.857968832571903</v>
      </c>
      <c r="H41" s="36">
        <f t="shared" si="16"/>
        <v>23.857968832571899</v>
      </c>
      <c r="I41" s="36">
        <f t="shared" si="16"/>
        <v>23.857968832571906</v>
      </c>
      <c r="J41" s="36">
        <f t="shared" si="16"/>
        <v>23.857968832571906</v>
      </c>
      <c r="K41" s="36">
        <f t="shared" si="16"/>
        <v>23.857968832571903</v>
      </c>
      <c r="L41" s="36">
        <f t="shared" si="16"/>
        <v>23.857968832571899</v>
      </c>
      <c r="M41" s="36">
        <f t="shared" si="16"/>
        <v>23.857968832571906</v>
      </c>
      <c r="N41" s="36">
        <f t="shared" si="16"/>
        <v>23.857968832571906</v>
      </c>
      <c r="O41" s="36">
        <f t="shared" si="16"/>
        <v>23.857968832571899</v>
      </c>
      <c r="P41" s="36">
        <f t="shared" si="16"/>
        <v>23.85796883257191</v>
      </c>
      <c r="Q41" s="36">
        <f t="shared" si="16"/>
        <v>23.857968832571903</v>
      </c>
      <c r="R41" s="36">
        <f t="shared" si="16"/>
        <v>23.857968832571899</v>
      </c>
      <c r="S41" s="36">
        <f t="shared" si="16"/>
        <v>23.857968832571906</v>
      </c>
      <c r="T41" s="36">
        <f t="shared" si="16"/>
        <v>23.857968832571903</v>
      </c>
      <c r="U41" s="36">
        <f t="shared" si="16"/>
        <v>23.857968832571903</v>
      </c>
      <c r="V41" s="36">
        <f t="shared" si="16"/>
        <v>23.857968832571903</v>
      </c>
      <c r="W41" s="36">
        <f t="shared" si="16"/>
        <v>23.857968832571906</v>
      </c>
      <c r="X41" s="36">
        <f t="shared" si="16"/>
        <v>23.857968832571899</v>
      </c>
      <c r="Y41" s="36">
        <f t="shared" si="16"/>
        <v>23.857968832571903</v>
      </c>
      <c r="Z41" s="36">
        <f t="shared" si="16"/>
        <v>23.857968832571903</v>
      </c>
      <c r="AA41" s="36">
        <f t="shared" si="16"/>
        <v>23.857968832571903</v>
      </c>
      <c r="AB41" s="36">
        <f t="shared" si="16"/>
        <v>23.857968832571903</v>
      </c>
      <c r="AC41" s="36">
        <f t="shared" si="16"/>
        <v>23.857968832571906</v>
      </c>
      <c r="AD41" s="36">
        <f t="shared" si="16"/>
        <v>23.85796883257191</v>
      </c>
      <c r="AE41" s="36">
        <f t="shared" si="16"/>
        <v>23.857968832571903</v>
      </c>
      <c r="AF41" s="36">
        <f t="shared" si="16"/>
        <v>23.857968832571903</v>
      </c>
      <c r="AG41" s="36">
        <f t="shared" si="16"/>
        <v>23.857968832571906</v>
      </c>
      <c r="AH41" s="36">
        <f t="shared" si="16"/>
        <v>23.857968832571906</v>
      </c>
      <c r="AI41" s="36">
        <f t="shared" si="16"/>
        <v>23.857968832571903</v>
      </c>
      <c r="AJ41" s="36">
        <f t="shared" si="16"/>
        <v>23.857968832571899</v>
      </c>
      <c r="AK41" s="36">
        <f t="shared" si="16"/>
        <v>23.857968832571906</v>
      </c>
      <c r="AL41" s="36">
        <f t="shared" si="16"/>
        <v>23.857968832571903</v>
      </c>
      <c r="AM41" s="36">
        <f t="shared" si="16"/>
        <v>23.857968832571899</v>
      </c>
      <c r="AN41" s="36">
        <f t="shared" si="16"/>
        <v>23.857968832571903</v>
      </c>
    </row>
    <row r="42" spans="1:41" x14ac:dyDescent="0.25">
      <c r="A42" s="121" t="s">
        <v>629</v>
      </c>
      <c r="B42" s="36">
        <f t="shared" si="15"/>
        <v>4.7610137359899571</v>
      </c>
      <c r="C42" s="36">
        <f t="shared" si="15"/>
        <v>4.7610137359899571</v>
      </c>
      <c r="D42" s="36">
        <f t="shared" si="15"/>
        <v>4.7610137359899589</v>
      </c>
      <c r="E42" s="36">
        <f t="shared" ref="E42:AN42" si="17">IF(E$81&gt;0,E36*E$82/E$81,0)</f>
        <v>4.761013735989958</v>
      </c>
      <c r="F42" s="36">
        <f t="shared" si="17"/>
        <v>4.761013735989958</v>
      </c>
      <c r="G42" s="36">
        <f t="shared" si="17"/>
        <v>0</v>
      </c>
      <c r="H42" s="36">
        <f t="shared" si="17"/>
        <v>4.7610137359899589</v>
      </c>
      <c r="I42" s="36">
        <f t="shared" si="17"/>
        <v>4.7610137359899589</v>
      </c>
      <c r="J42" s="36">
        <f t="shared" si="17"/>
        <v>4.761013735989958</v>
      </c>
      <c r="K42" s="36">
        <f t="shared" si="17"/>
        <v>4.7610137359899589</v>
      </c>
      <c r="L42" s="36">
        <f t="shared" si="17"/>
        <v>4.7610137359899589</v>
      </c>
      <c r="M42" s="36">
        <f t="shared" si="17"/>
        <v>4.761013735989958</v>
      </c>
      <c r="N42" s="36">
        <f t="shared" si="17"/>
        <v>4.7610137359899598</v>
      </c>
      <c r="O42" s="36">
        <f t="shared" si="17"/>
        <v>4.761013735989958</v>
      </c>
      <c r="P42" s="36">
        <f t="shared" si="17"/>
        <v>4.7610137359899598</v>
      </c>
      <c r="Q42" s="36">
        <f t="shared" si="17"/>
        <v>4.7610137359899589</v>
      </c>
      <c r="R42" s="36">
        <f t="shared" si="17"/>
        <v>4.761013735989958</v>
      </c>
      <c r="S42" s="36">
        <f t="shared" si="17"/>
        <v>4.7610137359899589</v>
      </c>
      <c r="T42" s="36">
        <f t="shared" si="17"/>
        <v>4.7610137359899589</v>
      </c>
      <c r="U42" s="36">
        <f t="shared" si="17"/>
        <v>4.761013735989958</v>
      </c>
      <c r="V42" s="36">
        <f t="shared" si="17"/>
        <v>4.761013735989958</v>
      </c>
      <c r="W42" s="36">
        <f t="shared" si="17"/>
        <v>4.7610137359899589</v>
      </c>
      <c r="X42" s="36">
        <f t="shared" si="17"/>
        <v>4.7610137359899589</v>
      </c>
      <c r="Y42" s="36">
        <f t="shared" si="17"/>
        <v>4.761013735989958</v>
      </c>
      <c r="Z42" s="36">
        <f t="shared" si="17"/>
        <v>4.761013735989958</v>
      </c>
      <c r="AA42" s="36">
        <f t="shared" si="17"/>
        <v>4.761013735989958</v>
      </c>
      <c r="AB42" s="36">
        <f t="shared" si="17"/>
        <v>4.7610137359899589</v>
      </c>
      <c r="AC42" s="36">
        <f t="shared" si="17"/>
        <v>4.7610137359899571</v>
      </c>
      <c r="AD42" s="36">
        <f t="shared" si="17"/>
        <v>4.761013735989958</v>
      </c>
      <c r="AE42" s="36">
        <f t="shared" si="17"/>
        <v>4.7610137359899589</v>
      </c>
      <c r="AF42" s="36">
        <f t="shared" si="17"/>
        <v>4.7610137359899589</v>
      </c>
      <c r="AG42" s="36">
        <f t="shared" si="17"/>
        <v>4.7610137359899589</v>
      </c>
      <c r="AH42" s="36">
        <f t="shared" si="17"/>
        <v>4.761013735989958</v>
      </c>
      <c r="AI42" s="36">
        <f t="shared" si="17"/>
        <v>4.761013735989958</v>
      </c>
      <c r="AJ42" s="36">
        <f t="shared" si="17"/>
        <v>4.7610137359899589</v>
      </c>
      <c r="AK42" s="36">
        <f t="shared" si="17"/>
        <v>4.7610137359899589</v>
      </c>
      <c r="AL42" s="36">
        <f t="shared" si="17"/>
        <v>4.7610137359899589</v>
      </c>
      <c r="AM42" s="36">
        <f t="shared" si="17"/>
        <v>4.761013735989958</v>
      </c>
      <c r="AN42" s="36">
        <f t="shared" si="17"/>
        <v>4.761013735989958</v>
      </c>
    </row>
    <row r="43" spans="1:41" x14ac:dyDescent="0.25">
      <c r="A43" s="121" t="s">
        <v>628</v>
      </c>
      <c r="B43" s="36">
        <f t="shared" si="15"/>
        <v>66.125190777638309</v>
      </c>
      <c r="C43" s="36">
        <f t="shared" si="15"/>
        <v>66.125190777638309</v>
      </c>
      <c r="D43" s="36">
        <f t="shared" si="15"/>
        <v>66.125190777638309</v>
      </c>
      <c r="E43" s="36">
        <f t="shared" ref="E43:AN43" si="18">IF(E$81&gt;0,E37*E$82/E$81,0)</f>
        <v>66.125190777638309</v>
      </c>
      <c r="F43" s="36">
        <f t="shared" si="18"/>
        <v>0</v>
      </c>
      <c r="G43" s="36">
        <f t="shared" si="18"/>
        <v>66.125190777638309</v>
      </c>
      <c r="H43" s="36">
        <f t="shared" si="18"/>
        <v>66.125190777638309</v>
      </c>
      <c r="I43" s="36">
        <f t="shared" si="18"/>
        <v>66.125190777638323</v>
      </c>
      <c r="J43" s="36">
        <f t="shared" si="18"/>
        <v>66.125190777638309</v>
      </c>
      <c r="K43" s="36">
        <f t="shared" si="18"/>
        <v>66.125190777638309</v>
      </c>
      <c r="L43" s="36">
        <f t="shared" si="18"/>
        <v>66.125190777638323</v>
      </c>
      <c r="M43" s="36">
        <f t="shared" si="18"/>
        <v>66.125190777638309</v>
      </c>
      <c r="N43" s="36">
        <f t="shared" si="18"/>
        <v>0</v>
      </c>
      <c r="O43" s="36">
        <f t="shared" si="18"/>
        <v>66.125190777638309</v>
      </c>
      <c r="P43" s="36">
        <f t="shared" si="18"/>
        <v>66.125190777638323</v>
      </c>
      <c r="Q43" s="36">
        <f t="shared" si="18"/>
        <v>66.125190777638309</v>
      </c>
      <c r="R43" s="36">
        <f t="shared" si="18"/>
        <v>0</v>
      </c>
      <c r="S43" s="36">
        <f t="shared" si="18"/>
        <v>66.125190777638323</v>
      </c>
      <c r="T43" s="36">
        <f t="shared" si="18"/>
        <v>0</v>
      </c>
      <c r="U43" s="36">
        <f t="shared" si="18"/>
        <v>66.125190777638309</v>
      </c>
      <c r="V43" s="36">
        <f t="shared" si="18"/>
        <v>0</v>
      </c>
      <c r="W43" s="36">
        <f t="shared" si="18"/>
        <v>66.125190777638309</v>
      </c>
      <c r="X43" s="36">
        <f t="shared" si="18"/>
        <v>66.125190777638323</v>
      </c>
      <c r="Y43" s="36">
        <f t="shared" si="18"/>
        <v>66.125190777638309</v>
      </c>
      <c r="Z43" s="36">
        <f t="shared" si="18"/>
        <v>66.125190777638309</v>
      </c>
      <c r="AA43" s="36">
        <f t="shared" si="18"/>
        <v>66.125190777638323</v>
      </c>
      <c r="AB43" s="36">
        <f t="shared" si="18"/>
        <v>66.125190777638309</v>
      </c>
      <c r="AC43" s="36">
        <f t="shared" si="18"/>
        <v>66.125190777638309</v>
      </c>
      <c r="AD43" s="36">
        <f t="shared" si="18"/>
        <v>66.125190777638309</v>
      </c>
      <c r="AE43" s="36">
        <f t="shared" si="18"/>
        <v>66.125190777638295</v>
      </c>
      <c r="AF43" s="36">
        <f t="shared" si="18"/>
        <v>66.125190777638309</v>
      </c>
      <c r="AG43" s="36">
        <f t="shared" si="18"/>
        <v>66.125190777638309</v>
      </c>
      <c r="AH43" s="36">
        <f t="shared" si="18"/>
        <v>66.125190777638309</v>
      </c>
      <c r="AI43" s="36">
        <f t="shared" si="18"/>
        <v>0</v>
      </c>
      <c r="AJ43" s="36">
        <f t="shared" si="18"/>
        <v>66.125190777638309</v>
      </c>
      <c r="AK43" s="36">
        <f t="shared" si="18"/>
        <v>66.125190777638323</v>
      </c>
      <c r="AL43" s="36">
        <f t="shared" si="18"/>
        <v>66.125190777638309</v>
      </c>
      <c r="AM43" s="36">
        <f t="shared" si="18"/>
        <v>66.125190777638309</v>
      </c>
      <c r="AN43" s="36">
        <f t="shared" si="18"/>
        <v>66.125190777638309</v>
      </c>
    </row>
    <row r="44" spans="1:41" x14ac:dyDescent="0.25">
      <c r="A44" s="121" t="s">
        <v>627</v>
      </c>
      <c r="B44" s="36">
        <f t="shared" si="15"/>
        <v>33.062595388819155</v>
      </c>
      <c r="C44" s="36">
        <f t="shared" si="15"/>
        <v>33.062595388819162</v>
      </c>
      <c r="D44" s="36">
        <f t="shared" si="15"/>
        <v>0</v>
      </c>
      <c r="E44" s="36">
        <f t="shared" ref="E44:AN44" si="19">IF(E$81&gt;0,E38*E$82/E$81,0)</f>
        <v>33.062595388819155</v>
      </c>
      <c r="F44" s="36">
        <f t="shared" si="19"/>
        <v>33.062595388819155</v>
      </c>
      <c r="G44" s="36">
        <f t="shared" si="19"/>
        <v>0</v>
      </c>
      <c r="H44" s="36">
        <f t="shared" si="19"/>
        <v>33.062595388819155</v>
      </c>
      <c r="I44" s="36">
        <f t="shared" si="19"/>
        <v>33.062595388819155</v>
      </c>
      <c r="J44" s="36">
        <f t="shared" si="19"/>
        <v>33.062595388819155</v>
      </c>
      <c r="K44" s="36">
        <f t="shared" si="19"/>
        <v>33.062595388819162</v>
      </c>
      <c r="L44" s="36">
        <f t="shared" si="19"/>
        <v>0</v>
      </c>
      <c r="M44" s="36">
        <f t="shared" si="19"/>
        <v>33.062595388819162</v>
      </c>
      <c r="N44" s="36">
        <f t="shared" si="19"/>
        <v>0</v>
      </c>
      <c r="O44" s="36">
        <f t="shared" si="19"/>
        <v>33.062595388819155</v>
      </c>
      <c r="P44" s="36">
        <f t="shared" si="19"/>
        <v>0</v>
      </c>
      <c r="Q44" s="36">
        <f t="shared" si="19"/>
        <v>33.062595388819155</v>
      </c>
      <c r="R44" s="36">
        <f t="shared" si="19"/>
        <v>0</v>
      </c>
      <c r="S44" s="36">
        <f t="shared" si="19"/>
        <v>33.062595388819162</v>
      </c>
      <c r="T44" s="36">
        <f t="shared" si="19"/>
        <v>0</v>
      </c>
      <c r="U44" s="36">
        <f t="shared" si="19"/>
        <v>33.062595388819155</v>
      </c>
      <c r="V44" s="36">
        <f t="shared" si="19"/>
        <v>0</v>
      </c>
      <c r="W44" s="36">
        <f t="shared" si="19"/>
        <v>33.062595388819162</v>
      </c>
      <c r="X44" s="36">
        <f t="shared" si="19"/>
        <v>33.062595388819162</v>
      </c>
      <c r="Y44" s="36">
        <f t="shared" si="19"/>
        <v>0</v>
      </c>
      <c r="Z44" s="36">
        <f t="shared" si="19"/>
        <v>33.062595388819155</v>
      </c>
      <c r="AA44" s="36">
        <f t="shared" si="19"/>
        <v>33.062595388819155</v>
      </c>
      <c r="AB44" s="36">
        <f t="shared" si="19"/>
        <v>33.062595388819155</v>
      </c>
      <c r="AC44" s="36">
        <f t="shared" si="19"/>
        <v>0</v>
      </c>
      <c r="AD44" s="36">
        <f t="shared" si="19"/>
        <v>33.062595388819162</v>
      </c>
      <c r="AE44" s="36">
        <f t="shared" si="19"/>
        <v>33.062595388819155</v>
      </c>
      <c r="AF44" s="36">
        <f t="shared" si="19"/>
        <v>33.062595388819155</v>
      </c>
      <c r="AG44" s="36">
        <f t="shared" si="19"/>
        <v>0</v>
      </c>
      <c r="AH44" s="36">
        <f t="shared" si="19"/>
        <v>33.062595388819155</v>
      </c>
      <c r="AI44" s="36">
        <f t="shared" si="19"/>
        <v>33.062595388819155</v>
      </c>
      <c r="AJ44" s="36">
        <f t="shared" si="19"/>
        <v>33.062595388819155</v>
      </c>
      <c r="AK44" s="36">
        <f t="shared" si="19"/>
        <v>0</v>
      </c>
      <c r="AL44" s="36">
        <f t="shared" si="19"/>
        <v>33.062595388819155</v>
      </c>
      <c r="AM44" s="36">
        <f t="shared" si="19"/>
        <v>33.062595388819162</v>
      </c>
      <c r="AN44" s="36">
        <f t="shared" si="19"/>
        <v>33.062595388819155</v>
      </c>
    </row>
    <row r="45" spans="1:41" x14ac:dyDescent="0.25">
      <c r="A45" s="121" t="s">
        <v>626</v>
      </c>
      <c r="B45" s="36">
        <f t="shared" si="15"/>
        <v>26.450076311055323</v>
      </c>
      <c r="C45" s="36">
        <f t="shared" si="15"/>
        <v>26.450076311055323</v>
      </c>
      <c r="D45" s="36">
        <f t="shared" si="15"/>
        <v>26.450076311055319</v>
      </c>
      <c r="E45" s="36">
        <f t="shared" ref="E45:AN45" si="20">IF(E$81&gt;0,E39*E$82/E$81,0)</f>
        <v>26.450076311055323</v>
      </c>
      <c r="F45" s="36">
        <f t="shared" si="20"/>
        <v>26.450076311055323</v>
      </c>
      <c r="G45" s="36">
        <f t="shared" si="20"/>
        <v>0</v>
      </c>
      <c r="H45" s="36">
        <f t="shared" si="20"/>
        <v>26.450076311055323</v>
      </c>
      <c r="I45" s="36">
        <f t="shared" si="20"/>
        <v>26.450076311055327</v>
      </c>
      <c r="J45" s="36">
        <f t="shared" si="20"/>
        <v>26.450076311055327</v>
      </c>
      <c r="K45" s="36">
        <f t="shared" si="20"/>
        <v>26.450076311055327</v>
      </c>
      <c r="L45" s="36">
        <f t="shared" si="20"/>
        <v>26.450076311055323</v>
      </c>
      <c r="M45" s="36">
        <f t="shared" si="20"/>
        <v>26.450076311055327</v>
      </c>
      <c r="N45" s="36">
        <f t="shared" si="20"/>
        <v>26.45007631105533</v>
      </c>
      <c r="O45" s="36">
        <f t="shared" si="20"/>
        <v>26.450076311055327</v>
      </c>
      <c r="P45" s="36">
        <f t="shared" si="20"/>
        <v>26.450076311055327</v>
      </c>
      <c r="Q45" s="36">
        <f t="shared" si="20"/>
        <v>26.450076311055323</v>
      </c>
      <c r="R45" s="36">
        <f t="shared" si="20"/>
        <v>0</v>
      </c>
      <c r="S45" s="36">
        <f t="shared" si="20"/>
        <v>26.45007631105533</v>
      </c>
      <c r="T45" s="36">
        <f t="shared" si="20"/>
        <v>0</v>
      </c>
      <c r="U45" s="36">
        <f t="shared" si="20"/>
        <v>26.450076311055323</v>
      </c>
      <c r="V45" s="36">
        <f t="shared" si="20"/>
        <v>26.450076311055323</v>
      </c>
      <c r="W45" s="36">
        <f t="shared" si="20"/>
        <v>26.450076311055327</v>
      </c>
      <c r="X45" s="36">
        <f t="shared" si="20"/>
        <v>26.450076311055327</v>
      </c>
      <c r="Y45" s="36">
        <f t="shared" si="20"/>
        <v>26.450076311055323</v>
      </c>
      <c r="Z45" s="36">
        <f t="shared" si="20"/>
        <v>26.450076311055327</v>
      </c>
      <c r="AA45" s="36">
        <f t="shared" si="20"/>
        <v>26.450076311055323</v>
      </c>
      <c r="AB45" s="36">
        <f t="shared" si="20"/>
        <v>26.450076311055327</v>
      </c>
      <c r="AC45" s="36">
        <f t="shared" si="20"/>
        <v>26.450076311055323</v>
      </c>
      <c r="AD45" s="36">
        <f t="shared" si="20"/>
        <v>26.450076311055323</v>
      </c>
      <c r="AE45" s="36">
        <f t="shared" si="20"/>
        <v>26.450076311055323</v>
      </c>
      <c r="AF45" s="36">
        <f t="shared" si="20"/>
        <v>26.45007631105533</v>
      </c>
      <c r="AG45" s="36">
        <f t="shared" si="20"/>
        <v>26.450076311055319</v>
      </c>
      <c r="AH45" s="36">
        <f t="shared" si="20"/>
        <v>26.450076311055323</v>
      </c>
      <c r="AI45" s="36">
        <f t="shared" si="20"/>
        <v>26.450076311055323</v>
      </c>
      <c r="AJ45" s="36">
        <f t="shared" si="20"/>
        <v>26.45007631105533</v>
      </c>
      <c r="AK45" s="36">
        <f t="shared" si="20"/>
        <v>26.45007631105533</v>
      </c>
      <c r="AL45" s="36">
        <f t="shared" si="20"/>
        <v>26.45007631105533</v>
      </c>
      <c r="AM45" s="36">
        <f t="shared" si="20"/>
        <v>26.450076311055323</v>
      </c>
      <c r="AN45" s="36">
        <f t="shared" si="20"/>
        <v>26.450076311055323</v>
      </c>
    </row>
    <row r="46" spans="1:41" x14ac:dyDescent="0.25">
      <c r="A46" s="332" t="s">
        <v>625</v>
      </c>
      <c r="B46" s="341">
        <v>129.87432861299999</v>
      </c>
      <c r="C46" s="340">
        <v>103.878417969</v>
      </c>
      <c r="D46" s="340">
        <v>174.57281494099999</v>
      </c>
      <c r="E46" s="340">
        <v>113.548057556</v>
      </c>
      <c r="F46" s="340">
        <v>167.03221130399999</v>
      </c>
      <c r="G46" s="340">
        <v>84.238471984900002</v>
      </c>
      <c r="H46" s="340">
        <v>100.920974731</v>
      </c>
      <c r="I46" s="340">
        <v>166.906539917</v>
      </c>
      <c r="J46" s="340">
        <v>159.546508789</v>
      </c>
      <c r="K46" s="340">
        <v>130.46206665</v>
      </c>
      <c r="L46" s="340">
        <v>33.198646545400003</v>
      </c>
      <c r="M46" s="340">
        <v>78.257041931200007</v>
      </c>
      <c r="N46" s="340">
        <v>168.685714722</v>
      </c>
      <c r="O46" s="340">
        <v>127.585662842</v>
      </c>
      <c r="P46" s="340">
        <v>177.16847229000001</v>
      </c>
      <c r="Q46" s="340">
        <v>113.11340332</v>
      </c>
      <c r="R46" s="340">
        <v>121.75934600799999</v>
      </c>
      <c r="S46" s="340">
        <v>92.524208068799993</v>
      </c>
      <c r="T46" s="340">
        <v>44.646568298299997</v>
      </c>
      <c r="U46" s="340">
        <v>19.698234558100001</v>
      </c>
      <c r="V46" s="340">
        <v>172.93836975100001</v>
      </c>
      <c r="W46" s="340">
        <v>138.60137939500001</v>
      </c>
      <c r="X46" s="340">
        <v>25.436143875100001</v>
      </c>
      <c r="Y46" s="340">
        <v>176.04330444300001</v>
      </c>
      <c r="Z46" s="340">
        <v>160.12474060100001</v>
      </c>
      <c r="AA46" s="340">
        <v>84.968299865700004</v>
      </c>
      <c r="AB46" s="340">
        <v>136.50851440400001</v>
      </c>
      <c r="AC46" s="340">
        <v>84.8822097778</v>
      </c>
      <c r="AD46" s="340">
        <v>178.33668518100001</v>
      </c>
      <c r="AE46" s="340">
        <v>153.19657897900001</v>
      </c>
      <c r="AF46" s="340">
        <v>134.07945251500001</v>
      </c>
      <c r="AG46" s="340">
        <v>174.82717895499999</v>
      </c>
      <c r="AH46" s="340">
        <v>159.95396423299999</v>
      </c>
      <c r="AI46" s="340">
        <v>160.539916992</v>
      </c>
      <c r="AJ46" s="340">
        <v>131.35565185499999</v>
      </c>
      <c r="AK46" s="340">
        <v>175.49082946799999</v>
      </c>
      <c r="AL46" s="340">
        <v>135.67910766599999</v>
      </c>
      <c r="AM46" s="340">
        <v>174.35162353499999</v>
      </c>
      <c r="AN46" s="340">
        <v>129.346603394</v>
      </c>
    </row>
    <row r="47" spans="1:41" x14ac:dyDescent="0.25">
      <c r="A47" s="27" t="s">
        <v>618</v>
      </c>
      <c r="B47" s="340">
        <v>26.520582199100001</v>
      </c>
      <c r="C47" s="340">
        <v>24.0455131531</v>
      </c>
      <c r="D47" s="340">
        <v>0</v>
      </c>
      <c r="E47" s="340">
        <v>36.383590698200003</v>
      </c>
      <c r="F47" s="340">
        <v>30.180866241499999</v>
      </c>
      <c r="G47" s="340">
        <v>22.228893280000001</v>
      </c>
      <c r="H47" s="340">
        <v>18.925765991199999</v>
      </c>
      <c r="I47" s="340">
        <v>44.402656555199997</v>
      </c>
      <c r="J47" s="340">
        <v>52.900707244899998</v>
      </c>
      <c r="K47" s="340">
        <v>49.507869720499997</v>
      </c>
      <c r="L47" s="340">
        <v>24.142801284800001</v>
      </c>
      <c r="M47" s="340">
        <v>18.998861312900001</v>
      </c>
      <c r="N47" s="340">
        <v>18.431070327800001</v>
      </c>
      <c r="O47" s="340">
        <v>40.495300293</v>
      </c>
      <c r="P47" s="340">
        <v>0.51741605997100004</v>
      </c>
      <c r="Q47" s="340">
        <v>48.598930358899999</v>
      </c>
      <c r="R47" s="340">
        <v>31.191436767599999</v>
      </c>
      <c r="S47" s="340">
        <v>27.6026935577</v>
      </c>
      <c r="T47" s="340">
        <v>11.4372377396</v>
      </c>
      <c r="U47" s="340">
        <v>34.1578559875</v>
      </c>
      <c r="V47" s="340">
        <v>4.4990181922899997E-2</v>
      </c>
      <c r="W47" s="340">
        <v>46.250026702900001</v>
      </c>
      <c r="X47" s="340">
        <v>41.640457153299998</v>
      </c>
      <c r="Y47" s="340">
        <v>6.3438370823899998E-2</v>
      </c>
      <c r="Z47" s="340">
        <v>36.036888122599997</v>
      </c>
      <c r="AA47" s="340">
        <v>23.039115905799999</v>
      </c>
      <c r="AB47" s="340">
        <v>46.523536682100001</v>
      </c>
      <c r="AC47" s="340">
        <v>11.429210662799999</v>
      </c>
      <c r="AD47" s="340">
        <v>29.324668884299999</v>
      </c>
      <c r="AE47" s="340">
        <v>44.175750732399997</v>
      </c>
      <c r="AF47" s="340">
        <v>20.988193511999999</v>
      </c>
      <c r="AG47" s="340">
        <v>0</v>
      </c>
      <c r="AH47" s="340">
        <v>49.712444305399998</v>
      </c>
      <c r="AI47" s="340">
        <v>53.321990966800001</v>
      </c>
      <c r="AJ47" s="340">
        <v>39.297489166299997</v>
      </c>
      <c r="AK47" s="340">
        <v>2.5289540290799999</v>
      </c>
      <c r="AL47" s="340">
        <v>35.570579528800003</v>
      </c>
      <c r="AM47" s="340">
        <v>41.547157287600001</v>
      </c>
      <c r="AN47" s="340">
        <v>27.574357986500001</v>
      </c>
    </row>
    <row r="48" spans="1:41" x14ac:dyDescent="0.25">
      <c r="A48" s="332" t="s">
        <v>617</v>
      </c>
      <c r="B48" s="341">
        <v>34.626621246299997</v>
      </c>
      <c r="C48" s="340">
        <v>28.743364334100001</v>
      </c>
      <c r="D48" s="340">
        <v>49.403755187999998</v>
      </c>
      <c r="E48" s="340">
        <v>33.562656402599998</v>
      </c>
      <c r="F48" s="340">
        <v>46.098224639900003</v>
      </c>
      <c r="G48" s="340">
        <v>24.318225860599998</v>
      </c>
      <c r="H48" s="340">
        <v>29.643392562900001</v>
      </c>
      <c r="I48" s="340">
        <v>45.614585876500001</v>
      </c>
      <c r="J48" s="340">
        <v>41.520496368400003</v>
      </c>
      <c r="K48" s="340">
        <v>34.1725006104</v>
      </c>
      <c r="L48" s="340">
        <v>13.181614875799999</v>
      </c>
      <c r="M48" s="340">
        <v>17.1285686493</v>
      </c>
      <c r="N48" s="340">
        <v>48.2888793945</v>
      </c>
      <c r="O48" s="340">
        <v>34.993225097699998</v>
      </c>
      <c r="P48" s="340">
        <v>48.859436035199998</v>
      </c>
      <c r="Q48" s="340">
        <v>30.856641769399999</v>
      </c>
      <c r="R48" s="340">
        <v>35.149868011499997</v>
      </c>
      <c r="S48" s="340">
        <v>25.774021148700001</v>
      </c>
      <c r="T48" s="340">
        <v>12.8887109756</v>
      </c>
      <c r="U48" s="340">
        <v>17.933732986500001</v>
      </c>
      <c r="V48" s="340">
        <v>48.872959137000002</v>
      </c>
      <c r="W48" s="340">
        <v>35.509014129599997</v>
      </c>
      <c r="X48" s="340">
        <v>19.773023605300001</v>
      </c>
      <c r="Y48" s="340">
        <v>49.471778869600001</v>
      </c>
      <c r="Z48" s="340">
        <v>44.736476898200003</v>
      </c>
      <c r="AA48" s="340">
        <v>27.463813781700001</v>
      </c>
      <c r="AB48" s="340">
        <v>36.580909728999998</v>
      </c>
      <c r="AC48" s="340">
        <v>29.7412128448</v>
      </c>
      <c r="AD48" s="340">
        <v>49.488594055199997</v>
      </c>
      <c r="AE48" s="340">
        <v>42.131656646700002</v>
      </c>
      <c r="AF48" s="340">
        <v>36.857536315899999</v>
      </c>
      <c r="AG48" s="340">
        <v>49.249519348100002</v>
      </c>
      <c r="AH48" s="340">
        <v>43.294219970699999</v>
      </c>
      <c r="AI48" s="340">
        <v>42.906707763699998</v>
      </c>
      <c r="AJ48" s="340">
        <v>36.023830413799999</v>
      </c>
      <c r="AK48" s="340">
        <v>48.924228668200001</v>
      </c>
      <c r="AL48" s="340">
        <v>37.149440765400001</v>
      </c>
      <c r="AM48" s="340">
        <v>47.9620094299</v>
      </c>
      <c r="AN48" s="340">
        <v>35.958141326899998</v>
      </c>
    </row>
    <row r="49" spans="1:41" x14ac:dyDescent="0.25">
      <c r="A49" s="332" t="s">
        <v>616</v>
      </c>
      <c r="B49" s="341">
        <v>6.1</v>
      </c>
      <c r="C49" s="341">
        <v>6.1</v>
      </c>
      <c r="D49" s="341">
        <v>6.1</v>
      </c>
      <c r="E49" s="341">
        <v>6.1</v>
      </c>
      <c r="F49" s="341">
        <v>6.1</v>
      </c>
      <c r="G49" s="341">
        <v>6.1</v>
      </c>
      <c r="H49" s="341">
        <v>6.1</v>
      </c>
      <c r="I49" s="341">
        <v>6.1</v>
      </c>
      <c r="J49" s="341">
        <v>6.1</v>
      </c>
      <c r="K49" s="341">
        <v>6.1</v>
      </c>
      <c r="L49" s="341">
        <v>6.1</v>
      </c>
      <c r="M49" s="341">
        <v>6.1</v>
      </c>
      <c r="N49" s="341">
        <v>6.1</v>
      </c>
      <c r="O49" s="341">
        <v>6.1</v>
      </c>
      <c r="P49" s="341">
        <v>6.1</v>
      </c>
      <c r="Q49" s="341">
        <v>6.1</v>
      </c>
      <c r="R49" s="341">
        <v>6.1</v>
      </c>
      <c r="S49" s="341">
        <v>6.1</v>
      </c>
      <c r="T49" s="341">
        <v>6.1</v>
      </c>
      <c r="U49" s="341">
        <v>6.1</v>
      </c>
      <c r="V49" s="341">
        <v>6.1</v>
      </c>
      <c r="W49" s="341">
        <v>6.1</v>
      </c>
      <c r="X49" s="341">
        <v>6.1</v>
      </c>
      <c r="Y49" s="341">
        <v>6.1</v>
      </c>
      <c r="Z49" s="341">
        <v>6.1</v>
      </c>
      <c r="AA49" s="341">
        <v>6.1</v>
      </c>
      <c r="AB49" s="341">
        <v>6.1</v>
      </c>
      <c r="AC49" s="341">
        <v>6.1</v>
      </c>
      <c r="AD49" s="341">
        <v>6.1</v>
      </c>
      <c r="AE49" s="341">
        <v>6.1</v>
      </c>
      <c r="AF49" s="341">
        <v>6.1</v>
      </c>
      <c r="AG49" s="341">
        <v>6.1</v>
      </c>
      <c r="AH49" s="341">
        <v>6.1</v>
      </c>
      <c r="AI49" s="341">
        <v>6.1</v>
      </c>
      <c r="AJ49" s="341">
        <v>6.1</v>
      </c>
      <c r="AK49" s="341">
        <v>6.1</v>
      </c>
      <c r="AL49" s="341">
        <v>6.1</v>
      </c>
      <c r="AM49" s="341">
        <v>6.1</v>
      </c>
      <c r="AN49" s="341">
        <v>6.1</v>
      </c>
    </row>
    <row r="50" spans="1:41" x14ac:dyDescent="0.25">
      <c r="A50" s="332" t="s">
        <v>615</v>
      </c>
      <c r="B50" s="341">
        <v>4.9487442970300002</v>
      </c>
      <c r="C50" s="340">
        <v>4.5605959892300003</v>
      </c>
      <c r="D50" s="340">
        <v>0</v>
      </c>
      <c r="E50" s="340">
        <v>3.8071529865299998</v>
      </c>
      <c r="F50" s="340">
        <v>4.6045475006099998</v>
      </c>
      <c r="G50" s="340">
        <v>0</v>
      </c>
      <c r="H50" s="340">
        <v>2.0559647083299999</v>
      </c>
      <c r="I50" s="340">
        <v>11.882475853000001</v>
      </c>
      <c r="J50" s="340">
        <v>22.289926528900001</v>
      </c>
      <c r="K50" s="340">
        <v>20.918008804300001</v>
      </c>
      <c r="L50" s="340">
        <v>0</v>
      </c>
      <c r="M50" s="340">
        <v>3.7788517475100001</v>
      </c>
      <c r="N50" s="340">
        <v>0</v>
      </c>
      <c r="O50" s="340">
        <v>16.4302196503</v>
      </c>
      <c r="P50" s="340">
        <v>0</v>
      </c>
      <c r="Q50" s="340">
        <v>22.510337829600001</v>
      </c>
      <c r="R50" s="340">
        <v>0</v>
      </c>
      <c r="S50" s="340">
        <v>3.4083902835800002</v>
      </c>
      <c r="T50" s="340">
        <v>0</v>
      </c>
      <c r="U50" s="340">
        <v>0.270948529243</v>
      </c>
      <c r="V50" s="340">
        <v>0</v>
      </c>
      <c r="W50" s="340">
        <v>20.6249408722</v>
      </c>
      <c r="X50" s="340">
        <v>0.86006718873999999</v>
      </c>
      <c r="Y50" s="340">
        <v>0</v>
      </c>
      <c r="Z50" s="340">
        <v>3.9432196617100002</v>
      </c>
      <c r="AA50" s="340">
        <v>0.51548230648000004</v>
      </c>
      <c r="AB50" s="340">
        <v>20.125984191899999</v>
      </c>
      <c r="AC50" s="340">
        <v>0</v>
      </c>
      <c r="AD50" s="340">
        <v>2.6237924099000001</v>
      </c>
      <c r="AE50" s="340">
        <v>14.9983205795</v>
      </c>
      <c r="AF50" s="340">
        <v>0.48436161875700001</v>
      </c>
      <c r="AG50" s="340">
        <v>0</v>
      </c>
      <c r="AH50" s="340">
        <v>18.653373718299999</v>
      </c>
      <c r="AI50" s="340">
        <v>18.117807388300001</v>
      </c>
      <c r="AJ50" s="340">
        <v>17.7943058014</v>
      </c>
      <c r="AK50" s="340">
        <v>0</v>
      </c>
      <c r="AL50" s="340">
        <v>13.045290947</v>
      </c>
      <c r="AM50" s="340">
        <v>9.2642793655400002</v>
      </c>
      <c r="AN50" s="340">
        <v>2.1551158428199999</v>
      </c>
    </row>
    <row r="51" spans="1:41" x14ac:dyDescent="0.25">
      <c r="A51" s="332" t="s">
        <v>614</v>
      </c>
      <c r="B51" s="339">
        <v>1838</v>
      </c>
      <c r="C51" s="339">
        <v>1838</v>
      </c>
      <c r="D51" s="339">
        <v>1838</v>
      </c>
      <c r="E51" s="339">
        <v>1838</v>
      </c>
      <c r="F51" s="339">
        <v>1838</v>
      </c>
      <c r="G51" s="339">
        <v>1838</v>
      </c>
      <c r="H51" s="339">
        <v>1838</v>
      </c>
      <c r="I51" s="339">
        <v>1838</v>
      </c>
      <c r="J51" s="339">
        <v>1838</v>
      </c>
      <c r="K51" s="339">
        <v>1838</v>
      </c>
      <c r="L51" s="339">
        <v>1838</v>
      </c>
      <c r="M51" s="339">
        <v>1838</v>
      </c>
      <c r="N51" s="339">
        <v>1838</v>
      </c>
      <c r="O51" s="339">
        <v>1838</v>
      </c>
      <c r="P51" s="339">
        <v>1838</v>
      </c>
      <c r="Q51" s="339">
        <v>1838</v>
      </c>
      <c r="R51" s="339">
        <v>1838</v>
      </c>
      <c r="S51" s="339">
        <v>1838</v>
      </c>
      <c r="T51" s="339">
        <v>1838</v>
      </c>
      <c r="U51" s="339">
        <v>1838</v>
      </c>
      <c r="V51" s="339">
        <v>1838</v>
      </c>
      <c r="W51" s="339">
        <v>1838</v>
      </c>
      <c r="X51" s="339">
        <v>1838</v>
      </c>
      <c r="Y51" s="339">
        <v>1838</v>
      </c>
      <c r="Z51" s="339">
        <v>1838</v>
      </c>
      <c r="AA51" s="339">
        <v>1838</v>
      </c>
      <c r="AB51" s="339">
        <v>1838</v>
      </c>
      <c r="AC51" s="339">
        <v>1838</v>
      </c>
      <c r="AD51" s="339">
        <v>1838</v>
      </c>
      <c r="AE51" s="339">
        <v>1838</v>
      </c>
      <c r="AF51" s="339">
        <v>1838</v>
      </c>
      <c r="AG51" s="339">
        <v>1838</v>
      </c>
      <c r="AH51" s="339">
        <v>1838</v>
      </c>
      <c r="AI51" s="339">
        <v>1838</v>
      </c>
      <c r="AJ51" s="339">
        <v>1838</v>
      </c>
      <c r="AK51" s="339">
        <v>1838</v>
      </c>
      <c r="AL51" s="339">
        <v>1838</v>
      </c>
      <c r="AM51" s="339">
        <v>1838</v>
      </c>
      <c r="AN51" s="339">
        <v>1838</v>
      </c>
    </row>
    <row r="52" spans="1:41" s="112" customFormat="1" x14ac:dyDescent="0.25">
      <c r="A52" s="163" t="s">
        <v>1097</v>
      </c>
      <c r="B52" s="633">
        <f>'Manure Rate'!B8</f>
        <v>8215774.2160100006</v>
      </c>
      <c r="C52" s="633">
        <f>'Manure Rate'!C8</f>
        <v>255886.81292399997</v>
      </c>
      <c r="D52" s="633">
        <f>'Manure Rate'!D8</f>
        <v>7409449.2151699997</v>
      </c>
      <c r="E52" s="633">
        <f>'Manure Rate'!E8</f>
        <v>5511230.7325299997</v>
      </c>
      <c r="F52" s="633">
        <f>'Manure Rate'!F8</f>
        <v>4794487.0602099998</v>
      </c>
      <c r="G52" s="633">
        <f>'Manure Rate'!G8</f>
        <v>162.32405316424001</v>
      </c>
      <c r="H52" s="633">
        <f>'Manure Rate'!H8</f>
        <v>6809351.7544299997</v>
      </c>
      <c r="I52" s="633">
        <f>'Manure Rate'!I8</f>
        <v>5510320.0778400004</v>
      </c>
      <c r="J52" s="633">
        <f>'Manure Rate'!J8</f>
        <v>1491850.781953</v>
      </c>
      <c r="K52" s="633">
        <f>'Manure Rate'!K8</f>
        <v>1057175.032164</v>
      </c>
      <c r="L52" s="633">
        <f>'Manure Rate'!L8</f>
        <v>142078.74125780002</v>
      </c>
      <c r="M52" s="633">
        <f>'Manure Rate'!M8</f>
        <v>992224.82747299992</v>
      </c>
      <c r="N52" s="633">
        <f>'Manure Rate'!N8</f>
        <v>7020801.3180199992</v>
      </c>
      <c r="O52" s="633">
        <f>'Manure Rate'!O8</f>
        <v>697742.70795499999</v>
      </c>
      <c r="P52" s="633">
        <f>'Manure Rate'!P8</f>
        <v>1356605.631391</v>
      </c>
      <c r="Q52" s="633">
        <f>'Manure Rate'!Q8</f>
        <v>152407.4921948</v>
      </c>
      <c r="R52" s="633">
        <f>'Manure Rate'!R8</f>
        <v>17533.879335130001</v>
      </c>
      <c r="S52" s="633">
        <f>'Manure Rate'!S8</f>
        <v>1326922.892395</v>
      </c>
      <c r="T52" s="633">
        <f>'Manure Rate'!T8</f>
        <v>7657.4174200500001</v>
      </c>
      <c r="U52" s="633">
        <f>'Manure Rate'!U8</f>
        <v>101783.7253963</v>
      </c>
      <c r="V52" s="633">
        <f>'Manure Rate'!V8</f>
        <v>162381.45115849999</v>
      </c>
      <c r="W52" s="633">
        <f>'Manure Rate'!W8</f>
        <v>255594.86825300002</v>
      </c>
      <c r="X52" s="633">
        <f>'Manure Rate'!X8</f>
        <v>123754.07967229999</v>
      </c>
      <c r="Y52" s="633">
        <f>'Manure Rate'!Y8</f>
        <v>6399262.6335199997</v>
      </c>
      <c r="Z52" s="633">
        <f>'Manure Rate'!Z8</f>
        <v>9660094.5889099985</v>
      </c>
      <c r="AA52" s="633">
        <f>'Manure Rate'!AA8</f>
        <v>510279.810925</v>
      </c>
      <c r="AB52" s="633">
        <f>'Manure Rate'!AB8</f>
        <v>9652706.1708499994</v>
      </c>
      <c r="AC52" s="633">
        <f>'Manure Rate'!AC8</f>
        <v>173625.66076850001</v>
      </c>
      <c r="AD52" s="633">
        <f>'Manure Rate'!AD8</f>
        <v>379882.345707</v>
      </c>
      <c r="AE52" s="633">
        <f>'Manure Rate'!AE8</f>
        <v>488623.89756099996</v>
      </c>
      <c r="AF52" s="633">
        <f>'Manure Rate'!AF8</f>
        <v>1093676.046595</v>
      </c>
      <c r="AG52" s="633">
        <f>'Manure Rate'!AG8</f>
        <v>566914.59352999995</v>
      </c>
      <c r="AH52" s="633">
        <f>'Manure Rate'!AH8</f>
        <v>6471323.38497</v>
      </c>
      <c r="AI52" s="633">
        <f>'Manure Rate'!AI8</f>
        <v>672382.84565000003</v>
      </c>
      <c r="AJ52" s="633">
        <f>'Manure Rate'!AJ8</f>
        <v>159413.8517535</v>
      </c>
      <c r="AK52" s="633">
        <f>'Manure Rate'!AK8</f>
        <v>2748068.0996400001</v>
      </c>
      <c r="AL52" s="633">
        <f>'Manure Rate'!AL8</f>
        <v>1069878.4083</v>
      </c>
      <c r="AM52" s="633">
        <f>'Manure Rate'!AM8</f>
        <v>3768518.3856699998</v>
      </c>
      <c r="AN52" s="633">
        <f>'Manure Rate'!AN8</f>
        <v>4224808.7004899997</v>
      </c>
      <c r="AO52" s="634">
        <f>SUM(B52:AN52)</f>
        <v>101452636.46404605</v>
      </c>
    </row>
    <row r="53" spans="1:41" s="112" customFormat="1" x14ac:dyDescent="0.25">
      <c r="A53" s="163" t="s">
        <v>1102</v>
      </c>
      <c r="B53" s="633">
        <f>B52-B54</f>
        <v>4107887.1080050003</v>
      </c>
      <c r="C53" s="633">
        <f t="shared" ref="C53:AN53" si="21">C52-C54</f>
        <v>44194.44596399361</v>
      </c>
      <c r="D53" s="633">
        <f t="shared" si="21"/>
        <v>3704724.6075849999</v>
      </c>
      <c r="E53" s="633">
        <f t="shared" si="21"/>
        <v>2755615.3662649998</v>
      </c>
      <c r="F53" s="633">
        <f t="shared" si="21"/>
        <v>0</v>
      </c>
      <c r="G53" s="633">
        <f t="shared" si="21"/>
        <v>81.162026582120006</v>
      </c>
      <c r="H53" s="633">
        <f t="shared" si="21"/>
        <v>3404675.8772149999</v>
      </c>
      <c r="I53" s="633">
        <f t="shared" si="21"/>
        <v>0</v>
      </c>
      <c r="J53" s="633">
        <f t="shared" si="21"/>
        <v>0</v>
      </c>
      <c r="K53" s="633">
        <f t="shared" si="21"/>
        <v>0</v>
      </c>
      <c r="L53" s="633">
        <f t="shared" si="21"/>
        <v>71039.370628900011</v>
      </c>
      <c r="M53" s="633">
        <f t="shared" si="21"/>
        <v>496112.41373649996</v>
      </c>
      <c r="N53" s="633">
        <f t="shared" si="21"/>
        <v>0</v>
      </c>
      <c r="O53" s="633">
        <f t="shared" si="21"/>
        <v>0</v>
      </c>
      <c r="P53" s="633">
        <f t="shared" si="21"/>
        <v>0</v>
      </c>
      <c r="Q53" s="633">
        <f t="shared" si="21"/>
        <v>0</v>
      </c>
      <c r="R53" s="633">
        <f t="shared" si="21"/>
        <v>8766.9396675650005</v>
      </c>
      <c r="S53" s="633">
        <f t="shared" si="21"/>
        <v>663461.44619749999</v>
      </c>
      <c r="T53" s="633">
        <f t="shared" si="21"/>
        <v>3828.7087100250001</v>
      </c>
      <c r="U53" s="633">
        <f t="shared" si="21"/>
        <v>50891.862698149998</v>
      </c>
      <c r="V53" s="633">
        <f t="shared" si="21"/>
        <v>0</v>
      </c>
      <c r="W53" s="633">
        <f t="shared" si="21"/>
        <v>0</v>
      </c>
      <c r="X53" s="633">
        <f t="shared" si="21"/>
        <v>61877.039836149997</v>
      </c>
      <c r="Y53" s="633">
        <f t="shared" si="21"/>
        <v>2861041.4690874605</v>
      </c>
      <c r="Z53" s="633">
        <f t="shared" si="21"/>
        <v>0</v>
      </c>
      <c r="AA53" s="633">
        <f t="shared" si="21"/>
        <v>255139.9054625</v>
      </c>
      <c r="AB53" s="633">
        <f t="shared" si="21"/>
        <v>4826353.0854249997</v>
      </c>
      <c r="AC53" s="633">
        <f t="shared" si="21"/>
        <v>86812.830384250003</v>
      </c>
      <c r="AD53" s="633">
        <f t="shared" si="21"/>
        <v>34488.755291791749</v>
      </c>
      <c r="AE53" s="633">
        <f t="shared" si="21"/>
        <v>244311.94878049998</v>
      </c>
      <c r="AF53" s="633">
        <f t="shared" si="21"/>
        <v>546838.02329749998</v>
      </c>
      <c r="AG53" s="633">
        <f t="shared" si="21"/>
        <v>283457.29676499998</v>
      </c>
      <c r="AH53" s="633">
        <f t="shared" si="21"/>
        <v>0</v>
      </c>
      <c r="AI53" s="633">
        <f t="shared" si="21"/>
        <v>0</v>
      </c>
      <c r="AJ53" s="633">
        <f t="shared" si="21"/>
        <v>0</v>
      </c>
      <c r="AK53" s="633">
        <f t="shared" si="21"/>
        <v>0</v>
      </c>
      <c r="AL53" s="633">
        <f t="shared" si="21"/>
        <v>0</v>
      </c>
      <c r="AM53" s="633">
        <f t="shared" si="21"/>
        <v>1511624.9090021416</v>
      </c>
      <c r="AN53" s="633">
        <f t="shared" si="21"/>
        <v>0</v>
      </c>
      <c r="AO53" s="634">
        <f t="shared" ref="AO53:AO54" si="22">SUM(B53:AN53)</f>
        <v>26023224.572031509</v>
      </c>
    </row>
    <row r="54" spans="1:41" s="112" customFormat="1" x14ac:dyDescent="0.25">
      <c r="A54" s="163" t="s">
        <v>1101</v>
      </c>
      <c r="B54" s="633">
        <f>MIN(MAX(IF((0.7-0.035*MIN(STP!B10,Parameters!$C$12))*B46&lt;0,0,(0.7-0.035*MIN(STP!B10,Parameters!$C$12))*B46)*B8/2,B52/2),B52)</f>
        <v>4107887.1080050003</v>
      </c>
      <c r="C54" s="633">
        <f>MIN(MAX(IF((0.7-0.035*MIN(STP!C10,Parameters!$C$12))*C46&lt;0,0,(0.7-0.035*MIN(STP!C10,Parameters!$C$12))*C46)*C8/2,C52/2),C52)</f>
        <v>211692.36696000636</v>
      </c>
      <c r="D54" s="633">
        <f>MIN(MAX(IF((0.7-0.035*MIN(STP!D10,Parameters!$C$12))*D46&lt;0,0,(0.7-0.035*MIN(STP!D10,Parameters!$C$12))*D46)*D8/2,D52/2),D52)</f>
        <v>3704724.6075849999</v>
      </c>
      <c r="E54" s="633">
        <f>MIN(MAX(IF((0.7-0.035*MIN(STP!E10,Parameters!$C$12))*E46&lt;0,0,(0.7-0.035*MIN(STP!E10,Parameters!$C$12))*E46)*E8/2,E52/2),E52)</f>
        <v>2755615.3662649998</v>
      </c>
      <c r="F54" s="633">
        <f>MIN(MAX(IF((0.7-0.035*MIN(STP!F10,Parameters!$C$12))*F46&lt;0,0,(0.7-0.035*MIN(STP!F10,Parameters!$C$12))*F46)*F8/2,F52/2),F52)</f>
        <v>4794487.0602099998</v>
      </c>
      <c r="G54" s="633">
        <f>MIN(MAX(IF((0.7-0.035*MIN(STP!G10,Parameters!$C$12))*G46&lt;0,0,(0.7-0.035*MIN(STP!G10,Parameters!$C$12))*G46)*G8/2,G52/2),G52)</f>
        <v>81.162026582120006</v>
      </c>
      <c r="H54" s="633">
        <f>MIN(MAX(IF((0.7-0.035*MIN(STP!H10,Parameters!$C$12))*H46&lt;0,0,(0.7-0.035*MIN(STP!H10,Parameters!$C$12))*H46)*H8/2,H52/2),H52)</f>
        <v>3404675.8772149999</v>
      </c>
      <c r="I54" s="633">
        <f>MIN(MAX(IF((0.7-0.035*MIN(STP!I10,Parameters!$C$12))*I46&lt;0,0,(0.7-0.035*MIN(STP!I10,Parameters!$C$12))*I46)*I8/2,I52/2),I52)</f>
        <v>5510320.0778400004</v>
      </c>
      <c r="J54" s="633">
        <f>MIN(MAX(IF((0.7-0.035*MIN(STP!J10,Parameters!$C$12))*J46&lt;0,0,(0.7-0.035*MIN(STP!J10,Parameters!$C$12))*J46)*J8/2,J52/2),J52)</f>
        <v>1491850.781953</v>
      </c>
      <c r="K54" s="633">
        <f>MIN(MAX(IF((0.7-0.035*MIN(STP!K10,Parameters!$C$12))*K46&lt;0,0,(0.7-0.035*MIN(STP!K10,Parameters!$C$12))*K46)*K8/2,K52/2),K52)</f>
        <v>1057175.032164</v>
      </c>
      <c r="L54" s="633">
        <f>MIN(MAX(IF((0.7-0.035*MIN(STP!L10,Parameters!$C$12))*L46&lt;0,0,(0.7-0.035*MIN(STP!L10,Parameters!$C$12))*L46)*L8/2,L52/2),L52)</f>
        <v>71039.370628900011</v>
      </c>
      <c r="M54" s="633">
        <f>MIN(MAX(IF((0.7-0.035*MIN(STP!M10,Parameters!$C$12))*M46&lt;0,0,(0.7-0.035*MIN(STP!M10,Parameters!$C$12))*M46)*M8/2,M52/2),M52)</f>
        <v>496112.41373649996</v>
      </c>
      <c r="N54" s="633">
        <f>MIN(MAX(IF((0.7-0.035*MIN(STP!N10,Parameters!$C$12))*N46&lt;0,0,(0.7-0.035*MIN(STP!N10,Parameters!$C$12))*N46)*N8/2,N52/2),N52)</f>
        <v>7020801.3180199992</v>
      </c>
      <c r="O54" s="633">
        <f>MIN(MAX(IF((0.7-0.035*MIN(STP!O10,Parameters!$C$12))*O46&lt;0,0,(0.7-0.035*MIN(STP!O10,Parameters!$C$12))*O46)*O8/2,O52/2),O52)</f>
        <v>697742.70795499999</v>
      </c>
      <c r="P54" s="633">
        <f>MIN(MAX(IF((0.7-0.035*MIN(STP!P10,Parameters!$C$12))*P46&lt;0,0,(0.7-0.035*MIN(STP!P10,Parameters!$C$12))*P46)*P8/2,P52/2),P52)</f>
        <v>1356605.631391</v>
      </c>
      <c r="Q54" s="633">
        <f>MIN(MAX(IF((0.7-0.035*MIN(STP!Q10,Parameters!$C$12))*Q46&lt;0,0,(0.7-0.035*MIN(STP!Q10,Parameters!$C$12))*Q46)*Q8/2,Q52/2),Q52)</f>
        <v>152407.4921948</v>
      </c>
      <c r="R54" s="633">
        <f>MIN(MAX(IF((0.7-0.035*MIN(STP!R10,Parameters!$C$12))*R46&lt;0,0,(0.7-0.035*MIN(STP!R10,Parameters!$C$12))*R46)*R8/2,R52/2),R52)</f>
        <v>8766.9396675650005</v>
      </c>
      <c r="S54" s="633">
        <f>MIN(MAX(IF((0.7-0.035*MIN(STP!S10,Parameters!$C$12))*S46&lt;0,0,(0.7-0.035*MIN(STP!S10,Parameters!$C$12))*S46)*S8/2,S52/2),S52)</f>
        <v>663461.44619749999</v>
      </c>
      <c r="T54" s="633">
        <f>MIN(MAX(IF((0.7-0.035*MIN(STP!T10,Parameters!$C$12))*T46&lt;0,0,(0.7-0.035*MIN(STP!T10,Parameters!$C$12))*T46)*T8/2,T52/2),T52)</f>
        <v>3828.7087100250001</v>
      </c>
      <c r="U54" s="633">
        <f>MIN(MAX(IF((0.7-0.035*MIN(STP!U10,Parameters!$C$12))*U46&lt;0,0,(0.7-0.035*MIN(STP!U10,Parameters!$C$12))*U46)*U8/2,U52/2),U52)</f>
        <v>50891.862698149998</v>
      </c>
      <c r="V54" s="633">
        <f>MIN(MAX(IF((0.7-0.035*MIN(STP!V10,Parameters!$C$12))*V46&lt;0,0,(0.7-0.035*MIN(STP!V10,Parameters!$C$12))*V46)*V8/2,V52/2),V52)</f>
        <v>162381.45115849999</v>
      </c>
      <c r="W54" s="633">
        <f>MIN(MAX(IF((0.7-0.035*MIN(STP!W10,Parameters!$C$12))*W46&lt;0,0,(0.7-0.035*MIN(STP!W10,Parameters!$C$12))*W46)*W8/2,W52/2),W52)</f>
        <v>255594.86825300002</v>
      </c>
      <c r="X54" s="633">
        <f>MIN(MAX(IF((0.7-0.035*MIN(STP!X10,Parameters!$C$12))*X46&lt;0,0,(0.7-0.035*MIN(STP!X10,Parameters!$C$12))*X46)*X8/2,X52/2),X52)</f>
        <v>61877.039836149997</v>
      </c>
      <c r="Y54" s="633">
        <f>MIN(MAX(IF((0.7-0.035*MIN(STP!Y10,Parameters!$C$12))*Y46&lt;0,0,(0.7-0.035*MIN(STP!Y10,Parameters!$C$12))*Y46)*Y8/2,Y52/2),Y52)</f>
        <v>3538221.1644325391</v>
      </c>
      <c r="Z54" s="633">
        <f>MIN(MAX(IF((0.7-0.035*MIN(STP!Z10,Parameters!$C$12))*Z46&lt;0,0,(0.7-0.035*MIN(STP!Z10,Parameters!$C$12))*Z46)*Z8/2,Z52/2),Z52)</f>
        <v>9660094.5889099985</v>
      </c>
      <c r="AA54" s="633">
        <f>MIN(MAX(IF((0.7-0.035*MIN(STP!AA10,Parameters!$C$12))*AA46&lt;0,0,(0.7-0.035*MIN(STP!AA10,Parameters!$C$12))*AA46)*AA8/2,AA52/2),AA52)</f>
        <v>255139.9054625</v>
      </c>
      <c r="AB54" s="633">
        <f>MIN(MAX(IF((0.7-0.035*MIN(STP!AB10,Parameters!$C$12))*AB46&lt;0,0,(0.7-0.035*MIN(STP!AB10,Parameters!$C$12))*AB46)*AB8/2,AB52/2),AB52)</f>
        <v>4826353.0854249997</v>
      </c>
      <c r="AC54" s="633">
        <f>MIN(MAX(IF((0.7-0.035*MIN(STP!AC10,Parameters!$C$12))*AC46&lt;0,0,(0.7-0.035*MIN(STP!AC10,Parameters!$C$12))*AC46)*AC8/2,AC52/2),AC52)</f>
        <v>86812.830384250003</v>
      </c>
      <c r="AD54" s="633">
        <f>MIN(MAX(IF((0.7-0.035*MIN(STP!AD10,Parameters!$C$12))*AD46&lt;0,0,(0.7-0.035*MIN(STP!AD10,Parameters!$C$12))*AD46)*AD8/2,AD52/2),AD52)</f>
        <v>345393.59041520825</v>
      </c>
      <c r="AE54" s="633">
        <f>MIN(MAX(IF((0.7-0.035*MIN(STP!AE10,Parameters!$C$12))*AE46&lt;0,0,(0.7-0.035*MIN(STP!AE10,Parameters!$C$12))*AE46)*AE8/2,AE52/2),AE52)</f>
        <v>244311.94878049998</v>
      </c>
      <c r="AF54" s="633">
        <f>MIN(MAX(IF((0.7-0.035*MIN(STP!AF10,Parameters!$C$12))*AF46&lt;0,0,(0.7-0.035*MIN(STP!AF10,Parameters!$C$12))*AF46)*AF8/2,AF52/2),AF52)</f>
        <v>546838.02329749998</v>
      </c>
      <c r="AG54" s="633">
        <f>MIN(MAX(IF((0.7-0.035*MIN(STP!AG10,Parameters!$C$12))*AG46&lt;0,0,(0.7-0.035*MIN(STP!AG10,Parameters!$C$12))*AG46)*AG8/2,AG52/2),AG52)</f>
        <v>283457.29676499998</v>
      </c>
      <c r="AH54" s="633">
        <f>MIN(MAX(IF((0.7-0.035*MIN(STP!AH10,Parameters!$C$12))*AH46&lt;0,0,(0.7-0.035*MIN(STP!AH10,Parameters!$C$12))*AH46)*AH8/2,AH52/2),AH52)</f>
        <v>6471323.38497</v>
      </c>
      <c r="AI54" s="633">
        <f>MIN(MAX(IF((0.7-0.035*MIN(STP!AI10,Parameters!$C$12))*AI46&lt;0,0,(0.7-0.035*MIN(STP!AI10,Parameters!$C$12))*AI46)*AI8/2,AI52/2),AI52)</f>
        <v>672382.84565000003</v>
      </c>
      <c r="AJ54" s="633">
        <f>MIN(MAX(IF((0.7-0.035*MIN(STP!AJ10,Parameters!$C$12))*AJ46&lt;0,0,(0.7-0.035*MIN(STP!AJ10,Parameters!$C$12))*AJ46)*AJ8/2,AJ52/2),AJ52)</f>
        <v>159413.8517535</v>
      </c>
      <c r="AK54" s="633">
        <f>MIN(MAX(IF((0.7-0.035*MIN(STP!AK10,Parameters!$C$12))*AK46&lt;0,0,(0.7-0.035*MIN(STP!AK10,Parameters!$C$12))*AK46)*AK8/2,AK52/2),AK52)</f>
        <v>2748068.0996400001</v>
      </c>
      <c r="AL54" s="633">
        <f>MIN(MAX(IF((0.7-0.035*MIN(STP!AL10,Parameters!$C$12))*AL46&lt;0,0,(0.7-0.035*MIN(STP!AL10,Parameters!$C$12))*AL46)*AL8/2,AL52/2),AL52)</f>
        <v>1069878.4083</v>
      </c>
      <c r="AM54" s="633">
        <f>MIN(MAX(IF((0.7-0.035*MIN(STP!AM10,Parameters!$C$12))*AM46&lt;0,0,(0.7-0.035*MIN(STP!AM10,Parameters!$C$12))*AM46)*AM8/2,AM52/2),AM52)</f>
        <v>2256893.4766678582</v>
      </c>
      <c r="AN54" s="633">
        <f>MIN(MAX(IF((0.7-0.035*MIN(STP!AN10,Parameters!$C$12))*AN46&lt;0,0,(0.7-0.035*MIN(STP!AN10,Parameters!$C$12))*AN46)*AN8/2,AN52/2),AN52)</f>
        <v>4224808.7004899997</v>
      </c>
      <c r="AO54" s="634">
        <f t="shared" si="22"/>
        <v>75429411.892014548</v>
      </c>
    </row>
    <row r="55" spans="1:41" s="112" customFormat="1" x14ac:dyDescent="0.25">
      <c r="A55" s="163" t="s">
        <v>1103</v>
      </c>
      <c r="B55" s="635">
        <f>IF(B8&gt;0,B52/B8,0)</f>
        <v>16.217551126935227</v>
      </c>
      <c r="C55" s="635">
        <f t="shared" ref="C55:AN55" si="23">IF(C8&gt;0,C52/C8,0)</f>
        <v>8.2512700491578457</v>
      </c>
      <c r="D55" s="635">
        <f t="shared" si="23"/>
        <v>36.864112521665845</v>
      </c>
      <c r="E55" s="635">
        <f t="shared" si="23"/>
        <v>25.518218388061513</v>
      </c>
      <c r="F55" s="635">
        <f t="shared" si="23"/>
        <v>8.7121742139517302</v>
      </c>
      <c r="G55" s="635">
        <f t="shared" si="23"/>
        <v>209.47134098418468</v>
      </c>
      <c r="H55" s="635">
        <f t="shared" si="23"/>
        <v>34.674377188537036</v>
      </c>
      <c r="I55" s="635">
        <f t="shared" si="23"/>
        <v>6.0385939027331119</v>
      </c>
      <c r="J55" s="635">
        <f t="shared" si="23"/>
        <v>6.7205828530239424</v>
      </c>
      <c r="K55" s="635">
        <f t="shared" si="23"/>
        <v>5.1639747625715371</v>
      </c>
      <c r="L55" s="635">
        <f t="shared" si="23"/>
        <v>421.31102977918334</v>
      </c>
      <c r="M55" s="635">
        <f t="shared" si="23"/>
        <v>83.046196882505058</v>
      </c>
      <c r="N55" s="635">
        <f t="shared" si="23"/>
        <v>17.038560952878914</v>
      </c>
      <c r="O55" s="635">
        <f t="shared" si="23"/>
        <v>8.5879485950889887</v>
      </c>
      <c r="P55" s="635">
        <f t="shared" si="23"/>
        <v>10.789646590181018</v>
      </c>
      <c r="Q55" s="635">
        <f t="shared" si="23"/>
        <v>5.0451370885554327</v>
      </c>
      <c r="R55" s="635">
        <f t="shared" si="23"/>
        <v>1414.1639614533487</v>
      </c>
      <c r="S55" s="635">
        <f t="shared" si="23"/>
        <v>55.285432292974527</v>
      </c>
      <c r="T55" s="635">
        <f t="shared" si="23"/>
        <v>365.98248348464301</v>
      </c>
      <c r="U55" s="635">
        <f t="shared" si="23"/>
        <v>96.817550607071396</v>
      </c>
      <c r="V55" s="635">
        <f t="shared" si="23"/>
        <v>4.9131146153458891</v>
      </c>
      <c r="W55" s="635">
        <f t="shared" si="23"/>
        <v>1.789400819949909</v>
      </c>
      <c r="X55" s="635">
        <f t="shared" si="23"/>
        <v>75.29609669467257</v>
      </c>
      <c r="Y55" s="635">
        <f t="shared" si="23"/>
        <v>18.224613633771551</v>
      </c>
      <c r="Z55" s="635">
        <f t="shared" si="23"/>
        <v>10.807128304020656</v>
      </c>
      <c r="AA55" s="635">
        <f t="shared" si="23"/>
        <v>57.644010949854177</v>
      </c>
      <c r="AB55" s="635">
        <f t="shared" si="23"/>
        <v>23.168153397457196</v>
      </c>
      <c r="AC55" s="635">
        <f t="shared" si="23"/>
        <v>50.596771384373973</v>
      </c>
      <c r="AD55" s="635">
        <f t="shared" si="23"/>
        <v>13.71474254489768</v>
      </c>
      <c r="AE55" s="635">
        <f t="shared" si="23"/>
        <v>16.798043432883404</v>
      </c>
      <c r="AF55" s="635">
        <f t="shared" si="23"/>
        <v>18.056197984524193</v>
      </c>
      <c r="AG55" s="635">
        <f t="shared" si="23"/>
        <v>41.234654314943548</v>
      </c>
      <c r="AH55" s="635">
        <f t="shared" si="23"/>
        <v>9.770755386711576</v>
      </c>
      <c r="AI55" s="635">
        <f t="shared" si="23"/>
        <v>10.508213048707724</v>
      </c>
      <c r="AJ55" s="635">
        <f t="shared" si="23"/>
        <v>3.6262576644109457</v>
      </c>
      <c r="AK55" s="635">
        <f t="shared" si="23"/>
        <v>10.076936552677966</v>
      </c>
      <c r="AL55" s="635">
        <f t="shared" si="23"/>
        <v>9.579227316716711</v>
      </c>
      <c r="AM55" s="635">
        <f t="shared" si="23"/>
        <v>8.9535274056604131</v>
      </c>
      <c r="AN55" s="635">
        <f t="shared" si="23"/>
        <v>8.3953874787652669</v>
      </c>
      <c r="AO55" s="634"/>
    </row>
    <row r="56" spans="1:41" s="112" customFormat="1" x14ac:dyDescent="0.25">
      <c r="A56" s="163" t="s">
        <v>1099</v>
      </c>
      <c r="B56" s="635">
        <f>IF(B8&gt;0,B53/(B8/2),0)</f>
        <v>16.217551126935227</v>
      </c>
      <c r="C56" s="635">
        <f t="shared" ref="C56:AN56" si="24">IF(C8&gt;0,C53/(C8/2),0)</f>
        <v>2.8501688239020879</v>
      </c>
      <c r="D56" s="635">
        <f t="shared" si="24"/>
        <v>36.864112521665845</v>
      </c>
      <c r="E56" s="635">
        <f t="shared" si="24"/>
        <v>25.518218388061513</v>
      </c>
      <c r="F56" s="635">
        <f t="shared" si="24"/>
        <v>0</v>
      </c>
      <c r="G56" s="635">
        <f t="shared" si="24"/>
        <v>209.47134098418468</v>
      </c>
      <c r="H56" s="635">
        <f t="shared" si="24"/>
        <v>34.674377188537036</v>
      </c>
      <c r="I56" s="635">
        <f t="shared" si="24"/>
        <v>0</v>
      </c>
      <c r="J56" s="635">
        <f t="shared" si="24"/>
        <v>0</v>
      </c>
      <c r="K56" s="635">
        <f t="shared" si="24"/>
        <v>0</v>
      </c>
      <c r="L56" s="635">
        <f t="shared" si="24"/>
        <v>421.31102977918334</v>
      </c>
      <c r="M56" s="635">
        <f t="shared" si="24"/>
        <v>83.046196882505058</v>
      </c>
      <c r="N56" s="635">
        <f t="shared" si="24"/>
        <v>0</v>
      </c>
      <c r="O56" s="635">
        <f t="shared" si="24"/>
        <v>0</v>
      </c>
      <c r="P56" s="635">
        <f t="shared" si="24"/>
        <v>0</v>
      </c>
      <c r="Q56" s="635">
        <f t="shared" si="24"/>
        <v>0</v>
      </c>
      <c r="R56" s="635">
        <f t="shared" si="24"/>
        <v>1414.1639614533487</v>
      </c>
      <c r="S56" s="635">
        <f t="shared" si="24"/>
        <v>55.285432292974527</v>
      </c>
      <c r="T56" s="635">
        <f t="shared" si="24"/>
        <v>365.98248348464301</v>
      </c>
      <c r="U56" s="635">
        <f t="shared" si="24"/>
        <v>96.817550607071396</v>
      </c>
      <c r="V56" s="635">
        <f t="shared" si="24"/>
        <v>0</v>
      </c>
      <c r="W56" s="635">
        <f t="shared" si="24"/>
        <v>0</v>
      </c>
      <c r="X56" s="635">
        <f t="shared" si="24"/>
        <v>75.29609669467257</v>
      </c>
      <c r="Y56" s="635">
        <f t="shared" si="24"/>
        <v>16.296057327353687</v>
      </c>
      <c r="Z56" s="635">
        <f t="shared" si="24"/>
        <v>0</v>
      </c>
      <c r="AA56" s="635">
        <f t="shared" si="24"/>
        <v>57.644010949854177</v>
      </c>
      <c r="AB56" s="635">
        <f t="shared" si="24"/>
        <v>23.168153397457196</v>
      </c>
      <c r="AC56" s="635">
        <f t="shared" si="24"/>
        <v>50.596771384373973</v>
      </c>
      <c r="AD56" s="635">
        <f t="shared" si="24"/>
        <v>2.4902678677556946</v>
      </c>
      <c r="AE56" s="635">
        <f t="shared" si="24"/>
        <v>16.798043432883404</v>
      </c>
      <c r="AF56" s="635">
        <f t="shared" si="24"/>
        <v>18.056197984524193</v>
      </c>
      <c r="AG56" s="635">
        <f t="shared" si="24"/>
        <v>41.234654314943548</v>
      </c>
      <c r="AH56" s="635">
        <f t="shared" si="24"/>
        <v>0</v>
      </c>
      <c r="AI56" s="635">
        <f t="shared" si="24"/>
        <v>0</v>
      </c>
      <c r="AJ56" s="635">
        <f t="shared" si="24"/>
        <v>0</v>
      </c>
      <c r="AK56" s="635">
        <f t="shared" si="24"/>
        <v>0</v>
      </c>
      <c r="AL56" s="635">
        <f t="shared" si="24"/>
        <v>0</v>
      </c>
      <c r="AM56" s="635">
        <f t="shared" si="24"/>
        <v>7.1828626875192194</v>
      </c>
      <c r="AN56" s="635">
        <f t="shared" si="24"/>
        <v>0</v>
      </c>
      <c r="AO56" s="634"/>
    </row>
    <row r="57" spans="1:41" s="112" customFormat="1" x14ac:dyDescent="0.25">
      <c r="A57" s="163" t="s">
        <v>1100</v>
      </c>
      <c r="B57" s="635">
        <f>IF(B8&gt;0,B54/(B8/2),0)</f>
        <v>16.217551126935227</v>
      </c>
      <c r="C57" s="635">
        <f t="shared" ref="C57:AN57" si="25">IF(C8&gt;0,C54/(C8/2),0)</f>
        <v>13.652371274413603</v>
      </c>
      <c r="D57" s="635">
        <f t="shared" si="25"/>
        <v>36.864112521665845</v>
      </c>
      <c r="E57" s="635">
        <f t="shared" si="25"/>
        <v>25.518218388061513</v>
      </c>
      <c r="F57" s="635">
        <f t="shared" si="25"/>
        <v>17.42434842790346</v>
      </c>
      <c r="G57" s="635">
        <f t="shared" si="25"/>
        <v>209.47134098418468</v>
      </c>
      <c r="H57" s="635">
        <f t="shared" si="25"/>
        <v>34.674377188537036</v>
      </c>
      <c r="I57" s="635">
        <f t="shared" si="25"/>
        <v>12.077187805466224</v>
      </c>
      <c r="J57" s="635">
        <f t="shared" si="25"/>
        <v>13.441165706047885</v>
      </c>
      <c r="K57" s="635">
        <f t="shared" si="25"/>
        <v>10.327949525143074</v>
      </c>
      <c r="L57" s="635">
        <f t="shared" si="25"/>
        <v>421.31102977918334</v>
      </c>
      <c r="M57" s="635">
        <f t="shared" si="25"/>
        <v>83.046196882505058</v>
      </c>
      <c r="N57" s="635">
        <f t="shared" si="25"/>
        <v>34.077121905757828</v>
      </c>
      <c r="O57" s="635">
        <f t="shared" si="25"/>
        <v>17.175897190177977</v>
      </c>
      <c r="P57" s="635">
        <f t="shared" si="25"/>
        <v>21.579293180362036</v>
      </c>
      <c r="Q57" s="635">
        <f t="shared" si="25"/>
        <v>10.090274177110865</v>
      </c>
      <c r="R57" s="635">
        <f t="shared" si="25"/>
        <v>1414.1639614533487</v>
      </c>
      <c r="S57" s="635">
        <f t="shared" si="25"/>
        <v>55.285432292974527</v>
      </c>
      <c r="T57" s="635">
        <f t="shared" si="25"/>
        <v>365.98248348464301</v>
      </c>
      <c r="U57" s="635">
        <f t="shared" si="25"/>
        <v>96.817550607071396</v>
      </c>
      <c r="V57" s="635">
        <f t="shared" si="25"/>
        <v>9.8262292306917782</v>
      </c>
      <c r="W57" s="635">
        <f t="shared" si="25"/>
        <v>3.5788016398998179</v>
      </c>
      <c r="X57" s="635">
        <f t="shared" si="25"/>
        <v>75.29609669467257</v>
      </c>
      <c r="Y57" s="635">
        <f t="shared" si="25"/>
        <v>20.153169940189414</v>
      </c>
      <c r="Z57" s="635">
        <f t="shared" si="25"/>
        <v>21.614256608041313</v>
      </c>
      <c r="AA57" s="635">
        <f t="shared" si="25"/>
        <v>57.644010949854177</v>
      </c>
      <c r="AB57" s="635">
        <f t="shared" si="25"/>
        <v>23.168153397457196</v>
      </c>
      <c r="AC57" s="635">
        <f t="shared" si="25"/>
        <v>50.596771384373973</v>
      </c>
      <c r="AD57" s="635">
        <f t="shared" si="25"/>
        <v>24.939217222039666</v>
      </c>
      <c r="AE57" s="635">
        <f t="shared" si="25"/>
        <v>16.798043432883404</v>
      </c>
      <c r="AF57" s="635">
        <f t="shared" si="25"/>
        <v>18.056197984524193</v>
      </c>
      <c r="AG57" s="635">
        <f t="shared" si="25"/>
        <v>41.234654314943548</v>
      </c>
      <c r="AH57" s="635">
        <f t="shared" si="25"/>
        <v>19.541510773423152</v>
      </c>
      <c r="AI57" s="635">
        <f t="shared" si="25"/>
        <v>21.016426097415447</v>
      </c>
      <c r="AJ57" s="635">
        <f t="shared" si="25"/>
        <v>7.2525153288218913</v>
      </c>
      <c r="AK57" s="635">
        <f t="shared" si="25"/>
        <v>20.153873105355931</v>
      </c>
      <c r="AL57" s="635">
        <f t="shared" si="25"/>
        <v>19.158454633433422</v>
      </c>
      <c r="AM57" s="635">
        <f t="shared" si="25"/>
        <v>10.724192123801606</v>
      </c>
      <c r="AN57" s="635">
        <f t="shared" si="25"/>
        <v>16.790774957530534</v>
      </c>
      <c r="AO57" s="634"/>
    </row>
    <row r="58" spans="1:41" x14ac:dyDescent="0.25">
      <c r="A58" s="27" t="s">
        <v>1028</v>
      </c>
      <c r="B58" s="337">
        <f>IF((Parameters!$E$22-Parameters!$F$22*MIN(STP!B9,Parameters!$C$12))*B46-B56&lt;0,0,((Parameters!$E$22-Parameters!$F$22*MIN(STP!B9,Parameters!$C$12))*B46-B56))</f>
        <v>0</v>
      </c>
      <c r="C58" s="337">
        <f>IF((Parameters!$E$22-Parameters!$F$22*MIN(STP!C9,Parameters!$C$12))*C46-C56&lt;0,0,((Parameters!$E$22-Parameters!$F$22*MIN(STP!C9,Parameters!$C$12))*C46-C56))</f>
        <v>0</v>
      </c>
      <c r="D58" s="337">
        <f>IF((Parameters!$E$22-Parameters!$F$22*MIN(STP!D9,Parameters!$C$12))*D46-D56&lt;0,0,((Parameters!$E$22-Parameters!$F$22*MIN(STP!D9,Parameters!$C$12))*D46-D56))</f>
        <v>0</v>
      </c>
      <c r="E58" s="337">
        <f>IF((Parameters!$E$22-Parameters!$F$22*MIN(STP!E9,Parameters!$C$12))*E46-E56&lt;0,0,((Parameters!$E$22-Parameters!$F$22*MIN(STP!E9,Parameters!$C$12))*E46-E56))</f>
        <v>0</v>
      </c>
      <c r="F58" s="337">
        <f>IF((Parameters!$E$22-Parameters!$F$22*MIN(STP!F9,Parameters!$C$12))*F46-F56&lt;0,0,((Parameters!$E$22-Parameters!$F$22*MIN(STP!F9,Parameters!$C$12))*F46-F56))</f>
        <v>0</v>
      </c>
      <c r="G58" s="337">
        <f>IF((Parameters!$E$22-Parameters!$F$22*MIN(STP!G9,Parameters!$C$12))*G46-G56&lt;0,0,((Parameters!$E$22-Parameters!$F$22*MIN(STP!G9,Parameters!$C$12))*G46-G56))</f>
        <v>0</v>
      </c>
      <c r="H58" s="337">
        <f>IF((Parameters!$E$22-Parameters!$F$22*MIN(STP!H9,Parameters!$C$12))*H46-H56&lt;0,0,((Parameters!$E$22-Parameters!$F$22*MIN(STP!H9,Parameters!$C$12))*H46-H56))</f>
        <v>0</v>
      </c>
      <c r="I58" s="337">
        <f>IF((Parameters!$E$22-Parameters!$F$22*MIN(STP!I9,Parameters!$C$12))*I46-I56&lt;0,0,((Parameters!$E$22-Parameters!$F$22*MIN(STP!I9,Parameters!$C$12))*I46-I56))</f>
        <v>0</v>
      </c>
      <c r="J58" s="337">
        <f>IF((Parameters!$E$22-Parameters!$F$22*MIN(STP!J9,Parameters!$C$12))*J46-J56&lt;0,0,((Parameters!$E$22-Parameters!$F$22*MIN(STP!J9,Parameters!$C$12))*J46-J56))</f>
        <v>0</v>
      </c>
      <c r="K58" s="337">
        <f>IF((Parameters!$E$22-Parameters!$F$22*MIN(STP!K9,Parameters!$C$12))*K46-K56&lt;0,0,((Parameters!$E$22-Parameters!$F$22*MIN(STP!K9,Parameters!$C$12))*K46-K56))</f>
        <v>0</v>
      </c>
      <c r="L58" s="337">
        <f>IF((Parameters!$E$22-Parameters!$F$22*MIN(STP!L9,Parameters!$C$12))*L46-L56&lt;0,0,((Parameters!$E$22-Parameters!$F$22*MIN(STP!L9,Parameters!$C$12))*L46-L56))</f>
        <v>0</v>
      </c>
      <c r="M58" s="337">
        <f>IF((Parameters!$E$22-Parameters!$F$22*MIN(STP!M9,Parameters!$C$12))*M46-M56&lt;0,0,((Parameters!$E$22-Parameters!$F$22*MIN(STP!M9,Parameters!$C$12))*M46-M56))</f>
        <v>0</v>
      </c>
      <c r="N58" s="337">
        <f>IF((Parameters!$E$22-Parameters!$F$22*MIN(STP!N9,Parameters!$C$12))*N46-N56&lt;0,0,((Parameters!$E$22-Parameters!$F$22*MIN(STP!N9,Parameters!$C$12))*N46-N56))</f>
        <v>0</v>
      </c>
      <c r="O58" s="337">
        <f>IF((Parameters!$E$22-Parameters!$F$22*MIN(STP!O9,Parameters!$C$12))*O46-O56&lt;0,0,((Parameters!$E$22-Parameters!$F$22*MIN(STP!O9,Parameters!$C$12))*O46-O56))</f>
        <v>0</v>
      </c>
      <c r="P58" s="337">
        <f>IF((Parameters!$E$22-Parameters!$F$22*MIN(STP!P9,Parameters!$C$12))*P46-P56&lt;0,0,((Parameters!$E$22-Parameters!$F$22*MIN(STP!P9,Parameters!$C$12))*P46-P56))</f>
        <v>0</v>
      </c>
      <c r="Q58" s="337">
        <f>IF((Parameters!$E$22-Parameters!$F$22*MIN(STP!Q9,Parameters!$C$12))*Q46-Q56&lt;0,0,((Parameters!$E$22-Parameters!$F$22*MIN(STP!Q9,Parameters!$C$12))*Q46-Q56))</f>
        <v>0</v>
      </c>
      <c r="R58" s="337">
        <f>IF((Parameters!$E$22-Parameters!$F$22*MIN(STP!R9,Parameters!$C$12))*R46-R56&lt;0,0,((Parameters!$E$22-Parameters!$F$22*MIN(STP!R9,Parameters!$C$12))*R46-R56))</f>
        <v>0</v>
      </c>
      <c r="S58" s="337">
        <f>IF((Parameters!$E$22-Parameters!$F$22*MIN(STP!S9,Parameters!$C$12))*S46-S56&lt;0,0,((Parameters!$E$22-Parameters!$F$22*MIN(STP!S9,Parameters!$C$12))*S46-S56))</f>
        <v>0</v>
      </c>
      <c r="T58" s="337">
        <f>IF((Parameters!$E$22-Parameters!$F$22*MIN(STP!T9,Parameters!$C$12))*T46-T56&lt;0,0,((Parameters!$E$22-Parameters!$F$22*MIN(STP!T9,Parameters!$C$12))*T46-T56))</f>
        <v>0</v>
      </c>
      <c r="U58" s="337">
        <f>IF((Parameters!$E$22-Parameters!$F$22*MIN(STP!U9,Parameters!$C$12))*U46-U56&lt;0,0,((Parameters!$E$22-Parameters!$F$22*MIN(STP!U9,Parameters!$C$12))*U46-U56))</f>
        <v>0</v>
      </c>
      <c r="V58" s="337">
        <f>IF((Parameters!$E$22-Parameters!$F$22*MIN(STP!V9,Parameters!$C$12))*V46-V56&lt;0,0,((Parameters!$E$22-Parameters!$F$22*MIN(STP!V9,Parameters!$C$12))*V46-V56))</f>
        <v>0</v>
      </c>
      <c r="W58" s="337">
        <f>IF((Parameters!$E$22-Parameters!$F$22*MIN(STP!W9,Parameters!$C$12))*W46-W56&lt;0,0,((Parameters!$E$22-Parameters!$F$22*MIN(STP!W9,Parameters!$C$12))*W46-W56))</f>
        <v>0</v>
      </c>
      <c r="X58" s="337">
        <f>IF((Parameters!$E$22-Parameters!$F$22*MIN(STP!X9,Parameters!$C$12))*X46-X56&lt;0,0,((Parameters!$E$22-Parameters!$F$22*MIN(STP!X9,Parameters!$C$12))*X46-X56))</f>
        <v>0</v>
      </c>
      <c r="Y58" s="337">
        <f>IF((Parameters!$E$22-Parameters!$F$22*MIN(STP!Y9,Parameters!$C$12))*Y46-Y56&lt;0,0,((Parameters!$E$22-Parameters!$F$22*MIN(STP!Y9,Parameters!$C$12))*Y46-Y56))</f>
        <v>0</v>
      </c>
      <c r="Z58" s="337">
        <f>IF((Parameters!$E$22-Parameters!$F$22*MIN(STP!Z9,Parameters!$C$12))*Z46-Z56&lt;0,0,((Parameters!$E$22-Parameters!$F$22*MIN(STP!Z9,Parameters!$C$12))*Z46-Z56))</f>
        <v>0</v>
      </c>
      <c r="AA58" s="337">
        <f>IF((Parameters!$E$22-Parameters!$F$22*MIN(STP!AA9,Parameters!$C$12))*AA46-AA56&lt;0,0,((Parameters!$E$22-Parameters!$F$22*MIN(STP!AA9,Parameters!$C$12))*AA46-AA56))</f>
        <v>0</v>
      </c>
      <c r="AB58" s="337">
        <f>IF((Parameters!$E$22-Parameters!$F$22*MIN(STP!AB9,Parameters!$C$12))*AB46-AB56&lt;0,0,((Parameters!$E$22-Parameters!$F$22*MIN(STP!AB9,Parameters!$C$12))*AB46-AB56))</f>
        <v>0</v>
      </c>
      <c r="AC58" s="337">
        <f>IF((Parameters!$E$22-Parameters!$F$22*MIN(STP!AC9,Parameters!$C$12))*AC46-AC56&lt;0,0,((Parameters!$E$22-Parameters!$F$22*MIN(STP!AC9,Parameters!$C$12))*AC46-AC56))</f>
        <v>0</v>
      </c>
      <c r="AD58" s="337">
        <f>IF((Parameters!$E$22-Parameters!$F$22*MIN(STP!AD9,Parameters!$C$12))*AD46-AD56&lt;0,0,((Parameters!$E$22-Parameters!$F$22*MIN(STP!AD9,Parameters!$C$12))*AD46-AD56))</f>
        <v>0</v>
      </c>
      <c r="AE58" s="337">
        <f>IF((Parameters!$E$22-Parameters!$F$22*MIN(STP!AE9,Parameters!$C$12))*AE46-AE56&lt;0,0,((Parameters!$E$22-Parameters!$F$22*MIN(STP!AE9,Parameters!$C$12))*AE46-AE56))</f>
        <v>0</v>
      </c>
      <c r="AF58" s="337">
        <f>IF((Parameters!$E$22-Parameters!$F$22*MIN(STP!AF9,Parameters!$C$12))*AF46-AF56&lt;0,0,((Parameters!$E$22-Parameters!$F$22*MIN(STP!AF9,Parameters!$C$12))*AF46-AF56))</f>
        <v>0</v>
      </c>
      <c r="AG58" s="337">
        <f>IF((Parameters!$E$22-Parameters!$F$22*MIN(STP!AG9,Parameters!$C$12))*AG46-AG56&lt;0,0,((Parameters!$E$22-Parameters!$F$22*MIN(STP!AG9,Parameters!$C$12))*AG46-AG56))</f>
        <v>0</v>
      </c>
      <c r="AH58" s="337">
        <f>IF((Parameters!$E$22-Parameters!$F$22*MIN(STP!AH9,Parameters!$C$12))*AH46-AH56&lt;0,0,((Parameters!$E$22-Parameters!$F$22*MIN(STP!AH9,Parameters!$C$12))*AH46-AH56))</f>
        <v>0</v>
      </c>
      <c r="AI58" s="337">
        <f>IF((Parameters!$E$22-Parameters!$F$22*MIN(STP!AI9,Parameters!$C$12))*AI46-AI56&lt;0,0,((Parameters!$E$22-Parameters!$F$22*MIN(STP!AI9,Parameters!$C$12))*AI46-AI56))</f>
        <v>0</v>
      </c>
      <c r="AJ58" s="337">
        <f>IF((Parameters!$E$22-Parameters!$F$22*MIN(STP!AJ9,Parameters!$C$12))*AJ46-AJ56&lt;0,0,((Parameters!$E$22-Parameters!$F$22*MIN(STP!AJ9,Parameters!$C$12))*AJ46-AJ56))</f>
        <v>0</v>
      </c>
      <c r="AK58" s="337">
        <f>IF((Parameters!$E$22-Parameters!$F$22*MIN(STP!AK9,Parameters!$C$12))*AK46-AK56&lt;0,0,((Parameters!$E$22-Parameters!$F$22*MIN(STP!AK9,Parameters!$C$12))*AK46-AK56))</f>
        <v>0</v>
      </c>
      <c r="AL58" s="337">
        <f>IF((Parameters!$E$22-Parameters!$F$22*MIN(STP!AL9,Parameters!$C$12))*AL46-AL56&lt;0,0,((Parameters!$E$22-Parameters!$F$22*MIN(STP!AL9,Parameters!$C$12))*AL46-AL56))</f>
        <v>0</v>
      </c>
      <c r="AM58" s="337">
        <f>IF((Parameters!$E$22-Parameters!$F$22*MIN(STP!AM9,Parameters!$C$12))*AM46-AM56&lt;0,0,((Parameters!$E$22-Parameters!$F$22*MIN(STP!AM9,Parameters!$C$12))*AM46-AM56))</f>
        <v>0</v>
      </c>
      <c r="AN58" s="337">
        <f>IF((Parameters!$E$22-Parameters!$F$22*MIN(STP!AN9,Parameters!$C$12))*AN46-AN56&lt;0,0,((Parameters!$E$22-Parameters!$F$22*MIN(STP!AN9,Parameters!$C$12))*AN46-AN56))</f>
        <v>0</v>
      </c>
    </row>
    <row r="59" spans="1:41" x14ac:dyDescent="0.25">
      <c r="A59" s="27" t="s">
        <v>623</v>
      </c>
      <c r="B59" s="337">
        <f>IF((Parameters!$E$23-Parameters!$F$23*MIN(STP!B9,Parameters!$C$12))*B47&lt;0,0,(Parameters!$E$23-Parameters!$F$23*MIN(STP!B9,Parameters!$C$12))*B47)</f>
        <v>0</v>
      </c>
      <c r="C59" s="337">
        <f>IF((Parameters!$E$23-Parameters!$F$23*MIN(STP!C9,Parameters!$C$12))*C47&lt;0,0,(Parameters!$E$23-Parameters!$F$23*MIN(STP!C9,Parameters!$C$12))*C47)</f>
        <v>0</v>
      </c>
      <c r="D59" s="337">
        <f>IF((Parameters!$E$23-Parameters!$F$23*MIN(STP!D9,Parameters!$C$12))*D47&lt;0,0,(Parameters!$E$23-Parameters!$F$23*MIN(STP!D9,Parameters!$C$12))*D47)</f>
        <v>0</v>
      </c>
      <c r="E59" s="337">
        <f>IF((Parameters!$E$23-Parameters!$F$23*MIN(STP!E9,Parameters!$C$12))*E47&lt;0,0,(Parameters!$E$23-Parameters!$F$23*MIN(STP!E9,Parameters!$C$12))*E47)</f>
        <v>0</v>
      </c>
      <c r="F59" s="337">
        <f>IF((Parameters!$E$23-Parameters!$F$23*MIN(STP!F9,Parameters!$C$12))*F47&lt;0,0,(Parameters!$E$23-Parameters!$F$23*MIN(STP!F9,Parameters!$C$12))*F47)</f>
        <v>0</v>
      </c>
      <c r="G59" s="337">
        <f>IF((Parameters!$E$23-Parameters!$F$23*MIN(STP!G9,Parameters!$C$12))*G47&lt;0,0,(Parameters!$E$23-Parameters!$F$23*MIN(STP!G9,Parameters!$C$12))*G47)</f>
        <v>0</v>
      </c>
      <c r="H59" s="337">
        <f>IF((Parameters!$E$23-Parameters!$F$23*MIN(STP!H9,Parameters!$C$12))*H47&lt;0,0,(Parameters!$E$23-Parameters!$F$23*MIN(STP!H9,Parameters!$C$12))*H47)</f>
        <v>0</v>
      </c>
      <c r="I59" s="337">
        <f>IF((Parameters!$E$23-Parameters!$F$23*MIN(STP!I9,Parameters!$C$12))*I47&lt;0,0,(Parameters!$E$23-Parameters!$F$23*MIN(STP!I9,Parameters!$C$12))*I47)</f>
        <v>0</v>
      </c>
      <c r="J59" s="337">
        <f>IF((Parameters!$E$23-Parameters!$F$23*MIN(STP!J9,Parameters!$C$12))*J47&lt;0,0,(Parameters!$E$23-Parameters!$F$23*MIN(STP!J9,Parameters!$C$12))*J47)</f>
        <v>0</v>
      </c>
      <c r="K59" s="337">
        <f>IF((Parameters!$E$23-Parameters!$F$23*MIN(STP!K9,Parameters!$C$12))*K47&lt;0,0,(Parameters!$E$23-Parameters!$F$23*MIN(STP!K9,Parameters!$C$12))*K47)</f>
        <v>0</v>
      </c>
      <c r="L59" s="337">
        <f>IF((Parameters!$E$23-Parameters!$F$23*MIN(STP!L9,Parameters!$C$12))*L47&lt;0,0,(Parameters!$E$23-Parameters!$F$23*MIN(STP!L9,Parameters!$C$12))*L47)</f>
        <v>0</v>
      </c>
      <c r="M59" s="337">
        <f>IF((Parameters!$E$23-Parameters!$F$23*MIN(STP!M9,Parameters!$C$12))*M47&lt;0,0,(Parameters!$E$23-Parameters!$F$23*MIN(STP!M9,Parameters!$C$12))*M47)</f>
        <v>0</v>
      </c>
      <c r="N59" s="337">
        <f>IF((Parameters!$E$23-Parameters!$F$23*MIN(STP!N9,Parameters!$C$12))*N47&lt;0,0,(Parameters!$E$23-Parameters!$F$23*MIN(STP!N9,Parameters!$C$12))*N47)</f>
        <v>0</v>
      </c>
      <c r="O59" s="337">
        <f>IF((Parameters!$E$23-Parameters!$F$23*MIN(STP!O9,Parameters!$C$12))*O47&lt;0,0,(Parameters!$E$23-Parameters!$F$23*MIN(STP!O9,Parameters!$C$12))*O47)</f>
        <v>0</v>
      </c>
      <c r="P59" s="337">
        <f>IF((Parameters!$E$23-Parameters!$F$23*MIN(STP!P9,Parameters!$C$12))*P47&lt;0,0,(Parameters!$E$23-Parameters!$F$23*MIN(STP!P9,Parameters!$C$12))*P47)</f>
        <v>0</v>
      </c>
      <c r="Q59" s="337">
        <f>IF((Parameters!$E$23-Parameters!$F$23*MIN(STP!Q9,Parameters!$C$12))*Q47&lt;0,0,(Parameters!$E$23-Parameters!$F$23*MIN(STP!Q9,Parameters!$C$12))*Q47)</f>
        <v>0</v>
      </c>
      <c r="R59" s="337">
        <f>IF((Parameters!$E$23-Parameters!$F$23*MIN(STP!R9,Parameters!$C$12))*R47&lt;0,0,(Parameters!$E$23-Parameters!$F$23*MIN(STP!R9,Parameters!$C$12))*R47)</f>
        <v>0</v>
      </c>
      <c r="S59" s="337">
        <f>IF((Parameters!$E$23-Parameters!$F$23*MIN(STP!S9,Parameters!$C$12))*S47&lt;0,0,(Parameters!$E$23-Parameters!$F$23*MIN(STP!S9,Parameters!$C$12))*S47)</f>
        <v>0</v>
      </c>
      <c r="T59" s="337">
        <f>IF((Parameters!$E$23-Parameters!$F$23*MIN(STP!T9,Parameters!$C$12))*T47&lt;0,0,(Parameters!$E$23-Parameters!$F$23*MIN(STP!T9,Parameters!$C$12))*T47)</f>
        <v>0</v>
      </c>
      <c r="U59" s="337">
        <f>IF((Parameters!$E$23-Parameters!$F$23*MIN(STP!U9,Parameters!$C$12))*U47&lt;0,0,(Parameters!$E$23-Parameters!$F$23*MIN(STP!U9,Parameters!$C$12))*U47)</f>
        <v>0</v>
      </c>
      <c r="V59" s="337">
        <f>IF((Parameters!$E$23-Parameters!$F$23*MIN(STP!V9,Parameters!$C$12))*V47&lt;0,0,(Parameters!$E$23-Parameters!$F$23*MIN(STP!V9,Parameters!$C$12))*V47)</f>
        <v>0</v>
      </c>
      <c r="W59" s="337">
        <f>IF((Parameters!$E$23-Parameters!$F$23*MIN(STP!W9,Parameters!$C$12))*W47&lt;0,0,(Parameters!$E$23-Parameters!$F$23*MIN(STP!W9,Parameters!$C$12))*W47)</f>
        <v>0</v>
      </c>
      <c r="X59" s="337">
        <f>IF((Parameters!$E$23-Parameters!$F$23*MIN(STP!X9,Parameters!$C$12))*X47&lt;0,0,(Parameters!$E$23-Parameters!$F$23*MIN(STP!X9,Parameters!$C$12))*X47)</f>
        <v>0</v>
      </c>
      <c r="Y59" s="337">
        <f>IF((Parameters!$E$23-Parameters!$F$23*MIN(STP!Y9,Parameters!$C$12))*Y47&lt;0,0,(Parameters!$E$23-Parameters!$F$23*MIN(STP!Y9,Parameters!$C$12))*Y47)</f>
        <v>0</v>
      </c>
      <c r="Z59" s="337">
        <f>IF((Parameters!$E$23-Parameters!$F$23*MIN(STP!Z9,Parameters!$C$12))*Z47&lt;0,0,(Parameters!$E$23-Parameters!$F$23*MIN(STP!Z9,Parameters!$C$12))*Z47)</f>
        <v>0</v>
      </c>
      <c r="AA59" s="337">
        <f>IF((Parameters!$E$23-Parameters!$F$23*MIN(STP!AA9,Parameters!$C$12))*AA47&lt;0,0,(Parameters!$E$23-Parameters!$F$23*MIN(STP!AA9,Parameters!$C$12))*AA47)</f>
        <v>0</v>
      </c>
      <c r="AB59" s="337">
        <f>IF((Parameters!$E$23-Parameters!$F$23*MIN(STP!AB9,Parameters!$C$12))*AB47&lt;0,0,(Parameters!$E$23-Parameters!$F$23*MIN(STP!AB9,Parameters!$C$12))*AB47)</f>
        <v>0</v>
      </c>
      <c r="AC59" s="337">
        <f>IF((Parameters!$E$23-Parameters!$F$23*MIN(STP!AC9,Parameters!$C$12))*AC47&lt;0,0,(Parameters!$E$23-Parameters!$F$23*MIN(STP!AC9,Parameters!$C$12))*AC47)</f>
        <v>0</v>
      </c>
      <c r="AD59" s="337">
        <f>IF((Parameters!$E$23-Parameters!$F$23*MIN(STP!AD9,Parameters!$C$12))*AD47&lt;0,0,(Parameters!$E$23-Parameters!$F$23*MIN(STP!AD9,Parameters!$C$12))*AD47)</f>
        <v>0</v>
      </c>
      <c r="AE59" s="337">
        <f>IF((Parameters!$E$23-Parameters!$F$23*MIN(STP!AE9,Parameters!$C$12))*AE47&lt;0,0,(Parameters!$E$23-Parameters!$F$23*MIN(STP!AE9,Parameters!$C$12))*AE47)</f>
        <v>0</v>
      </c>
      <c r="AF59" s="337">
        <f>IF((Parameters!$E$23-Parameters!$F$23*MIN(STP!AF9,Parameters!$C$12))*AF47&lt;0,0,(Parameters!$E$23-Parameters!$F$23*MIN(STP!AF9,Parameters!$C$12))*AF47)</f>
        <v>0</v>
      </c>
      <c r="AG59" s="337">
        <f>IF((Parameters!$E$23-Parameters!$F$23*MIN(STP!AG9,Parameters!$C$12))*AG47&lt;0,0,(Parameters!$E$23-Parameters!$F$23*MIN(STP!AG9,Parameters!$C$12))*AG47)</f>
        <v>0</v>
      </c>
      <c r="AH59" s="337">
        <f>IF((Parameters!$E$23-Parameters!$F$23*MIN(STP!AH9,Parameters!$C$12))*AH47&lt;0,0,(Parameters!$E$23-Parameters!$F$23*MIN(STP!AH9,Parameters!$C$12))*AH47)</f>
        <v>0</v>
      </c>
      <c r="AI59" s="337">
        <f>IF((Parameters!$E$23-Parameters!$F$23*MIN(STP!AI9,Parameters!$C$12))*AI47&lt;0,0,(Parameters!$E$23-Parameters!$F$23*MIN(STP!AI9,Parameters!$C$12))*AI47)</f>
        <v>0</v>
      </c>
      <c r="AJ59" s="337">
        <f>IF((Parameters!$E$23-Parameters!$F$23*MIN(STP!AJ9,Parameters!$C$12))*AJ47&lt;0,0,(Parameters!$E$23-Parameters!$F$23*MIN(STP!AJ9,Parameters!$C$12))*AJ47)</f>
        <v>0</v>
      </c>
      <c r="AK59" s="337">
        <f>IF((Parameters!$E$23-Parameters!$F$23*MIN(STP!AK9,Parameters!$C$12))*AK47&lt;0,0,(Parameters!$E$23-Parameters!$F$23*MIN(STP!AK9,Parameters!$C$12))*AK47)</f>
        <v>0</v>
      </c>
      <c r="AL59" s="337">
        <f>IF((Parameters!$E$23-Parameters!$F$23*MIN(STP!AL9,Parameters!$C$12))*AL47&lt;0,0,(Parameters!$E$23-Parameters!$F$23*MIN(STP!AL9,Parameters!$C$12))*AL47)</f>
        <v>0</v>
      </c>
      <c r="AM59" s="337">
        <f>IF((Parameters!$E$23-Parameters!$F$23*MIN(STP!AM9,Parameters!$C$12))*AM47&lt;0,0,(Parameters!$E$23-Parameters!$F$23*MIN(STP!AM9,Parameters!$C$12))*AM47)</f>
        <v>0</v>
      </c>
      <c r="AN59" s="337">
        <f>IF((Parameters!$E$23-Parameters!$F$23*MIN(STP!AN9,Parameters!$C$12))*AN47&lt;0,0,(Parameters!$E$23-Parameters!$F$23*MIN(STP!AN9,Parameters!$C$12))*AN47)</f>
        <v>0</v>
      </c>
    </row>
    <row r="60" spans="1:41" x14ac:dyDescent="0.25">
      <c r="A60" s="27" t="s">
        <v>624</v>
      </c>
      <c r="B60" s="337">
        <f>IF((Parameters!$E$24-Parameters!$F$24*MIN(STP!B9,Parameters!$C$12))*B48&lt;0,0,(Parameters!$E$24-Parameters!$F$24*MIN(STP!B9,Parameters!$C$12))*B48)</f>
        <v>0</v>
      </c>
      <c r="C60" s="337">
        <f>IF((Parameters!$E$24-Parameters!$F$24*MIN(STP!C9,Parameters!$C$12))*C48&lt;0,0,(Parameters!$E$24-Parameters!$F$24*MIN(STP!C9,Parameters!$C$12))*C48)</f>
        <v>0</v>
      </c>
      <c r="D60" s="337">
        <f>IF((Parameters!$E$24-Parameters!$F$24*MIN(STP!D9,Parameters!$C$12))*D48&lt;0,0,(Parameters!$E$24-Parameters!$F$24*MIN(STP!D9,Parameters!$C$12))*D48)</f>
        <v>0</v>
      </c>
      <c r="E60" s="337">
        <f>IF((Parameters!$E$24-Parameters!$F$24*MIN(STP!E9,Parameters!$C$12))*E48&lt;0,0,(Parameters!$E$24-Parameters!$F$24*MIN(STP!E9,Parameters!$C$12))*E48)</f>
        <v>0</v>
      </c>
      <c r="F60" s="337">
        <f>IF((Parameters!$E$24-Parameters!$F$24*MIN(STP!F9,Parameters!$C$12))*F48&lt;0,0,(Parameters!$E$24-Parameters!$F$24*MIN(STP!F9,Parameters!$C$12))*F48)</f>
        <v>0</v>
      </c>
      <c r="G60" s="337">
        <f>IF((Parameters!$E$24-Parameters!$F$24*MIN(STP!G9,Parameters!$C$12))*G48&lt;0,0,(Parameters!$E$24-Parameters!$F$24*MIN(STP!G9,Parameters!$C$12))*G48)</f>
        <v>0</v>
      </c>
      <c r="H60" s="337">
        <f>IF((Parameters!$E$24-Parameters!$F$24*MIN(STP!H9,Parameters!$C$12))*H48&lt;0,0,(Parameters!$E$24-Parameters!$F$24*MIN(STP!H9,Parameters!$C$12))*H48)</f>
        <v>0</v>
      </c>
      <c r="I60" s="337">
        <f>IF((Parameters!$E$24-Parameters!$F$24*MIN(STP!I9,Parameters!$C$12))*I48&lt;0,0,(Parameters!$E$24-Parameters!$F$24*MIN(STP!I9,Parameters!$C$12))*I48)</f>
        <v>0</v>
      </c>
      <c r="J60" s="337">
        <f>IF((Parameters!$E$24-Parameters!$F$24*MIN(STP!J9,Parameters!$C$12))*J48&lt;0,0,(Parameters!$E$24-Parameters!$F$24*MIN(STP!J9,Parameters!$C$12))*J48)</f>
        <v>0</v>
      </c>
      <c r="K60" s="337">
        <f>IF((Parameters!$E$24-Parameters!$F$24*MIN(STP!K9,Parameters!$C$12))*K48&lt;0,0,(Parameters!$E$24-Parameters!$F$24*MIN(STP!K9,Parameters!$C$12))*K48)</f>
        <v>0</v>
      </c>
      <c r="L60" s="337">
        <f>IF((Parameters!$E$24-Parameters!$F$24*MIN(STP!L9,Parameters!$C$12))*L48&lt;0,0,(Parameters!$E$24-Parameters!$F$24*MIN(STP!L9,Parameters!$C$12))*L48)</f>
        <v>0</v>
      </c>
      <c r="M60" s="337">
        <f>IF((Parameters!$E$24-Parameters!$F$24*MIN(STP!M9,Parameters!$C$12))*M48&lt;0,0,(Parameters!$E$24-Parameters!$F$24*MIN(STP!M9,Parameters!$C$12))*M48)</f>
        <v>0</v>
      </c>
      <c r="N60" s="337">
        <f>IF((Parameters!$E$24-Parameters!$F$24*MIN(STP!N9,Parameters!$C$12))*N48&lt;0,0,(Parameters!$E$24-Parameters!$F$24*MIN(STP!N9,Parameters!$C$12))*N48)</f>
        <v>0</v>
      </c>
      <c r="O60" s="337">
        <f>IF((Parameters!$E$24-Parameters!$F$24*MIN(STP!O9,Parameters!$C$12))*O48&lt;0,0,(Parameters!$E$24-Parameters!$F$24*MIN(STP!O9,Parameters!$C$12))*O48)</f>
        <v>0</v>
      </c>
      <c r="P60" s="337">
        <f>IF((Parameters!$E$24-Parameters!$F$24*MIN(STP!P9,Parameters!$C$12))*P48&lt;0,0,(Parameters!$E$24-Parameters!$F$24*MIN(STP!P9,Parameters!$C$12))*P48)</f>
        <v>0</v>
      </c>
      <c r="Q60" s="337">
        <f>IF((Parameters!$E$24-Parameters!$F$24*MIN(STP!Q9,Parameters!$C$12))*Q48&lt;0,0,(Parameters!$E$24-Parameters!$F$24*MIN(STP!Q9,Parameters!$C$12))*Q48)</f>
        <v>0</v>
      </c>
      <c r="R60" s="337">
        <f>IF((Parameters!$E$24-Parameters!$F$24*MIN(STP!R9,Parameters!$C$12))*R48&lt;0,0,(Parameters!$E$24-Parameters!$F$24*MIN(STP!R9,Parameters!$C$12))*R48)</f>
        <v>0</v>
      </c>
      <c r="S60" s="337">
        <f>IF((Parameters!$E$24-Parameters!$F$24*MIN(STP!S9,Parameters!$C$12))*S48&lt;0,0,(Parameters!$E$24-Parameters!$F$24*MIN(STP!S9,Parameters!$C$12))*S48)</f>
        <v>0</v>
      </c>
      <c r="T60" s="337">
        <f>IF((Parameters!$E$24-Parameters!$F$24*MIN(STP!T9,Parameters!$C$12))*T48&lt;0,0,(Parameters!$E$24-Parameters!$F$24*MIN(STP!T9,Parameters!$C$12))*T48)</f>
        <v>0</v>
      </c>
      <c r="U60" s="337">
        <f>IF((Parameters!$E$24-Parameters!$F$24*MIN(STP!U9,Parameters!$C$12))*U48&lt;0,0,(Parameters!$E$24-Parameters!$F$24*MIN(STP!U9,Parameters!$C$12))*U48)</f>
        <v>0</v>
      </c>
      <c r="V60" s="337">
        <f>IF((Parameters!$E$24-Parameters!$F$24*MIN(STP!V9,Parameters!$C$12))*V48&lt;0,0,(Parameters!$E$24-Parameters!$F$24*MIN(STP!V9,Parameters!$C$12))*V48)</f>
        <v>0</v>
      </c>
      <c r="W60" s="337">
        <f>IF((Parameters!$E$24-Parameters!$F$24*MIN(STP!W9,Parameters!$C$12))*W48&lt;0,0,(Parameters!$E$24-Parameters!$F$24*MIN(STP!W9,Parameters!$C$12))*W48)</f>
        <v>0</v>
      </c>
      <c r="X60" s="337">
        <f>IF((Parameters!$E$24-Parameters!$F$24*MIN(STP!X9,Parameters!$C$12))*X48&lt;0,0,(Parameters!$E$24-Parameters!$F$24*MIN(STP!X9,Parameters!$C$12))*X48)</f>
        <v>0</v>
      </c>
      <c r="Y60" s="337">
        <f>IF((Parameters!$E$24-Parameters!$F$24*MIN(STP!Y9,Parameters!$C$12))*Y48&lt;0,0,(Parameters!$E$24-Parameters!$F$24*MIN(STP!Y9,Parameters!$C$12))*Y48)</f>
        <v>0</v>
      </c>
      <c r="Z60" s="337">
        <f>IF((Parameters!$E$24-Parameters!$F$24*MIN(STP!Z9,Parameters!$C$12))*Z48&lt;0,0,(Parameters!$E$24-Parameters!$F$24*MIN(STP!Z9,Parameters!$C$12))*Z48)</f>
        <v>0</v>
      </c>
      <c r="AA60" s="337">
        <f>IF((Parameters!$E$24-Parameters!$F$24*MIN(STP!AA9,Parameters!$C$12))*AA48&lt;0,0,(Parameters!$E$24-Parameters!$F$24*MIN(STP!AA9,Parameters!$C$12))*AA48)</f>
        <v>0</v>
      </c>
      <c r="AB60" s="337">
        <f>IF((Parameters!$E$24-Parameters!$F$24*MIN(STP!AB9,Parameters!$C$12))*AB48&lt;0,0,(Parameters!$E$24-Parameters!$F$24*MIN(STP!AB9,Parameters!$C$12))*AB48)</f>
        <v>0</v>
      </c>
      <c r="AC60" s="337">
        <f>IF((Parameters!$E$24-Parameters!$F$24*MIN(STP!AC9,Parameters!$C$12))*AC48&lt;0,0,(Parameters!$E$24-Parameters!$F$24*MIN(STP!AC9,Parameters!$C$12))*AC48)</f>
        <v>0</v>
      </c>
      <c r="AD60" s="337">
        <f>IF((Parameters!$E$24-Parameters!$F$24*MIN(STP!AD9,Parameters!$C$12))*AD48&lt;0,0,(Parameters!$E$24-Parameters!$F$24*MIN(STP!AD9,Parameters!$C$12))*AD48)</f>
        <v>0</v>
      </c>
      <c r="AE60" s="337">
        <f>IF((Parameters!$E$24-Parameters!$F$24*MIN(STP!AE9,Parameters!$C$12))*AE48&lt;0,0,(Parameters!$E$24-Parameters!$F$24*MIN(STP!AE9,Parameters!$C$12))*AE48)</f>
        <v>0</v>
      </c>
      <c r="AF60" s="337">
        <f>IF((Parameters!$E$24-Parameters!$F$24*MIN(STP!AF9,Parameters!$C$12))*AF48&lt;0,0,(Parameters!$E$24-Parameters!$F$24*MIN(STP!AF9,Parameters!$C$12))*AF48)</f>
        <v>0</v>
      </c>
      <c r="AG60" s="337">
        <f>IF((Parameters!$E$24-Parameters!$F$24*MIN(STP!AG9,Parameters!$C$12))*AG48&lt;0,0,(Parameters!$E$24-Parameters!$F$24*MIN(STP!AG9,Parameters!$C$12))*AG48)</f>
        <v>0</v>
      </c>
      <c r="AH60" s="337">
        <f>IF((Parameters!$E$24-Parameters!$F$24*MIN(STP!AH9,Parameters!$C$12))*AH48&lt;0,0,(Parameters!$E$24-Parameters!$F$24*MIN(STP!AH9,Parameters!$C$12))*AH48)</f>
        <v>0</v>
      </c>
      <c r="AI60" s="337">
        <f>IF((Parameters!$E$24-Parameters!$F$24*MIN(STP!AI9,Parameters!$C$12))*AI48&lt;0,0,(Parameters!$E$24-Parameters!$F$24*MIN(STP!AI9,Parameters!$C$12))*AI48)</f>
        <v>0</v>
      </c>
      <c r="AJ60" s="337">
        <f>IF((Parameters!$E$24-Parameters!$F$24*MIN(STP!AJ9,Parameters!$C$12))*AJ48&lt;0,0,(Parameters!$E$24-Parameters!$F$24*MIN(STP!AJ9,Parameters!$C$12))*AJ48)</f>
        <v>0</v>
      </c>
      <c r="AK60" s="337">
        <f>IF((Parameters!$E$24-Parameters!$F$24*MIN(STP!AK9,Parameters!$C$12))*AK48&lt;0,0,(Parameters!$E$24-Parameters!$F$24*MIN(STP!AK9,Parameters!$C$12))*AK48)</f>
        <v>0</v>
      </c>
      <c r="AL60" s="337">
        <f>IF((Parameters!$E$24-Parameters!$F$24*MIN(STP!AL9,Parameters!$C$12))*AL48&lt;0,0,(Parameters!$E$24-Parameters!$F$24*MIN(STP!AL9,Parameters!$C$12))*AL48)</f>
        <v>0</v>
      </c>
      <c r="AM60" s="337">
        <f>IF((Parameters!$E$24-Parameters!$F$24*MIN(STP!AM9,Parameters!$C$12))*AM48&lt;0,0,(Parameters!$E$24-Parameters!$F$24*MIN(STP!AM9,Parameters!$C$12))*AM48)</f>
        <v>0</v>
      </c>
      <c r="AN60" s="337">
        <f>IF((Parameters!$E$24-Parameters!$F$24*MIN(STP!AN9,Parameters!$C$12))*AN48&lt;0,0,(Parameters!$E$24-Parameters!$F$24*MIN(STP!AN9,Parameters!$C$12))*AN48)</f>
        <v>0</v>
      </c>
    </row>
    <row r="61" spans="1:41" x14ac:dyDescent="0.25">
      <c r="A61" s="27" t="s">
        <v>621</v>
      </c>
      <c r="B61" s="338">
        <f>AVERAGE(B58:B60,B62:B63)</f>
        <v>-1.2753686995381487E-15</v>
      </c>
      <c r="C61" s="338">
        <f t="shared" ref="C61:AN61" si="26">AVERAGE(C58:C60,C62:C63)</f>
        <v>-1.2753686995381487E-15</v>
      </c>
      <c r="D61" s="338">
        <f t="shared" si="26"/>
        <v>-1.2753686995381487E-15</v>
      </c>
      <c r="E61" s="338">
        <f t="shared" si="26"/>
        <v>-1.2753686995381487E-15</v>
      </c>
      <c r="F61" s="338">
        <f t="shared" si="26"/>
        <v>-1.2753686995381487E-15</v>
      </c>
      <c r="G61" s="338">
        <f t="shared" si="26"/>
        <v>-1.2753686995381487E-15</v>
      </c>
      <c r="H61" s="338">
        <f t="shared" si="26"/>
        <v>-1.2753686995381487E-15</v>
      </c>
      <c r="I61" s="338">
        <f t="shared" si="26"/>
        <v>-1.2753686995381487E-15</v>
      </c>
      <c r="J61" s="338">
        <f t="shared" si="26"/>
        <v>-1.2753686995381487E-15</v>
      </c>
      <c r="K61" s="338">
        <f t="shared" si="26"/>
        <v>-1.2753686995381487E-15</v>
      </c>
      <c r="L61" s="338">
        <f t="shared" si="26"/>
        <v>-1.2753686995381487E-15</v>
      </c>
      <c r="M61" s="338">
        <f t="shared" si="26"/>
        <v>-1.2753686995381487E-15</v>
      </c>
      <c r="N61" s="338">
        <f t="shared" si="26"/>
        <v>-1.2753686995381487E-15</v>
      </c>
      <c r="O61" s="338">
        <f t="shared" si="26"/>
        <v>-1.2753686995381487E-15</v>
      </c>
      <c r="P61" s="338">
        <f t="shared" si="26"/>
        <v>-1.2753686995381487E-15</v>
      </c>
      <c r="Q61" s="338">
        <f t="shared" si="26"/>
        <v>-1.2753686995381487E-15</v>
      </c>
      <c r="R61" s="338">
        <f t="shared" si="26"/>
        <v>-1.2753686995381487E-15</v>
      </c>
      <c r="S61" s="338">
        <f t="shared" si="26"/>
        <v>-1.2753686995381487E-15</v>
      </c>
      <c r="T61" s="338">
        <f t="shared" si="26"/>
        <v>-1.2753686995381487E-15</v>
      </c>
      <c r="U61" s="338">
        <f t="shared" si="26"/>
        <v>-1.2753686995381487E-15</v>
      </c>
      <c r="V61" s="338">
        <f t="shared" si="26"/>
        <v>-1.2753686995381487E-15</v>
      </c>
      <c r="W61" s="338">
        <f t="shared" si="26"/>
        <v>-1.2753686995381487E-15</v>
      </c>
      <c r="X61" s="338">
        <f t="shared" si="26"/>
        <v>-1.2753686995381487E-15</v>
      </c>
      <c r="Y61" s="338">
        <f t="shared" si="26"/>
        <v>-1.2753686995381487E-15</v>
      </c>
      <c r="Z61" s="338">
        <f t="shared" si="26"/>
        <v>-1.2753686995381487E-15</v>
      </c>
      <c r="AA61" s="338">
        <f t="shared" si="26"/>
        <v>-1.2753686995381487E-15</v>
      </c>
      <c r="AB61" s="338">
        <f t="shared" si="26"/>
        <v>-1.2753686995381487E-15</v>
      </c>
      <c r="AC61" s="338">
        <f t="shared" si="26"/>
        <v>-1.2753686995381487E-15</v>
      </c>
      <c r="AD61" s="338">
        <f t="shared" si="26"/>
        <v>-1.2753686995381487E-15</v>
      </c>
      <c r="AE61" s="338">
        <f t="shared" si="26"/>
        <v>-1.2753686995381487E-15</v>
      </c>
      <c r="AF61" s="338">
        <f t="shared" si="26"/>
        <v>-1.2753686995381487E-15</v>
      </c>
      <c r="AG61" s="338">
        <f t="shared" si="26"/>
        <v>-1.2753686995381487E-15</v>
      </c>
      <c r="AH61" s="338">
        <f t="shared" si="26"/>
        <v>-1.2753686995381487E-15</v>
      </c>
      <c r="AI61" s="338">
        <f t="shared" si="26"/>
        <v>-1.2753686995381487E-15</v>
      </c>
      <c r="AJ61" s="338">
        <f t="shared" si="26"/>
        <v>-1.2753686995381487E-15</v>
      </c>
      <c r="AK61" s="338">
        <f t="shared" si="26"/>
        <v>-1.2753686995381487E-15</v>
      </c>
      <c r="AL61" s="338">
        <f t="shared" si="26"/>
        <v>-1.2753686995381487E-15</v>
      </c>
      <c r="AM61" s="338">
        <f t="shared" si="26"/>
        <v>-1.2753686995381487E-15</v>
      </c>
      <c r="AN61" s="338">
        <f t="shared" si="26"/>
        <v>-1.2753686995381487E-15</v>
      </c>
    </row>
    <row r="62" spans="1:41" x14ac:dyDescent="0.25">
      <c r="A62" s="27" t="s">
        <v>620</v>
      </c>
      <c r="B62" s="337">
        <f>IF(STP!B9&gt;Parameters!$M$21,Parameters!$M$26,IF(STP!B9&gt;Parameters!$L$21, Parameters!$L$26, IF(STP!B9&gt;Parameters!$K$21, Parameters!$K$26, Parameters!$J$26)))</f>
        <v>0</v>
      </c>
      <c r="C62" s="337">
        <f>IF(STP!C9&gt;Parameters!$M$21,Parameters!$M$26,IF(STP!C9&gt;Parameters!$L$21, Parameters!$L$26, IF(STP!C9&gt;Parameters!$K$21, Parameters!$K$26, Parameters!$J$26)))</f>
        <v>0</v>
      </c>
      <c r="D62" s="337">
        <f>IF(STP!D9&gt;Parameters!$M$21,Parameters!$M$26,IF(STP!D9&gt;Parameters!$L$21, Parameters!$L$26, IF(STP!D9&gt;Parameters!$K$21, Parameters!$K$26, Parameters!$J$26)))</f>
        <v>0</v>
      </c>
      <c r="E62" s="337">
        <f>IF(STP!E9&gt;Parameters!$M$21,Parameters!$M$26,IF(STP!E9&gt;Parameters!$L$21, Parameters!$L$26, IF(STP!E9&gt;Parameters!$K$21, Parameters!$K$26, Parameters!$J$26)))</f>
        <v>0</v>
      </c>
      <c r="F62" s="337">
        <f>IF(STP!F9&gt;Parameters!$M$21,Parameters!$M$26,IF(STP!F9&gt;Parameters!$L$21, Parameters!$L$26, IF(STP!F9&gt;Parameters!$K$21, Parameters!$K$26, Parameters!$J$26)))</f>
        <v>0</v>
      </c>
      <c r="G62" s="337">
        <f>IF(STP!G9&gt;Parameters!$M$21,Parameters!$M$26,IF(STP!G9&gt;Parameters!$L$21, Parameters!$L$26, IF(STP!G9&gt;Parameters!$K$21, Parameters!$K$26, Parameters!$J$26)))</f>
        <v>0</v>
      </c>
      <c r="H62" s="337">
        <f>IF(STP!H9&gt;Parameters!$M$21,Parameters!$M$26,IF(STP!H9&gt;Parameters!$L$21, Parameters!$L$26, IF(STP!H9&gt;Parameters!$K$21, Parameters!$K$26, Parameters!$J$26)))</f>
        <v>0</v>
      </c>
      <c r="I62" s="337">
        <f>IF(STP!I9&gt;Parameters!$M$21,Parameters!$M$26,IF(STP!I9&gt;Parameters!$L$21, Parameters!$L$26, IF(STP!I9&gt;Parameters!$K$21, Parameters!$K$26, Parameters!$J$26)))</f>
        <v>0</v>
      </c>
      <c r="J62" s="337">
        <f>IF(STP!J9&gt;Parameters!$M$21,Parameters!$M$26,IF(STP!J9&gt;Parameters!$L$21, Parameters!$L$26, IF(STP!J9&gt;Parameters!$K$21, Parameters!$K$26, Parameters!$J$26)))</f>
        <v>0</v>
      </c>
      <c r="K62" s="337">
        <f>IF(STP!K9&gt;Parameters!$M$21,Parameters!$M$26,IF(STP!K9&gt;Parameters!$L$21, Parameters!$L$26, IF(STP!K9&gt;Parameters!$K$21, Parameters!$K$26, Parameters!$J$26)))</f>
        <v>0</v>
      </c>
      <c r="L62" s="337">
        <f>IF(STP!L9&gt;Parameters!$M$21,Parameters!$M$26,IF(STP!L9&gt;Parameters!$L$21, Parameters!$L$26, IF(STP!L9&gt;Parameters!$K$21, Parameters!$K$26, Parameters!$J$26)))</f>
        <v>0</v>
      </c>
      <c r="M62" s="337">
        <f>IF(STP!M9&gt;Parameters!$M$21,Parameters!$M$26,IF(STP!M9&gt;Parameters!$L$21, Parameters!$L$26, IF(STP!M9&gt;Parameters!$K$21, Parameters!$K$26, Parameters!$J$26)))</f>
        <v>0</v>
      </c>
      <c r="N62" s="337">
        <f>IF(STP!N9&gt;Parameters!$M$21,Parameters!$M$26,IF(STP!N9&gt;Parameters!$L$21, Parameters!$L$26, IF(STP!N9&gt;Parameters!$K$21, Parameters!$K$26, Parameters!$J$26)))</f>
        <v>0</v>
      </c>
      <c r="O62" s="337">
        <f>IF(STP!O9&gt;Parameters!$M$21,Parameters!$M$26,IF(STP!O9&gt;Parameters!$L$21, Parameters!$L$26, IF(STP!O9&gt;Parameters!$K$21, Parameters!$K$26, Parameters!$J$26)))</f>
        <v>0</v>
      </c>
      <c r="P62" s="337">
        <f>IF(STP!P9&gt;Parameters!$M$21,Parameters!$M$26,IF(STP!P9&gt;Parameters!$L$21, Parameters!$L$26, IF(STP!P9&gt;Parameters!$K$21, Parameters!$K$26, Parameters!$J$26)))</f>
        <v>0</v>
      </c>
      <c r="Q62" s="337">
        <f>IF(STP!Q9&gt;Parameters!$M$21,Parameters!$M$26,IF(STP!Q9&gt;Parameters!$L$21, Parameters!$L$26, IF(STP!Q9&gt;Parameters!$K$21, Parameters!$K$26, Parameters!$J$26)))</f>
        <v>0</v>
      </c>
      <c r="R62" s="337">
        <f>IF(STP!R9&gt;Parameters!$M$21,Parameters!$M$26,IF(STP!R9&gt;Parameters!$L$21, Parameters!$L$26, IF(STP!R9&gt;Parameters!$K$21, Parameters!$K$26, Parameters!$J$26)))</f>
        <v>0</v>
      </c>
      <c r="S62" s="337">
        <f>IF(STP!S9&gt;Parameters!$M$21,Parameters!$M$26,IF(STP!S9&gt;Parameters!$L$21, Parameters!$L$26, IF(STP!S9&gt;Parameters!$K$21, Parameters!$K$26, Parameters!$J$26)))</f>
        <v>0</v>
      </c>
      <c r="T62" s="337">
        <f>IF(STP!T9&gt;Parameters!$M$21,Parameters!$M$26,IF(STP!T9&gt;Parameters!$L$21, Parameters!$L$26, IF(STP!T9&gt;Parameters!$K$21, Parameters!$K$26, Parameters!$J$26)))</f>
        <v>0</v>
      </c>
      <c r="U62" s="337">
        <f>IF(STP!U9&gt;Parameters!$M$21,Parameters!$M$26,IF(STP!U9&gt;Parameters!$L$21, Parameters!$L$26, IF(STP!U9&gt;Parameters!$K$21, Parameters!$K$26, Parameters!$J$26)))</f>
        <v>0</v>
      </c>
      <c r="V62" s="337">
        <f>IF(STP!V9&gt;Parameters!$M$21,Parameters!$M$26,IF(STP!V9&gt;Parameters!$L$21, Parameters!$L$26, IF(STP!V9&gt;Parameters!$K$21, Parameters!$K$26, Parameters!$J$26)))</f>
        <v>0</v>
      </c>
      <c r="W62" s="337">
        <f>IF(STP!W9&gt;Parameters!$M$21,Parameters!$M$26,IF(STP!W9&gt;Parameters!$L$21, Parameters!$L$26, IF(STP!W9&gt;Parameters!$K$21, Parameters!$K$26, Parameters!$J$26)))</f>
        <v>0</v>
      </c>
      <c r="X62" s="337">
        <f>IF(STP!X9&gt;Parameters!$M$21,Parameters!$M$26,IF(STP!X9&gt;Parameters!$L$21, Parameters!$L$26, IF(STP!X9&gt;Parameters!$K$21, Parameters!$K$26, Parameters!$J$26)))</f>
        <v>0</v>
      </c>
      <c r="Y62" s="337">
        <f>IF(STP!Y9&gt;Parameters!$M$21,Parameters!$M$26,IF(STP!Y9&gt;Parameters!$L$21, Parameters!$L$26, IF(STP!Y9&gt;Parameters!$K$21, Parameters!$K$26, Parameters!$J$26)))</f>
        <v>0</v>
      </c>
      <c r="Z62" s="337">
        <f>IF(STP!Z9&gt;Parameters!$M$21,Parameters!$M$26,IF(STP!Z9&gt;Parameters!$L$21, Parameters!$L$26, IF(STP!Z9&gt;Parameters!$K$21, Parameters!$K$26, Parameters!$J$26)))</f>
        <v>0</v>
      </c>
      <c r="AA62" s="337">
        <f>IF(STP!AA9&gt;Parameters!$M$21,Parameters!$M$26,IF(STP!AA9&gt;Parameters!$L$21, Parameters!$L$26, IF(STP!AA9&gt;Parameters!$K$21, Parameters!$K$26, Parameters!$J$26)))</f>
        <v>0</v>
      </c>
      <c r="AB62" s="337">
        <f>IF(STP!AB9&gt;Parameters!$M$21,Parameters!$M$26,IF(STP!AB9&gt;Parameters!$L$21, Parameters!$L$26, IF(STP!AB9&gt;Parameters!$K$21, Parameters!$K$26, Parameters!$J$26)))</f>
        <v>0</v>
      </c>
      <c r="AC62" s="337">
        <f>IF(STP!AC9&gt;Parameters!$M$21,Parameters!$M$26,IF(STP!AC9&gt;Parameters!$L$21, Parameters!$L$26, IF(STP!AC9&gt;Parameters!$K$21, Parameters!$K$26, Parameters!$J$26)))</f>
        <v>0</v>
      </c>
      <c r="AD62" s="337">
        <f>IF(STP!AD9&gt;Parameters!$M$21,Parameters!$M$26,IF(STP!AD9&gt;Parameters!$L$21, Parameters!$L$26, IF(STP!AD9&gt;Parameters!$K$21, Parameters!$K$26, Parameters!$J$26)))</f>
        <v>0</v>
      </c>
      <c r="AE62" s="337">
        <f>IF(STP!AE9&gt;Parameters!$M$21,Parameters!$M$26,IF(STP!AE9&gt;Parameters!$L$21, Parameters!$L$26, IF(STP!AE9&gt;Parameters!$K$21, Parameters!$K$26, Parameters!$J$26)))</f>
        <v>0</v>
      </c>
      <c r="AF62" s="337">
        <f>IF(STP!AF9&gt;Parameters!$M$21,Parameters!$M$26,IF(STP!AF9&gt;Parameters!$L$21, Parameters!$L$26, IF(STP!AF9&gt;Parameters!$K$21, Parameters!$K$26, Parameters!$J$26)))</f>
        <v>0</v>
      </c>
      <c r="AG62" s="337">
        <f>IF(STP!AG9&gt;Parameters!$M$21,Parameters!$M$26,IF(STP!AG9&gt;Parameters!$L$21, Parameters!$L$26, IF(STP!AG9&gt;Parameters!$K$21, Parameters!$K$26, Parameters!$J$26)))</f>
        <v>0</v>
      </c>
      <c r="AH62" s="337">
        <f>IF(STP!AH9&gt;Parameters!$M$21,Parameters!$M$26,IF(STP!AH9&gt;Parameters!$L$21, Parameters!$L$26, IF(STP!AH9&gt;Parameters!$K$21, Parameters!$K$26, Parameters!$J$26)))</f>
        <v>0</v>
      </c>
      <c r="AI62" s="337">
        <f>IF(STP!AI9&gt;Parameters!$M$21,Parameters!$M$26,IF(STP!AI9&gt;Parameters!$L$21, Parameters!$L$26, IF(STP!AI9&gt;Parameters!$K$21, Parameters!$K$26, Parameters!$J$26)))</f>
        <v>0</v>
      </c>
      <c r="AJ62" s="337">
        <f>IF(STP!AJ9&gt;Parameters!$M$21,Parameters!$M$26,IF(STP!AJ9&gt;Parameters!$L$21, Parameters!$L$26, IF(STP!AJ9&gt;Parameters!$K$21, Parameters!$K$26, Parameters!$J$26)))</f>
        <v>0</v>
      </c>
      <c r="AK62" s="337">
        <f>IF(STP!AK9&gt;Parameters!$M$21,Parameters!$M$26,IF(STP!AK9&gt;Parameters!$L$21, Parameters!$L$26, IF(STP!AK9&gt;Parameters!$K$21, Parameters!$K$26, Parameters!$J$26)))</f>
        <v>0</v>
      </c>
      <c r="AL62" s="337">
        <f>IF(STP!AL9&gt;Parameters!$M$21,Parameters!$M$26,IF(STP!AL9&gt;Parameters!$L$21, Parameters!$L$26, IF(STP!AL9&gt;Parameters!$K$21, Parameters!$K$26, Parameters!$J$26)))</f>
        <v>0</v>
      </c>
      <c r="AM62" s="337">
        <f>IF(STP!AM9&gt;Parameters!$M$21,Parameters!$M$26,IF(STP!AM9&gt;Parameters!$L$21, Parameters!$L$26, IF(STP!AM9&gt;Parameters!$K$21, Parameters!$K$26, Parameters!$J$26)))</f>
        <v>0</v>
      </c>
      <c r="AN62" s="337">
        <f>IF(STP!AN9&gt;Parameters!$M$21,Parameters!$M$26,IF(STP!AN9&gt;Parameters!$L$21, Parameters!$L$26, IF(STP!AN9&gt;Parameters!$K$21, Parameters!$K$26, Parameters!$J$26)))</f>
        <v>0</v>
      </c>
    </row>
    <row r="63" spans="1:41" s="49" customFormat="1" x14ac:dyDescent="0.25">
      <c r="A63" s="27" t="s">
        <v>619</v>
      </c>
      <c r="B63" s="337">
        <f>(Parameters!$E$27-Parameters!$F$27*MIN(STP!B9,Parameters!$C$12))*B51</f>
        <v>-6.3768434976907429E-15</v>
      </c>
      <c r="C63" s="337">
        <f>(0.0231-0.0011*MIN(STP!C9,Parameters!$C$12))*C51</f>
        <v>-6.3768434976907429E-15</v>
      </c>
      <c r="D63" s="337">
        <f>(0.0231-0.0011*MIN(STP!D9,Parameters!$C$12))*D51</f>
        <v>-6.3768434976907429E-15</v>
      </c>
      <c r="E63" s="637">
        <f>(0.0231-0.0011*MIN(STP!E9,Parameters!$C$12))*E51</f>
        <v>-6.3768434976907429E-15</v>
      </c>
      <c r="F63" s="337">
        <f>(0.0231-0.0011*MIN(STP!F9,Parameters!$C$12))*F51</f>
        <v>-6.3768434976907429E-15</v>
      </c>
      <c r="G63" s="337">
        <f>(0.0231-0.0011*MIN(STP!G9,Parameters!$C$12))*G51</f>
        <v>-6.3768434976907429E-15</v>
      </c>
      <c r="H63" s="337">
        <f>(0.0231-0.0011*MIN(STP!H9,Parameters!$C$12))*H51</f>
        <v>-6.3768434976907429E-15</v>
      </c>
      <c r="I63" s="337">
        <f>(0.0231-0.0011*MIN(STP!I9,Parameters!$C$12))*I51</f>
        <v>-6.3768434976907429E-15</v>
      </c>
      <c r="J63" s="337">
        <f>(0.0231-0.0011*MIN(STP!J9,Parameters!$C$12))*J51</f>
        <v>-6.3768434976907429E-15</v>
      </c>
      <c r="K63" s="337">
        <f>(0.0231-0.0011*MIN(STP!K9,Parameters!$C$12))*K51</f>
        <v>-6.3768434976907429E-15</v>
      </c>
      <c r="L63" s="337">
        <f>(0.0231-0.0011*MIN(STP!L9,Parameters!$C$12))*L51</f>
        <v>-6.3768434976907429E-15</v>
      </c>
      <c r="M63" s="337">
        <f>(0.0231-0.0011*MIN(STP!M9,Parameters!$C$12))*M51</f>
        <v>-6.3768434976907429E-15</v>
      </c>
      <c r="N63" s="337">
        <f>(0.0231-0.0011*MIN(STP!N9,Parameters!$C$12))*N51</f>
        <v>-6.3768434976907429E-15</v>
      </c>
      <c r="O63" s="337">
        <f>(0.0231-0.0011*MIN(STP!O9,Parameters!$C$12))*O51</f>
        <v>-6.3768434976907429E-15</v>
      </c>
      <c r="P63" s="337">
        <f>(0.0231-0.0011*MIN(STP!P9,Parameters!$C$12))*P51</f>
        <v>-6.3768434976907429E-15</v>
      </c>
      <c r="Q63" s="337">
        <f>(0.0231-0.0011*MIN(STP!Q9,Parameters!$C$12))*Q51</f>
        <v>-6.3768434976907429E-15</v>
      </c>
      <c r="R63" s="337">
        <f>(0.0231-0.0011*MIN(STP!R9,Parameters!$C$12))*R51</f>
        <v>-6.3768434976907429E-15</v>
      </c>
      <c r="S63" s="337">
        <f>(0.0231-0.0011*MIN(STP!S9,Parameters!$C$12))*S51</f>
        <v>-6.3768434976907429E-15</v>
      </c>
      <c r="T63" s="337">
        <f>(0.0231-0.0011*MIN(STP!T9,Parameters!$C$12))*T51</f>
        <v>-6.3768434976907429E-15</v>
      </c>
      <c r="U63" s="337">
        <f>(0.0231-0.0011*MIN(STP!U9,Parameters!$C$12))*U51</f>
        <v>-6.3768434976907429E-15</v>
      </c>
      <c r="V63" s="337">
        <f>(0.0231-0.0011*MIN(STP!V9,Parameters!$C$12))*V51</f>
        <v>-6.3768434976907429E-15</v>
      </c>
      <c r="W63" s="337">
        <f>(0.0231-0.0011*MIN(STP!W9,Parameters!$C$12))*W51</f>
        <v>-6.3768434976907429E-15</v>
      </c>
      <c r="X63" s="337">
        <f>(0.0231-0.0011*MIN(STP!X9,Parameters!$C$12))*X51</f>
        <v>-6.3768434976907429E-15</v>
      </c>
      <c r="Y63" s="337">
        <f>(0.0231-0.0011*MIN(STP!Y9,Parameters!$C$12))*Y51</f>
        <v>-6.3768434976907429E-15</v>
      </c>
      <c r="Z63" s="337">
        <f>(0.0231-0.0011*MIN(STP!Z9,Parameters!$C$12))*Z51</f>
        <v>-6.3768434976907429E-15</v>
      </c>
      <c r="AA63" s="337">
        <f>(0.0231-0.0011*MIN(STP!AA9,Parameters!$C$12))*AA51</f>
        <v>-6.3768434976907429E-15</v>
      </c>
      <c r="AB63" s="337">
        <f>(0.0231-0.0011*MIN(STP!AB9,Parameters!$C$12))*AB51</f>
        <v>-6.3768434976907429E-15</v>
      </c>
      <c r="AC63" s="337">
        <f>(0.0231-0.0011*MIN(STP!AC9,Parameters!$C$12))*AC51</f>
        <v>-6.3768434976907429E-15</v>
      </c>
      <c r="AD63" s="337">
        <f>(0.0231-0.0011*MIN(STP!AD9,Parameters!$C$12))*AD51</f>
        <v>-6.3768434976907429E-15</v>
      </c>
      <c r="AE63" s="337">
        <f>(0.0231-0.0011*MIN(STP!AE9,Parameters!$C$12))*AE51</f>
        <v>-6.3768434976907429E-15</v>
      </c>
      <c r="AF63" s="337">
        <f>(0.0231-0.0011*MIN(STP!AF9,Parameters!$C$12))*AF51</f>
        <v>-6.3768434976907429E-15</v>
      </c>
      <c r="AG63" s="337">
        <f>(0.0231-0.0011*MIN(STP!AG9,Parameters!$C$12))*AG51</f>
        <v>-6.3768434976907429E-15</v>
      </c>
      <c r="AH63" s="337">
        <f>(0.0231-0.0011*MIN(STP!AH9,Parameters!$C$12))*AH51</f>
        <v>-6.3768434976907429E-15</v>
      </c>
      <c r="AI63" s="337">
        <f>(0.0231-0.0011*MIN(STP!AI9,Parameters!$C$12))*AI51</f>
        <v>-6.3768434976907429E-15</v>
      </c>
      <c r="AJ63" s="337">
        <f>(0.0231-0.0011*MIN(STP!AJ9,Parameters!$C$12))*AJ51</f>
        <v>-6.3768434976907429E-15</v>
      </c>
      <c r="AK63" s="337">
        <f>(0.0231-0.0011*MIN(STP!AK9,Parameters!$C$12))*AK51</f>
        <v>-6.3768434976907429E-15</v>
      </c>
      <c r="AL63" s="337">
        <f>(0.0231-0.0011*MIN(STP!AL9,Parameters!$C$12))*AL51</f>
        <v>-6.3768434976907429E-15</v>
      </c>
      <c r="AM63" s="337">
        <f>(0.0231-0.0011*MIN(STP!AM9,Parameters!$C$12))*AM51</f>
        <v>-6.3768434976907429E-15</v>
      </c>
      <c r="AN63" s="337">
        <f>(0.0231-0.0011*MIN(STP!AN9,Parameters!$C$12))*AN51</f>
        <v>-6.3768434976907429E-15</v>
      </c>
      <c r="AO63" s="330"/>
    </row>
    <row r="64" spans="1:41" x14ac:dyDescent="0.25">
      <c r="A64" s="336" t="s">
        <v>1029</v>
      </c>
      <c r="B64" s="335">
        <f t="shared" ref="B64:AN64" si="27">SUMPRODUCT(B58:B63,B8:B13)</f>
        <v>-2.9350265349824937E-10</v>
      </c>
      <c r="C64" s="335">
        <f t="shared" si="27"/>
        <v>-2.1709982750870609E-12</v>
      </c>
      <c r="D64" s="335">
        <f t="shared" si="27"/>
        <v>-1.717592726922512E-11</v>
      </c>
      <c r="E64" s="335">
        <f t="shared" si="27"/>
        <v>-5.664961419715396E-12</v>
      </c>
      <c r="F64" s="335">
        <f t="shared" si="27"/>
        <v>-2.1150068002182699E-12</v>
      </c>
      <c r="G64" s="335">
        <f t="shared" si="27"/>
        <v>-1.4634881566181201E-16</v>
      </c>
      <c r="H64" s="335">
        <f t="shared" si="27"/>
        <v>-1.086479196559515E-11</v>
      </c>
      <c r="I64" s="335">
        <f t="shared" si="27"/>
        <v>-9.6565124194353399E-11</v>
      </c>
      <c r="J64" s="335">
        <f t="shared" si="27"/>
        <v>-4.2036623415218527E-11</v>
      </c>
      <c r="K64" s="335">
        <f t="shared" si="27"/>
        <v>-6.1716436055924833E-11</v>
      </c>
      <c r="L64" s="335">
        <f t="shared" si="27"/>
        <v>-1.2969057323963266E-13</v>
      </c>
      <c r="M64" s="335">
        <f t="shared" si="27"/>
        <v>-5.090357500079633E-12</v>
      </c>
      <c r="N64" s="335">
        <f t="shared" si="27"/>
        <v>-1.5263397013756243E-12</v>
      </c>
      <c r="O64" s="335">
        <f t="shared" si="27"/>
        <v>-1.1605531865224349E-10</v>
      </c>
      <c r="P64" s="335">
        <f t="shared" si="27"/>
        <v>-5.0715574576910835E-11</v>
      </c>
      <c r="Q64" s="335">
        <f t="shared" si="27"/>
        <v>-1.0811943019175284E-11</v>
      </c>
      <c r="R64" s="335">
        <f t="shared" si="27"/>
        <v>0</v>
      </c>
      <c r="S64" s="335">
        <f t="shared" si="27"/>
        <v>-8.265462280579071E-12</v>
      </c>
      <c r="T64" s="335">
        <f t="shared" si="27"/>
        <v>0</v>
      </c>
      <c r="U64" s="335">
        <f t="shared" si="27"/>
        <v>-5.9251857712374302E-14</v>
      </c>
      <c r="V64" s="335">
        <f t="shared" si="27"/>
        <v>-3.39576430420057E-13</v>
      </c>
      <c r="W64" s="335">
        <f t="shared" si="27"/>
        <v>-1.50323104433863E-11</v>
      </c>
      <c r="X64" s="335">
        <f t="shared" si="27"/>
        <v>-1.2550966588321114E-12</v>
      </c>
      <c r="Y64" s="335">
        <f t="shared" si="27"/>
        <v>-5.318472132226847E-11</v>
      </c>
      <c r="Z64" s="335">
        <f t="shared" si="27"/>
        <v>-1.6409573308362242E-10</v>
      </c>
      <c r="AA64" s="335">
        <f t="shared" si="27"/>
        <v>-8.0435340247587975E-13</v>
      </c>
      <c r="AB64" s="335">
        <f t="shared" si="27"/>
        <v>-5.6573746663786582E-11</v>
      </c>
      <c r="AC64" s="335">
        <f t="shared" si="27"/>
        <v>-2.4324362077818712E-14</v>
      </c>
      <c r="AD64" s="335">
        <f t="shared" si="27"/>
        <v>-3.9869540228477011E-12</v>
      </c>
      <c r="AE64" s="335">
        <f t="shared" si="27"/>
        <v>-4.1592675783008543E-12</v>
      </c>
      <c r="AF64" s="335">
        <f t="shared" si="27"/>
        <v>-6.0253131848116744E-12</v>
      </c>
      <c r="AG64" s="335">
        <f t="shared" si="27"/>
        <v>-7.5456534207763156E-13</v>
      </c>
      <c r="AH64" s="335">
        <f t="shared" si="27"/>
        <v>-4.0182132814708616E-10</v>
      </c>
      <c r="AI64" s="335">
        <f t="shared" si="27"/>
        <v>-6.1462792528421048E-12</v>
      </c>
      <c r="AJ64" s="335">
        <f t="shared" si="27"/>
        <v>-4.6156546060111411E-11</v>
      </c>
      <c r="AK64" s="335">
        <f t="shared" si="27"/>
        <v>-5.9925831220724045E-11</v>
      </c>
      <c r="AL64" s="335">
        <f t="shared" si="27"/>
        <v>-2.8590783423077639E-10</v>
      </c>
      <c r="AM64" s="335">
        <f t="shared" si="27"/>
        <v>-8.9620577146165141E-11</v>
      </c>
      <c r="AN64" s="335">
        <f t="shared" si="27"/>
        <v>-1.5499738895046596E-10</v>
      </c>
    </row>
    <row r="65" spans="1:41" x14ac:dyDescent="0.25">
      <c r="A65" s="27" t="s">
        <v>1030</v>
      </c>
      <c r="B65" s="587">
        <f>IF((Parameters!$E$22-Parameters!$F$22*MIN(STP!B10,Parameters!$C$12))*B46-B57&lt;0,0,(Parameters!$E$22-Parameters!$F$22*MIN(STP!B10,Parameters!$C$12))*B46-B57)</f>
        <v>0</v>
      </c>
      <c r="C65" s="587">
        <f>IF((Parameters!$E$22-Parameters!$F$22*MIN(STP!C10,Parameters!$C$12))*C46-C57&lt;0,0,(Parameters!$E$22-Parameters!$F$22*MIN(STP!C10,Parameters!$C$12))*C46-C57)</f>
        <v>0</v>
      </c>
      <c r="D65" s="587">
        <f>IF((Parameters!$E$22-Parameters!$F$22*MIN(STP!D10,Parameters!$C$12))*D46-D57&lt;0,0,(Parameters!$E$22-Parameters!$F$22*MIN(STP!D10,Parameters!$C$12))*D46-D57)</f>
        <v>0</v>
      </c>
      <c r="E65" s="587">
        <f>IF((Parameters!$E$22-Parameters!$F$22*MIN(STP!E10,Parameters!$C$12))*E46-E57&lt;0,0,(Parameters!$E$22-Parameters!$F$22*MIN(STP!E10,Parameters!$C$12))*E46-E57)</f>
        <v>0</v>
      </c>
      <c r="F65" s="587">
        <f>IF((Parameters!$E$22-Parameters!$F$22*MIN(STP!F10,Parameters!$C$12))*F46-F57&lt;0,0,(Parameters!$E$22-Parameters!$F$22*MIN(STP!F10,Parameters!$C$12))*F46-F57)</f>
        <v>51.455957953073714</v>
      </c>
      <c r="G65" s="587">
        <f>IF((Parameters!$E$22-Parameters!$F$22*MIN(STP!G10,Parameters!$C$12))*G46-G57&lt;0,0,(Parameters!$E$22-Parameters!$F$22*MIN(STP!G10,Parameters!$C$12))*G46-G57)</f>
        <v>0</v>
      </c>
      <c r="H65" s="587">
        <f>IF((Parameters!$E$22-Parameters!$F$22*MIN(STP!H10,Parameters!$C$12))*H46-H57&lt;0,0,(Parameters!$E$22-Parameters!$F$22*MIN(STP!H10,Parameters!$C$12))*H46-H57)</f>
        <v>0</v>
      </c>
      <c r="I65" s="587">
        <f>IF((Parameters!$E$22-Parameters!$F$22*MIN(STP!I10,Parameters!$C$12))*I46-I57&lt;0,0,(Parameters!$E$22-Parameters!$F$22*MIN(STP!I10,Parameters!$C$12))*I46-I57)</f>
        <v>36.735075248816472</v>
      </c>
      <c r="J65" s="587">
        <f>IF((Parameters!$E$22-Parameters!$F$22*MIN(STP!J10,Parameters!$C$12))*J46-J57&lt;0,0,(Parameters!$E$22-Parameters!$F$22*MIN(STP!J10,Parameters!$C$12))*J46-J57)</f>
        <v>5.8971752924169412</v>
      </c>
      <c r="K65" s="587">
        <f>IF((Parameters!$E$22-Parameters!$F$22*MIN(STP!K10,Parameters!$C$12))*K46-K57&lt;0,0,(Parameters!$E$22-Parameters!$F$22*MIN(STP!K10,Parameters!$C$12))*K46-K57)</f>
        <v>12.800901452832724</v>
      </c>
      <c r="L65" s="587">
        <f>IF((Parameters!$E$22-Parameters!$F$22*MIN(STP!L10,Parameters!$C$12))*L46-L57&lt;0,0,(Parameters!$E$22-Parameters!$F$22*MIN(STP!L10,Parameters!$C$12))*L46-L57)</f>
        <v>0</v>
      </c>
      <c r="M65" s="587">
        <f>IF((Parameters!$E$22-Parameters!$F$22*MIN(STP!M10,Parameters!$C$12))*M46-M57&lt;0,0,(Parameters!$E$22-Parameters!$F$22*MIN(STP!M10,Parameters!$C$12))*M46-M57)</f>
        <v>0</v>
      </c>
      <c r="N65" s="587">
        <f>IF((Parameters!$E$22-Parameters!$F$22*MIN(STP!N10,Parameters!$C$12))*N46-N57&lt;0,0,(Parameters!$E$22-Parameters!$F$22*MIN(STP!N10,Parameters!$C$12))*N46-N57)</f>
        <v>39.168556169115099</v>
      </c>
      <c r="O65" s="587">
        <f>IF((Parameters!$E$22-Parameters!$F$22*MIN(STP!O10,Parameters!$C$12))*O46-O57&lt;0,0,(Parameters!$E$22-Parameters!$F$22*MIN(STP!O10,Parameters!$C$12))*O46-O57)</f>
        <v>30.518853833357966</v>
      </c>
      <c r="P65" s="587">
        <f>IF((Parameters!$E$22-Parameters!$F$22*MIN(STP!P10,Parameters!$C$12))*P46-P57&lt;0,0,(Parameters!$E$22-Parameters!$F$22*MIN(STP!P10,Parameters!$C$12))*P46-P57)</f>
        <v>18.897541084204867</v>
      </c>
      <c r="Q65" s="587">
        <f>IF((Parameters!$E$22-Parameters!$F$22*MIN(STP!Q10,Parameters!$C$12))*Q46-Q57&lt;0,0,(Parameters!$E$22-Parameters!$F$22*MIN(STP!Q10,Parameters!$C$12))*Q46-Q57)</f>
        <v>22.180735337734937</v>
      </c>
      <c r="R65" s="587">
        <f>IF((Parameters!$E$22-Parameters!$F$22*MIN(STP!R10,Parameters!$C$12))*R46-R57&lt;0,0,(Parameters!$E$22-Parameters!$F$22*MIN(STP!R10,Parameters!$C$12))*R46-R57)</f>
        <v>0</v>
      </c>
      <c r="S65" s="587">
        <f>IF((Parameters!$E$22-Parameters!$F$22*MIN(STP!S10,Parameters!$C$12))*S46-S57&lt;0,0,(Parameters!$E$22-Parameters!$F$22*MIN(STP!S10,Parameters!$C$12))*S46-S57)</f>
        <v>0</v>
      </c>
      <c r="T65" s="587">
        <f>IF((Parameters!$E$22-Parameters!$F$22*MIN(STP!T10,Parameters!$C$12))*T46-T57&lt;0,0,(Parameters!$E$22-Parameters!$F$22*MIN(STP!T10,Parameters!$C$12))*T46-T57)</f>
        <v>0</v>
      </c>
      <c r="U65" s="587">
        <f>IF((Parameters!$E$22-Parameters!$F$22*MIN(STP!U10,Parameters!$C$12))*U46-U57&lt;0,0,(Parameters!$E$22-Parameters!$F$22*MIN(STP!U10,Parameters!$C$12))*U46-U57)</f>
        <v>0</v>
      </c>
      <c r="V65" s="587">
        <f>IF((Parameters!$E$22-Parameters!$F$22*MIN(STP!V10,Parameters!$C$12))*V46-V57&lt;0,0,(Parameters!$E$22-Parameters!$F$22*MIN(STP!V10,Parameters!$C$12))*V46-V57)</f>
        <v>50.063773933999997</v>
      </c>
      <c r="W65" s="587">
        <f>IF((Parameters!$E$22-Parameters!$F$22*MIN(STP!W10,Parameters!$C$12))*W46-W57&lt;0,0,(Parameters!$E$22-Parameters!$F$22*MIN(STP!W10,Parameters!$C$12))*W46-W57)</f>
        <v>43.664575224736069</v>
      </c>
      <c r="X65" s="587">
        <f>IF((Parameters!$E$22-Parameters!$F$22*MIN(STP!X10,Parameters!$C$12))*X46-X57&lt;0,0,(Parameters!$E$22-Parameters!$F$22*MIN(STP!X10,Parameters!$C$12))*X46-X57)</f>
        <v>0</v>
      </c>
      <c r="Y65" s="587">
        <f>IF((Parameters!$E$22-Parameters!$F$22*MIN(STP!Y10,Parameters!$C$12))*Y46-Y57&lt;0,0,(Parameters!$E$22-Parameters!$F$22*MIN(STP!Y10,Parameters!$C$12))*Y46-Y57)</f>
        <v>0</v>
      </c>
      <c r="Z65" s="587">
        <f>IF((Parameters!$E$22-Parameters!$F$22*MIN(STP!Z10,Parameters!$C$12))*Z46-Z57&lt;0,0,(Parameters!$E$22-Parameters!$F$22*MIN(STP!Z10,Parameters!$C$12))*Z46-Z57)</f>
        <v>0.30270040606629678</v>
      </c>
      <c r="AA65" s="587">
        <f>IF((Parameters!$E$22-Parameters!$F$22*MIN(STP!AA10,Parameters!$C$12))*AA46-AA57&lt;0,0,(Parameters!$E$22-Parameters!$F$22*MIN(STP!AA10,Parameters!$C$12))*AA46-AA57)</f>
        <v>0</v>
      </c>
      <c r="AB65" s="587">
        <f>IF((Parameters!$E$22-Parameters!$F$22*MIN(STP!AB10,Parameters!$C$12))*AB46-AB57&lt;0,0,(Parameters!$E$22-Parameters!$F$22*MIN(STP!AB10,Parameters!$C$12))*AB46-AB57)</f>
        <v>0</v>
      </c>
      <c r="AC65" s="587">
        <f>IF((Parameters!$E$22-Parameters!$F$22*MIN(STP!AC10,Parameters!$C$12))*AC46-AC57&lt;0,0,(Parameters!$E$22-Parameters!$F$22*MIN(STP!AC10,Parameters!$C$12))*AC46-AC57)</f>
        <v>0</v>
      </c>
      <c r="AD65" s="587">
        <f>IF((Parameters!$E$22-Parameters!$F$22*MIN(STP!AD10,Parameters!$C$12))*AD46-AD57&lt;0,0,(Parameters!$E$22-Parameters!$F$22*MIN(STP!AD10,Parameters!$C$12))*AD46-AD57)</f>
        <v>0</v>
      </c>
      <c r="AE65" s="587">
        <f>IF((Parameters!$E$22-Parameters!$F$22*MIN(STP!AE10,Parameters!$C$12))*AE46-AE57&lt;0,0,(Parameters!$E$22-Parameters!$F$22*MIN(STP!AE10,Parameters!$C$12))*AE46-AE57)</f>
        <v>0</v>
      </c>
      <c r="AF65" s="587">
        <f>IF((Parameters!$E$22-Parameters!$F$22*MIN(STP!AF10,Parameters!$C$12))*AF46-AF57&lt;0,0,(Parameters!$E$22-Parameters!$F$22*MIN(STP!AF10,Parameters!$C$12))*AF46-AF57)</f>
        <v>0</v>
      </c>
      <c r="AG65" s="587">
        <f>IF((Parameters!$E$22-Parameters!$F$22*MIN(STP!AG10,Parameters!$C$12))*AG46-AG57&lt;0,0,(Parameters!$E$22-Parameters!$F$22*MIN(STP!AG10,Parameters!$C$12))*AG46-AG57)</f>
        <v>0</v>
      </c>
      <c r="AH65" s="587">
        <f>IF((Parameters!$E$22-Parameters!$F$22*MIN(STP!AH10,Parameters!$C$12))*AH46-AH57&lt;0,0,(Parameters!$E$22-Parameters!$F$22*MIN(STP!AH10,Parameters!$C$12))*AH46-AH57)</f>
        <v>12.527015023599166</v>
      </c>
      <c r="AI65" s="587">
        <f>IF((Parameters!$E$22-Parameters!$F$22*MIN(STP!AI10,Parameters!$C$12))*AI46-AI57&lt;0,0,(Parameters!$E$22-Parameters!$F$22*MIN(STP!AI10,Parameters!$C$12))*AI46-AI57)</f>
        <v>38.474599875492636</v>
      </c>
      <c r="AJ65" s="587">
        <f>IF((Parameters!$E$22-Parameters!$F$22*MIN(STP!AJ10,Parameters!$C$12))*AJ46-AJ57&lt;0,0,(Parameters!$E$22-Parameters!$F$22*MIN(STP!AJ10,Parameters!$C$12))*AJ46-AJ57)</f>
        <v>37.910553333399875</v>
      </c>
      <c r="AK65" s="587">
        <f>IF((Parameters!$E$22-Parameters!$F$22*MIN(STP!AK10,Parameters!$C$12))*AK46-AK57&lt;0,0,(Parameters!$E$22-Parameters!$F$22*MIN(STP!AK10,Parameters!$C$12))*AK46-AK57)</f>
        <v>14.200453566025903</v>
      </c>
      <c r="AL65" s="587">
        <f>IF((Parameters!$E$22-Parameters!$F$22*MIN(STP!AL10,Parameters!$C$12))*AL46-AL57&lt;0,0,(Parameters!$E$22-Parameters!$F$22*MIN(STP!AL10,Parameters!$C$12))*AL46-AL57)</f>
        <v>32.502085264110534</v>
      </c>
      <c r="AM65" s="587">
        <f>IF((Parameters!$E$22-Parameters!$F$22*MIN(STP!AM10,Parameters!$C$12))*AM46-AM57&lt;0,0,(Parameters!$E$22-Parameters!$F$22*MIN(STP!AM10,Parameters!$C$12))*AM46-AM57)</f>
        <v>0</v>
      </c>
      <c r="AN65" s="587">
        <f>IF((Parameters!$E$22-Parameters!$F$22*MIN(STP!AN10,Parameters!$C$12))*AN46-AN57&lt;0,0,(Parameters!$E$22-Parameters!$F$22*MIN(STP!AN10,Parameters!$C$12))*AN46-AN57)</f>
        <v>3.1268331973461621</v>
      </c>
    </row>
    <row r="66" spans="1:41" x14ac:dyDescent="0.25">
      <c r="A66" s="27" t="s">
        <v>623</v>
      </c>
      <c r="B66" s="587">
        <f>IF((Parameters!$E$23-Parameters!$F$23*MIN(STP!B10,Parameters!$C$12))*B47&lt;0,0,(Parameters!$E$23-Parameters!$F$23*MIN(STP!B10,Parameters!$C$12))*B47)</f>
        <v>1.5169625525895334</v>
      </c>
      <c r="C66" s="587">
        <f>IF((Parameters!$E$23-Parameters!$F$23*MIN(STP!C10,Parameters!$C$12))*C47&lt;0,0,(Parameters!$E$23-Parameters!$F$23*MIN(STP!C10,Parameters!$C$12))*C47)</f>
        <v>4.6593527230453251</v>
      </c>
      <c r="D66" s="587">
        <f>IF((Parameters!$E$23-Parameters!$F$23*MIN(STP!D10,Parameters!$C$12))*D47&lt;0,0,(Parameters!$E$23-Parameters!$F$23*MIN(STP!D10,Parameters!$C$12))*D47)</f>
        <v>0</v>
      </c>
      <c r="E66" s="587">
        <f>IF((Parameters!$E$23-Parameters!$F$23*MIN(STP!E10,Parameters!$C$12))*E47&lt;0,0,(Parameters!$E$23-Parameters!$F$23*MIN(STP!E10,Parameters!$C$12))*E47)</f>
        <v>0</v>
      </c>
      <c r="F66" s="587">
        <f>IF((Parameters!$E$23-Parameters!$F$23*MIN(STP!F10,Parameters!$C$12))*F47&lt;0,0,(Parameters!$E$23-Parameters!$F$23*MIN(STP!F10,Parameters!$C$12))*F47)</f>
        <v>18.930628216215773</v>
      </c>
      <c r="G66" s="587">
        <f>IF((Parameters!$E$23-Parameters!$F$23*MIN(STP!G10,Parameters!$C$12))*G47&lt;0,0,(Parameters!$E$23-Parameters!$F$23*MIN(STP!G10,Parameters!$C$12))*G47)</f>
        <v>9.1217047062792371</v>
      </c>
      <c r="H66" s="587">
        <f>IF((Parameters!$E$23-Parameters!$F$23*MIN(STP!H10,Parameters!$C$12))*H47&lt;0,0,(Parameters!$E$23-Parameters!$F$23*MIN(STP!H10,Parameters!$C$12))*H47)</f>
        <v>1.3439558027524132</v>
      </c>
      <c r="I66" s="587">
        <f>IF((Parameters!$E$23-Parameters!$F$23*MIN(STP!I10,Parameters!$C$12))*I47&lt;0,0,(Parameters!$E$23-Parameters!$F$23*MIN(STP!I10,Parameters!$C$12))*I47)</f>
        <v>19.635418160585889</v>
      </c>
      <c r="J66" s="587">
        <f>IF((Parameters!$E$23-Parameters!$F$23*MIN(STP!J10,Parameters!$C$12))*J47&lt;0,0,(Parameters!$E$23-Parameters!$F$23*MIN(STP!J10,Parameters!$C$12))*J47)</f>
        <v>9.4166907473199846</v>
      </c>
      <c r="K66" s="587">
        <f>IF((Parameters!$E$23-Parameters!$F$23*MIN(STP!K10,Parameters!$C$12))*K47&lt;0,0,(Parameters!$E$23-Parameters!$F$23*MIN(STP!K10,Parameters!$C$12))*K47)</f>
        <v>13.096022241757986</v>
      </c>
      <c r="L66" s="587">
        <f>IF((Parameters!$E$23-Parameters!$F$23*MIN(STP!L10,Parameters!$C$12))*L47&lt;0,0,(Parameters!$E$23-Parameters!$F$23*MIN(STP!L10,Parameters!$C$12))*L47)</f>
        <v>10.813222969096607</v>
      </c>
      <c r="M66" s="587">
        <f>IF((Parameters!$E$23-Parameters!$F$23*MIN(STP!M10,Parameters!$C$12))*M47&lt;0,0,(Parameters!$E$23-Parameters!$F$23*MIN(STP!M10,Parameters!$C$12))*M47)</f>
        <v>2.1737786068010188</v>
      </c>
      <c r="N66" s="587">
        <f>IF((Parameters!$E$23-Parameters!$F$23*MIN(STP!N10,Parameters!$C$12))*N47&lt;0,0,(Parameters!$E$23-Parameters!$F$23*MIN(STP!N10,Parameters!$C$12))*N47)</f>
        <v>12.181646955285551</v>
      </c>
      <c r="O66" s="587">
        <f>IF((Parameters!$E$23-Parameters!$F$23*MIN(STP!O10,Parameters!$C$12))*O47&lt;0,0,(Parameters!$E$23-Parameters!$F$23*MIN(STP!O10,Parameters!$C$12))*O47)</f>
        <v>22.991573731362546</v>
      </c>
      <c r="P66" s="587">
        <f>IF((Parameters!$E$23-Parameters!$F$23*MIN(STP!P10,Parameters!$C$12))*P47&lt;0,0,(Parameters!$E$23-Parameters!$F$23*MIN(STP!P10,Parameters!$C$12))*P47)</f>
        <v>0.17772682793011113</v>
      </c>
      <c r="Q66" s="587">
        <f>IF((Parameters!$E$23-Parameters!$F$23*MIN(STP!Q10,Parameters!$C$12))*Q47&lt;0,0,(Parameters!$E$23-Parameters!$F$23*MIN(STP!Q10,Parameters!$C$12))*Q47)</f>
        <v>20.954585894206058</v>
      </c>
      <c r="R66" s="587">
        <f>IF((Parameters!$E$23-Parameters!$F$23*MIN(STP!R10,Parameters!$C$12))*R47&lt;0,0,(Parameters!$E$23-Parameters!$F$23*MIN(STP!R10,Parameters!$C$12))*R47)</f>
        <v>4.8181385558451417</v>
      </c>
      <c r="S66" s="587">
        <f>IF((Parameters!$E$23-Parameters!$F$23*MIN(STP!S10,Parameters!$C$12))*S47&lt;0,0,(Parameters!$E$23-Parameters!$F$23*MIN(STP!S10,Parameters!$C$12))*S47)</f>
        <v>5.7201831491210733</v>
      </c>
      <c r="T66" s="587">
        <f>IF((Parameters!$E$23-Parameters!$F$23*MIN(STP!T10,Parameters!$C$12))*T47&lt;0,0,(Parameters!$E$23-Parameters!$F$23*MIN(STP!T10,Parameters!$C$12))*T47)</f>
        <v>5.342928729941506</v>
      </c>
      <c r="U66" s="587">
        <f>IF((Parameters!$E$23-Parameters!$F$23*MIN(STP!U10,Parameters!$C$12))*U47&lt;0,0,(Parameters!$E$23-Parameters!$F$23*MIN(STP!U10,Parameters!$C$12))*U47)</f>
        <v>17.663540618945866</v>
      </c>
      <c r="V66" s="587">
        <f>IF((Parameters!$E$23-Parameters!$F$23*MIN(STP!V10,Parameters!$C$12))*V47&lt;0,0,(Parameters!$E$23-Parameters!$F$23*MIN(STP!V10,Parameters!$C$12))*V47)</f>
        <v>2.3633537212187382E-2</v>
      </c>
      <c r="W66" s="587">
        <f>IF((Parameters!$E$23-Parameters!$F$23*MIN(STP!W10,Parameters!$C$12))*W47&lt;0,0,(Parameters!$E$23-Parameters!$F$23*MIN(STP!W10,Parameters!$C$12))*W47)</f>
        <v>23.906410566279259</v>
      </c>
      <c r="X66" s="587">
        <f>IF((Parameters!$E$23-Parameters!$F$23*MIN(STP!X10,Parameters!$C$12))*X47&lt;0,0,(Parameters!$E$23-Parameters!$F$23*MIN(STP!X10,Parameters!$C$12))*X47)</f>
        <v>15.182742890113909</v>
      </c>
      <c r="Y66" s="587">
        <f>IF((Parameters!$E$23-Parameters!$F$23*MIN(STP!Y10,Parameters!$C$12))*Y47&lt;0,0,(Parameters!$E$23-Parameters!$F$23*MIN(STP!Y10,Parameters!$C$12))*Y47)</f>
        <v>1.0633789719490867E-2</v>
      </c>
      <c r="Z66" s="587">
        <f>IF((Parameters!$E$23-Parameters!$F$23*MIN(STP!Z10,Parameters!$C$12))*Z47&lt;0,0,(Parameters!$E$23-Parameters!$F$23*MIN(STP!Z10,Parameters!$C$12))*Z47)</f>
        <v>7.2858459838203231</v>
      </c>
      <c r="AA66" s="587">
        <f>IF((Parameters!$E$23-Parameters!$F$23*MIN(STP!AA10,Parameters!$C$12))*AA47&lt;0,0,(Parameters!$E$23-Parameters!$F$23*MIN(STP!AA10,Parameters!$C$12))*AA47)</f>
        <v>6.5103113331681044</v>
      </c>
      <c r="AB66" s="587">
        <f>IF((Parameters!$E$23-Parameters!$F$23*MIN(STP!AB10,Parameters!$C$12))*AB47&lt;0,0,(Parameters!$E$23-Parameters!$F$23*MIN(STP!AB10,Parameters!$C$12))*AB47)</f>
        <v>8.8523542071807011</v>
      </c>
      <c r="AC66" s="587">
        <f>IF((Parameters!$E$23-Parameters!$F$23*MIN(STP!AC10,Parameters!$C$12))*AC47&lt;0,0,(Parameters!$E$23-Parameters!$F$23*MIN(STP!AC10,Parameters!$C$12))*AC47)</f>
        <v>1.0340133078142622</v>
      </c>
      <c r="AD66" s="587">
        <f>IF((Parameters!$E$23-Parameters!$F$23*MIN(STP!AD10,Parameters!$C$12))*AD47&lt;0,0,(Parameters!$E$23-Parameters!$F$23*MIN(STP!AD10,Parameters!$C$12))*AD47)</f>
        <v>6.0631235219362729</v>
      </c>
      <c r="AE66" s="587">
        <f>IF((Parameters!$E$23-Parameters!$F$23*MIN(STP!AE10,Parameters!$C$12))*AE47&lt;0,0,(Parameters!$E$23-Parameters!$F$23*MIN(STP!AE10,Parameters!$C$12))*AE47)</f>
        <v>4.9187889597337655</v>
      </c>
      <c r="AF66" s="587">
        <f>IF((Parameters!$E$23-Parameters!$F$23*MIN(STP!AF10,Parameters!$C$12))*AF47&lt;0,0,(Parameters!$E$23-Parameters!$F$23*MIN(STP!AF10,Parameters!$C$12))*AF47)</f>
        <v>1.9139894173382468</v>
      </c>
      <c r="AG66" s="587">
        <f>IF((Parameters!$E$23-Parameters!$F$23*MIN(STP!AG10,Parameters!$C$12))*AG47&lt;0,0,(Parameters!$E$23-Parameters!$F$23*MIN(STP!AG10,Parameters!$C$12))*AG47)</f>
        <v>0</v>
      </c>
      <c r="AH66" s="587">
        <f>IF((Parameters!$E$23-Parameters!$F$23*MIN(STP!AH10,Parameters!$C$12))*AH47&lt;0,0,(Parameters!$E$23-Parameters!$F$23*MIN(STP!AH10,Parameters!$C$12))*AH47)</f>
        <v>14.929701527169298</v>
      </c>
      <c r="AI66" s="587">
        <f>IF((Parameters!$E$23-Parameters!$F$23*MIN(STP!AI10,Parameters!$C$12))*AI47&lt;0,0,(Parameters!$E$23-Parameters!$F$23*MIN(STP!AI10,Parameters!$C$12))*AI47)</f>
        <v>30.006105719940244</v>
      </c>
      <c r="AJ66" s="587">
        <f>IF((Parameters!$E$23-Parameters!$F$23*MIN(STP!AJ10,Parameters!$C$12))*AJ47&lt;0,0,(Parameters!$E$23-Parameters!$F$23*MIN(STP!AJ10,Parameters!$C$12))*AJ47)</f>
        <v>20.49244086518215</v>
      </c>
      <c r="AK66" s="587">
        <f>IF((Parameters!$E$23-Parameters!$F$23*MIN(STP!AK10,Parameters!$C$12))*AK47&lt;0,0,(Parameters!$E$23-Parameters!$F$23*MIN(STP!AK10,Parameters!$C$12))*AK47)</f>
        <v>0.74106405480376381</v>
      </c>
      <c r="AL66" s="587">
        <f>IF((Parameters!$E$23-Parameters!$F$23*MIN(STP!AL10,Parameters!$C$12))*AL47&lt;0,0,(Parameters!$E$23-Parameters!$F$23*MIN(STP!AL10,Parameters!$C$12))*AL47)</f>
        <v>20.575838742841484</v>
      </c>
      <c r="AM66" s="587">
        <f>IF((Parameters!$E$23-Parameters!$F$23*MIN(STP!AM10,Parameters!$C$12))*AM47&lt;0,0,(Parameters!$E$23-Parameters!$F$23*MIN(STP!AM10,Parameters!$C$12))*AM47)</f>
        <v>3.5688834979301971</v>
      </c>
      <c r="AN66" s="587">
        <f>IF((Parameters!$E$23-Parameters!$F$23*MIN(STP!AN10,Parameters!$C$12))*AN47&lt;0,0,(Parameters!$E$23-Parameters!$F$23*MIN(STP!AN10,Parameters!$C$12))*AN47)</f>
        <v>6.3029164716117556</v>
      </c>
    </row>
    <row r="67" spans="1:41" x14ac:dyDescent="0.25">
      <c r="A67" s="27" t="s">
        <v>624</v>
      </c>
      <c r="B67" s="587">
        <f>IF((Parameters!$E$24-Parameters!$F$24*MIN(STP!B10,Parameters!$C$12))*B48&lt;0,0,(Parameters!$E$24-Parameters!$F$24*MIN(STP!B10,Parameters!$C$12))*B48)</f>
        <v>6.3188925253552357</v>
      </c>
      <c r="C67" s="587">
        <f>IF((Parameters!$E$24-Parameters!$F$24*MIN(STP!C10,Parameters!$C$12))*C48&lt;0,0,(Parameters!$E$24-Parameters!$F$24*MIN(STP!C10,Parameters!$C$12))*C48)</f>
        <v>11.322627857578764</v>
      </c>
      <c r="D67" s="587">
        <f>IF((Parameters!$E$24-Parameters!$F$24*MIN(STP!D10,Parameters!$C$12))*D48&lt;0,0,(Parameters!$E$24-Parameters!$F$24*MIN(STP!D10,Parameters!$C$12))*D48)</f>
        <v>16.618879847081402</v>
      </c>
      <c r="E67" s="587">
        <f>IF((Parameters!$E$24-Parameters!$F$24*MIN(STP!E10,Parameters!$C$12))*E48&lt;0,0,(Parameters!$E$24-Parameters!$F$24*MIN(STP!E10,Parameters!$C$12))*E48)</f>
        <v>0</v>
      </c>
      <c r="F67" s="587">
        <f>IF((Parameters!$E$24-Parameters!$F$24*MIN(STP!F10,Parameters!$C$12))*F48&lt;0,0,(Parameters!$E$24-Parameters!$F$24*MIN(STP!F10,Parameters!$C$12))*F48)</f>
        <v>49.094279075826414</v>
      </c>
      <c r="G67" s="587">
        <f>IF((Parameters!$E$24-Parameters!$F$24*MIN(STP!G10,Parameters!$C$12))*G48&lt;0,0,(Parameters!$E$24-Parameters!$F$24*MIN(STP!G10,Parameters!$C$12))*G48)</f>
        <v>17.733370284196745</v>
      </c>
      <c r="H67" s="587">
        <f>IF((Parameters!$E$24-Parameters!$F$24*MIN(STP!H10,Parameters!$C$12))*H48&lt;0,0,(Parameters!$E$24-Parameters!$F$24*MIN(STP!H10,Parameters!$C$12))*H48)</f>
        <v>6.0434094999233388</v>
      </c>
      <c r="I67" s="587">
        <f>IF((Parameters!$E$24-Parameters!$F$24*MIN(STP!I10,Parameters!$C$12))*I48&lt;0,0,(Parameters!$E$24-Parameters!$F$24*MIN(STP!I10,Parameters!$C$12))*I48)</f>
        <v>35.512966212046415</v>
      </c>
      <c r="J67" s="587">
        <f>IF((Parameters!$E$24-Parameters!$F$24*MIN(STP!J10,Parameters!$C$12))*J48&lt;0,0,(Parameters!$E$24-Parameters!$F$24*MIN(STP!J10,Parameters!$C$12))*J48)</f>
        <v>15.342420527952644</v>
      </c>
      <c r="K67" s="587">
        <f>IF((Parameters!$E$24-Parameters!$F$24*MIN(STP!K10,Parameters!$C$12))*K48&lt;0,0,(Parameters!$E$24-Parameters!$F$24*MIN(STP!K10,Parameters!$C$12))*K48)</f>
        <v>17.204342013727612</v>
      </c>
      <c r="L67" s="587">
        <f>IF((Parameters!$E$24-Parameters!$F$24*MIN(STP!L10,Parameters!$C$12))*L48&lt;0,0,(Parameters!$E$24-Parameters!$F$24*MIN(STP!L10,Parameters!$C$12))*L48)</f>
        <v>10.378244357558275</v>
      </c>
      <c r="M67" s="587">
        <f>IF((Parameters!$E$24-Parameters!$F$24*MIN(STP!M10,Parameters!$C$12))*M48&lt;0,0,(Parameters!$E$24-Parameters!$F$24*MIN(STP!M10,Parameters!$C$12))*M48)</f>
        <v>4.642983729695394</v>
      </c>
      <c r="N67" s="587">
        <f>IF((Parameters!$E$24-Parameters!$F$24*MIN(STP!N10,Parameters!$C$12))*N48&lt;0,0,(Parameters!$E$24-Parameters!$F$24*MIN(STP!N10,Parameters!$C$12))*N48)</f>
        <v>53.945963093145544</v>
      </c>
      <c r="O67" s="587">
        <f>IF((Parameters!$E$24-Parameters!$F$24*MIN(STP!O10,Parameters!$C$12))*O48&lt;0,0,(Parameters!$E$24-Parameters!$F$24*MIN(STP!O10,Parameters!$C$12))*O48)</f>
        <v>34.045205250744367</v>
      </c>
      <c r="P67" s="587">
        <f>IF((Parameters!$E$24-Parameters!$F$24*MIN(STP!P10,Parameters!$C$12))*P48&lt;0,0,(Parameters!$E$24-Parameters!$F$24*MIN(STP!P10,Parameters!$C$12))*P48)</f>
        <v>30.571617878423137</v>
      </c>
      <c r="Q67" s="587">
        <f>IF((Parameters!$E$24-Parameters!$F$24*MIN(STP!Q10,Parameters!$C$12))*Q48&lt;0,0,(Parameters!$E$24-Parameters!$F$24*MIN(STP!Q10,Parameters!$C$12))*Q48)</f>
        <v>23.495921527236291</v>
      </c>
      <c r="R67" s="587">
        <f>IF((Parameters!$E$24-Parameters!$F$24*MIN(STP!R10,Parameters!$C$12))*R48&lt;0,0,(Parameters!$E$24-Parameters!$F$24*MIN(STP!R10,Parameters!$C$12))*R48)</f>
        <v>11.707564948263418</v>
      </c>
      <c r="S67" s="587">
        <f>IF((Parameters!$E$24-Parameters!$F$24*MIN(STP!S10,Parameters!$C$12))*S48&lt;0,0,(Parameters!$E$24-Parameters!$F$24*MIN(STP!S10,Parameters!$C$12))*S48)</f>
        <v>10.69004308142283</v>
      </c>
      <c r="T67" s="587">
        <f>IF((Parameters!$E$24-Parameters!$F$24*MIN(STP!T10,Parameters!$C$12))*T48&lt;0,0,(Parameters!$E$24-Parameters!$F$24*MIN(STP!T10,Parameters!$C$12))*T48)</f>
        <v>10.532060056323408</v>
      </c>
      <c r="U67" s="587">
        <f>IF((Parameters!$E$24-Parameters!$F$24*MIN(STP!U10,Parameters!$C$12))*U48&lt;0,0,(Parameters!$E$24-Parameters!$F$24*MIN(STP!U10,Parameters!$C$12))*U48)</f>
        <v>16.041795974910677</v>
      </c>
      <c r="V67" s="587">
        <f>IF((Parameters!$E$24-Parameters!$F$24*MIN(STP!V10,Parameters!$C$12))*V48&lt;0,0,(Parameters!$E$24-Parameters!$F$24*MIN(STP!V10,Parameters!$C$12))*V48)</f>
        <v>44.336681207656788</v>
      </c>
      <c r="W67" s="587">
        <f>IF((Parameters!$E$24-Parameters!$F$24*MIN(STP!W10,Parameters!$C$12))*W48&lt;0,0,(Parameters!$E$24-Parameters!$F$24*MIN(STP!W10,Parameters!$C$12))*W48)</f>
        <v>31.750863334744956</v>
      </c>
      <c r="X67" s="587">
        <f>IF((Parameters!$E$24-Parameters!$F$24*MIN(STP!X10,Parameters!$C$12))*X48&lt;0,0,(Parameters!$E$24-Parameters!$F$24*MIN(STP!X10,Parameters!$C$12))*X48)</f>
        <v>13.01878915919187</v>
      </c>
      <c r="Y67" s="587">
        <f>IF((Parameters!$E$24-Parameters!$F$24*MIN(STP!Y10,Parameters!$C$12))*Y48&lt;0,0,(Parameters!$E$24-Parameters!$F$24*MIN(STP!Y10,Parameters!$C$12))*Y48)</f>
        <v>17.485306857784572</v>
      </c>
      <c r="Z67" s="587">
        <f>IF((Parameters!$E$24-Parameters!$F$24*MIN(STP!Z10,Parameters!$C$12))*Z48&lt;0,0,(Parameters!$E$24-Parameters!$F$24*MIN(STP!Z10,Parameters!$C$12))*Z48)</f>
        <v>18.204792199745686</v>
      </c>
      <c r="AA67" s="587">
        <f>IF((Parameters!$E$24-Parameters!$F$24*MIN(STP!AA10,Parameters!$C$12))*AA48&lt;0,0,(Parameters!$E$24-Parameters!$F$24*MIN(STP!AA10,Parameters!$C$12))*AA48)</f>
        <v>14.594367433478203</v>
      </c>
      <c r="AB67" s="587">
        <f>IF((Parameters!$E$24-Parameters!$F$24*MIN(STP!AB10,Parameters!$C$12))*AB48&lt;0,0,(Parameters!$E$24-Parameters!$F$24*MIN(STP!AB10,Parameters!$C$12))*AB48)</f>
        <v>14.21205506933047</v>
      </c>
      <c r="AC67" s="587">
        <f>IF((Parameters!$E$24-Parameters!$F$24*MIN(STP!AC10,Parameters!$C$12))*AC48&lt;0,0,(Parameters!$E$24-Parameters!$F$24*MIN(STP!AC10,Parameters!$C$12))*AC48)</f>
        <v>6.9593250082224571</v>
      </c>
      <c r="AD67" s="587">
        <f>IF((Parameters!$E$24-Parameters!$F$24*MIN(STP!AD10,Parameters!$C$12))*AD48&lt;0,0,(Parameters!$E$24-Parameters!$F$24*MIN(STP!AD10,Parameters!$C$12))*AD48)</f>
        <v>20.489568000956186</v>
      </c>
      <c r="AE67" s="587">
        <f>IF((Parameters!$E$24-Parameters!$F$24*MIN(STP!AE10,Parameters!$C$12))*AE48&lt;0,0,(Parameters!$E$24-Parameters!$F$24*MIN(STP!AE10,Parameters!$C$12))*AE48)</f>
        <v>11.220220115881782</v>
      </c>
      <c r="AF67" s="587">
        <f>IF((Parameters!$E$24-Parameters!$F$24*MIN(STP!AF10,Parameters!$C$12))*AF48&lt;0,0,(Parameters!$E$24-Parameters!$F$24*MIN(STP!AF10,Parameters!$C$12))*AF48)</f>
        <v>8.6657439015747659</v>
      </c>
      <c r="AG67" s="587">
        <f>IF((Parameters!$E$24-Parameters!$F$24*MIN(STP!AG10,Parameters!$C$12))*AG48&lt;0,0,(Parameters!$E$24-Parameters!$F$24*MIN(STP!AG10,Parameters!$C$12))*AG48)</f>
        <v>18.63117079278279</v>
      </c>
      <c r="AH67" s="587">
        <f>IF((Parameters!$E$24-Parameters!$F$24*MIN(STP!AH10,Parameters!$C$12))*AH48&lt;0,0,(Parameters!$E$24-Parameters!$F$24*MIN(STP!AH10,Parameters!$C$12))*AH48)</f>
        <v>24.196059853030309</v>
      </c>
      <c r="AI67" s="587">
        <f>IF((Parameters!$E$24-Parameters!$F$24*MIN(STP!AI10,Parameters!$C$12))*AI48&lt;0,0,(Parameters!$E$24-Parameters!$F$24*MIN(STP!AI10,Parameters!$C$12))*AI48)</f>
        <v>41.410515629937471</v>
      </c>
      <c r="AJ67" s="587">
        <f>IF((Parameters!$E$24-Parameters!$F$24*MIN(STP!AJ10,Parameters!$C$12))*AJ48&lt;0,0,(Parameters!$E$24-Parameters!$F$24*MIN(STP!AJ10,Parameters!$C$12))*AJ48)</f>
        <v>32.466308868312566</v>
      </c>
      <c r="AK67" s="587">
        <f>IF((Parameters!$E$24-Parameters!$F$24*MIN(STP!AK10,Parameters!$C$12))*AK48&lt;0,0,(Parameters!$E$24-Parameters!$F$24*MIN(STP!AK10,Parameters!$C$12))*AK48)</f>
        <v>26.790420100462942</v>
      </c>
      <c r="AL67" s="587">
        <f>IF((Parameters!$E$24-Parameters!$F$24*MIN(STP!AL10,Parameters!$C$12))*AL48&lt;0,0,(Parameters!$E$24-Parameters!$F$24*MIN(STP!AL10,Parameters!$C$12))*AL48)</f>
        <v>36.757931747993304</v>
      </c>
      <c r="AM67" s="587">
        <f>IF((Parameters!$E$24-Parameters!$F$24*MIN(STP!AM10,Parameters!$C$12))*AM48&lt;0,0,(Parameters!$E$24-Parameters!$F$24*MIN(STP!AM10,Parameters!$C$12))*AM48)</f>
        <v>10.883472710817976</v>
      </c>
      <c r="AN67" s="587">
        <f>IF((Parameters!$E$24-Parameters!$F$24*MIN(STP!AN10,Parameters!$C$12))*AN48&lt;0,0,(Parameters!$E$24-Parameters!$F$24*MIN(STP!AN10,Parameters!$C$12))*AN48)</f>
        <v>16.102319516594651</v>
      </c>
    </row>
    <row r="68" spans="1:41" x14ac:dyDescent="0.25">
      <c r="A68" s="27" t="s">
        <v>621</v>
      </c>
      <c r="B68" s="588">
        <f>AVERAGE(B65:B67,B69:B70)</f>
        <v>4.467242258525677</v>
      </c>
      <c r="C68" s="588">
        <f>AVERAGE(C65:C67,C69:C70)</f>
        <v>7.1191446202616815</v>
      </c>
      <c r="D68" s="588">
        <f>AVERAGE(D65:D67,D69:D70)</f>
        <v>6.9682490841667031</v>
      </c>
      <c r="E68" s="588">
        <f t="shared" ref="E68:AN68" si="28">AVERAGE(E65:E67,E69:E70)</f>
        <v>-1.2753686995381487E-15</v>
      </c>
      <c r="F68" s="588">
        <f t="shared" si="28"/>
        <v>40.064787880175864</v>
      </c>
      <c r="G68" s="588">
        <f t="shared" si="28"/>
        <v>15.915556317042501</v>
      </c>
      <c r="H68" s="588">
        <f t="shared" si="28"/>
        <v>4.4809744964421299</v>
      </c>
      <c r="I68" s="588">
        <f t="shared" si="28"/>
        <v>33.159799386953594</v>
      </c>
      <c r="J68" s="588">
        <f t="shared" si="28"/>
        <v>9.9359526632187887</v>
      </c>
      <c r="K68" s="588">
        <f t="shared" si="28"/>
        <v>18.072801755653575</v>
      </c>
      <c r="L68" s="588">
        <f t="shared" si="28"/>
        <v>19.063883604773967</v>
      </c>
      <c r="M68" s="588">
        <f t="shared" si="28"/>
        <v>4.6918716868043742</v>
      </c>
      <c r="N68" s="588">
        <f t="shared" si="28"/>
        <v>37.480128187573115</v>
      </c>
      <c r="O68" s="588">
        <f t="shared" si="28"/>
        <v>33.234343869130178</v>
      </c>
      <c r="P68" s="588">
        <f t="shared" si="28"/>
        <v>19.973228499990917</v>
      </c>
      <c r="Q68" s="588">
        <f t="shared" si="28"/>
        <v>28.026695241177499</v>
      </c>
      <c r="R68" s="588">
        <f t="shared" si="28"/>
        <v>6.9335876348150149</v>
      </c>
      <c r="S68" s="588">
        <f t="shared" si="28"/>
        <v>12.305588398997983</v>
      </c>
      <c r="T68" s="588">
        <f t="shared" si="28"/>
        <v>18.144854634965228</v>
      </c>
      <c r="U68" s="588">
        <f t="shared" si="28"/>
        <v>22.085054583411747</v>
      </c>
      <c r="V68" s="588">
        <f t="shared" si="28"/>
        <v>34.29012768848041</v>
      </c>
      <c r="W68" s="588">
        <f t="shared" si="28"/>
        <v>35.206709983455347</v>
      </c>
      <c r="X68" s="588">
        <f t="shared" si="28"/>
        <v>15.842352247857974</v>
      </c>
      <c r="Y68" s="588">
        <f t="shared" si="28"/>
        <v>7.226134365199842</v>
      </c>
      <c r="Z68" s="588">
        <f t="shared" si="28"/>
        <v>9.1443557152582056</v>
      </c>
      <c r="AA68" s="588">
        <f t="shared" si="28"/>
        <v>13.808663325980433</v>
      </c>
      <c r="AB68" s="588">
        <f t="shared" si="28"/>
        <v>8.5094567841260904</v>
      </c>
      <c r="AC68" s="588">
        <f t="shared" si="28"/>
        <v>4.7478820272723494</v>
      </c>
      <c r="AD68" s="588">
        <f t="shared" si="28"/>
        <v>9.3305296538946045</v>
      </c>
      <c r="AE68" s="588">
        <f t="shared" si="28"/>
        <v>6.5333297833931523</v>
      </c>
      <c r="AF68" s="588">
        <f t="shared" si="28"/>
        <v>5.2705713601430624</v>
      </c>
      <c r="AG68" s="588">
        <f t="shared" si="28"/>
        <v>7.5734317820241106</v>
      </c>
      <c r="AH68" s="588">
        <f t="shared" si="28"/>
        <v>20.051158341865044</v>
      </c>
      <c r="AI68" s="588">
        <f t="shared" si="28"/>
        <v>37.663834325797566</v>
      </c>
      <c r="AJ68" s="588">
        <f t="shared" si="28"/>
        <v>33.550454596105247</v>
      </c>
      <c r="AK68" s="588">
        <f t="shared" si="28"/>
        <v>18.012406714704237</v>
      </c>
      <c r="AL68" s="588">
        <f t="shared" si="28"/>
        <v>33.770451572714521</v>
      </c>
      <c r="AM68" s="588">
        <f t="shared" si="28"/>
        <v>6.0054533806301169</v>
      </c>
      <c r="AN68" s="588">
        <f t="shared" si="28"/>
        <v>14.289799852080137</v>
      </c>
    </row>
    <row r="69" spans="1:41" x14ac:dyDescent="0.25">
      <c r="A69" s="27" t="s">
        <v>620</v>
      </c>
      <c r="B69" s="587">
        <f>IF(STP!B10&gt;Parameters!$M$21,Parameters!$M$26,IF(STP!B10&gt;Parameters!$L$21, Parameters!$L$26, IF(STP!B10&gt;Parameters!$K$21, Parameters!$K$26, Parameters!$J$26)))</f>
        <v>10</v>
      </c>
      <c r="C69" s="587">
        <f>IF(STP!C10&gt;Parameters!$M$21,Parameters!$M$26,IF(STP!C10&gt;Parameters!$L$21, Parameters!$L$26, IF(STP!C10&gt;Parameters!$K$21, Parameters!$K$26, Parameters!$J$26)))</f>
        <v>10</v>
      </c>
      <c r="D69" s="587">
        <f>IF(STP!D10&gt;Parameters!$M$21,Parameters!$M$26,IF(STP!D10&gt;Parameters!$L$21, Parameters!$L$26, IF(STP!D10&gt;Parameters!$K$21, Parameters!$K$26, Parameters!$J$26)))</f>
        <v>10</v>
      </c>
      <c r="E69" s="587">
        <f>IF(STP!E10&gt;Parameters!$M$21,Parameters!$M$26,IF(STP!E10&gt;Parameters!$L$21, Parameters!$L$26, IF(STP!E10&gt;Parameters!$K$21, Parameters!$K$26, Parameters!$J$26)))</f>
        <v>0</v>
      </c>
      <c r="F69" s="587">
        <f>IF(STP!F10&gt;Parameters!$M$21,Parameters!$M$26,IF(STP!F10&gt;Parameters!$L$21, Parameters!$L$26, IF(STP!F10&gt;Parameters!$K$21, Parameters!$K$26, Parameters!$J$26)))</f>
        <v>55</v>
      </c>
      <c r="G69" s="587">
        <f>IF(STP!G10&gt;Parameters!$M$21,Parameters!$M$26,IF(STP!G10&gt;Parameters!$L$21, Parameters!$L$26, IF(STP!G10&gt;Parameters!$K$21, Parameters!$K$26, Parameters!$J$26)))</f>
        <v>35</v>
      </c>
      <c r="H69" s="587">
        <f>IF(STP!H10&gt;Parameters!$M$21,Parameters!$M$26,IF(STP!H10&gt;Parameters!$L$21, Parameters!$L$26, IF(STP!H10&gt;Parameters!$K$21, Parameters!$K$26, Parameters!$J$26)))</f>
        <v>10</v>
      </c>
      <c r="I69" s="587">
        <f>IF(STP!I10&gt;Parameters!$M$21,Parameters!$M$26,IF(STP!I10&gt;Parameters!$L$21, Parameters!$L$26, IF(STP!I10&gt;Parameters!$K$21, Parameters!$K$26, Parameters!$J$26)))</f>
        <v>55</v>
      </c>
      <c r="J69" s="587">
        <f>IF(STP!J10&gt;Parameters!$M$21,Parameters!$M$26,IF(STP!J10&gt;Parameters!$L$21, Parameters!$L$26, IF(STP!J10&gt;Parameters!$K$21, Parameters!$K$26, Parameters!$J$26)))</f>
        <v>10</v>
      </c>
      <c r="K69" s="587">
        <f>IF(STP!K10&gt;Parameters!$M$21,Parameters!$M$26,IF(STP!K10&gt;Parameters!$L$21, Parameters!$L$26, IF(STP!K10&gt;Parameters!$K$21, Parameters!$K$26, Parameters!$J$26)))</f>
        <v>35</v>
      </c>
      <c r="L69" s="587">
        <f>IF(STP!L10&gt;Parameters!$M$21,Parameters!$M$26,IF(STP!L10&gt;Parameters!$L$21, Parameters!$L$26, IF(STP!L10&gt;Parameters!$K$21, Parameters!$K$26, Parameters!$J$26)))</f>
        <v>55</v>
      </c>
      <c r="M69" s="587">
        <f>IF(STP!M10&gt;Parameters!$M$21,Parameters!$M$26,IF(STP!M10&gt;Parameters!$L$21, Parameters!$L$26, IF(STP!M10&gt;Parameters!$K$21, Parameters!$K$26, Parameters!$J$26)))</f>
        <v>10</v>
      </c>
      <c r="N69" s="587">
        <f>IF(STP!N10&gt;Parameters!$M$21,Parameters!$M$26,IF(STP!N10&gt;Parameters!$L$21, Parameters!$L$26, IF(STP!N10&gt;Parameters!$K$21, Parameters!$K$26, Parameters!$J$26)))</f>
        <v>55</v>
      </c>
      <c r="O69" s="587">
        <f>IF(STP!O10&gt;Parameters!$M$21,Parameters!$M$26,IF(STP!O10&gt;Parameters!$L$21, Parameters!$L$26, IF(STP!O10&gt;Parameters!$K$21, Parameters!$K$26, Parameters!$J$26)))</f>
        <v>55</v>
      </c>
      <c r="P69" s="587">
        <f>IF(STP!P10&gt;Parameters!$M$21,Parameters!$M$26,IF(STP!P10&gt;Parameters!$L$21, Parameters!$L$26, IF(STP!P10&gt;Parameters!$K$21, Parameters!$K$26, Parameters!$J$26)))</f>
        <v>35</v>
      </c>
      <c r="Q69" s="587">
        <f>IF(STP!Q10&gt;Parameters!$M$21,Parameters!$M$26,IF(STP!Q10&gt;Parameters!$L$21, Parameters!$L$26, IF(STP!Q10&gt;Parameters!$K$21, Parameters!$K$26, Parameters!$J$26)))</f>
        <v>55</v>
      </c>
      <c r="R69" s="587">
        <f>IF(STP!R10&gt;Parameters!$M$21,Parameters!$M$26,IF(STP!R10&gt;Parameters!$L$21, Parameters!$L$26, IF(STP!R10&gt;Parameters!$K$21, Parameters!$K$26, Parameters!$J$26)))</f>
        <v>10</v>
      </c>
      <c r="S69" s="587">
        <f>IF(STP!S10&gt;Parameters!$M$21,Parameters!$M$26,IF(STP!S10&gt;Parameters!$L$21, Parameters!$L$26, IF(STP!S10&gt;Parameters!$K$21, Parameters!$K$26, Parameters!$J$26)))</f>
        <v>35</v>
      </c>
      <c r="T69" s="587">
        <f>IF(STP!T10&gt;Parameters!$M$21,Parameters!$M$26,IF(STP!T10&gt;Parameters!$L$21, Parameters!$L$26, IF(STP!T10&gt;Parameters!$K$21, Parameters!$K$26, Parameters!$J$26)))</f>
        <v>55</v>
      </c>
      <c r="U69" s="587">
        <f>IF(STP!U10&gt;Parameters!$M$21,Parameters!$M$26,IF(STP!U10&gt;Parameters!$L$21, Parameters!$L$26, IF(STP!U10&gt;Parameters!$K$21, Parameters!$K$26, Parameters!$J$26)))</f>
        <v>55</v>
      </c>
      <c r="V69" s="587">
        <f>IF(STP!V10&gt;Parameters!$M$21,Parameters!$M$26,IF(STP!V10&gt;Parameters!$L$21, Parameters!$L$26, IF(STP!V10&gt;Parameters!$K$21, Parameters!$K$26, Parameters!$J$26)))</f>
        <v>55</v>
      </c>
      <c r="W69" s="587">
        <f>IF(STP!W10&gt;Parameters!$M$21,Parameters!$M$26,IF(STP!W10&gt;Parameters!$L$21, Parameters!$L$26, IF(STP!W10&gt;Parameters!$K$21, Parameters!$K$26, Parameters!$J$26)))</f>
        <v>55</v>
      </c>
      <c r="X69" s="587">
        <f>IF(STP!X10&gt;Parameters!$M$21,Parameters!$M$26,IF(STP!X10&gt;Parameters!$L$21, Parameters!$L$26, IF(STP!X10&gt;Parameters!$K$21, Parameters!$K$26, Parameters!$J$26)))</f>
        <v>35</v>
      </c>
      <c r="Y69" s="587">
        <f>IF(STP!Y10&gt;Parameters!$M$21,Parameters!$M$26,IF(STP!Y10&gt;Parameters!$L$21, Parameters!$L$26, IF(STP!Y10&gt;Parameters!$K$21, Parameters!$K$26, Parameters!$J$26)))</f>
        <v>10</v>
      </c>
      <c r="Z69" s="587">
        <f>IF(STP!Z10&gt;Parameters!$M$21,Parameters!$M$26,IF(STP!Z10&gt;Parameters!$L$21, Parameters!$L$26, IF(STP!Z10&gt;Parameters!$K$21, Parameters!$K$26, Parameters!$J$26)))</f>
        <v>10</v>
      </c>
      <c r="AA69" s="587">
        <f>IF(STP!AA10&gt;Parameters!$M$21,Parameters!$M$26,IF(STP!AA10&gt;Parameters!$L$21, Parameters!$L$26, IF(STP!AA10&gt;Parameters!$K$21, Parameters!$K$26, Parameters!$J$26)))</f>
        <v>35</v>
      </c>
      <c r="AB69" s="587">
        <f>IF(STP!AB10&gt;Parameters!$M$21,Parameters!$M$26,IF(STP!AB10&gt;Parameters!$L$21, Parameters!$L$26, IF(STP!AB10&gt;Parameters!$K$21, Parameters!$K$26, Parameters!$J$26)))</f>
        <v>10</v>
      </c>
      <c r="AC69" s="587">
        <f>IF(STP!AC10&gt;Parameters!$M$21,Parameters!$M$26,IF(STP!AC10&gt;Parameters!$L$21, Parameters!$L$26, IF(STP!AC10&gt;Parameters!$K$21, Parameters!$K$26, Parameters!$J$26)))</f>
        <v>10</v>
      </c>
      <c r="AD69" s="587">
        <f>IF(STP!AD10&gt;Parameters!$M$21,Parameters!$M$26,IF(STP!AD10&gt;Parameters!$L$21, Parameters!$L$26, IF(STP!AD10&gt;Parameters!$K$21, Parameters!$K$26, Parameters!$J$26)))</f>
        <v>10</v>
      </c>
      <c r="AE69" s="587">
        <f>IF(STP!AE10&gt;Parameters!$M$21,Parameters!$M$26,IF(STP!AE10&gt;Parameters!$L$21, Parameters!$L$26, IF(STP!AE10&gt;Parameters!$K$21, Parameters!$K$26, Parameters!$J$26)))</f>
        <v>10</v>
      </c>
      <c r="AF69" s="587">
        <f>IF(STP!AF10&gt;Parameters!$M$21,Parameters!$M$26,IF(STP!AF10&gt;Parameters!$L$21, Parameters!$L$26, IF(STP!AF10&gt;Parameters!$K$21, Parameters!$K$26, Parameters!$J$26)))</f>
        <v>10</v>
      </c>
      <c r="AG69" s="587">
        <f>IF(STP!AG10&gt;Parameters!$M$21,Parameters!$M$26,IF(STP!AG10&gt;Parameters!$L$21, Parameters!$L$26, IF(STP!AG10&gt;Parameters!$K$21, Parameters!$K$26, Parameters!$J$26)))</f>
        <v>10</v>
      </c>
      <c r="AH69" s="587">
        <f>IF(STP!AH10&gt;Parameters!$M$21,Parameters!$M$26,IF(STP!AH10&gt;Parameters!$L$21, Parameters!$L$26, IF(STP!AH10&gt;Parameters!$K$21, Parameters!$K$26, Parameters!$J$26)))</f>
        <v>35</v>
      </c>
      <c r="AI69" s="587">
        <f>IF(STP!AI10&gt;Parameters!$M$21,Parameters!$M$26,IF(STP!AI10&gt;Parameters!$L$21, Parameters!$L$26, IF(STP!AI10&gt;Parameters!$K$21, Parameters!$K$26, Parameters!$J$26)))</f>
        <v>55</v>
      </c>
      <c r="AJ69" s="587">
        <f>IF(STP!AJ10&gt;Parameters!$M$21,Parameters!$M$26,IF(STP!AJ10&gt;Parameters!$L$21, Parameters!$L$26, IF(STP!AJ10&gt;Parameters!$K$21, Parameters!$K$26, Parameters!$J$26)))</f>
        <v>55</v>
      </c>
      <c r="AK69" s="587">
        <f>IF(STP!AK10&gt;Parameters!$M$21,Parameters!$M$26,IF(STP!AK10&gt;Parameters!$L$21, Parameters!$L$26, IF(STP!AK10&gt;Parameters!$K$21, Parameters!$K$26, Parameters!$J$26)))</f>
        <v>35</v>
      </c>
      <c r="AL69" s="587">
        <f>IF(STP!AL10&gt;Parameters!$M$21,Parameters!$M$26,IF(STP!AL10&gt;Parameters!$L$21, Parameters!$L$26, IF(STP!AL10&gt;Parameters!$K$21, Parameters!$K$26, Parameters!$J$26)))</f>
        <v>55</v>
      </c>
      <c r="AM69" s="587">
        <f>IF(STP!AM10&gt;Parameters!$M$21,Parameters!$M$26,IF(STP!AM10&gt;Parameters!$L$21, Parameters!$L$26, IF(STP!AM10&gt;Parameters!$K$21, Parameters!$K$26, Parameters!$J$26)))</f>
        <v>10</v>
      </c>
      <c r="AN69" s="587">
        <f>IF(STP!AN10&gt;Parameters!$M$21,Parameters!$M$26,IF(STP!AN10&gt;Parameters!$L$21, Parameters!$L$26, IF(STP!AN10&gt;Parameters!$K$21, Parameters!$K$26, Parameters!$J$26)))</f>
        <v>35</v>
      </c>
    </row>
    <row r="70" spans="1:41" x14ac:dyDescent="0.25">
      <c r="A70" s="27" t="s">
        <v>619</v>
      </c>
      <c r="B70" s="505">
        <f>(Parameters!$E$27-Parameters!$F$27*MIN(STP!B10,Parameters!$C$12))*B51</f>
        <v>4.5003562146836131</v>
      </c>
      <c r="C70" s="505">
        <f>(Parameters!$E$27-Parameters!$F$27*MIN(STP!C10,Parameters!$C$12))*C51</f>
        <v>9.613742520684319</v>
      </c>
      <c r="D70" s="505">
        <f>(Parameters!$E$27-Parameters!$F$27*MIN(STP!D10,Parameters!$C$12))*D51</f>
        <v>8.2223655737521142</v>
      </c>
      <c r="E70" s="505">
        <f>(Parameters!$E$27-Parameters!$F$27*MIN(STP!E10,Parameters!$C$12))*E51</f>
        <v>-6.3768434976907429E-15</v>
      </c>
      <c r="F70" s="505">
        <f>(Parameters!$E$27-Parameters!$F$27*MIN(STP!F10,Parameters!$C$12))*F51</f>
        <v>25.843074155763428</v>
      </c>
      <c r="G70" s="505">
        <f>(Parameters!$E$27-Parameters!$F$27*MIN(STP!G10,Parameters!$C$12))*G51</f>
        <v>17.722706594736515</v>
      </c>
      <c r="H70" s="505">
        <f>(Parameters!$E$27-Parameters!$F$27*MIN(STP!H10,Parameters!$C$12))*H51</f>
        <v>5.0175071795348956</v>
      </c>
      <c r="I70" s="505">
        <f>(Parameters!$E$27-Parameters!$F$27*MIN(STP!I10,Parameters!$C$12))*I51</f>
        <v>18.915537313319192</v>
      </c>
      <c r="J70" s="505">
        <f>(Parameters!$E$27-Parameters!$F$27*MIN(STP!J10,Parameters!$C$12))*J51</f>
        <v>9.0234767484043683</v>
      </c>
      <c r="K70" s="505">
        <f>(Parameters!$E$27-Parameters!$F$27*MIN(STP!K10,Parameters!$C$12))*K51</f>
        <v>12.262743069949547</v>
      </c>
      <c r="L70" s="505">
        <f>(Parameters!$E$27-Parameters!$F$27*MIN(STP!L10,Parameters!$C$12))*L51</f>
        <v>19.127950697214953</v>
      </c>
      <c r="M70" s="505">
        <f>(Parameters!$E$27-Parameters!$F$27*MIN(STP!M10,Parameters!$C$12))*M51</f>
        <v>6.6425960975254581</v>
      </c>
      <c r="N70" s="505">
        <f>(Parameters!$E$27-Parameters!$F$27*MIN(STP!N10,Parameters!$C$12))*N51</f>
        <v>27.104474720319381</v>
      </c>
      <c r="O70" s="505">
        <f>(Parameters!$E$27-Parameters!$F$27*MIN(STP!O10,Parameters!$C$12))*O51</f>
        <v>23.616086530186024</v>
      </c>
      <c r="P70" s="505">
        <f>(Parameters!$E$27-Parameters!$F$27*MIN(STP!P10,Parameters!$C$12))*P51</f>
        <v>15.219256709396465</v>
      </c>
      <c r="Q70" s="505">
        <f>(Parameters!$E$27-Parameters!$F$27*MIN(STP!Q10,Parameters!$C$12))*Q51</f>
        <v>18.502233446710211</v>
      </c>
      <c r="R70" s="505">
        <f>(Parameters!$E$27-Parameters!$F$27*MIN(STP!R10,Parameters!$C$12))*R51</f>
        <v>8.1422346699665127</v>
      </c>
      <c r="S70" s="505">
        <f>(Parameters!$E$27-Parameters!$F$27*MIN(STP!S10,Parameters!$C$12))*S51</f>
        <v>10.117715764446007</v>
      </c>
      <c r="T70" s="505">
        <f>(Parameters!$E$27-Parameters!$F$27*MIN(STP!T10,Parameters!$C$12))*T51</f>
        <v>19.84928438856123</v>
      </c>
      <c r="U70" s="505">
        <f>(Parameters!$E$27-Parameters!$F$27*MIN(STP!U10,Parameters!$C$12))*U51</f>
        <v>21.719936323202194</v>
      </c>
      <c r="V70" s="505">
        <f>(Parameters!$E$27-Parameters!$F$27*MIN(STP!V10,Parameters!$C$12))*V51</f>
        <v>22.026549763533058</v>
      </c>
      <c r="W70" s="505">
        <f>(Parameters!$E$27-Parameters!$F$27*MIN(STP!W10,Parameters!$C$12))*W51</f>
        <v>21.711700791516442</v>
      </c>
      <c r="X70" s="505">
        <f>(Parameters!$E$27-Parameters!$F$27*MIN(STP!X10,Parameters!$C$12))*X51</f>
        <v>16.010229189984081</v>
      </c>
      <c r="Y70" s="505">
        <f>(Parameters!$E$27-Parameters!$F$27*MIN(STP!Y10,Parameters!$C$12))*Y51</f>
        <v>8.6347311784951462</v>
      </c>
      <c r="Z70" s="505">
        <f>(Parameters!$E$27-Parameters!$F$27*MIN(STP!Z10,Parameters!$C$12))*Z51</f>
        <v>9.9284399866587236</v>
      </c>
      <c r="AA70" s="505">
        <f>(Parameters!$E$27-Parameters!$F$27*MIN(STP!AA10,Parameters!$C$12))*AA51</f>
        <v>12.938637863255853</v>
      </c>
      <c r="AB70" s="505">
        <f>(Parameters!$E$27-Parameters!$F$27*MIN(STP!AB10,Parameters!$C$12))*AB51</f>
        <v>9.4828746441192866</v>
      </c>
      <c r="AC70" s="505">
        <f>(Parameters!$E$27-Parameters!$F$27*MIN(STP!AC10,Parameters!$C$12))*AC51</f>
        <v>5.7460718203250272</v>
      </c>
      <c r="AD70" s="505">
        <f>(Parameters!$E$27-Parameters!$F$27*MIN(STP!AD10,Parameters!$C$12))*AD51</f>
        <v>10.099956746580558</v>
      </c>
      <c r="AE70" s="505">
        <f>(Parameters!$E$27-Parameters!$F$27*MIN(STP!AE10,Parameters!$C$12))*AE51</f>
        <v>6.5276398413502177</v>
      </c>
      <c r="AF70" s="505">
        <f>(Parameters!$E$27-Parameters!$F$27*MIN(STP!AF10,Parameters!$C$12))*AF51</f>
        <v>5.7731234818022976</v>
      </c>
      <c r="AG70" s="505">
        <f>(Parameters!$E$27-Parameters!$F$27*MIN(STP!AG10,Parameters!$C$12))*AG51</f>
        <v>9.2359881173377651</v>
      </c>
      <c r="AH70" s="505">
        <f>(Parameters!$E$27-Parameters!$F$27*MIN(STP!AH10,Parameters!$C$12))*AH51</f>
        <v>13.603015305526448</v>
      </c>
      <c r="AI70" s="505">
        <f>(Parameters!$E$27-Parameters!$F$27*MIN(STP!AI10,Parameters!$C$12))*AI51</f>
        <v>23.427950403617476</v>
      </c>
      <c r="AJ70" s="505">
        <f>(Parameters!$E$27-Parameters!$F$27*MIN(STP!AJ10,Parameters!$C$12))*AJ51</f>
        <v>21.882969913631651</v>
      </c>
      <c r="AK70" s="505">
        <f>(Parameters!$E$27-Parameters!$F$27*MIN(STP!AK10,Parameters!$C$12))*AK51</f>
        <v>13.330095852228585</v>
      </c>
      <c r="AL70" s="505">
        <f>(Parameters!$E$27-Parameters!$F$27*MIN(STP!AL10,Parameters!$C$12))*AL51</f>
        <v>24.016402108627258</v>
      </c>
      <c r="AM70" s="505">
        <f>(Parameters!$E$27-Parameters!$F$27*MIN(STP!AM10,Parameters!$C$12))*AM51</f>
        <v>5.5749106944024085</v>
      </c>
      <c r="AN70" s="505">
        <f>(Parameters!$E$27-Parameters!$F$27*MIN(STP!AN10,Parameters!$C$12))*AN51</f>
        <v>10.916930074848114</v>
      </c>
    </row>
    <row r="71" spans="1:41" x14ac:dyDescent="0.25">
      <c r="A71" s="336" t="s">
        <v>1029</v>
      </c>
      <c r="B71" s="335">
        <f t="shared" ref="B71:AN71" si="29">SUMPRODUCT(B65:B70,B19:B24)</f>
        <v>31548212.841674548</v>
      </c>
      <c r="C71" s="335">
        <f t="shared" si="29"/>
        <v>3534587.5594862946</v>
      </c>
      <c r="D71" s="335">
        <f t="shared" si="29"/>
        <v>9659718.7734093983</v>
      </c>
      <c r="E71" s="335">
        <f t="shared" si="29"/>
        <v>-2.7464260529679826E-10</v>
      </c>
      <c r="F71" s="335">
        <f t="shared" si="29"/>
        <v>1203055708.1936061</v>
      </c>
      <c r="G71" s="335">
        <f t="shared" si="29"/>
        <v>166111.73197630004</v>
      </c>
      <c r="H71" s="335">
        <f t="shared" si="29"/>
        <v>4353656.7523210971</v>
      </c>
      <c r="I71" s="335">
        <f t="shared" si="29"/>
        <v>1453845653.2628398</v>
      </c>
      <c r="J71" s="335">
        <f t="shared" si="29"/>
        <v>87352819.120434374</v>
      </c>
      <c r="K71" s="335">
        <f t="shared" si="29"/>
        <v>301738922.90883619</v>
      </c>
      <c r="L71" s="335">
        <f t="shared" si="29"/>
        <v>2496301.4312017905</v>
      </c>
      <c r="M71" s="335">
        <f t="shared" si="29"/>
        <v>16393166.581435243</v>
      </c>
      <c r="N71" s="335">
        <f t="shared" si="29"/>
        <v>706381604.49003303</v>
      </c>
      <c r="O71" s="335">
        <f t="shared" si="29"/>
        <v>624267966.88946402</v>
      </c>
      <c r="P71" s="335">
        <f t="shared" si="29"/>
        <v>112409262.85477372</v>
      </c>
      <c r="Q71" s="335">
        <f t="shared" si="29"/>
        <v>152143333.605968</v>
      </c>
      <c r="R71" s="335">
        <f t="shared" si="29"/>
        <v>17683.993456864908</v>
      </c>
      <c r="S71" s="335">
        <f t="shared" si="29"/>
        <v>21734871.464862198</v>
      </c>
      <c r="T71" s="335">
        <f t="shared" si="29"/>
        <v>21145.470563141782</v>
      </c>
      <c r="U71" s="335">
        <f t="shared" si="29"/>
        <v>32404643.077155761</v>
      </c>
      <c r="V71" s="335">
        <f t="shared" si="29"/>
        <v>69262127.087889999</v>
      </c>
      <c r="W71" s="335">
        <f t="shared" si="29"/>
        <v>470470062.70194411</v>
      </c>
      <c r="X71" s="335">
        <f t="shared" si="29"/>
        <v>15010996.488542307</v>
      </c>
      <c r="Y71" s="335">
        <f t="shared" si="29"/>
        <v>21675460.573473979</v>
      </c>
      <c r="Z71" s="335">
        <f t="shared" si="29"/>
        <v>125642233.21935147</v>
      </c>
      <c r="AA71" s="335">
        <f t="shared" si="29"/>
        <v>38640718.944653496</v>
      </c>
      <c r="AB71" s="335">
        <f t="shared" si="29"/>
        <v>103217461.20745757</v>
      </c>
      <c r="AC71" s="335">
        <f t="shared" si="29"/>
        <v>45178.105831816531</v>
      </c>
      <c r="AD71" s="335">
        <f t="shared" si="29"/>
        <v>3969021.3974719569</v>
      </c>
      <c r="AE71" s="335">
        <f t="shared" si="29"/>
        <v>5626367.2139315382</v>
      </c>
      <c r="AF71" s="335">
        <f t="shared" si="29"/>
        <v>4229464.2065447457</v>
      </c>
      <c r="AG71" s="335">
        <f t="shared" si="29"/>
        <v>652282.2703341879</v>
      </c>
      <c r="AH71" s="335">
        <f t="shared" si="29"/>
        <v>529874067.16268903</v>
      </c>
      <c r="AI71" s="335">
        <f t="shared" si="29"/>
        <v>114214330.17070375</v>
      </c>
      <c r="AJ71" s="335">
        <f t="shared" si="29"/>
        <v>374025431.38294053</v>
      </c>
      <c r="AK71" s="335">
        <f t="shared" si="29"/>
        <v>185321446.97261545</v>
      </c>
      <c r="AL71" s="335">
        <f t="shared" si="29"/>
        <v>698057873.5013181</v>
      </c>
      <c r="AM71" s="335">
        <f t="shared" si="29"/>
        <v>30639625.74721748</v>
      </c>
      <c r="AN71" s="335">
        <f t="shared" si="29"/>
        <v>117248295.27686656</v>
      </c>
    </row>
    <row r="72" spans="1:41" s="3" customFormat="1" x14ac:dyDescent="0.25">
      <c r="A72" s="333" t="s">
        <v>1031</v>
      </c>
      <c r="B72" s="3">
        <f>MAX(Parameters!$D22*B46-B55,0)</f>
        <v>27.939720601484773</v>
      </c>
      <c r="C72" s="3">
        <f>MAX(Parameters!$D22*C46-C55,0)</f>
        <v>27.067392060302154</v>
      </c>
      <c r="D72" s="3">
        <f>MAX(Parameters!$D22*D46-D55,0)</f>
        <v>22.490644558274155</v>
      </c>
      <c r="E72" s="3">
        <f>MAX(Parameters!$D22*E46-E55,0)</f>
        <v>13.08812118097849</v>
      </c>
      <c r="F72" s="3">
        <f>MAX(Parameters!$D22*F46-F55,0)</f>
        <v>48.078777629408265</v>
      </c>
      <c r="G72" s="3">
        <f>MAX(Parameters!$D22*G46-G55,0)</f>
        <v>0</v>
      </c>
      <c r="H72" s="3">
        <f>MAX(Parameters!$D22*H46-H55,0)</f>
        <v>0</v>
      </c>
      <c r="I72" s="3">
        <f>MAX(Parameters!$D22*I46-I55,0)</f>
        <v>50.70962966904689</v>
      </c>
      <c r="J72" s="3">
        <f>MAX(Parameters!$D22*J46-J55,0)</f>
        <v>47.525230135236065</v>
      </c>
      <c r="K72" s="3">
        <f>MAX(Parameters!$D22*K46-K55,0)</f>
        <v>39.193127898428465</v>
      </c>
      <c r="L72" s="3">
        <f>MAX(Parameters!$D22*L46-L55,0)</f>
        <v>0</v>
      </c>
      <c r="M72" s="3">
        <f>MAX(Parameters!$D22*M46-M55,0)</f>
        <v>0</v>
      </c>
      <c r="N72" s="3">
        <f>MAX(Parameters!$D22*N46-N55,0)</f>
        <v>40.314582052601097</v>
      </c>
      <c r="O72" s="3">
        <f>MAX(Parameters!$D22*O46-O55,0)</f>
        <v>34.791176771191019</v>
      </c>
      <c r="P72" s="3">
        <f>MAX(Parameters!$D22*P46-P55,0)</f>
        <v>49.447633988418985</v>
      </c>
      <c r="Q72" s="3">
        <f>MAX(Parameters!$D22*Q46-Q55,0)</f>
        <v>33.413420040244567</v>
      </c>
      <c r="R72" s="3">
        <f>MAX(Parameters!$D22*R46-R55,0)</f>
        <v>0</v>
      </c>
      <c r="S72" s="3">
        <f>MAX(Parameters!$D22*S46-S55,0)</f>
        <v>0</v>
      </c>
      <c r="T72" s="3">
        <f>MAX(Parameters!$D22*T46-T55,0)</f>
        <v>0</v>
      </c>
      <c r="U72" s="3">
        <f>MAX(Parameters!$D22*U46-U55,0)</f>
        <v>0</v>
      </c>
      <c r="V72" s="3">
        <f>MAX(Parameters!$D22*V46-V55,0)</f>
        <v>53.885931099994117</v>
      </c>
      <c r="W72" s="3">
        <f>MAX(Parameters!$D22*W46-W55,0)</f>
        <v>45.335068174350099</v>
      </c>
      <c r="X72" s="3">
        <f>MAX(Parameters!$D22*X46-X55,0)</f>
        <v>0</v>
      </c>
      <c r="Y72" s="3">
        <f>MAX(Parameters!$D22*Y46-Y55,0)</f>
        <v>41.630109876848451</v>
      </c>
      <c r="Z72" s="3">
        <f>MAX(Parameters!$D22*Z46-Z55,0)</f>
        <v>43.635283500319353</v>
      </c>
      <c r="AA72" s="3">
        <f>MAX(Parameters!$D22*AA46-AA55,0)</f>
        <v>0</v>
      </c>
      <c r="AB72" s="3">
        <f>MAX(Parameters!$D22*AB46-AB55,0)</f>
        <v>23.244741499902808</v>
      </c>
      <c r="AC72" s="3">
        <f>MAX(Parameters!$D22*AC46-AC55,0)</f>
        <v>0</v>
      </c>
      <c r="AD72" s="3">
        <f>MAX(Parameters!$D22*AD46-AD55,0)</f>
        <v>46.919730416642324</v>
      </c>
      <c r="AE72" s="3">
        <f>MAX(Parameters!$D22*AE46-AE55,0)</f>
        <v>35.288793419976606</v>
      </c>
      <c r="AF72" s="3">
        <f>MAX(Parameters!$D22*AF46-AF55,0)</f>
        <v>27.530815870575818</v>
      </c>
      <c r="AG72" s="3">
        <f>MAX(Parameters!$D22*AG46-AG55,0)</f>
        <v>18.206586529756457</v>
      </c>
      <c r="AH72" s="3">
        <f>MAX(Parameters!$D22*AH46-AH55,0)</f>
        <v>44.613592452508421</v>
      </c>
      <c r="AI72" s="3">
        <f>MAX(Parameters!$D22*AI46-AI55,0)</f>
        <v>44.075358728572283</v>
      </c>
      <c r="AJ72" s="3">
        <f>MAX(Parameters!$D22*AJ46-AJ55,0)</f>
        <v>41.03466396628906</v>
      </c>
      <c r="AK72" s="3">
        <f>MAX(Parameters!$D22*AK46-AK55,0)</f>
        <v>49.589945466442039</v>
      </c>
      <c r="AL72" s="3">
        <f>MAX(Parameters!$D22*AL46-AL55,0)</f>
        <v>36.551669289723293</v>
      </c>
      <c r="AM72" s="3">
        <f>MAX(Parameters!$D22*AM46-AM55,0)</f>
        <v>50.326024596239591</v>
      </c>
      <c r="AN72" s="3">
        <f>MAX(Parameters!$D22*AN46-AN55,0)</f>
        <v>35.582457675194739</v>
      </c>
      <c r="AO72" s="325"/>
    </row>
    <row r="73" spans="1:41" s="3" customFormat="1" x14ac:dyDescent="0.25">
      <c r="A73" s="333" t="s">
        <v>623</v>
      </c>
      <c r="B73" s="3">
        <f>Parameters!$D23*B47</f>
        <v>14.055908565523001</v>
      </c>
      <c r="C73" s="3">
        <f>Parameters!$D23*C47</f>
        <v>12.744121971143</v>
      </c>
      <c r="D73" s="3">
        <f>Parameters!$D23*D47</f>
        <v>0</v>
      </c>
      <c r="E73" s="3">
        <f>Parameters!$D23*E47</f>
        <v>19.283303070046003</v>
      </c>
      <c r="F73" s="3">
        <f>Parameters!$D23*F47</f>
        <v>15.995859107995001</v>
      </c>
      <c r="G73" s="3">
        <f>Parameters!$D23*G47</f>
        <v>11.781313438400002</v>
      </c>
      <c r="H73" s="3">
        <f>Parameters!$D23*H47</f>
        <v>10.030655975336</v>
      </c>
      <c r="I73" s="3">
        <f>Parameters!$D23*I47</f>
        <v>23.533407974256001</v>
      </c>
      <c r="J73" s="3">
        <f>Parameters!$D23*J47</f>
        <v>28.037374839797</v>
      </c>
      <c r="K73" s="3">
        <f>Parameters!$D23*K47</f>
        <v>26.239170951864999</v>
      </c>
      <c r="L73" s="636">
        <f>MAX(Parameters!$D23*L47-L55,0)</f>
        <v>0</v>
      </c>
      <c r="M73" s="3">
        <f>Parameters!$D23*M47</f>
        <v>10.069396495837001</v>
      </c>
      <c r="N73" s="3">
        <f>Parameters!$D23*N47</f>
        <v>9.7684672737340001</v>
      </c>
      <c r="O73" s="3">
        <f>Parameters!$D23*O47</f>
        <v>21.46250915529</v>
      </c>
      <c r="P73" s="3">
        <f>Parameters!$D23*P47</f>
        <v>0.27423051178463004</v>
      </c>
      <c r="Q73" s="3">
        <f>Parameters!$D23*Q47</f>
        <v>25.757433090216999</v>
      </c>
      <c r="R73" s="636">
        <f>MAX(Parameters!$D23*R47-R55,0)</f>
        <v>0</v>
      </c>
      <c r="S73" s="3">
        <f>Parameters!$D23*S47</f>
        <v>14.629427585581</v>
      </c>
      <c r="T73" s="636">
        <f>MAX(Parameters!$D23*T47-T55,0)</f>
        <v>0</v>
      </c>
      <c r="U73" s="3">
        <f>Parameters!$D23*U47</f>
        <v>18.103663673374999</v>
      </c>
      <c r="V73" s="3">
        <f>Parameters!$D23*V47</f>
        <v>2.3844796419137001E-2</v>
      </c>
      <c r="W73" s="3">
        <f>Parameters!$D23*W47</f>
        <v>24.512514152537001</v>
      </c>
      <c r="X73" s="3">
        <f>Parameters!$D23*X47</f>
        <v>22.069442291249</v>
      </c>
      <c r="Y73" s="3">
        <f>Parameters!$D23*Y47</f>
        <v>3.3622336536666998E-2</v>
      </c>
      <c r="Z73" s="3">
        <f>Parameters!$D23*Z47</f>
        <v>19.099550704978</v>
      </c>
      <c r="AA73" s="3">
        <f>Parameters!$D23*AA47</f>
        <v>12.210731430074</v>
      </c>
      <c r="AB73" s="3">
        <f>Parameters!$D23*AB47</f>
        <v>24.657474441513003</v>
      </c>
      <c r="AC73" s="3">
        <f>Parameters!$D23*AC47</f>
        <v>6.0574816512840002</v>
      </c>
      <c r="AD73" s="3">
        <f>Parameters!$D23*AD47</f>
        <v>15.542074508679001</v>
      </c>
      <c r="AE73" s="3">
        <f>Parameters!$D23*AE47</f>
        <v>23.413147888171999</v>
      </c>
      <c r="AF73" s="3">
        <f>Parameters!$D23*AF47</f>
        <v>11.12374256136</v>
      </c>
      <c r="AG73" s="3">
        <f>Parameters!$D23*AG47</f>
        <v>0</v>
      </c>
      <c r="AH73" s="3">
        <f>Parameters!$D23*AH47</f>
        <v>26.347595481862001</v>
      </c>
      <c r="AI73" s="3">
        <f>Parameters!$D23*AI47</f>
        <v>28.260655212404004</v>
      </c>
      <c r="AJ73" s="3">
        <f>Parameters!$D23*AJ47</f>
        <v>20.827669258139</v>
      </c>
      <c r="AK73" s="3">
        <f>Parameters!$D23*AK47</f>
        <v>1.3403456354123999</v>
      </c>
      <c r="AL73" s="3">
        <f>Parameters!$D23*AL47</f>
        <v>18.852407150264003</v>
      </c>
      <c r="AM73" s="3">
        <f>Parameters!$D23*AM47</f>
        <v>22.019993362428</v>
      </c>
      <c r="AN73" s="3">
        <f>Parameters!$D23*AN47</f>
        <v>14.614409732845001</v>
      </c>
      <c r="AO73" s="325"/>
    </row>
    <row r="74" spans="1:41" s="3" customFormat="1" x14ac:dyDescent="0.25">
      <c r="A74" s="333" t="s">
        <v>622</v>
      </c>
      <c r="B74" s="3">
        <f>Parameters!$D24*B48</f>
        <v>28.393829421965997</v>
      </c>
      <c r="C74" s="3">
        <f>Parameters!$D24*C48</f>
        <v>23.569558753961999</v>
      </c>
      <c r="D74" s="3">
        <f>Parameters!$D24*D48</f>
        <v>40.511079254159995</v>
      </c>
      <c r="E74" s="3">
        <f>Parameters!$D24*E48</f>
        <v>27.521378250131995</v>
      </c>
      <c r="F74" s="3">
        <f>Parameters!$D24*F48</f>
        <v>37.800544204718001</v>
      </c>
      <c r="G74" s="3">
        <f>Parameters!$D24*G48</f>
        <v>19.940945205691996</v>
      </c>
      <c r="H74" s="3">
        <f>Parameters!$D24*H48</f>
        <v>24.307581901578001</v>
      </c>
      <c r="I74" s="3">
        <f>Parameters!$D24*I48</f>
        <v>37.403960418730001</v>
      </c>
      <c r="J74" s="3">
        <f>Parameters!$D24*J48</f>
        <v>34.046807022088004</v>
      </c>
      <c r="K74" s="3">
        <f>Parameters!$D24*K48</f>
        <v>28.021450500527997</v>
      </c>
      <c r="L74" s="636">
        <f>MAX(Parameters!$D24*L48-L55,0)</f>
        <v>0</v>
      </c>
      <c r="M74" s="3">
        <f>Parameters!$D24*M48</f>
        <v>14.045426292425999</v>
      </c>
      <c r="N74" s="3">
        <f>Parameters!$D24*N48</f>
        <v>39.596881103489999</v>
      </c>
      <c r="O74" s="3">
        <f>Parameters!$D24*O48</f>
        <v>28.694444580113998</v>
      </c>
      <c r="P74" s="3">
        <f>Parameters!$D24*P48</f>
        <v>40.064737548863995</v>
      </c>
      <c r="Q74" s="3">
        <f>Parameters!$D24*Q48</f>
        <v>25.302446250907998</v>
      </c>
      <c r="R74" s="636">
        <f>MAX(Parameters!$D24*R48-R55,0)</f>
        <v>0</v>
      </c>
      <c r="S74" s="3">
        <f>Parameters!$D24*S48</f>
        <v>21.134697341934</v>
      </c>
      <c r="T74" s="636">
        <f>MAX(Parameters!$D24*T48-T55,0)</f>
        <v>0</v>
      </c>
      <c r="U74" s="3">
        <f>Parameters!$D24*U48</f>
        <v>14.705661048930001</v>
      </c>
      <c r="V74" s="3">
        <f>Parameters!$D24*V48</f>
        <v>40.075826492339999</v>
      </c>
      <c r="W74" s="3">
        <f>Parameters!$D24*W48</f>
        <v>29.117391586271996</v>
      </c>
      <c r="X74" s="3">
        <f>Parameters!$D24*X48</f>
        <v>16.213879356345998</v>
      </c>
      <c r="Y74" s="3">
        <f>Parameters!$D24*Y48</f>
        <v>40.566858673071998</v>
      </c>
      <c r="Z74" s="3">
        <f>Parameters!$D24*Z48</f>
        <v>36.683911056524003</v>
      </c>
      <c r="AA74" s="3">
        <f>Parameters!$D24*AA48</f>
        <v>22.520327300993998</v>
      </c>
      <c r="AB74" s="3">
        <f>Parameters!$D24*AB48</f>
        <v>29.996345977779995</v>
      </c>
      <c r="AC74" s="3">
        <f>Parameters!$D24*AC48</f>
        <v>24.387794532735999</v>
      </c>
      <c r="AD74" s="3">
        <f>Parameters!$D24*AD48</f>
        <v>40.580647125263994</v>
      </c>
      <c r="AE74" s="3">
        <f>Parameters!$D24*AE48</f>
        <v>34.547958450293997</v>
      </c>
      <c r="AF74" s="3">
        <f>Parameters!$D24*AF48</f>
        <v>30.223179779037999</v>
      </c>
      <c r="AG74" s="3">
        <f>Parameters!$D24*AG48</f>
        <v>40.384605865441998</v>
      </c>
      <c r="AH74" s="3">
        <f>Parameters!$D24*AH48</f>
        <v>35.501260375973999</v>
      </c>
      <c r="AI74" s="3">
        <f>Parameters!$D24*AI48</f>
        <v>35.183500366234</v>
      </c>
      <c r="AJ74" s="3">
        <f>Parameters!$D24*AJ48</f>
        <v>29.539540939315998</v>
      </c>
      <c r="AK74" s="3">
        <f>Parameters!$D24*AK48</f>
        <v>40.117867507923997</v>
      </c>
      <c r="AL74" s="3">
        <f>Parameters!$D24*AL48</f>
        <v>30.462541427628</v>
      </c>
      <c r="AM74" s="3">
        <f>Parameters!$D24*AM48</f>
        <v>39.328847732518</v>
      </c>
      <c r="AN74" s="3">
        <f>Parameters!$D24*AN48</f>
        <v>29.485675888057997</v>
      </c>
      <c r="AO74" s="325"/>
    </row>
    <row r="75" spans="1:41" s="3" customFormat="1" x14ac:dyDescent="0.25">
      <c r="A75" s="333" t="s">
        <v>621</v>
      </c>
      <c r="B75" s="3">
        <f>Parameters!$D25*B49</f>
        <v>0.40260000000000001</v>
      </c>
      <c r="C75" s="3">
        <f>Parameters!$D25*C49</f>
        <v>0.40260000000000001</v>
      </c>
      <c r="D75" s="3">
        <f>Parameters!$D25*D49</f>
        <v>0.40260000000000001</v>
      </c>
      <c r="E75" s="3">
        <f>Parameters!$D25*E49</f>
        <v>0.40260000000000001</v>
      </c>
      <c r="F75" s="3">
        <f>Parameters!$D25*F49</f>
        <v>0.40260000000000001</v>
      </c>
      <c r="G75" s="3">
        <f>Parameters!$D25*G49</f>
        <v>0.40260000000000001</v>
      </c>
      <c r="H75" s="3">
        <f>Parameters!$D25*H49</f>
        <v>0.40260000000000001</v>
      </c>
      <c r="I75" s="3">
        <f>Parameters!$D25*I49</f>
        <v>0.40260000000000001</v>
      </c>
      <c r="J75" s="3">
        <f>Parameters!$D25*J49</f>
        <v>0.40260000000000001</v>
      </c>
      <c r="K75" s="3">
        <f>Parameters!$D25*K49</f>
        <v>0.40260000000000001</v>
      </c>
      <c r="L75" s="636">
        <f>MAX(Parameters!$D25*L49-L55,0)</f>
        <v>0</v>
      </c>
      <c r="M75" s="3">
        <f>Parameters!$D25*M49</f>
        <v>0.40260000000000001</v>
      </c>
      <c r="N75" s="3">
        <f>Parameters!$D25*N49</f>
        <v>0.40260000000000001</v>
      </c>
      <c r="O75" s="3">
        <f>Parameters!$D25*O49</f>
        <v>0.40260000000000001</v>
      </c>
      <c r="P75" s="3">
        <f>Parameters!$D25*P49</f>
        <v>0.40260000000000001</v>
      </c>
      <c r="Q75" s="3">
        <f>Parameters!$D25*Q49</f>
        <v>0.40260000000000001</v>
      </c>
      <c r="R75" s="636">
        <f>MAX(Parameters!$D25*R49-R55,0)</f>
        <v>0</v>
      </c>
      <c r="S75" s="3">
        <f>Parameters!$D25*S49</f>
        <v>0.40260000000000001</v>
      </c>
      <c r="T75" s="636">
        <f>MAX(Parameters!$D25*T49-T55,0)</f>
        <v>0</v>
      </c>
      <c r="U75" s="3">
        <f>Parameters!$D25*U49</f>
        <v>0.40260000000000001</v>
      </c>
      <c r="V75" s="3">
        <f>Parameters!$D25*V49</f>
        <v>0.40260000000000001</v>
      </c>
      <c r="W75" s="3">
        <f>Parameters!$D25*W49</f>
        <v>0.40260000000000001</v>
      </c>
      <c r="X75" s="3">
        <f>Parameters!$D25*X49</f>
        <v>0.40260000000000001</v>
      </c>
      <c r="Y75" s="3">
        <f>Parameters!$D25*Y49</f>
        <v>0.40260000000000001</v>
      </c>
      <c r="Z75" s="3">
        <f>Parameters!$D25*Z49</f>
        <v>0.40260000000000001</v>
      </c>
      <c r="AA75" s="3">
        <f>Parameters!$D25*AA49</f>
        <v>0.40260000000000001</v>
      </c>
      <c r="AB75" s="3">
        <f>Parameters!$D25*AB49</f>
        <v>0.40260000000000001</v>
      </c>
      <c r="AC75" s="3">
        <f>Parameters!$D25*AC49</f>
        <v>0.40260000000000001</v>
      </c>
      <c r="AD75" s="3">
        <f>Parameters!$D25*AD49</f>
        <v>0.40260000000000001</v>
      </c>
      <c r="AE75" s="3">
        <f>Parameters!$D25*AE49</f>
        <v>0.40260000000000001</v>
      </c>
      <c r="AF75" s="3">
        <f>Parameters!$D25*AF49</f>
        <v>0.40260000000000001</v>
      </c>
      <c r="AG75" s="3">
        <f>Parameters!$D25*AG49</f>
        <v>0.40260000000000001</v>
      </c>
      <c r="AH75" s="3">
        <f>Parameters!$D25*AH49</f>
        <v>0.40260000000000001</v>
      </c>
      <c r="AI75" s="3">
        <f>Parameters!$D25*AI49</f>
        <v>0.40260000000000001</v>
      </c>
      <c r="AJ75" s="3">
        <f>Parameters!$D25*AJ49</f>
        <v>0.40260000000000001</v>
      </c>
      <c r="AK75" s="3">
        <f>Parameters!$D25*AK49</f>
        <v>0.40260000000000001</v>
      </c>
      <c r="AL75" s="3">
        <f>Parameters!$D25*AL49</f>
        <v>0.40260000000000001</v>
      </c>
      <c r="AM75" s="3">
        <f>Parameters!$D25*AM49</f>
        <v>0.40260000000000001</v>
      </c>
      <c r="AN75" s="3">
        <f>Parameters!$D25*AN49</f>
        <v>0.40260000000000001</v>
      </c>
      <c r="AO75" s="325"/>
    </row>
    <row r="76" spans="1:41" s="3" customFormat="1" x14ac:dyDescent="0.25">
      <c r="A76" s="333" t="s">
        <v>620</v>
      </c>
      <c r="B76" s="3">
        <f>Parameters!$D26*B50</f>
        <v>1.0887237453466001</v>
      </c>
      <c r="C76" s="3">
        <f>Parameters!$D26*C50</f>
        <v>1.0033311176306001</v>
      </c>
      <c r="D76" s="3">
        <f>Parameters!$D26*D50</f>
        <v>0</v>
      </c>
      <c r="E76" s="3">
        <f>Parameters!$D26*E50</f>
        <v>0.83757365703660003</v>
      </c>
      <c r="F76" s="3">
        <f>Parameters!$D26*F50</f>
        <v>1.0130004501342</v>
      </c>
      <c r="G76" s="3">
        <f>Parameters!$D26*G50</f>
        <v>0</v>
      </c>
      <c r="H76" s="3">
        <f>Parameters!$D26*H50</f>
        <v>0.45231223583260005</v>
      </c>
      <c r="I76" s="3">
        <f>Parameters!$D26*I50</f>
        <v>2.6141446876600005</v>
      </c>
      <c r="J76" s="3">
        <f>Parameters!$D26*J50</f>
        <v>4.9037838363580004</v>
      </c>
      <c r="K76" s="3">
        <f>Parameters!$D26*K50</f>
        <v>4.601961936946001</v>
      </c>
      <c r="L76" s="636">
        <f>MAX(Parameters!$D26*L50-L55,0)</f>
        <v>0</v>
      </c>
      <c r="M76" s="3">
        <f>Parameters!$D26*M50</f>
        <v>0.83134738445220013</v>
      </c>
      <c r="N76" s="3">
        <f>Parameters!$D26*N50</f>
        <v>0</v>
      </c>
      <c r="O76" s="3">
        <f>Parameters!$D26*O50</f>
        <v>3.6146483230660005</v>
      </c>
      <c r="P76" s="3">
        <f>Parameters!$D26*P50</f>
        <v>0</v>
      </c>
      <c r="Q76" s="3">
        <f>Parameters!$D26*Q50</f>
        <v>4.9522743225120012</v>
      </c>
      <c r="R76" s="636">
        <f>MAX(Parameters!$D26*R50-R55,0)</f>
        <v>0</v>
      </c>
      <c r="S76" s="3">
        <f>Parameters!$D26*S50</f>
        <v>0.74984586238760009</v>
      </c>
      <c r="T76" s="636">
        <f>MAX(Parameters!$D26*T50-T55,0)</f>
        <v>0</v>
      </c>
      <c r="U76" s="3">
        <f>Parameters!$D26*U50</f>
        <v>5.960867643346001E-2</v>
      </c>
      <c r="V76" s="3">
        <f>Parameters!$D26*V50</f>
        <v>0</v>
      </c>
      <c r="W76" s="3">
        <f>Parameters!$D26*W50</f>
        <v>4.5374869918840002</v>
      </c>
      <c r="X76" s="3">
        <f>Parameters!$D26*X50</f>
        <v>0.18921478152280002</v>
      </c>
      <c r="Y76" s="3">
        <f>Parameters!$D26*Y50</f>
        <v>0</v>
      </c>
      <c r="Z76" s="3">
        <f>Parameters!$D26*Z50</f>
        <v>0.86750832557620017</v>
      </c>
      <c r="AA76" s="3">
        <f>Parameters!$D26*AA50</f>
        <v>0.11340610742560002</v>
      </c>
      <c r="AB76" s="3">
        <f>Parameters!$D26*AB50</f>
        <v>4.4277165222180006</v>
      </c>
      <c r="AC76" s="3">
        <f>Parameters!$D26*AC50</f>
        <v>0</v>
      </c>
      <c r="AD76" s="3">
        <f>Parameters!$D26*AD50</f>
        <v>0.57723433017800008</v>
      </c>
      <c r="AE76" s="3">
        <f>Parameters!$D26*AE50</f>
        <v>3.2996305274900002</v>
      </c>
      <c r="AF76" s="3">
        <f>Parameters!$D26*AF50</f>
        <v>0.10655955612654001</v>
      </c>
      <c r="AG76" s="3">
        <f>Parameters!$D26*AG50</f>
        <v>0</v>
      </c>
      <c r="AH76" s="3">
        <f>Parameters!$D26*AH50</f>
        <v>4.1037422180260004</v>
      </c>
      <c r="AI76" s="3">
        <f>Parameters!$D26*AI50</f>
        <v>3.9859176254260009</v>
      </c>
      <c r="AJ76" s="3">
        <f>Parameters!$D26*AJ50</f>
        <v>3.9147472763080007</v>
      </c>
      <c r="AK76" s="3">
        <f>Parameters!$D26*AK50</f>
        <v>0</v>
      </c>
      <c r="AL76" s="3">
        <f>Parameters!$D26*AL50</f>
        <v>2.8699640083400002</v>
      </c>
      <c r="AM76" s="3">
        <f>Parameters!$D26*AM50</f>
        <v>2.0381414604188004</v>
      </c>
      <c r="AN76" s="3">
        <f>Parameters!$D26*AN50</f>
        <v>0.47412548542040006</v>
      </c>
      <c r="AO76" s="325"/>
    </row>
    <row r="77" spans="1:41" x14ac:dyDescent="0.25">
      <c r="A77" s="333" t="s">
        <v>619</v>
      </c>
      <c r="B77" s="3">
        <f>Parameters!$D27*B51</f>
        <v>18.38</v>
      </c>
      <c r="C77" s="3">
        <f>Parameters!$D27*C51</f>
        <v>18.38</v>
      </c>
      <c r="D77" s="3">
        <f>Parameters!$D27*D51</f>
        <v>18.38</v>
      </c>
      <c r="E77" s="3">
        <f>Parameters!$D27*E51</f>
        <v>18.38</v>
      </c>
      <c r="F77" s="3">
        <f>Parameters!$D27*F51</f>
        <v>18.38</v>
      </c>
      <c r="G77" s="3">
        <f>Parameters!$D27*G51</f>
        <v>18.38</v>
      </c>
      <c r="H77" s="3">
        <f>Parameters!$D27*H51</f>
        <v>18.38</v>
      </c>
      <c r="I77" s="3">
        <f>Parameters!$D27*I51</f>
        <v>18.38</v>
      </c>
      <c r="J77" s="3">
        <f>Parameters!$D27*J51</f>
        <v>18.38</v>
      </c>
      <c r="K77" s="3">
        <f>Parameters!$D27*K51</f>
        <v>18.38</v>
      </c>
      <c r="L77" s="636">
        <f>MAX(Parameters!$D27*L51-L55,0)</f>
        <v>0</v>
      </c>
      <c r="M77" s="3">
        <f>Parameters!$D27*M51</f>
        <v>18.38</v>
      </c>
      <c r="N77" s="3">
        <f>Parameters!$D27*N51</f>
        <v>18.38</v>
      </c>
      <c r="O77" s="3">
        <f>Parameters!$D27*O51</f>
        <v>18.38</v>
      </c>
      <c r="P77" s="3">
        <f>Parameters!$D27*P51</f>
        <v>18.38</v>
      </c>
      <c r="Q77" s="3">
        <f>Parameters!$D27*Q51</f>
        <v>18.38</v>
      </c>
      <c r="R77" s="636">
        <f>MAX(Parameters!$D27*R51-R55,0)</f>
        <v>0</v>
      </c>
      <c r="S77" s="3">
        <f>Parameters!$D27*S51</f>
        <v>18.38</v>
      </c>
      <c r="T77" s="636">
        <f>MAX(Parameters!$D27*T51-T55,0)</f>
        <v>0</v>
      </c>
      <c r="U77" s="3">
        <f>Parameters!$D27*U51</f>
        <v>18.38</v>
      </c>
      <c r="V77" s="3">
        <f>Parameters!$D27*V51</f>
        <v>18.38</v>
      </c>
      <c r="W77" s="3">
        <f>Parameters!$D27*W51</f>
        <v>18.38</v>
      </c>
      <c r="X77" s="3">
        <f>Parameters!$D27*X51</f>
        <v>18.38</v>
      </c>
      <c r="Y77" s="3">
        <f>Parameters!$D27*Y51</f>
        <v>18.38</v>
      </c>
      <c r="Z77" s="3">
        <f>Parameters!$D27*Z51</f>
        <v>18.38</v>
      </c>
      <c r="AA77" s="3">
        <f>Parameters!$D27*AA51</f>
        <v>18.38</v>
      </c>
      <c r="AB77" s="3">
        <f>Parameters!$D27*AB51</f>
        <v>18.38</v>
      </c>
      <c r="AC77" s="3">
        <f>Parameters!$D27*AC51</f>
        <v>18.38</v>
      </c>
      <c r="AD77" s="3">
        <f>Parameters!$D27*AD51</f>
        <v>18.38</v>
      </c>
      <c r="AE77" s="3">
        <f>Parameters!$D27*AE51</f>
        <v>18.38</v>
      </c>
      <c r="AF77" s="3">
        <f>Parameters!$D27*AF51</f>
        <v>18.38</v>
      </c>
      <c r="AG77" s="3">
        <f>Parameters!$D27*AG51</f>
        <v>18.38</v>
      </c>
      <c r="AH77" s="3">
        <f>Parameters!$D27*AH51</f>
        <v>18.38</v>
      </c>
      <c r="AI77" s="3">
        <f>Parameters!$D27*AI51</f>
        <v>18.38</v>
      </c>
      <c r="AJ77" s="3">
        <f>Parameters!$D27*AJ51</f>
        <v>18.38</v>
      </c>
      <c r="AK77" s="3">
        <f>Parameters!$D27*AK51</f>
        <v>18.38</v>
      </c>
      <c r="AL77" s="3">
        <f>Parameters!$D27*AL51</f>
        <v>18.38</v>
      </c>
      <c r="AM77" s="3">
        <f>Parameters!$D27*AM51</f>
        <v>18.38</v>
      </c>
      <c r="AN77" s="3">
        <f>Parameters!$D27*AN51</f>
        <v>18.38</v>
      </c>
    </row>
    <row r="78" spans="1:41" x14ac:dyDescent="0.25">
      <c r="A78" s="27" t="s">
        <v>1032</v>
      </c>
      <c r="B78" s="49">
        <f t="shared" ref="B78:AN78" si="30">SUMPRODUCT(B72:B77,B8:B13)</f>
        <v>24440682.145021141</v>
      </c>
      <c r="C78" s="49">
        <f t="shared" si="30"/>
        <v>1469216.058245599</v>
      </c>
      <c r="D78" s="49">
        <f t="shared" si="30"/>
        <v>7538403.6879536556</v>
      </c>
      <c r="E78" s="49">
        <f t="shared" si="30"/>
        <v>6406786.9102543499</v>
      </c>
      <c r="F78" s="49">
        <f t="shared" si="30"/>
        <v>44750318.888908386</v>
      </c>
      <c r="G78" s="49">
        <f t="shared" si="30"/>
        <v>5939.8723203713116</v>
      </c>
      <c r="H78" s="49">
        <f t="shared" si="30"/>
        <v>1424198.1910785427</v>
      </c>
      <c r="I78" s="49">
        <f t="shared" si="30"/>
        <v>76579240.461204782</v>
      </c>
      <c r="J78" s="49">
        <f t="shared" si="30"/>
        <v>17515626.724752747</v>
      </c>
      <c r="K78" s="49">
        <f t="shared" si="30"/>
        <v>22337660.596378051</v>
      </c>
      <c r="L78" s="49">
        <f t="shared" si="30"/>
        <v>0</v>
      </c>
      <c r="M78" s="49">
        <f t="shared" si="30"/>
        <v>1000727.4578577341</v>
      </c>
      <c r="N78" s="49">
        <f t="shared" si="30"/>
        <v>29198580.880310614</v>
      </c>
      <c r="O78" s="49">
        <f t="shared" si="30"/>
        <v>18433492.38208412</v>
      </c>
      <c r="P78" s="49">
        <f t="shared" si="30"/>
        <v>10360110.411677804</v>
      </c>
      <c r="Q78" s="49">
        <f t="shared" si="30"/>
        <v>5562231.3816256598</v>
      </c>
      <c r="R78" s="49">
        <f t="shared" si="30"/>
        <v>0</v>
      </c>
      <c r="S78" s="49">
        <f t="shared" si="30"/>
        <v>862649.29749053891</v>
      </c>
      <c r="T78" s="49">
        <f t="shared" si="30"/>
        <v>0</v>
      </c>
      <c r="U78" s="49">
        <f t="shared" si="30"/>
        <v>895174.03098827647</v>
      </c>
      <c r="V78" s="49">
        <f t="shared" si="30"/>
        <v>2993178.7872991147</v>
      </c>
      <c r="W78" s="49">
        <f t="shared" si="30"/>
        <v>16150100.405204715</v>
      </c>
      <c r="X78" s="49">
        <f t="shared" si="30"/>
        <v>647949.79822128708</v>
      </c>
      <c r="Y78" s="49">
        <f t="shared" si="30"/>
        <v>20826119.638015725</v>
      </c>
      <c r="Z78" s="49">
        <f t="shared" si="30"/>
        <v>65093094.635376424</v>
      </c>
      <c r="AA78" s="49">
        <f t="shared" si="30"/>
        <v>3535543.2121962318</v>
      </c>
      <c r="AB78" s="49">
        <f t="shared" si="30"/>
        <v>23159526.456263155</v>
      </c>
      <c r="AC78" s="49">
        <f t="shared" si="30"/>
        <v>13387.588229603229</v>
      </c>
      <c r="AD78" s="49">
        <f t="shared" si="30"/>
        <v>2312836.6310679405</v>
      </c>
      <c r="AE78" s="49">
        <f t="shared" si="30"/>
        <v>1925349.0681723587</v>
      </c>
      <c r="AF78" s="49">
        <f t="shared" si="30"/>
        <v>2752431.2152336501</v>
      </c>
      <c r="AG78" s="49">
        <f t="shared" si="30"/>
        <v>435561.34937412437</v>
      </c>
      <c r="AH78" s="49">
        <f t="shared" si="30"/>
        <v>49491070.005434684</v>
      </c>
      <c r="AI78" s="49">
        <f t="shared" si="30"/>
        <v>4859330.9878508579</v>
      </c>
      <c r="AJ78" s="49">
        <f t="shared" si="30"/>
        <v>14173290.006965913</v>
      </c>
      <c r="AK78" s="49">
        <f t="shared" si="30"/>
        <v>22197614.577124242</v>
      </c>
      <c r="AL78" s="49">
        <f t="shared" si="30"/>
        <v>25364858.223267149</v>
      </c>
      <c r="AM78" s="49">
        <f t="shared" si="30"/>
        <v>34633258.126701958</v>
      </c>
      <c r="AN78" s="49">
        <f t="shared" si="30"/>
        <v>30051003.222092286</v>
      </c>
      <c r="AO78" s="330">
        <f>SUM(B78:AN78)</f>
        <v>589396543.31224382</v>
      </c>
    </row>
    <row r="79" spans="1:41" x14ac:dyDescent="0.25">
      <c r="A79" s="333" t="s">
        <v>1033</v>
      </c>
      <c r="B79" s="36">
        <f t="shared" ref="B79:AN79" si="31">IF(B14&gt;0,B78/B14,0)</f>
        <v>26.518107448123367</v>
      </c>
      <c r="C79" s="36">
        <f t="shared" si="31"/>
        <v>24.063754594934249</v>
      </c>
      <c r="D79" s="36">
        <f t="shared" si="31"/>
        <v>27.123826836783334</v>
      </c>
      <c r="E79" s="36">
        <f t="shared" si="31"/>
        <v>18.182127191263191</v>
      </c>
      <c r="F79" s="36">
        <f t="shared" si="31"/>
        <v>42.786605525109408</v>
      </c>
      <c r="G79" s="36">
        <f t="shared" si="31"/>
        <v>11.760652034412383</v>
      </c>
      <c r="H79" s="36">
        <f t="shared" si="31"/>
        <v>5.3353024799502036</v>
      </c>
      <c r="I79" s="36">
        <f t="shared" si="31"/>
        <v>43.87198955817292</v>
      </c>
      <c r="J79" s="36">
        <f t="shared" si="31"/>
        <v>38.819825918290476</v>
      </c>
      <c r="K79" s="36">
        <f t="shared" si="31"/>
        <v>29.050655767698039</v>
      </c>
      <c r="L79" s="36">
        <f t="shared" si="31"/>
        <v>0</v>
      </c>
      <c r="M79" s="36">
        <f t="shared" si="31"/>
        <v>7.9257540270696509</v>
      </c>
      <c r="N79" s="36">
        <f t="shared" si="31"/>
        <v>39.794778936648541</v>
      </c>
      <c r="O79" s="36">
        <f t="shared" si="31"/>
        <v>23.97132551689964</v>
      </c>
      <c r="P79" s="36">
        <f t="shared" si="31"/>
        <v>44.315608557887742</v>
      </c>
      <c r="Q79" s="36">
        <f t="shared" si="31"/>
        <v>24.860523954050652</v>
      </c>
      <c r="R79" s="36">
        <f t="shared" si="31"/>
        <v>0</v>
      </c>
      <c r="S79" s="36">
        <f t="shared" si="31"/>
        <v>10.204343791258101</v>
      </c>
      <c r="T79" s="36">
        <f t="shared" si="31"/>
        <v>0</v>
      </c>
      <c r="U79" s="36">
        <f t="shared" si="31"/>
        <v>16.880067001847578</v>
      </c>
      <c r="V79" s="36">
        <f t="shared" si="31"/>
        <v>47.13663735340571</v>
      </c>
      <c r="W79" s="36">
        <f t="shared" si="31"/>
        <v>30.891634687562824</v>
      </c>
      <c r="X79" s="36">
        <f t="shared" si="31"/>
        <v>17.074420919625229</v>
      </c>
      <c r="Y79" s="36">
        <f t="shared" si="31"/>
        <v>40.870248717163442</v>
      </c>
      <c r="Z79" s="36">
        <f t="shared" si="31"/>
        <v>39.508777323658052</v>
      </c>
      <c r="AA79" s="36">
        <f t="shared" si="31"/>
        <v>16.805269521559161</v>
      </c>
      <c r="AB79" s="36">
        <f t="shared" si="31"/>
        <v>24.944907221536301</v>
      </c>
      <c r="AC79" s="36">
        <f t="shared" si="31"/>
        <v>2.9844937711705133</v>
      </c>
      <c r="AD79" s="36">
        <f t="shared" si="31"/>
        <v>43.437984515992937</v>
      </c>
      <c r="AE79" s="36">
        <f t="shared" si="31"/>
        <v>31.178505685996083</v>
      </c>
      <c r="AF79" s="36">
        <f t="shared" si="31"/>
        <v>27.164759742431951</v>
      </c>
      <c r="AG79" s="36">
        <f t="shared" si="31"/>
        <v>23.547318981609688</v>
      </c>
      <c r="AH79" s="36">
        <f t="shared" si="31"/>
        <v>37.777891656973416</v>
      </c>
      <c r="AI79" s="36">
        <f t="shared" si="31"/>
        <v>39.038608157413996</v>
      </c>
      <c r="AJ79" s="36">
        <f t="shared" si="31"/>
        <v>25.787755755307714</v>
      </c>
      <c r="AK79" s="36">
        <f t="shared" si="31"/>
        <v>44.85210154827201</v>
      </c>
      <c r="AL79" s="36">
        <f t="shared" si="31"/>
        <v>25.463469838775271</v>
      </c>
      <c r="AM79" s="36">
        <f t="shared" si="31"/>
        <v>44.739884909005497</v>
      </c>
      <c r="AN79" s="36">
        <f t="shared" si="31"/>
        <v>32.351867377814408</v>
      </c>
      <c r="AO79" s="36">
        <f>AO78/AO14</f>
        <v>33.734073711433595</v>
      </c>
    </row>
    <row r="80" spans="1:41" x14ac:dyDescent="0.25">
      <c r="A80" s="27" t="str">
        <f>IF(remcover&gt;0,"min of "&amp;remcover*100&amp;"% of total crop removal P2O5 and current P2O5","This row is used only when the P rate is based on % of the crop removal rate.")</f>
        <v>This row is used only when the P rate is based on % of the crop removal rate.</v>
      </c>
      <c r="B80" s="49">
        <f>MIN(B78*remcover,B82)</f>
        <v>0</v>
      </c>
      <c r="C80" s="49">
        <f>MIN(C78*remcover,'Fertilizer Rate'!C82)</f>
        <v>0</v>
      </c>
      <c r="D80" s="49">
        <f>MIN(D78*remcover,'Fertilizer Rate'!D82)</f>
        <v>0</v>
      </c>
      <c r="E80" s="49">
        <f>MIN(E78*remcover,'Fertilizer Rate'!E82)</f>
        <v>0</v>
      </c>
      <c r="F80" s="49">
        <f>MIN(F78*remcover,'Fertilizer Rate'!F82)</f>
        <v>0</v>
      </c>
      <c r="G80" s="49">
        <f>MIN(G78*remcover,'Fertilizer Rate'!G82)</f>
        <v>0</v>
      </c>
      <c r="H80" s="49">
        <f>MIN(H78*remcover,'Fertilizer Rate'!H82)</f>
        <v>0</v>
      </c>
      <c r="I80" s="49">
        <f>MIN(I78*remcover,'Fertilizer Rate'!I82)</f>
        <v>0</v>
      </c>
      <c r="J80" s="49">
        <f>MIN(J78*remcover,'Fertilizer Rate'!J82)</f>
        <v>0</v>
      </c>
      <c r="K80" s="49">
        <f>MIN(K78*remcover,'Fertilizer Rate'!K82)</f>
        <v>0</v>
      </c>
      <c r="L80" s="49">
        <f>MIN(L78*remcover,'Fertilizer Rate'!L82)</f>
        <v>0</v>
      </c>
      <c r="M80" s="49">
        <f>MIN(M78*remcover,'Fertilizer Rate'!M82)</f>
        <v>0</v>
      </c>
      <c r="N80" s="49">
        <f>MIN(N78*remcover,'Fertilizer Rate'!N82)</f>
        <v>0</v>
      </c>
      <c r="O80" s="49">
        <f>MIN(O78*remcover,'Fertilizer Rate'!O82)</f>
        <v>0</v>
      </c>
      <c r="P80" s="49">
        <f>MIN(P78*remcover,'Fertilizer Rate'!P82)</f>
        <v>0</v>
      </c>
      <c r="Q80" s="49">
        <f>MIN(Q78*remcover,'Fertilizer Rate'!Q82)</f>
        <v>0</v>
      </c>
      <c r="R80" s="49">
        <f>MIN(R78*remcover,'Fertilizer Rate'!R82)</f>
        <v>0</v>
      </c>
      <c r="S80" s="49">
        <f>MIN(S78*remcover,'Fertilizer Rate'!S82)</f>
        <v>0</v>
      </c>
      <c r="T80" s="49">
        <f>MIN(T78*remcover,'Fertilizer Rate'!T82)</f>
        <v>0</v>
      </c>
      <c r="U80" s="49">
        <f>MIN(U78*remcover,'Fertilizer Rate'!U82)</f>
        <v>0</v>
      </c>
      <c r="V80" s="49">
        <f>MIN(V78*remcover,'Fertilizer Rate'!V82)</f>
        <v>0</v>
      </c>
      <c r="W80" s="49">
        <f>MIN(W78*remcover,'Fertilizer Rate'!W82)</f>
        <v>0</v>
      </c>
      <c r="X80" s="49">
        <f>MIN(X78*remcover,'Fertilizer Rate'!X82)</f>
        <v>0</v>
      </c>
      <c r="Y80" s="49">
        <f>MIN(Y78*remcover,'Fertilizer Rate'!Y82)</f>
        <v>0</v>
      </c>
      <c r="Z80" s="49">
        <f>MIN(Z78*remcover,'Fertilizer Rate'!Z82)</f>
        <v>0</v>
      </c>
      <c r="AA80" s="49">
        <f>MIN(AA78*remcover,'Fertilizer Rate'!AA82)</f>
        <v>0</v>
      </c>
      <c r="AB80" s="49">
        <f>MIN(AB78*remcover,'Fertilizer Rate'!AB82)</f>
        <v>0</v>
      </c>
      <c r="AC80" s="49">
        <f>MIN(AC78*remcover,'Fertilizer Rate'!AC82)</f>
        <v>0</v>
      </c>
      <c r="AD80" s="49">
        <f>MIN(AD78*remcover,'Fertilizer Rate'!AD82)</f>
        <v>0</v>
      </c>
      <c r="AE80" s="49">
        <f>MIN(AE78*remcover,'Fertilizer Rate'!AE82)</f>
        <v>0</v>
      </c>
      <c r="AF80" s="49">
        <f>MIN(AF78*remcover,'Fertilizer Rate'!AF82)</f>
        <v>0</v>
      </c>
      <c r="AG80" s="49">
        <f>MIN(AG78*remcover,'Fertilizer Rate'!AG82)</f>
        <v>0</v>
      </c>
      <c r="AH80" s="49">
        <f>MIN(AH78*remcover,'Fertilizer Rate'!AH82)</f>
        <v>0</v>
      </c>
      <c r="AI80" s="49">
        <f>MIN(AI78*remcover,'Fertilizer Rate'!AI82)</f>
        <v>0</v>
      </c>
      <c r="AJ80" s="49">
        <f>MIN(AJ78*remcover,'Fertilizer Rate'!AJ82)</f>
        <v>0</v>
      </c>
      <c r="AK80" s="49">
        <f>MIN(AK78*remcover,'Fertilizer Rate'!AK82)</f>
        <v>0</v>
      </c>
      <c r="AL80" s="49">
        <f>MIN(AL78*remcover,'Fertilizer Rate'!AL82)</f>
        <v>0</v>
      </c>
      <c r="AM80" s="49">
        <f>MIN(AM78*remcover,'Fertilizer Rate'!AM82)</f>
        <v>0</v>
      </c>
      <c r="AN80" s="49">
        <f>MIN(AN78*remcover,'Fertilizer Rate'!AN82)</f>
        <v>0</v>
      </c>
      <c r="AO80" s="330">
        <f>SUM(B80:AN80)</f>
        <v>0</v>
      </c>
    </row>
    <row r="81" spans="1:45" s="49" customFormat="1" x14ac:dyDescent="0.25">
      <c r="A81" s="51" t="s">
        <v>613</v>
      </c>
      <c r="B81" s="51">
        <f t="shared" ref="B81:AN81" si="32">B33</f>
        <v>10813424.169480119</v>
      </c>
      <c r="C81" s="51">
        <f t="shared" si="32"/>
        <v>664019.49986972299</v>
      </c>
      <c r="D81" s="51">
        <f t="shared" si="32"/>
        <v>3450375.2291808981</v>
      </c>
      <c r="E81" s="51">
        <f t="shared" si="32"/>
        <v>4066228.5004405915</v>
      </c>
      <c r="F81" s="51">
        <f t="shared" si="32"/>
        <v>10456728.043749904</v>
      </c>
      <c r="G81" s="51">
        <f t="shared" si="32"/>
        <v>7955.5512224865297</v>
      </c>
      <c r="H81" s="51">
        <f t="shared" si="32"/>
        <v>3602458.5145915225</v>
      </c>
      <c r="I81" s="51">
        <f t="shared" si="32"/>
        <v>17605022.103988592</v>
      </c>
      <c r="J81" s="51">
        <f t="shared" si="32"/>
        <v>4974517.4327364191</v>
      </c>
      <c r="K81" s="51">
        <f t="shared" si="32"/>
        <v>8129056.5569720725</v>
      </c>
      <c r="L81" s="51">
        <f t="shared" si="32"/>
        <v>107466.81204203748</v>
      </c>
      <c r="M81" s="51">
        <f t="shared" si="32"/>
        <v>2100927.9748904807</v>
      </c>
      <c r="N81" s="51">
        <f t="shared" si="32"/>
        <v>7549139.3195687486</v>
      </c>
      <c r="O81" s="51">
        <f t="shared" si="32"/>
        <v>8770554.0655898657</v>
      </c>
      <c r="P81" s="51">
        <f t="shared" si="32"/>
        <v>2433903.9900470376</v>
      </c>
      <c r="Q81" s="51">
        <f t="shared" si="32"/>
        <v>2481626.3670668858</v>
      </c>
      <c r="R81" s="51">
        <f t="shared" si="32"/>
        <v>1685.0952361728698</v>
      </c>
      <c r="S81" s="51">
        <f t="shared" si="32"/>
        <v>1262263.5923231228</v>
      </c>
      <c r="T81" s="51">
        <f t="shared" si="32"/>
        <v>2022.7211144638916</v>
      </c>
      <c r="U81" s="51">
        <f t="shared" si="32"/>
        <v>759357.72470939637</v>
      </c>
      <c r="V81" s="51">
        <f t="shared" si="32"/>
        <v>617851.19211699744</v>
      </c>
      <c r="W81" s="51">
        <f t="shared" si="32"/>
        <v>5502743.2673436403</v>
      </c>
      <c r="X81" s="51">
        <f t="shared" si="32"/>
        <v>399486.60262428969</v>
      </c>
      <c r="Y81" s="51">
        <f t="shared" si="32"/>
        <v>6144242.3555048089</v>
      </c>
      <c r="Z81" s="51">
        <f t="shared" si="32"/>
        <v>17532901.295520213</v>
      </c>
      <c r="AA81" s="51">
        <f t="shared" si="32"/>
        <v>1968978.3574971238</v>
      </c>
      <c r="AB81" s="51">
        <f t="shared" si="32"/>
        <v>10928413.458579695</v>
      </c>
      <c r="AC81" s="51">
        <f t="shared" si="32"/>
        <v>65747.762055861909</v>
      </c>
      <c r="AD81" s="51">
        <f t="shared" si="32"/>
        <v>529114.39927785378</v>
      </c>
      <c r="AE81" s="51">
        <f t="shared" si="32"/>
        <v>716518.6304515861</v>
      </c>
      <c r="AF81" s="51">
        <f t="shared" si="32"/>
        <v>1248620.5490588816</v>
      </c>
      <c r="AG81" s="51">
        <f t="shared" si="32"/>
        <v>233851.85071857876</v>
      </c>
      <c r="AH81" s="51">
        <f t="shared" si="32"/>
        <v>14820697.731985025</v>
      </c>
      <c r="AI81" s="51">
        <f t="shared" si="32"/>
        <v>1295247.0821799235</v>
      </c>
      <c r="AJ81" s="51">
        <f t="shared" si="32"/>
        <v>5166814.2750367522</v>
      </c>
      <c r="AK81" s="51">
        <f t="shared" si="32"/>
        <v>5128745.091407462</v>
      </c>
      <c r="AL81" s="51">
        <f t="shared" si="32"/>
        <v>10015686.075141201</v>
      </c>
      <c r="AM81" s="51">
        <f t="shared" si="32"/>
        <v>8015777.6224749368</v>
      </c>
      <c r="AN81" s="51">
        <f t="shared" si="32"/>
        <v>9697464.4929912612</v>
      </c>
      <c r="AO81" s="330"/>
      <c r="AR81" s="49">
        <v>286786400</v>
      </c>
      <c r="AS81" t="s">
        <v>1027</v>
      </c>
    </row>
    <row r="82" spans="1:45" s="49" customFormat="1" x14ac:dyDescent="0.25">
      <c r="A82" s="51" t="s">
        <v>612</v>
      </c>
      <c r="B82" s="51">
        <f>B81*'Fertilizer Rate'!$AR$83</f>
        <v>16384961.873657148</v>
      </c>
      <c r="C82" s="51">
        <f>C81*'Fertilizer Rate'!$AR$83</f>
        <v>1006150.6899394457</v>
      </c>
      <c r="D82" s="51">
        <f>D81*'Fertilizer Rate'!$AR$83</f>
        <v>5228155.8268566541</v>
      </c>
      <c r="E82" s="51">
        <f>E81*'Fertilizer Rate'!$AR$83</f>
        <v>6161322.991226037</v>
      </c>
      <c r="F82" s="51">
        <f>F81*'Fertilizer Rate'!$AR$83</f>
        <v>15844480.678341959</v>
      </c>
      <c r="G82" s="51">
        <f>G81*'Fertilizer Rate'!$AR$83</f>
        <v>12054.590795788165</v>
      </c>
      <c r="H82" s="51">
        <f>H81*'Fertilizer Rate'!$AR$83</f>
        <v>5458598.9126006402</v>
      </c>
      <c r="I82" s="51">
        <f>I81*'Fertilizer Rate'!$AR$83</f>
        <v>26675880.964041822</v>
      </c>
      <c r="J82" s="51">
        <f>J81*'Fertilizer Rate'!$AR$83</f>
        <v>7537601.1518419636</v>
      </c>
      <c r="K82" s="51">
        <f>K81*'Fertilizer Rate'!$AR$83</f>
        <v>12317493.484692711</v>
      </c>
      <c r="L82" s="51">
        <f>L81*'Fertilizer Rate'!$AR$83</f>
        <v>162838.30083740436</v>
      </c>
      <c r="M82" s="51">
        <f>M81*'Fertilizer Rate'!$AR$83</f>
        <v>3183415.7458687066</v>
      </c>
      <c r="N82" s="51">
        <f>N81*'Fertilizer Rate'!$AR$83</f>
        <v>11438778.132755596</v>
      </c>
      <c r="O82" s="51">
        <f>O81*'Fertilizer Rate'!$AR$83</f>
        <v>13289517.892133849</v>
      </c>
      <c r="P82" s="51">
        <f>P81*'Fertilizer Rate'!$AR$83</f>
        <v>3687955.2171474672</v>
      </c>
      <c r="Q82" s="51">
        <f>Q81*'Fertilizer Rate'!$AR$83</f>
        <v>3760266.1998422388</v>
      </c>
      <c r="R82" s="51">
        <f>R81*'Fertilizer Rate'!$AR$83</f>
        <v>2553.3282303029446</v>
      </c>
      <c r="S82" s="51">
        <f>S81*'Fertilizer Rate'!$AR$83</f>
        <v>1912635.6749320249</v>
      </c>
      <c r="T82" s="51">
        <f>T81*'Fertilizer Rate'!$AR$83</f>
        <v>3064.9133726829059</v>
      </c>
      <c r="U82" s="51">
        <f>U81*'Fertilizer Rate'!$AR$83</f>
        <v>1150611.2377379052</v>
      </c>
      <c r="V82" s="51">
        <f>V81*'Fertilizer Rate'!$AR$83</f>
        <v>936194.49933381565</v>
      </c>
      <c r="W82" s="51">
        <f>W81*'Fertilizer Rate'!$AR$83</f>
        <v>8337991.4838098763</v>
      </c>
      <c r="X82" s="51">
        <f>X81*'Fertilizer Rate'!$AR$83</f>
        <v>605319.15242075489</v>
      </c>
      <c r="Y82" s="51">
        <f>Y81*'Fertilizer Rate'!$AR$83</f>
        <v>9310018.2846425585</v>
      </c>
      <c r="Z82" s="51">
        <f>Z81*'Fertilizer Rate'!$AR$83</f>
        <v>26566600.436566819</v>
      </c>
      <c r="AA82" s="51">
        <f>AA81*'Fertilizer Rate'!$AR$83</f>
        <v>2983480.0533120586</v>
      </c>
      <c r="AB82" s="51">
        <f>AB81*'Fertilizer Rate'!$AR$83</f>
        <v>16559198.5528298</v>
      </c>
      <c r="AC82" s="51">
        <f>AC81*'Fertilizer Rate'!$AR$83</f>
        <v>99623.815516650735</v>
      </c>
      <c r="AD82" s="51">
        <f>AD81*'Fertilizer Rate'!$AR$83</f>
        <v>801736.72308532475</v>
      </c>
      <c r="AE82" s="51">
        <f>AE81*'Fertilizer Rate'!$AR$83</f>
        <v>1085699.6135275722</v>
      </c>
      <c r="AF82" s="51">
        <f>AF81*'Fertilizer Rate'!$AR$83</f>
        <v>1891963.1534234199</v>
      </c>
      <c r="AG82" s="51">
        <f>AG81*'Fertilizer Rate'!$AR$83</f>
        <v>354342.30619775015</v>
      </c>
      <c r="AH82" s="51">
        <f>AH81*'Fertilizer Rate'!$AR$83</f>
        <v>22456953.826425783</v>
      </c>
      <c r="AI82" s="51">
        <f>AI81*'Fertilizer Rate'!$AR$83</f>
        <v>1962613.6666665173</v>
      </c>
      <c r="AJ82" s="51">
        <f>AJ81*'Fertilizer Rate'!$AR$83</f>
        <v>7828977.535504817</v>
      </c>
      <c r="AK82" s="51">
        <f>AK81*'Fertilizer Rate'!$AR$83</f>
        <v>7771293.4834829168</v>
      </c>
      <c r="AL82" s="51">
        <f>AL81*'Fertilizer Rate'!$AR$83</f>
        <v>15176195.061586788</v>
      </c>
      <c r="AM82" s="51">
        <f>AM81*'Fertilizer Rate'!$AR$83</f>
        <v>12145848.407820331</v>
      </c>
      <c r="AN82" s="51">
        <f>AN81*'Fertilizer Rate'!$AR$83</f>
        <v>14694012.136994058</v>
      </c>
      <c r="AO82" s="330">
        <f>SUM(B82:AN82)</f>
        <v>286786400</v>
      </c>
      <c r="AR82" t="s">
        <v>594</v>
      </c>
      <c r="AS82"/>
    </row>
    <row r="83" spans="1:45" s="49" customFormat="1" x14ac:dyDescent="0.25">
      <c r="A83" s="51" t="s">
        <v>611</v>
      </c>
      <c r="B83" s="51">
        <f>B82/Parameters!$C$13</f>
        <v>37545742.148618579</v>
      </c>
      <c r="C83" s="51">
        <f>C82/Parameters!$C$13</f>
        <v>2305569.86695565</v>
      </c>
      <c r="D83" s="51">
        <f>D82/Parameters!$C$13</f>
        <v>11980192.087205898</v>
      </c>
      <c r="E83" s="51">
        <f>E82/Parameters!$C$13</f>
        <v>14118521.978061495</v>
      </c>
      <c r="F83" s="51">
        <f>F82/Parameters!$C$13</f>
        <v>36307242.617648847</v>
      </c>
      <c r="G83" s="51">
        <f>G82/Parameters!$C$13</f>
        <v>27622.802006847305</v>
      </c>
      <c r="H83" s="51">
        <f>H82/Parameters!$C$13</f>
        <v>12508246.820808066</v>
      </c>
      <c r="I83" s="51">
        <f>I82/Parameters!$C$13</f>
        <v>61127133.281489052</v>
      </c>
      <c r="J83" s="51">
        <f>J82/Parameters!$C$13</f>
        <v>17272229.953808349</v>
      </c>
      <c r="K83" s="51">
        <f>K82/Parameters!$C$13</f>
        <v>28225237.132659741</v>
      </c>
      <c r="L83" s="51">
        <f>L82/Parameters!$C$13</f>
        <v>373140.01108479459</v>
      </c>
      <c r="M83" s="51">
        <f>M82/Parameters!$C$13</f>
        <v>7294719.8576276498</v>
      </c>
      <c r="N83" s="51">
        <f>N82/Parameters!$C$13</f>
        <v>26211682.247377627</v>
      </c>
      <c r="O83" s="51">
        <f>O82/Parameters!$C$13</f>
        <v>30452607.45218572</v>
      </c>
      <c r="P83" s="51">
        <f>P82/Parameters!$C$13</f>
        <v>8450859.8009795304</v>
      </c>
      <c r="Q83" s="51">
        <f>Q82/Parameters!$C$13</f>
        <v>8616558.6614166796</v>
      </c>
      <c r="R83" s="51">
        <f>R82/Parameters!$C$13</f>
        <v>5850.8896203092218</v>
      </c>
      <c r="S83" s="51">
        <f>S82/Parameters!$C$13</f>
        <v>4382758.1918699015</v>
      </c>
      <c r="T83" s="51">
        <f>T82/Parameters!$C$13</f>
        <v>7023.1745478526718</v>
      </c>
      <c r="U83" s="51">
        <f>U82/Parameters!$C$13</f>
        <v>2636597.7033407544</v>
      </c>
      <c r="V83" s="51">
        <f>V82/Parameters!$C$13</f>
        <v>2145266.9553937111</v>
      </c>
      <c r="W83" s="51">
        <f>W82/Parameters!$C$13</f>
        <v>19106304.958317772</v>
      </c>
      <c r="X83" s="51">
        <f>X82/Parameters!$C$13</f>
        <v>1387074.1347863311</v>
      </c>
      <c r="Y83" s="51">
        <f>Y82/Parameters!$C$13</f>
        <v>21333680.762242343</v>
      </c>
      <c r="Z83" s="51">
        <f>Z82/Parameters!$C$13</f>
        <v>60876719.607165024</v>
      </c>
      <c r="AA83" s="51">
        <f>AA82/Parameters!$C$13</f>
        <v>6836572.0745005924</v>
      </c>
      <c r="AB83" s="51">
        <f>AB82/Parameters!$C$13</f>
        <v>37945001.26679606</v>
      </c>
      <c r="AC83" s="51">
        <f>AC82/Parameters!$C$13</f>
        <v>228285.55342953879</v>
      </c>
      <c r="AD83" s="51">
        <f>AD82/Parameters!$C$13</f>
        <v>1837160.2270516148</v>
      </c>
      <c r="AE83" s="51">
        <f>AE82/Parameters!$C$13</f>
        <v>2487854.2931429246</v>
      </c>
      <c r="AF83" s="51">
        <f>AF82/Parameters!$C$13</f>
        <v>4335387.6109610908</v>
      </c>
      <c r="AG83" s="51">
        <f>AG82/Parameters!$C$13</f>
        <v>811966.78780419368</v>
      </c>
      <c r="AH83" s="51">
        <f>AH82/Parameters!$C$13</f>
        <v>51459564.221873932</v>
      </c>
      <c r="AI83" s="51">
        <f>AI82/Parameters!$C$13</f>
        <v>4497281.5459819371</v>
      </c>
      <c r="AJ83" s="51">
        <f>AJ82/Parameters!$C$13</f>
        <v>17939911.859543577</v>
      </c>
      <c r="AK83" s="51">
        <f>AK82/Parameters!$C$13</f>
        <v>17807730.255460396</v>
      </c>
      <c r="AL83" s="51">
        <f>AL82/Parameters!$C$13</f>
        <v>34775882.359273113</v>
      </c>
      <c r="AM83" s="51">
        <f>AM82/Parameters!$C$13</f>
        <v>27831916.608204242</v>
      </c>
      <c r="AN83" s="51">
        <f>AN82/Parameters!$C$13</f>
        <v>33670971.899619751</v>
      </c>
      <c r="AO83" s="330">
        <f>SUM(B83:AN83)</f>
        <v>657164069.66086149</v>
      </c>
      <c r="AR83" s="97">
        <v>1.5152426850971199</v>
      </c>
    </row>
    <row r="84" spans="1:45" s="49" customFormat="1" x14ac:dyDescent="0.25">
      <c r="A84" s="51" t="s">
        <v>610</v>
      </c>
      <c r="B84" s="51">
        <f>B6*Watersheds!B123</f>
        <v>1183611.8269754259</v>
      </c>
      <c r="C84" s="51">
        <f>C6*Watersheds!C123</f>
        <v>95754.758676922065</v>
      </c>
      <c r="D84" s="51">
        <f>D6*Watersheds!D123</f>
        <v>384363.31644598179</v>
      </c>
      <c r="E84" s="51">
        <f>E6*Watersheds!E123</f>
        <v>526499.4754478957</v>
      </c>
      <c r="F84" s="51">
        <f>F6*Watersheds!F123</f>
        <v>1087765.8836466991</v>
      </c>
      <c r="G84" s="51">
        <f>G6*Watersheds!G123</f>
        <v>21773.538325770438</v>
      </c>
      <c r="H84" s="51">
        <f>H6*Watersheds!H123</f>
        <v>476975.34015582805</v>
      </c>
      <c r="I84" s="51">
        <f>I6*Watersheds!I123</f>
        <v>1782881.9850823716</v>
      </c>
      <c r="J84" s="51">
        <f>J6*Watersheds!J123</f>
        <v>458429.5700289816</v>
      </c>
      <c r="K84" s="51">
        <f>K6*Watersheds!K123</f>
        <v>819176.20611457271</v>
      </c>
      <c r="L84" s="51">
        <f>L6*Watersheds!L123</f>
        <v>49840.38319707138</v>
      </c>
      <c r="M84" s="51">
        <f>M6*Watersheds!M123</f>
        <v>264659.08028609771</v>
      </c>
      <c r="N84" s="51">
        <f>N6*Watersheds!N123</f>
        <v>769733.41808108822</v>
      </c>
      <c r="O84" s="51">
        <f>O6*Watersheds!O123</f>
        <v>828673.71056960034</v>
      </c>
      <c r="P84" s="51">
        <f>P6*Watersheds!P123</f>
        <v>241824.56323169585</v>
      </c>
      <c r="Q84" s="51">
        <f>Q6*Watersheds!Q123</f>
        <v>246814.27028150437</v>
      </c>
      <c r="R84" s="51">
        <f>R6*Watersheds!R123</f>
        <v>4285.7491912003497</v>
      </c>
      <c r="S84" s="51">
        <f>S6*Watersheds!S123</f>
        <v>178246.72078017835</v>
      </c>
      <c r="T84" s="51">
        <f>T6*Watersheds!T123</f>
        <v>6495.4972264640001</v>
      </c>
      <c r="U84" s="51">
        <f>U6*Watersheds!U123</f>
        <v>106361.17112664781</v>
      </c>
      <c r="V84" s="51">
        <f>V6*Watersheds!V123</f>
        <v>64243.015453628868</v>
      </c>
      <c r="W84" s="51">
        <f>W6*Watersheds!W123</f>
        <v>534860.91880764207</v>
      </c>
      <c r="X84" s="51">
        <f>X6*Watersheds!X123</f>
        <v>72691.488463081871</v>
      </c>
      <c r="Y84" s="51">
        <f>Y6*Watersheds!Y123</f>
        <v>578435.98666543269</v>
      </c>
      <c r="Z84" s="51">
        <f>Z6*Watersheds!Z123</f>
        <v>1740522.0190968886</v>
      </c>
      <c r="AA84" s="51">
        <f>AA6*Watersheds!AA123</f>
        <v>310501.91638817242</v>
      </c>
      <c r="AB84" s="51">
        <f>AB6*Watersheds!AB123</f>
        <v>1118256.7685890032</v>
      </c>
      <c r="AC84" s="51">
        <f>AC6*Watersheds!AC123</f>
        <v>46608.093375328011</v>
      </c>
      <c r="AD84" s="51">
        <f>AD6*Watersheds!AD123</f>
        <v>54441.211277657247</v>
      </c>
      <c r="AE84" s="51">
        <f>AE6*Watersheds!AE123</f>
        <v>65663.160762143409</v>
      </c>
      <c r="AF84" s="51">
        <f>AF6*Watersheds!AF123</f>
        <v>130947.11348153764</v>
      </c>
      <c r="AG84" s="51">
        <f>AG6*Watersheds!AG123</f>
        <v>25765.811486446426</v>
      </c>
      <c r="AH84" s="51">
        <f>AH6*Watersheds!AH123</f>
        <v>1340660.9713842301</v>
      </c>
      <c r="AI84" s="51">
        <f>AI6*Watersheds!AI123</f>
        <v>128358.10151161565</v>
      </c>
      <c r="AJ84" s="51">
        <f>AJ6*Watersheds!AJ123</f>
        <v>574366.93169227615</v>
      </c>
      <c r="AK84" s="51">
        <f>AK6*Watersheds!AK123</f>
        <v>522509.1045987652</v>
      </c>
      <c r="AL84" s="51">
        <f>AL6*Watersheds!AL123</f>
        <v>1064528.7062601969</v>
      </c>
      <c r="AM84" s="51">
        <f>AM6*Watersheds!AM123</f>
        <v>790004.66459855286</v>
      </c>
      <c r="AN84" s="51">
        <f>AN6*Watersheds!AN123</f>
        <v>949734.58489426749</v>
      </c>
      <c r="AO84" s="330">
        <f>SUM(B84:AN84)</f>
        <v>19647267.033658866</v>
      </c>
      <c r="AP84" s="49">
        <f>AO83/AO84</f>
        <v>33.448116144349022</v>
      </c>
    </row>
    <row r="85" spans="1:45" x14ac:dyDescent="0.25">
      <c r="A85" s="324" t="s">
        <v>879</v>
      </c>
      <c r="B85" s="331">
        <f t="shared" ref="B85:AN85" si="33">IFERROR(B82/B84,0)</f>
        <v>13.843188704464788</v>
      </c>
      <c r="C85" s="331">
        <f t="shared" si="33"/>
        <v>10.507578984499482</v>
      </c>
      <c r="D85" s="331">
        <f t="shared" si="33"/>
        <v>13.602119669480519</v>
      </c>
      <c r="E85" s="331">
        <f t="shared" si="33"/>
        <v>11.702429496220427</v>
      </c>
      <c r="F85" s="331">
        <f t="shared" si="33"/>
        <v>14.56607613508144</v>
      </c>
      <c r="G85" s="331">
        <f t="shared" si="33"/>
        <v>0.55363490377311575</v>
      </c>
      <c r="H85" s="331">
        <f t="shared" si="33"/>
        <v>11.444195229919671</v>
      </c>
      <c r="I85" s="331">
        <f t="shared" si="33"/>
        <v>14.962224750287865</v>
      </c>
      <c r="J85" s="331">
        <f t="shared" si="33"/>
        <v>16.44222285086331</v>
      </c>
      <c r="K85" s="331">
        <f t="shared" si="33"/>
        <v>15.03643952638188</v>
      </c>
      <c r="L85" s="331">
        <f t="shared" si="33"/>
        <v>3.2671960043632398</v>
      </c>
      <c r="M85" s="331">
        <f t="shared" si="33"/>
        <v>12.028363970839086</v>
      </c>
      <c r="N85" s="331">
        <f t="shared" si="33"/>
        <v>14.860700944064465</v>
      </c>
      <c r="O85" s="331">
        <f t="shared" si="33"/>
        <v>16.037093638458874</v>
      </c>
      <c r="P85" s="331">
        <f t="shared" si="33"/>
        <v>15.250540176160602</v>
      </c>
      <c r="Q85" s="331">
        <f t="shared" si="33"/>
        <v>15.235205790789413</v>
      </c>
      <c r="R85" s="331">
        <f t="shared" si="33"/>
        <v>0.59577173474022405</v>
      </c>
      <c r="S85" s="331">
        <f t="shared" si="33"/>
        <v>10.730271314728817</v>
      </c>
      <c r="T85" s="331">
        <f t="shared" si="33"/>
        <v>0.47185200236801189</v>
      </c>
      <c r="U85" s="331">
        <f t="shared" si="33"/>
        <v>10.817963224265686</v>
      </c>
      <c r="V85" s="331">
        <f t="shared" si="33"/>
        <v>14.572704794804791</v>
      </c>
      <c r="W85" s="331">
        <f t="shared" si="33"/>
        <v>15.589083424523974</v>
      </c>
      <c r="X85" s="331">
        <f t="shared" si="33"/>
        <v>8.3272356257800499</v>
      </c>
      <c r="Y85" s="331">
        <f t="shared" si="33"/>
        <v>16.095157457807812</v>
      </c>
      <c r="Z85" s="331">
        <f t="shared" si="33"/>
        <v>15.263581928340978</v>
      </c>
      <c r="AA85" s="331">
        <f t="shared" si="33"/>
        <v>9.60857210807767</v>
      </c>
      <c r="AB85" s="331">
        <f t="shared" si="33"/>
        <v>14.808046790294778</v>
      </c>
      <c r="AC85" s="331">
        <f t="shared" si="33"/>
        <v>2.1374788862182159</v>
      </c>
      <c r="AD85" s="331">
        <f t="shared" si="33"/>
        <v>14.726651084164226</v>
      </c>
      <c r="AE85" s="331">
        <f t="shared" si="33"/>
        <v>16.534379413448942</v>
      </c>
      <c r="AF85" s="331">
        <f t="shared" si="33"/>
        <v>14.448299799217564</v>
      </c>
      <c r="AG85" s="331">
        <f t="shared" si="33"/>
        <v>13.752421746318552</v>
      </c>
      <c r="AH85" s="331">
        <f t="shared" si="33"/>
        <v>16.750658298972496</v>
      </c>
      <c r="AI85" s="331">
        <f t="shared" si="33"/>
        <v>15.290142527457936</v>
      </c>
      <c r="AJ85" s="331">
        <f t="shared" si="33"/>
        <v>13.630620259488204</v>
      </c>
      <c r="AK85" s="331">
        <f t="shared" si="33"/>
        <v>14.87302980002711</v>
      </c>
      <c r="AL85" s="331">
        <f t="shared" si="33"/>
        <v>14.25625722663918</v>
      </c>
      <c r="AM85" s="331">
        <f t="shared" si="33"/>
        <v>15.374400876471205</v>
      </c>
      <c r="AN85" s="331">
        <f t="shared" si="33"/>
        <v>15.471703748295026</v>
      </c>
    </row>
    <row r="86" spans="1:45" x14ac:dyDescent="0.25">
      <c r="A86" s="21" t="s">
        <v>103</v>
      </c>
      <c r="B86" s="31">
        <f>VLOOKUP(B85*Parameters!$C$18,Parameters!$A$3:$B$8,2,TRUE)</f>
        <v>2</v>
      </c>
      <c r="C86" s="31">
        <f>VLOOKUP(C85*Parameters!$C$18,Parameters!$A$3:$B$8,2,TRUE)</f>
        <v>1</v>
      </c>
      <c r="D86" s="31">
        <f>VLOOKUP(D85*Parameters!$C$18,Parameters!$A$3:$B$8,2,TRUE)</f>
        <v>2</v>
      </c>
      <c r="E86" s="31">
        <f>VLOOKUP(E85*Parameters!$C$18,Parameters!$A$3:$B$8,2,TRUE)</f>
        <v>1</v>
      </c>
      <c r="F86" s="31">
        <f>VLOOKUP(F85*Parameters!$C$18,Parameters!$A$3:$B$8,2,TRUE)</f>
        <v>2</v>
      </c>
      <c r="G86" s="31">
        <f>VLOOKUP(G85*Parameters!$C$18,Parameters!$A$3:$B$8,2,TRUE)</f>
        <v>0</v>
      </c>
      <c r="H86" s="31">
        <f>VLOOKUP(H85*Parameters!$C$18,Parameters!$A$3:$B$8,2,TRUE)</f>
        <v>1</v>
      </c>
      <c r="I86" s="31">
        <f>VLOOKUP(I85*Parameters!$C$18,Parameters!$A$3:$B$8,2,TRUE)</f>
        <v>2</v>
      </c>
      <c r="J86" s="31">
        <f>VLOOKUP(J85*Parameters!$C$18,Parameters!$A$3:$B$8,2,TRUE)</f>
        <v>2</v>
      </c>
      <c r="K86" s="31">
        <f>VLOOKUP(K85*Parameters!$C$18,Parameters!$A$3:$B$8,2,TRUE)</f>
        <v>2</v>
      </c>
      <c r="L86" s="31">
        <f>VLOOKUP(L85*Parameters!$C$18,Parameters!$A$3:$B$8,2,TRUE)</f>
        <v>0</v>
      </c>
      <c r="M86" s="31">
        <f>VLOOKUP(M85*Parameters!$C$18,Parameters!$A$3:$B$8,2,TRUE)</f>
        <v>1</v>
      </c>
      <c r="N86" s="31">
        <f>VLOOKUP(N85*Parameters!$C$18,Parameters!$A$3:$B$8,2,TRUE)</f>
        <v>2</v>
      </c>
      <c r="O86" s="31">
        <f>VLOOKUP(O85*Parameters!$C$18,Parameters!$A$3:$B$8,2,TRUE)</f>
        <v>2</v>
      </c>
      <c r="P86" s="31">
        <f>VLOOKUP(P85*Parameters!$C$18,Parameters!$A$3:$B$8,2,TRUE)</f>
        <v>2</v>
      </c>
      <c r="Q86" s="31">
        <f>VLOOKUP(Q85*Parameters!$C$18,Parameters!$A$3:$B$8,2,TRUE)</f>
        <v>2</v>
      </c>
      <c r="R86" s="31">
        <f>VLOOKUP(R85*Parameters!$C$18,Parameters!$A$3:$B$8,2,TRUE)</f>
        <v>0</v>
      </c>
      <c r="S86" s="31">
        <f>VLOOKUP(S85*Parameters!$C$18,Parameters!$A$3:$B$8,2,TRUE)</f>
        <v>1</v>
      </c>
      <c r="T86" s="31">
        <f>VLOOKUP(T85*Parameters!$C$18,Parameters!$A$3:$B$8,2,TRUE)</f>
        <v>0</v>
      </c>
      <c r="U86" s="31">
        <f>VLOOKUP(U85*Parameters!$C$18,Parameters!$A$3:$B$8,2,TRUE)</f>
        <v>1</v>
      </c>
      <c r="V86" s="31">
        <f>VLOOKUP(V85*Parameters!$C$18,Parameters!$A$3:$B$8,2,TRUE)</f>
        <v>2</v>
      </c>
      <c r="W86" s="31">
        <f>VLOOKUP(W85*Parameters!$C$18,Parameters!$A$3:$B$8,2,TRUE)</f>
        <v>2</v>
      </c>
      <c r="X86" s="31">
        <f>VLOOKUP(X85*Parameters!$C$18,Parameters!$A$3:$B$8,2,TRUE)</f>
        <v>1</v>
      </c>
      <c r="Y86" s="31">
        <f>VLOOKUP(Y85*Parameters!$C$18,Parameters!$A$3:$B$8,2,TRUE)</f>
        <v>2</v>
      </c>
      <c r="Z86" s="31">
        <f>VLOOKUP(Z85*Parameters!$C$18,Parameters!$A$3:$B$8,2,TRUE)</f>
        <v>2</v>
      </c>
      <c r="AA86" s="31">
        <f>VLOOKUP(AA85*Parameters!$C$18,Parameters!$A$3:$B$8,2,TRUE)</f>
        <v>1</v>
      </c>
      <c r="AB86" s="31">
        <f>VLOOKUP(AB85*Parameters!$C$18,Parameters!$A$3:$B$8,2,TRUE)</f>
        <v>2</v>
      </c>
      <c r="AC86" s="31">
        <f>VLOOKUP(AC85*Parameters!$C$18,Parameters!$A$3:$B$8,2,TRUE)</f>
        <v>0</v>
      </c>
      <c r="AD86" s="31">
        <f>VLOOKUP(AD85*Parameters!$C$18,Parameters!$A$3:$B$8,2,TRUE)</f>
        <v>2</v>
      </c>
      <c r="AE86" s="31">
        <f>VLOOKUP(AE85*Parameters!$C$18,Parameters!$A$3:$B$8,2,TRUE)</f>
        <v>2</v>
      </c>
      <c r="AF86" s="31">
        <f>VLOOKUP(AF85*Parameters!$C$18,Parameters!$A$3:$B$8,2,TRUE)</f>
        <v>2</v>
      </c>
      <c r="AG86" s="31">
        <f>VLOOKUP(AG85*Parameters!$C$18,Parameters!$A$3:$B$8,2,TRUE)</f>
        <v>2</v>
      </c>
      <c r="AH86" s="31">
        <f>VLOOKUP(AH85*Parameters!$C$18,Parameters!$A$3:$B$8,2,TRUE)</f>
        <v>2</v>
      </c>
      <c r="AI86" s="31">
        <f>VLOOKUP(AI85*Parameters!$C$18,Parameters!$A$3:$B$8,2,TRUE)</f>
        <v>2</v>
      </c>
      <c r="AJ86" s="31">
        <f>VLOOKUP(AJ85*Parameters!$C$18,Parameters!$A$3:$B$8,2,TRUE)</f>
        <v>2</v>
      </c>
      <c r="AK86" s="31">
        <f>VLOOKUP(AK85*Parameters!$C$18,Parameters!$A$3:$B$8,2,TRUE)</f>
        <v>2</v>
      </c>
      <c r="AL86" s="31">
        <f>VLOOKUP(AL85*Parameters!$C$18,Parameters!$A$3:$B$8,2,TRUE)</f>
        <v>2</v>
      </c>
      <c r="AM86" s="31">
        <f>VLOOKUP(AM85*Parameters!$C$18,Parameters!$A$3:$B$8,2,TRUE)</f>
        <v>2</v>
      </c>
      <c r="AN86" s="31">
        <f>VLOOKUP(AN85*Parameters!$C$18,Parameters!$A$3:$B$8,2,TRUE)</f>
        <v>2</v>
      </c>
    </row>
    <row r="87" spans="1:45" x14ac:dyDescent="0.25">
      <c r="A87" s="56" t="s">
        <v>101</v>
      </c>
      <c r="B87" s="54">
        <f>VLOOKUP(B85*Parameters!$C$18, Parameters!$E$3:$G$8, 2, TRUE)+VLOOKUP(B85*Parameters!$C$18, Parameters!$E$3:$G$8, 3, TRUE)*(B85*Parameters!$C$18-VLOOKUP(B85*Parameters!$C$18, Parameters!$E$3:$G$8, 1, TRUE))</f>
        <v>2.5052678324049156</v>
      </c>
      <c r="C87" s="54">
        <f>VLOOKUP(C85*Parameters!$C$18, Parameters!$E$3:$G$8, 2, TRUE)+VLOOKUP(C85*Parameters!$C$18, Parameters!$E$3:$G$8, 3, TRUE)*(C85*Parameters!$C$18-VLOOKUP(C85*Parameters!$C$18, Parameters!$E$3:$G$8, 1, TRUE))</f>
        <v>1.6295276596012243</v>
      </c>
      <c r="D87" s="54">
        <f>VLOOKUP(D85*Parameters!$C$18, Parameters!$E$3:$G$8, 2, TRUE)+VLOOKUP(D85*Parameters!$C$18, Parameters!$E$3:$G$8, 3, TRUE)*(D85*Parameters!$C$18-VLOOKUP(D85*Parameters!$C$18, Parameters!$E$3:$G$8, 1, TRUE))</f>
        <v>2.415202365169689</v>
      </c>
      <c r="E87" s="54">
        <f>VLOOKUP(E85*Parameters!$C$18, Parameters!$E$3:$G$8, 2, TRUE)+VLOOKUP(E85*Parameters!$C$18, Parameters!$E$3:$G$8, 3, TRUE)*(E85*Parameters!$C$18-VLOOKUP(E85*Parameters!$C$18, Parameters!$E$3:$G$8, 1, TRUE))</f>
        <v>1.8527308794204331</v>
      </c>
      <c r="F87" s="54">
        <f>VLOOKUP(F85*Parameters!$C$18, Parameters!$E$3:$G$8, 2, TRUE)+VLOOKUP(F85*Parameters!$C$18, Parameters!$E$3:$G$8, 3, TRUE)*(F85*Parameters!$C$18-VLOOKUP(F85*Parameters!$C$18, Parameters!$E$3:$G$8, 1, TRUE))</f>
        <v>2.7753448010259989</v>
      </c>
      <c r="G87" s="54">
        <f>VLOOKUP(G85*Parameters!$C$18, Parameters!$E$3:$G$8, 2, TRUE)+VLOOKUP(G85*Parameters!$C$18, Parameters!$E$3:$G$8, 3, TRUE)*(G85*Parameters!$C$18-VLOOKUP(G85*Parameters!$C$18, Parameters!$E$3:$G$8, 1, TRUE))</f>
        <v>7.7566037705717794E-2</v>
      </c>
      <c r="H87" s="54">
        <f>VLOOKUP(H85*Parameters!$C$18, Parameters!$E$3:$G$8, 2, TRUE)+VLOOKUP(H85*Parameters!$C$18, Parameters!$E$3:$G$8, 3, TRUE)*(H85*Parameters!$C$18-VLOOKUP(H85*Parameters!$C$18, Parameters!$E$3:$G$8, 1, TRUE))</f>
        <v>1.8044916066908576</v>
      </c>
      <c r="I87" s="54">
        <f>VLOOKUP(I85*Parameters!$C$18, Parameters!$E$3:$G$8, 2, TRUE)+VLOOKUP(I85*Parameters!$C$18, Parameters!$E$3:$G$8, 3, TRUE)*(I85*Parameters!$C$18-VLOOKUP(I85*Parameters!$C$18, Parameters!$E$3:$G$8, 1, TRUE))</f>
        <v>2.9233493347707951</v>
      </c>
      <c r="J87" s="54">
        <f>VLOOKUP(J85*Parameters!$C$18, Parameters!$E$3:$G$8, 2, TRUE)+VLOOKUP(J85*Parameters!$C$18, Parameters!$E$3:$G$8, 3, TRUE)*(J85*Parameters!$C$18-VLOOKUP(J85*Parameters!$C$18, Parameters!$E$3:$G$8, 1, TRUE))</f>
        <v>3.4762893689160927</v>
      </c>
      <c r="K87" s="54">
        <f>VLOOKUP(K85*Parameters!$C$18, Parameters!$E$3:$G$8, 2, TRUE)+VLOOKUP(K85*Parameters!$C$18, Parameters!$E$3:$G$8, 3, TRUE)*(K85*Parameters!$C$18-VLOOKUP(K85*Parameters!$C$18, Parameters!$E$3:$G$8, 1, TRUE))</f>
        <v>2.951076614158219</v>
      </c>
      <c r="L87" s="54">
        <f>VLOOKUP(L85*Parameters!$C$18, Parameters!$E$3:$G$8, 2, TRUE)+VLOOKUP(L85*Parameters!$C$18, Parameters!$E$3:$G$8, 3, TRUE)*(L85*Parameters!$C$18-VLOOKUP(L85*Parameters!$C$18, Parameters!$E$3:$G$8, 1, TRUE))</f>
        <v>0.45774470998718797</v>
      </c>
      <c r="M87" s="54">
        <f>VLOOKUP(M85*Parameters!$C$18, Parameters!$E$3:$G$8, 2, TRUE)+VLOOKUP(M85*Parameters!$C$18, Parameters!$E$3:$G$8, 3, TRUE)*(M85*Parameters!$C$18-VLOOKUP(M85*Parameters!$C$18, Parameters!$E$3:$G$8, 1, TRUE))</f>
        <v>1.9136168425357569</v>
      </c>
      <c r="N87" s="54">
        <f>VLOOKUP(N85*Parameters!$C$18, Parameters!$E$3:$G$8, 2, TRUE)+VLOOKUP(N85*Parameters!$C$18, Parameters!$E$3:$G$8, 3, TRUE)*(N85*Parameters!$C$18-VLOOKUP(N85*Parameters!$C$18, Parameters!$E$3:$G$8, 1, TRUE))</f>
        <v>2.8854191665780791</v>
      </c>
      <c r="O87" s="54">
        <f>VLOOKUP(O85*Parameters!$C$18, Parameters!$E$3:$G$8, 2, TRUE)+VLOOKUP(O85*Parameters!$C$18, Parameters!$E$3:$G$8, 3, TRUE)*(O85*Parameters!$C$18-VLOOKUP(O85*Parameters!$C$18, Parameters!$E$3:$G$8, 1, TRUE))</f>
        <v>3.3249296067291909</v>
      </c>
      <c r="P87" s="54">
        <f>VLOOKUP(P85*Parameters!$C$18, Parameters!$E$3:$G$8, 2, TRUE)+VLOOKUP(P85*Parameters!$C$18, Parameters!$E$3:$G$8, 3, TRUE)*(P85*Parameters!$C$18-VLOOKUP(P85*Parameters!$C$18, Parameters!$E$3:$G$8, 1, TRUE))</f>
        <v>3.0310664604648778</v>
      </c>
      <c r="Q87" s="54">
        <f>VLOOKUP(Q85*Parameters!$C$18, Parameters!$E$3:$G$8, 2, TRUE)+VLOOKUP(Q85*Parameters!$C$18, Parameters!$E$3:$G$8, 3, TRUE)*(Q85*Parameters!$C$18-VLOOKUP(Q85*Parameters!$C$18, Parameters!$E$3:$G$8, 1, TRUE))</f>
        <v>3.0253374020509201</v>
      </c>
      <c r="R87" s="54">
        <f>VLOOKUP(R85*Parameters!$C$18, Parameters!$E$3:$G$8, 2, TRUE)+VLOOKUP(R85*Parameters!$C$18, Parameters!$E$3:$G$8, 3, TRUE)*(R85*Parameters!$C$18-VLOOKUP(R85*Parameters!$C$18, Parameters!$E$3:$G$8, 1, TRUE))</f>
        <v>8.3469543784036856E-2</v>
      </c>
      <c r="S87" s="54">
        <f>VLOOKUP(S85*Parameters!$C$18, Parameters!$E$3:$G$8, 2, TRUE)+VLOOKUP(S85*Parameters!$C$18, Parameters!$E$3:$G$8, 3, TRUE)*(S85*Parameters!$C$18-VLOOKUP(S85*Parameters!$C$18, Parameters!$E$3:$G$8, 1, TRUE))</f>
        <v>1.6711275456527768</v>
      </c>
      <c r="T87" s="54">
        <f>VLOOKUP(T85*Parameters!$C$18, Parameters!$E$3:$G$8, 2, TRUE)+VLOOKUP(T85*Parameters!$C$18, Parameters!$E$3:$G$8, 3, TRUE)*(T85*Parameters!$C$18-VLOOKUP(T85*Parameters!$C$18, Parameters!$E$3:$G$8, 1, TRUE))</f>
        <v>6.6107989141874116E-2</v>
      </c>
      <c r="U87" s="54">
        <f>VLOOKUP(U85*Parameters!$C$18, Parameters!$E$3:$G$8, 2, TRUE)+VLOOKUP(U85*Parameters!$C$18, Parameters!$E$3:$G$8, 3, TRUE)*(U85*Parameters!$C$18-VLOOKUP(U85*Parameters!$C$18, Parameters!$E$3:$G$8, 1, TRUE))</f>
        <v>1.6875087718971646</v>
      </c>
      <c r="V87" s="54">
        <f>VLOOKUP(V85*Parameters!$C$18, Parameters!$E$3:$G$8, 2, TRUE)+VLOOKUP(V85*Parameters!$C$18, Parameters!$E$3:$G$8, 3, TRUE)*(V85*Parameters!$C$18-VLOOKUP(V85*Parameters!$C$18, Parameters!$E$3:$G$8, 1, TRUE))</f>
        <v>2.7778213253758226</v>
      </c>
      <c r="W87" s="54">
        <f>VLOOKUP(W85*Parameters!$C$18, Parameters!$E$3:$G$8, 2, TRUE)+VLOOKUP(W85*Parameters!$C$18, Parameters!$E$3:$G$8, 3, TRUE)*(W85*Parameters!$C$18-VLOOKUP(W85*Parameters!$C$18, Parameters!$E$3:$G$8, 1, TRUE))</f>
        <v>3.1575491331364973</v>
      </c>
      <c r="X87" s="54">
        <f>VLOOKUP(X85*Parameters!$C$18, Parameters!$E$3:$G$8, 2, TRUE)+VLOOKUP(X85*Parameters!$C$18, Parameters!$E$3:$G$8, 3, TRUE)*(X85*Parameters!$C$18-VLOOKUP(X85*Parameters!$C$18, Parameters!$E$3:$G$8, 1, TRUE))</f>
        <v>1.2222301330874943</v>
      </c>
      <c r="Y87" s="54">
        <f>VLOOKUP(Y85*Parameters!$C$18, Parameters!$E$3:$G$8, 2, TRUE)+VLOOKUP(Y85*Parameters!$C$18, Parameters!$E$3:$G$8, 3, TRUE)*(Y85*Parameters!$C$18-VLOOKUP(Y85*Parameters!$C$18, Parameters!$E$3:$G$8, 1, TRUE))</f>
        <v>3.3466227496061478</v>
      </c>
      <c r="Z87" s="54">
        <f>VLOOKUP(Z85*Parameters!$C$18, Parameters!$E$3:$G$8, 2, TRUE)+VLOOKUP(Z85*Parameters!$C$18, Parameters!$E$3:$G$8, 3, TRUE)*(Z85*Parameters!$C$18-VLOOKUP(Z85*Parameters!$C$18, Parameters!$E$3:$G$8, 1, TRUE))</f>
        <v>3.0359389713776466</v>
      </c>
      <c r="AA87" s="54">
        <f>VLOOKUP(AA85*Parameters!$C$18, Parameters!$E$3:$G$8, 2, TRUE)+VLOOKUP(AA85*Parameters!$C$18, Parameters!$E$3:$G$8, 3, TRUE)*(AA85*Parameters!$C$18-VLOOKUP(AA85*Parameters!$C$18, Parameters!$E$3:$G$8, 1, TRUE))</f>
        <v>1.4615893045613579</v>
      </c>
      <c r="AB87" s="54">
        <f>VLOOKUP(AB85*Parameters!$C$18, Parameters!$E$3:$G$8, 2, TRUE)+VLOOKUP(AB85*Parameters!$C$18, Parameters!$E$3:$G$8, 3, TRUE)*(AB85*Parameters!$C$18-VLOOKUP(AB85*Parameters!$C$18, Parameters!$E$3:$G$8, 1, TRUE))</f>
        <v>2.8657471213423578</v>
      </c>
      <c r="AC87" s="54">
        <f>VLOOKUP(AC85*Parameters!$C$18, Parameters!$E$3:$G$8, 2, TRUE)+VLOOKUP(AC85*Parameters!$C$18, Parameters!$E$3:$G$8, 3, TRUE)*(AC85*Parameters!$C$18-VLOOKUP(AC85*Parameters!$C$18, Parameters!$E$3:$G$8, 1, TRUE))</f>
        <v>0.29946769387849564</v>
      </c>
      <c r="AD87" s="54">
        <f>VLOOKUP(AD85*Parameters!$C$18, Parameters!$E$3:$G$8, 2, TRUE)+VLOOKUP(AD85*Parameters!$C$18, Parameters!$E$3:$G$8, 3, TRUE)*(AD85*Parameters!$C$18-VLOOKUP(AD85*Parameters!$C$18, Parameters!$E$3:$G$8, 1, TRUE))</f>
        <v>2.8353369846606897</v>
      </c>
      <c r="AE87" s="54">
        <f>VLOOKUP(AE85*Parameters!$C$18, Parameters!$E$3:$G$8, 2, TRUE)+VLOOKUP(AE85*Parameters!$C$18, Parameters!$E$3:$G$8, 3, TRUE)*(AE85*Parameters!$C$18-VLOOKUP(AE85*Parameters!$C$18, Parameters!$E$3:$G$8, 1, TRUE))</f>
        <v>3.5107198542275277</v>
      </c>
      <c r="AF87" s="54">
        <f>VLOOKUP(AF85*Parameters!$C$18, Parameters!$E$3:$G$8, 2, TRUE)+VLOOKUP(AF85*Parameters!$C$18, Parameters!$E$3:$G$8, 3, TRUE)*(AF85*Parameters!$C$18-VLOOKUP(AF85*Parameters!$C$18, Parameters!$E$3:$G$8, 1, TRUE))</f>
        <v>2.7313425478144859</v>
      </c>
      <c r="AG87" s="54">
        <f>VLOOKUP(AG85*Parameters!$C$18, Parameters!$E$3:$G$8, 2, TRUE)+VLOOKUP(AG85*Parameters!$C$18, Parameters!$E$3:$G$8, 3, TRUE)*(AG85*Parameters!$C$18-VLOOKUP(AG85*Parameters!$C$18, Parameters!$E$3:$G$8, 1, TRUE))</f>
        <v>2.4713565152774613</v>
      </c>
      <c r="AH87" s="54">
        <f>VLOOKUP(AH85*Parameters!$C$18, Parameters!$E$3:$G$8, 2, TRUE)+VLOOKUP(AH85*Parameters!$C$18, Parameters!$E$3:$G$8, 3, TRUE)*(AH85*Parameters!$C$18-VLOOKUP(AH85*Parameters!$C$18, Parameters!$E$3:$G$8, 1, TRUE))</f>
        <v>3.5915235081645172</v>
      </c>
      <c r="AI87" s="54">
        <f>VLOOKUP(AI85*Parameters!$C$18, Parameters!$E$3:$G$8, 2, TRUE)+VLOOKUP(AI85*Parameters!$C$18, Parameters!$E$3:$G$8, 3, TRUE)*(AI85*Parameters!$C$18-VLOOKUP(AI85*Parameters!$C$18, Parameters!$E$3:$G$8, 1, TRUE))</f>
        <v>3.0458622399122079</v>
      </c>
      <c r="AJ87" s="54">
        <f>VLOOKUP(AJ85*Parameters!$C$18, Parameters!$E$3:$G$8, 2, TRUE)+VLOOKUP(AJ85*Parameters!$C$18, Parameters!$E$3:$G$8, 3, TRUE)*(AJ85*Parameters!$C$18-VLOOKUP(AJ85*Parameters!$C$18, Parameters!$E$3:$G$8, 1, TRUE))</f>
        <v>2.4258504310056406</v>
      </c>
      <c r="AK87" s="54">
        <f>VLOOKUP(AK85*Parameters!$C$18, Parameters!$E$3:$G$8, 2, TRUE)+VLOOKUP(AK85*Parameters!$C$18, Parameters!$E$3:$G$8, 3, TRUE)*(AK85*Parameters!$C$18-VLOOKUP(AK85*Parameters!$C$18, Parameters!$E$3:$G$8, 1, TRUE))</f>
        <v>2.8900253333253922</v>
      </c>
      <c r="AL87" s="54">
        <f>VLOOKUP(AL85*Parameters!$C$18, Parameters!$E$3:$G$8, 2, TRUE)+VLOOKUP(AL85*Parameters!$C$18, Parameters!$E$3:$G$8, 3, TRUE)*(AL85*Parameters!$C$18-VLOOKUP(AL85*Parameters!$C$18, Parameters!$E$3:$G$8, 1, TRUE))</f>
        <v>2.6595937890846235</v>
      </c>
      <c r="AM87" s="54">
        <f>VLOOKUP(AM85*Parameters!$C$18, Parameters!$E$3:$G$8, 2, TRUE)+VLOOKUP(AM85*Parameters!$C$18, Parameters!$E$3:$G$8, 3, TRUE)*(AM85*Parameters!$C$18-VLOOKUP(AM85*Parameters!$C$18, Parameters!$E$3:$G$8, 1, TRUE))</f>
        <v>3.0773418846241221</v>
      </c>
      <c r="AN87" s="54">
        <f>VLOOKUP(AN85*Parameters!$C$18, Parameters!$E$3:$G$8, 2, TRUE)+VLOOKUP(AN85*Parameters!$C$18, Parameters!$E$3:$G$8, 3, TRUE)*(AN85*Parameters!$C$18-VLOOKUP(AN85*Parameters!$C$18, Parameters!$E$3:$G$8, 1, TRUE))</f>
        <v>3.1136950753800967</v>
      </c>
      <c r="AO87" s="321">
        <f>SUMPRODUCT(B87:AN87*$B$84:$AN$84)/$AO$84</f>
        <v>2.8287115200863497</v>
      </c>
    </row>
    <row r="89" spans="1:45" ht="21" x14ac:dyDescent="0.35">
      <c r="A89" s="19" t="s">
        <v>21</v>
      </c>
      <c r="B89" s="2"/>
      <c r="C89" s="49"/>
    </row>
    <row r="90" spans="1:45" ht="15" customHeight="1" x14ac:dyDescent="0.25">
      <c r="A90" s="358" t="s">
        <v>872</v>
      </c>
      <c r="B90" s="182">
        <f ca="1">IF(Main!$AP$275&lt;3,B8,Main!$C$161*((IF(B58=0,0,B8)+IF(B65=0,0,B8))/2)+(1-Main!$C$161)*B8)</f>
        <v>101319.54142403997</v>
      </c>
      <c r="C90" s="182">
        <f ca="1">IF(Main!$AP$275&lt;3,C8,Main!$C$161*((IF(C58=0,0,C8)+IF(C65=0,0,C8))/2)+(1-Main!$C$161)*C8)</f>
        <v>6202.3618521639983</v>
      </c>
      <c r="D90" s="182">
        <f ca="1">IF(Main!$AP$275&lt;3,D8,Main!$C$161*((IF(D58=0,0,D8)+IF(D65=0,0,D8))/2)+(1-Main!$C$161)*D8)</f>
        <v>40198.712017359991</v>
      </c>
      <c r="E90" s="182">
        <f ca="1">IF(Main!$AP$275&lt;3,E8,Main!$C$161*((IF(E58=0,0,E8)+IF(E65=0,0,E8))/2)+(1-Main!$C$161)*E8)</f>
        <v>43194.478930459991</v>
      </c>
      <c r="F90" s="182">
        <f ca="1">IF(Main!$AP$275&lt;3,F8,Main!$C$161*((IF(F58=0,0,F8)+IF(F65=0,0,F8))/2)+(1-Main!$C$161)*F8)</f>
        <v>330192.230490438</v>
      </c>
      <c r="G90" s="182">
        <f ca="1">IF(Main!$AP$275&lt;3,G8,Main!$C$161*((IF(G58=0,0,G8)+IF(G65=0,0,G8))/2)+(1-Main!$C$161)*G8)</f>
        <v>0.15498449802399997</v>
      </c>
      <c r="H90" s="182">
        <f ca="1">IF(Main!$AP$275&lt;3,H8,Main!$C$161*((IF(H58=0,0,H8)+IF(H65=0,0,H8))/2)+(1-Main!$C$161)*H8)</f>
        <v>39275.985938579994</v>
      </c>
      <c r="I90" s="182">
        <f ca="1">IF(Main!$AP$275&lt;3,I8,Main!$C$161*((IF(I58=0,0,I8)+IF(I65=0,0,I8))/2)+(1-Main!$C$161)*I8)</f>
        <v>547510.248239676</v>
      </c>
      <c r="J90" s="182">
        <f ca="1">IF(Main!$AP$275&lt;3,J8,Main!$C$161*((IF(J58=0,0,J8)+IF(J65=0,0,J8))/2)+(1-Main!$C$161)*J8)</f>
        <v>133189.410613254</v>
      </c>
      <c r="K90" s="182">
        <f ca="1">IF(Main!$AP$275&lt;3,K8,Main!$C$161*((IF(K58=0,0,K8)+IF(K65=0,0,K8))/2)+(1-Main!$C$161)*K8)</f>
        <v>122832.71093728799</v>
      </c>
      <c r="L90" s="182">
        <f ca="1">IF(Main!$AP$275&lt;3,L8,Main!$C$161*((IF(L58=0,0,L8)+IF(L65=0,0,L8))/2)+(1-Main!$C$161)*L8)</f>
        <v>67.446010768939985</v>
      </c>
      <c r="M90" s="182">
        <f ca="1">IF(Main!$AP$275&lt;3,M8,Main!$C$161*((IF(M58=0,0,M8)+IF(M65=0,0,M8))/2)+(1-Main!$C$161)*M8)</f>
        <v>2389.5731887079996</v>
      </c>
      <c r="N90" s="182">
        <f ca="1">IF(Main!$AP$275&lt;3,N8,Main!$C$161*((IF(N58=0,0,N8)+IF(N65=0,0,N8))/2)+(1-Main!$C$161)*N8)</f>
        <v>247232.1930509184</v>
      </c>
      <c r="O90" s="182">
        <f ca="1">IF(Main!$AP$275&lt;3,O8,Main!$C$161*((IF(O58=0,0,O8)+IF(O65=0,0,O8))/2)+(1-Main!$C$161)*O8)</f>
        <v>48748.035708131996</v>
      </c>
      <c r="P90" s="182">
        <f ca="1">IF(Main!$AP$275&lt;3,P8,Main!$C$161*((IF(P58=0,0,P8)+IF(P65=0,0,P8))/2)+(1-Main!$C$161)*P8)</f>
        <v>75439.299334914002</v>
      </c>
      <c r="Q90" s="182">
        <f ca="1">IF(Main!$AP$275&lt;3,Q8,Main!$C$161*((IF(Q58=0,0,Q8)+IF(Q65=0,0,Q8))/2)+(1-Main!$C$161)*Q8)</f>
        <v>18125.274638089802</v>
      </c>
      <c r="R90" s="182">
        <f ca="1">IF(Main!$AP$275&lt;3,R8,Main!$C$161*((IF(R58=0,0,R8)+IF(R65=0,0,R8))/2)+(1-Main!$C$161)*R8)</f>
        <v>2.4797519683799996</v>
      </c>
      <c r="S90" s="182">
        <f ca="1">IF(Main!$AP$275&lt;3,S8,Main!$C$161*((IF(S58=0,0,S8)+IF(S65=0,0,S8))/2)+(1-Main!$C$161)*S8)</f>
        <v>4800.262338053999</v>
      </c>
      <c r="T90" s="182">
        <f ca="1">IF(Main!$AP$275&lt;3,T8,Main!$C$161*((IF(T58=0,0,T8)+IF(T65=0,0,T8))/2)+(1-Main!$C$161)*T8)</f>
        <v>4.1845813751199987</v>
      </c>
      <c r="U90" s="182">
        <f ca="1">IF(Main!$AP$275&lt;3,U8,Main!$C$161*((IF(U58=0,0,U8)+IF(U65=0,0,U8))/2)+(1-Main!$C$161)*U8)</f>
        <v>210.25883170579996</v>
      </c>
      <c r="V90" s="182">
        <f ca="1">IF(Main!$AP$275&lt;3,V8,Main!$C$161*((IF(V58=0,0,V8)+IF(V65=0,0,V8))/2)+(1-Main!$C$161)*V8)</f>
        <v>19830.36796878</v>
      </c>
      <c r="W90" s="182">
        <f ca="1">IF(Main!$AP$275&lt;3,W8,Main!$C$161*((IF(W58=0,0,W8)+IF(W65=0,0,W8))/2)+(1-Main!$C$161)*W8)</f>
        <v>85702.945501105205</v>
      </c>
      <c r="X90" s="182">
        <f ca="1">IF(Main!$AP$275&lt;3,X8,Main!$C$161*((IF(X58=0,0,X8)+IF(X65=0,0,X8))/2)+(1-Main!$C$161)*X8)</f>
        <v>328.71313415919991</v>
      </c>
      <c r="Y90" s="182">
        <f ca="1">IF(Main!$AP$275&lt;3,Y8,Main!$C$161*((IF(Y58=0,0,Y8)+IF(Y65=0,0,Y8))/2)+(1-Main!$C$161)*Y8)</f>
        <v>70226.593135139978</v>
      </c>
      <c r="Z90" s="182">
        <f ca="1">IF(Main!$AP$275&lt;3,Z8,Main!$C$161*((IF(Z58=0,0,Z8)+IF(Z65=0,0,Z8))/2)+(1-Main!$C$161)*Z8)</f>
        <v>536317.93667052593</v>
      </c>
      <c r="AA90" s="182">
        <f ca="1">IF(Main!$AP$275&lt;3,AA8,Main!$C$161*((IF(AA58=0,0,AA8)+IF(AA65=0,0,AA8))/2)+(1-Main!$C$161)*AA8)</f>
        <v>1770.4521337659996</v>
      </c>
      <c r="AB90" s="182">
        <f ca="1">IF(Main!$AP$275&lt;3,AB8,Main!$C$161*((IF(AB58=0,0,AB8)+IF(AB65=0,0,AB8))/2)+(1-Main!$C$161)*AB8)</f>
        <v>83327.367574399977</v>
      </c>
      <c r="AC90" s="182">
        <f ca="1">IF(Main!$AP$275&lt;3,AC8,Main!$C$161*((IF(AC58=0,0,AC8)+IF(AC65=0,0,AC8))/2)+(1-Main!$C$161)*AC8)</f>
        <v>686.3112250759998</v>
      </c>
      <c r="AD90" s="182">
        <f ca="1">IF(Main!$AP$275&lt;3,AD8,Main!$C$161*((IF(AD58=0,0,AD8)+IF(AD65=0,0,AD8))/2)+(1-Main!$C$161)*AD8)</f>
        <v>5539.7663421443985</v>
      </c>
      <c r="AE90" s="182">
        <f ca="1">IF(Main!$AP$275&lt;3,AE8,Main!$C$161*((IF(AE58=0,0,AE8)+IF(AE65=0,0,AE8))/2)+(1-Main!$C$161)*AE8)</f>
        <v>5817.6286960239986</v>
      </c>
      <c r="AF90" s="182">
        <f ca="1">IF(Main!$AP$275&lt;3,AF8,Main!$C$161*((IF(AF58=0,0,AF8)+IF(AF65=0,0,AF8))/2)+(1-Main!$C$161)*AF8)</f>
        <v>12114.134410049997</v>
      </c>
      <c r="AG90" s="182">
        <f ca="1">IF(Main!$AP$275&lt;3,AG8,Main!$C$161*((IF(AG58=0,0,AG8)+IF(AG65=0,0,AG8))/2)+(1-Main!$C$161)*AG8)</f>
        <v>2749.6997510879992</v>
      </c>
      <c r="AH90" s="182">
        <f ca="1">IF(Main!$AP$275&lt;3,AH8,Main!$C$161*((IF(AH58=0,0,AH8)+IF(AH65=0,0,AH8))/2)+(1-Main!$C$161)*AH8)</f>
        <v>397389.33964744199</v>
      </c>
      <c r="AI90" s="182">
        <f ca="1">IF(Main!$AP$275&lt;3,AI8,Main!$C$161*((IF(AI58=0,0,AI8)+IF(AI65=0,0,AI8))/2)+(1-Main!$C$161)*AI8)</f>
        <v>38391.846979121998</v>
      </c>
      <c r="AJ90" s="182">
        <f ca="1">IF(Main!$AP$275&lt;3,AJ8,Main!$C$161*((IF(AJ58=0,0,AJ8)+IF(AJ65=0,0,AJ8))/2)+(1-Main!$C$161)*AJ8)</f>
        <v>26376.589835526</v>
      </c>
      <c r="AK90" s="182">
        <f ca="1">IF(Main!$AP$275&lt;3,AK8,Main!$C$161*((IF(AK58=0,0,AK8)+IF(AK65=0,0,AK8))/2)+(1-Main!$C$161)*AK8)</f>
        <v>163625.21001939001</v>
      </c>
      <c r="AL90" s="182">
        <f ca="1">IF(Main!$AP$275&lt;3,AL8,Main!$C$161*((IF(AL58=0,0,AL8)+IF(AL65=0,0,AL8))/2)+(1-Main!$C$161)*AL8)</f>
        <v>67012.403376186005</v>
      </c>
      <c r="AM90" s="182">
        <f ca="1">IF(Main!$AP$275&lt;3,AM8,Main!$C$161*((IF(AM58=0,0,AM8)+IF(AM65=0,0,AM8))/2)+(1-Main!$C$161)*AM8)</f>
        <v>84179.524223883986</v>
      </c>
      <c r="AN90" s="182">
        <f ca="1">IF(Main!$AP$275&lt;3,AN8,Main!$C$161*((IF(AN58=0,0,AN8)+IF(AN65=0,0,AN8))/2)+(1-Main!$C$161)*AN8)</f>
        <v>301937.84702678339</v>
      </c>
      <c r="AO90" s="330">
        <f ca="1">SUM(B90:AN90)</f>
        <v>3664259.5205129837</v>
      </c>
    </row>
    <row r="91" spans="1:45" ht="15" customHeight="1" x14ac:dyDescent="0.25">
      <c r="A91" s="510" t="s">
        <v>186</v>
      </c>
      <c r="B91" s="182">
        <f ca="1">IF(Main!$AP$275&lt;3,B9,Main!$C$161*((IF(B59=0,0,B9)+IF(B66=0,0,B9))/2)+(1-Main!$C$161)*B9)</f>
        <v>27851.255359919996</v>
      </c>
      <c r="C91" s="182">
        <f ca="1">IF(Main!$AP$275&lt;3,C9,Main!$C$161*((IF(C59=0,0,C9)+IF(C66=0,0,C9))/2)+(1-Main!$C$161)*C9)</f>
        <v>2305.5207454860001</v>
      </c>
      <c r="D91" s="182">
        <f ca="1">IF(Main!$AP$275&lt;3,D9,Main!$C$161*((IF(D59=0,0,D9)+IF(D66=0,0,D9))/2)+(1-Main!$C$161)*D9)</f>
        <v>191.13942599919994</v>
      </c>
      <c r="E91" s="182">
        <f ca="1">IF(Main!$AP$275&lt;3,E9,Main!$C$161*((IF(E59=0,0,E9)+IF(E66=0,0,E9))/2)+(1-Main!$C$161)*E9)</f>
        <v>3029.1255313599991</v>
      </c>
      <c r="F91" s="182">
        <f ca="1">IF(Main!$AP$275&lt;3,F9,Main!$C$161*((IF(F59=0,0,F9)+IF(F66=0,0,F9))/2)+(1-Main!$C$161)*F9)</f>
        <v>11056.734086819999</v>
      </c>
      <c r="G91" s="182">
        <f ca="1">IF(Main!$AP$275&lt;3,G9,Main!$C$161*((IF(G59=0,0,G9)+IF(G66=0,0,G9))/2)+(1-Main!$C$161)*G9)</f>
        <v>302.50410463979995</v>
      </c>
      <c r="H91" s="182">
        <f ca="1">IF(Main!$AP$275&lt;3,H9,Main!$C$161*((IF(H59=0,0,H9)+IF(H66=0,0,H9))/2)+(1-Main!$C$161)*H9)</f>
        <v>9549.7345381800005</v>
      </c>
      <c r="I91" s="182">
        <f ca="1">IF(Main!$AP$275&lt;3,I9,Main!$C$161*((IF(I59=0,0,I9)+IF(I66=0,0,I9))/2)+(1-Main!$C$161)*I9)</f>
        <v>15400.85744052</v>
      </c>
      <c r="J91" s="182">
        <f ca="1">IF(Main!$AP$275&lt;3,J9,Main!$C$161*((IF(J59=0,0,J9)+IF(J66=0,0,J9))/2)+(1-Main!$C$161)*J9)</f>
        <v>13793.336325659999</v>
      </c>
      <c r="K91" s="182">
        <f ca="1">IF(Main!$AP$275&lt;3,K9,Main!$C$161*((IF(K59=0,0,K9)+IF(K66=0,0,K9))/2)+(1-Main!$C$161)*K9)</f>
        <v>98761.850248800009</v>
      </c>
      <c r="L91" s="182">
        <f ca="1">IF(Main!$AP$275&lt;3,L9,Main!$C$161*((IF(L59=0,0,L9)+IF(L66=0,0,L9))/2)+(1-Main!$C$161)*L9)</f>
        <v>2221.544526318</v>
      </c>
      <c r="M91" s="182">
        <f ca="1">IF(Main!$AP$275&lt;3,M9,Main!$C$161*((IF(M59=0,0,M9)+IF(M66=0,0,M9))/2)+(1-Main!$C$161)*M9)</f>
        <v>55572.92856678</v>
      </c>
      <c r="N91" s="182">
        <f ca="1">IF(Main!$AP$275&lt;3,N9,Main!$C$161*((IF(N59=0,0,N9)+IF(N66=0,0,N9))/2)+(1-Main!$C$161)*N9)</f>
        <v>2925.7244246579994</v>
      </c>
      <c r="O91" s="182">
        <f ca="1">IF(Main!$AP$275&lt;3,O9,Main!$C$161*((IF(O59=0,0,O9)+IF(O66=0,0,O9))/2)+(1-Main!$C$161)*O9)</f>
        <v>175355.978133</v>
      </c>
      <c r="P91" s="182">
        <f ca="1">IF(Main!$AP$275&lt;3,P9,Main!$C$161*((IF(P59=0,0,P9)+IF(P66=0,0,P9))/2)+(1-Main!$C$161)*P9)</f>
        <v>183.66679490640001</v>
      </c>
      <c r="Q91" s="182">
        <f ca="1">IF(Main!$AP$275&lt;3,Q9,Main!$C$161*((IF(Q59=0,0,Q9)+IF(Q66=0,0,Q9))/2)+(1-Main!$C$161)*Q9)</f>
        <v>48844.144558499996</v>
      </c>
      <c r="R91" s="182">
        <f ca="1">IF(Main!$AP$275&lt;3,R9,Main!$C$161*((IF(R59=0,0,R9)+IF(R66=0,0,R9))/2)+(1-Main!$C$161)*R9)</f>
        <v>53.821352116919996</v>
      </c>
      <c r="S91" s="182">
        <f ca="1">IF(Main!$AP$275&lt;3,S9,Main!$C$161*((IF(S59=0,0,S9)+IF(S66=0,0,S9))/2)+(1-Main!$C$161)*S9)</f>
        <v>24370.003933979999</v>
      </c>
      <c r="T91" s="182">
        <f ca="1">IF(Main!$AP$275&lt;3,T9,Main!$C$161*((IF(T59=0,0,T9)+IF(T66=0,0,T9))/2)+(1-Main!$C$161)*T9)</f>
        <v>63.254093121599993</v>
      </c>
      <c r="U91" s="182">
        <f ca="1">IF(Main!$AP$275&lt;3,U9,Main!$C$161*((IF(U59=0,0,U9)+IF(U66=0,0,U9))/2)+(1-Main!$C$161)*U9)</f>
        <v>26431.00059792</v>
      </c>
      <c r="V91" s="182">
        <f ca="1">IF(Main!$AP$275&lt;3,V9,Main!$C$161*((IF(V59=0,0,V9)+IF(V66=0,0,V9))/2)+(1-Main!$C$161)*V9)</f>
        <v>103.59420182700001</v>
      </c>
      <c r="W91" s="182">
        <f ca="1">IF(Main!$AP$275&lt;3,W9,Main!$C$161*((IF(W59=0,0,W9)+IF(W66=0,0,W9))/2)+(1-Main!$C$161)*W9)</f>
        <v>65271.137490000001</v>
      </c>
      <c r="X91" s="182">
        <f ca="1">IF(Main!$AP$275&lt;3,X9,Main!$C$161*((IF(X59=0,0,X9)+IF(X66=0,0,X9))/2)+(1-Main!$C$161)*X9)</f>
        <v>9981.0402061200002</v>
      </c>
      <c r="Y91" s="182">
        <f ca="1">IF(Main!$AP$275&lt;3,Y9,Main!$C$161*((IF(Y59=0,0,Y9)+IF(Y66=0,0,Y9))/2)+(1-Main!$C$161)*Y9)</f>
        <v>496.25071719479996</v>
      </c>
      <c r="Z91" s="182">
        <f ca="1">IF(Main!$AP$275&lt;3,Z9,Main!$C$161*((IF(Z59=0,0,Z9)+IF(Z66=0,0,Z9))/2)+(1-Main!$C$161)*Z9)</f>
        <v>23481.189868259997</v>
      </c>
      <c r="AA91" s="182">
        <f ca="1">IF(Main!$AP$275&lt;3,AA9,Main!$C$161*((IF(AA59=0,0,AA9)+IF(AA66=0,0,AA9))/2)+(1-Main!$C$161)*AA9)</f>
        <v>53759.196930419996</v>
      </c>
      <c r="AB91" s="182">
        <f ca="1">IF(Main!$AP$275&lt;3,AB9,Main!$C$161*((IF(AB59=0,0,AB9)+IF(AB66=0,0,AB9))/2)+(1-Main!$C$161)*AB9)</f>
        <v>86684.984810399983</v>
      </c>
      <c r="AC91" s="182">
        <f ca="1">IF(Main!$AP$275&lt;3,AC9,Main!$C$161*((IF(AC59=0,0,AC9)+IF(AC66=0,0,AC9))/2)+(1-Main!$C$161)*AC9)</f>
        <v>402.07177928759995</v>
      </c>
      <c r="AD91" s="182">
        <f ca="1">IF(Main!$AP$275&lt;3,AD9,Main!$C$161*((IF(AD59=0,0,AD9)+IF(AD66=0,0,AD9))/2)+(1-Main!$C$161)*AD9)</f>
        <v>177.85651500719999</v>
      </c>
      <c r="AE91" s="182">
        <f ca="1">IF(Main!$AP$275&lt;3,AE9,Main!$C$161*((IF(AE59=0,0,AE9)+IF(AE66=0,0,AE9))/2)+(1-Main!$C$161)*AE9)</f>
        <v>1158.1786467420002</v>
      </c>
      <c r="AF91" s="182">
        <f ca="1">IF(Main!$AP$275&lt;3,AF9,Main!$C$161*((IF(AF59=0,0,AF9)+IF(AF66=0,0,AF9))/2)+(1-Main!$C$161)*AF9)</f>
        <v>1222.1988524939998</v>
      </c>
      <c r="AG91" s="182">
        <f ca="1">IF(Main!$AP$275&lt;3,AG9,Main!$C$161*((IF(AG59=0,0,AG9)+IF(AG66=0,0,AG9))/2)+(1-Main!$C$161)*AG9)</f>
        <v>19.325707249079997</v>
      </c>
      <c r="AH91" s="182">
        <f ca="1">IF(Main!$AP$275&lt;3,AH9,Main!$C$161*((IF(AH59=0,0,AH9)+IF(AH66=0,0,AH9))/2)+(1-Main!$C$161)*AH9)</f>
        <v>25472.566783200004</v>
      </c>
      <c r="AI91" s="182">
        <f ca="1">IF(Main!$AP$275&lt;3,AI9,Main!$C$161*((IF(AI59=0,0,AI9)+IF(AI66=0,0,AI9))/2)+(1-Main!$C$161)*AI9)</f>
        <v>3014.3466580139998</v>
      </c>
      <c r="AJ91" s="182">
        <f ca="1">IF(Main!$AP$275&lt;3,AJ9,Main!$C$161*((IF(AJ59=0,0,AJ9)+IF(AJ66=0,0,AJ9))/2)+(1-Main!$C$161)*AJ9)</f>
        <v>91473.112447799998</v>
      </c>
      <c r="AK91" s="182">
        <f ca="1">IF(Main!$AP$275&lt;3,AK9,Main!$C$161*((IF(AK59=0,0,AK9)+IF(AK66=0,0,AK9))/2)+(1-Main!$C$161)*AK9)</f>
        <v>553.22810694060001</v>
      </c>
      <c r="AL91" s="182">
        <f ca="1">IF(Main!$AP$275&lt;3,AL9,Main!$C$161*((IF(AL59=0,0,AL9)+IF(AL66=0,0,AL9))/2)+(1-Main!$C$161)*AL9)</f>
        <v>168924.82542420001</v>
      </c>
      <c r="AM91" s="182">
        <f ca="1">IF(Main!$AP$275&lt;3,AM9,Main!$C$161*((IF(AM59=0,0,AM9)+IF(AM66=0,0,AM9))/2)+(1-Main!$C$161)*AM9)</f>
        <v>2959.2990378</v>
      </c>
      <c r="AN91" s="182">
        <f ca="1">IF(Main!$AP$275&lt;3,AN9,Main!$C$161*((IF(AN59=0,0,AN9)+IF(AN66=0,0,AN9))/2)+(1-Main!$C$161)*AN9)</f>
        <v>3448.9136644379996</v>
      </c>
      <c r="AO91" s="330">
        <f ca="1">SUM(B91:AN91)</f>
        <v>1056867.4426360803</v>
      </c>
    </row>
    <row r="92" spans="1:45" ht="15.75" customHeight="1" x14ac:dyDescent="0.25">
      <c r="A92" s="510" t="s">
        <v>873</v>
      </c>
      <c r="B92" s="182">
        <f ca="1">IF(Main!$AP$275&lt;3,B14,Main!$C$161*((SUMIF(B58:B63,0,B8:B13)+SUMIF(B65:B70,0,B8:B13))/2)+(1-Main!$C$161)*B14)</f>
        <v>736388.07543625508</v>
      </c>
      <c r="C92" s="182">
        <f ca="1">IF(Main!$AP$275&lt;3,C14,Main!$C$161*((SUMIF(C58:C63,0,C8:C13)+SUMIF(C65:C70,0,C8:C13))/2)+(1-Main!$C$161)*C14)</f>
        <v>48898.412835988514</v>
      </c>
      <c r="D92" s="182">
        <f ca="1">IF(Main!$AP$275&lt;3,D14,Main!$C$161*((SUMIF(D58:D63,0,D8:D13)+SUMIF(D65:D70,0,D8:D13))/2)+(1-Main!$C$161)*D14)</f>
        <v>246454.55672180912</v>
      </c>
      <c r="E92" s="182">
        <f ca="1">IF(Main!$AP$275&lt;3,E14,Main!$C$161*((SUMIF(E58:E63,0,E8:E13)+SUMIF(E65:E70,0,E8:E13))/2)+(1-Main!$C$161)*E14)</f>
        <v>351254.77801733156</v>
      </c>
      <c r="F92" s="182">
        <f ca="1">IF(Main!$AP$275&lt;3,F14,Main!$C$161*((SUMIF(F58:F63,0,F8:F13)+SUMIF(F65:F70,0,F8:F13))/2)+(1-Main!$C$161)*F14)</f>
        <v>627404.64201065025</v>
      </c>
      <c r="G92" s="182">
        <f ca="1">IF(Main!$AP$275&lt;3,G14,Main!$C$161*((SUMIF(G58:G63,0,G8:G13)+SUMIF(G65:G70,0,G8:G13))/2)+(1-Main!$C$161)*G14)</f>
        <v>303.30197717028318</v>
      </c>
      <c r="H92" s="182">
        <f ca="1">IF(Main!$AP$275&lt;3,H14,Main!$C$161*((SUMIF(H58:H63,0,H8:H13)+SUMIF(H65:H70,0,H8:H13))/2)+(1-Main!$C$161)*H14)</f>
        <v>237572.2167891548</v>
      </c>
      <c r="I92" s="182">
        <f ca="1">IF(Main!$AP$275&lt;3,I14,Main!$C$161*((SUMIF(I58:I63,0,I8:I13)+SUMIF(I65:I70,0,I8:I13))/2)+(1-Main!$C$161)*I14)</f>
        <v>1041251.947071095</v>
      </c>
      <c r="J92" s="182">
        <f ca="1">IF(Main!$AP$275&lt;3,J14,Main!$C$161*((SUMIF(J58:J63,0,J8:J13)+SUMIF(J65:J70,0,J8:J13))/2)+(1-Main!$C$161)*J14)</f>
        <v>268081.88629540271</v>
      </c>
      <c r="K92" s="182">
        <f ca="1">IF(Main!$AP$275&lt;3,K14,Main!$C$161*((SUMIF(K58:K63,0,K8:K13)+SUMIF(K65:K70,0,K8:K13))/2)+(1-Main!$C$161)*K14)</f>
        <v>456688.26169332251</v>
      </c>
      <c r="L92" s="182">
        <f ca="1">IF(Main!$AP$275&lt;3,L14,Main!$C$161*((SUMIF(L58:L63,0,L8:L13)+SUMIF(L65:L70,0,L8:L13))/2)+(1-Main!$C$161)*L14)</f>
        <v>10859.742396446438</v>
      </c>
      <c r="M92" s="182">
        <f ca="1">IF(Main!$AP$275&lt;3,M14,Main!$C$161*((SUMIF(M58:M63,0,M8:M13)+SUMIF(M65:M70,0,M8:M13))/2)+(1-Main!$C$161)*M14)</f>
        <v>79545.828737623538</v>
      </c>
      <c r="N92" s="182">
        <f ca="1">IF(Main!$AP$275&lt;3,N14,Main!$C$161*((SUMIF(N58:N63,0,N8:N13)+SUMIF(N65:N70,0,N8:N13))/2)+(1-Main!$C$161)*N14)</f>
        <v>440141.6200494353</v>
      </c>
      <c r="O92" s="182">
        <f ca="1">IF(Main!$AP$275&lt;3,O14,Main!$C$161*((SUMIF(O58:O63,0,O8:O13)+SUMIF(O65:O70,0,O8:O13))/2)+(1-Main!$C$161)*O14)</f>
        <v>453589.11857603211</v>
      </c>
      <c r="P92" s="182">
        <f ca="1">IF(Main!$AP$275&lt;3,P14,Main!$C$161*((SUMIF(P58:P63,0,P8:P13)+SUMIF(P65:P70,0,P8:P13))/2)+(1-Main!$C$161)*P14)</f>
        <v>137074.89434415387</v>
      </c>
      <c r="Q92" s="182">
        <f ca="1">IF(Main!$AP$275&lt;3,Q14,Main!$C$161*((SUMIF(Q58:Q63,0,Q8:Q13)+SUMIF(Q65:Q70,0,Q8:Q13))/2)+(1-Main!$C$161)*Q14)</f>
        <v>133368.31047443007</v>
      </c>
      <c r="R92" s="182">
        <f ca="1">IF(Main!$AP$275&lt;3,R14,Main!$C$161*((SUMIF(R58:R63,0,R8:R13)+SUMIF(R65:R70,0,R8:R13))/2)+(1-Main!$C$161)*R14)</f>
        <v>81.098623769100016</v>
      </c>
      <c r="S92" s="182">
        <f ca="1">IF(Main!$AP$275&lt;3,S14,Main!$C$161*((SUMIF(S58:S63,0,S8:S13)+SUMIF(S65:S70,0,S8:S13))/2)+(1-Main!$C$161)*S14)</f>
        <v>59335.952801119667</v>
      </c>
      <c r="T92" s="182">
        <f ca="1">IF(Main!$AP$275&lt;3,T14,Main!$C$161*((SUMIF(T58:T63,0,T8:T13)+SUMIF(T65:T70,0,T8:T13))/2)+(1-Main!$C$161)*T14)</f>
        <v>90.686349057259974</v>
      </c>
      <c r="U92" s="182">
        <f ca="1">IF(Main!$AP$275&lt;3,U14,Main!$C$161*((SUMIF(U58:U63,0,U8:U13)+SUMIF(U65:U70,0,U8:U13))/2)+(1-Main!$C$161)*U14)</f>
        <v>32235.26388877277</v>
      </c>
      <c r="V92" s="182">
        <f ca="1">IF(Main!$AP$275&lt;3,V14,Main!$C$161*((SUMIF(V58:V63,0,V8:V13)+SUMIF(V65:V70,0,V8:V13))/2)+(1-Main!$C$161)*V14)</f>
        <v>38078.728875284411</v>
      </c>
      <c r="W92" s="182">
        <f ca="1">IF(Main!$AP$275&lt;3,W14,Main!$C$161*((SUMIF(W58:W63,0,W8:W13)+SUMIF(W65:W70,0,W8:W13))/2)+(1-Main!$C$161)*W14)</f>
        <v>312653.51594791299</v>
      </c>
      <c r="X92" s="182">
        <f ca="1">IF(Main!$AP$275&lt;3,X14,Main!$C$161*((SUMIF(X58:X63,0,X8:X13)+SUMIF(X65:X70,0,X8:X13))/2)+(1-Main!$C$161)*X14)</f>
        <v>23310.006091719169</v>
      </c>
      <c r="Y92" s="182">
        <f ca="1">IF(Main!$AP$275&lt;3,Y14,Main!$C$161*((SUMIF(Y58:Y63,0,Y8:Y13)+SUMIF(Y65:Y70,0,Y8:Y13))/2)+(1-Main!$C$161)*Y14)</f>
        <v>442855.54300798173</v>
      </c>
      <c r="Z92" s="182">
        <f ca="1">IF(Main!$AP$275&lt;3,Z14,Main!$C$161*((SUMIF(Z58:Z63,0,Z8:Z13)+SUMIF(Z65:Z70,0,Z8:Z13))/2)+(1-Main!$C$161)*Z14)</f>
        <v>977444.29186997178</v>
      </c>
      <c r="AA92" s="182">
        <f ca="1">IF(Main!$AP$275&lt;3,AA14,Main!$C$161*((SUMIF(AA58:AA63,0,AA8:AA13)+SUMIF(AA65:AA70,0,AA8:AA13))/2)+(1-Main!$C$161)*AA14)</f>
        <v>129720.25599840845</v>
      </c>
      <c r="AB92" s="182">
        <f ca="1">IF(Main!$AP$275&lt;3,AB14,Main!$C$161*((SUMIF(AB58:AB63,0,AB8:AB13)+SUMIF(AB65:AB70,0,AB8:AB13))/2)+(1-Main!$C$161)*AB14)</f>
        <v>718453.2916605405</v>
      </c>
      <c r="AC92" s="182">
        <f ca="1">IF(Main!$AP$275&lt;3,AC14,Main!$C$161*((SUMIF(AC58:AC63,0,AC8:AC13)+SUMIF(AC65:AC70,0,AC8:AC13))/2)+(1-Main!$C$161)*AC14)</f>
        <v>4062.3205388466017</v>
      </c>
      <c r="AD92" s="182">
        <f ca="1">IF(Main!$AP$275&lt;3,AD14,Main!$C$161*((SUMIF(AD58:AD63,0,AD8:AD13)+SUMIF(AD65:AD70,0,AD8:AD13))/2)+(1-Main!$C$161)*AD14)</f>
        <v>42776.166576190852</v>
      </c>
      <c r="AE92" s="182">
        <f ca="1">IF(Main!$AP$275&lt;3,AE14,Main!$C$161*((SUMIF(AE58:AE63,0,AE8:AE13)+SUMIF(AE65:AE70,0,AE8:AE13))/2)+(1-Main!$C$161)*AE14)</f>
        <v>48340.073434219827</v>
      </c>
      <c r="AF92" s="182">
        <f ca="1">IF(Main!$AP$275&lt;3,AF14,Main!$C$161*((SUMIF(AF58:AF63,0,AF8:AF13)+SUMIF(AF65:AF70,0,AF8:AF13))/2)+(1-Main!$C$161)*AF14)</f>
        <v>83560.683381283525</v>
      </c>
      <c r="AG92" s="182">
        <f ca="1">IF(Main!$AP$275&lt;3,AG14,Main!$C$161*((SUMIF(AG58:AG63,0,AG8:AG13)+SUMIF(AG65:AG70,0,AG8:AG13))/2)+(1-Main!$C$161)*AG14)</f>
        <v>16588.876361893006</v>
      </c>
      <c r="AH92" s="182">
        <f ca="1">IF(Main!$AP$275&lt;3,AH14,Main!$C$161*((SUMIF(AH58:AH63,0,AH8:AH13)+SUMIF(AH65:AH70,0,AH8:AH13))/2)+(1-Main!$C$161)*AH14)</f>
        <v>760824.81837096054</v>
      </c>
      <c r="AI92" s="182">
        <f ca="1">IF(Main!$AP$275&lt;3,AI14,Main!$C$161*((SUMIF(AI58:AI63,0,AI8:AI13)+SUMIF(AI65:AI70,0,AI8:AI13))/2)+(1-Main!$C$161)*AI14)</f>
        <v>74299.466243478615</v>
      </c>
      <c r="AJ92" s="182">
        <f ca="1">IF(Main!$AP$275&lt;3,AJ14,Main!$C$161*((SUMIF(AJ58:AJ63,0,AJ8:AJ13)+SUMIF(AJ65:AJ70,0,AJ8:AJ13))/2)+(1-Main!$C$161)*AJ14)</f>
        <v>326553.7610835752</v>
      </c>
      <c r="AK92" s="182">
        <f ca="1">IF(Main!$AP$275&lt;3,AK14,Main!$C$161*((SUMIF(AK58:AK63,0,AK8:AK13)+SUMIF(AK65:AK70,0,AK8:AK13))/2)+(1-Main!$C$161)*AK14)</f>
        <v>293184.46601875464</v>
      </c>
      <c r="AL92" s="182">
        <f ca="1">IF(Main!$AP$275&lt;3,AL14,Main!$C$161*((SUMIF(AL58:AL63,0,AL8:AL13)+SUMIF(AL65:AL70,0,AL8:AL13))/2)+(1-Main!$C$161)*AL14)</f>
        <v>579064.0666826294</v>
      </c>
      <c r="AM92" s="182">
        <f ca="1">IF(Main!$AP$275&lt;3,AM14,Main!$C$161*((SUMIF(AM58:AM63,0,AM8:AM13)+SUMIF(AM65:AM70,0,AM8:AM13))/2)+(1-Main!$C$161)*AM14)</f>
        <v>627198.52489160362</v>
      </c>
      <c r="AN92" s="182">
        <f ca="1">IF(Main!$AP$275&lt;3,AN14,Main!$C$161*((SUMIF(AN58:AN63,0,AN8:AN13)+SUMIF(AN65:AN70,0,AN8:AN13))/2)+(1-Main!$C$161)*AN14)</f>
        <v>547584.40961156134</v>
      </c>
      <c r="AO92" s="330">
        <f ca="1">SUM(B92:AN92)</f>
        <v>11407173.861735839</v>
      </c>
    </row>
    <row r="93" spans="1:45" ht="15.75" customHeight="1" x14ac:dyDescent="0.25">
      <c r="A93" s="358"/>
      <c r="B93" s="2"/>
      <c r="C93" s="49"/>
    </row>
    <row r="94" spans="1:45" ht="15.75" x14ac:dyDescent="0.25">
      <c r="A94" s="329" t="s">
        <v>609</v>
      </c>
      <c r="B94" s="49">
        <f ca="1">(1-$B$2)*B82/Parameters!$C$13</f>
        <v>7509148.4297237145</v>
      </c>
      <c r="C94" s="49">
        <f ca="1">(1-$B$2)*C82/Parameters!$C$13</f>
        <v>461113.97339112987</v>
      </c>
      <c r="D94" s="49">
        <f ca="1">(1-$B$2)*D82/Parameters!$C$13</f>
        <v>2396038.417441179</v>
      </c>
      <c r="E94" s="49">
        <f ca="1">(1-$B$2)*E82/Parameters!$C$13</f>
        <v>2823704.395612299</v>
      </c>
      <c r="F94" s="49">
        <f ca="1">(1-$B$2)*F82/Parameters!$C$13</f>
        <v>7261448.523529768</v>
      </c>
      <c r="G94" s="49">
        <f ca="1">(1-$B$2)*G82/Parameters!$C$13</f>
        <v>5524.5604013694601</v>
      </c>
      <c r="H94" s="49">
        <f ca="1">(1-$B$2)*H82/Parameters!$C$13</f>
        <v>2501649.3641616125</v>
      </c>
      <c r="I94" s="49">
        <f ca="1">(1-$B$2)*I82/Parameters!$C$13</f>
        <v>12225426.656297809</v>
      </c>
      <c r="J94" s="49">
        <f ca="1">(1-$B$2)*J82/Parameters!$C$13</f>
        <v>3454445.9907616689</v>
      </c>
      <c r="K94" s="49">
        <f ca="1">(1-$B$2)*K82/Parameters!$C$13</f>
        <v>5645047.4265319472</v>
      </c>
      <c r="L94" s="49">
        <f ca="1">(1-$B$2)*L82/Parameters!$C$13</f>
        <v>74628.002216958892</v>
      </c>
      <c r="M94" s="49">
        <f ca="1">(1-$B$2)*M82/Parameters!$C$13</f>
        <v>1458943.9715255299</v>
      </c>
      <c r="N94" s="49">
        <f ca="1">(1-$B$2)*N82/Parameters!$C$13</f>
        <v>5242336.449475524</v>
      </c>
      <c r="O94" s="49">
        <f ca="1">(1-$B$2)*O82/Parameters!$C$13</f>
        <v>6090521.4904371426</v>
      </c>
      <c r="P94" s="49">
        <f ca="1">(1-$B$2)*P82/Parameters!$C$13</f>
        <v>1690171.9601959058</v>
      </c>
      <c r="Q94" s="49">
        <f ca="1">(1-$B$2)*Q82/Parameters!$C$13</f>
        <v>1723311.7322833354</v>
      </c>
      <c r="R94" s="49">
        <f ca="1">(1-$B$2)*R82/Parameters!$C$13</f>
        <v>1170.1779240618441</v>
      </c>
      <c r="S94" s="49">
        <f ca="1">(1-$B$2)*S82/Parameters!$C$13</f>
        <v>876551.63837398007</v>
      </c>
      <c r="T94" s="49">
        <f ca="1">(1-$B$2)*T82/Parameters!$C$13</f>
        <v>1404.6349095705341</v>
      </c>
      <c r="U94" s="49">
        <f ca="1">(1-$B$2)*U82/Parameters!$C$13</f>
        <v>527319.54066815076</v>
      </c>
      <c r="V94" s="49">
        <f ca="1">(1-$B$2)*V82/Parameters!$C$13</f>
        <v>429053.39107874216</v>
      </c>
      <c r="W94" s="49">
        <f ca="1">(1-$B$2)*W82/Parameters!$C$13</f>
        <v>3821260.9916635538</v>
      </c>
      <c r="X94" s="49">
        <f ca="1">(1-$B$2)*X82/Parameters!$C$13</f>
        <v>277414.82695726614</v>
      </c>
      <c r="Y94" s="49">
        <f ca="1">(1-$B$2)*Y82/Parameters!$C$13</f>
        <v>4266736.1524484679</v>
      </c>
      <c r="Z94" s="49">
        <f ca="1">(1-$B$2)*Z82/Parameters!$C$13</f>
        <v>12175343.921433002</v>
      </c>
      <c r="AA94" s="49">
        <f ca="1">(1-$B$2)*AA82/Parameters!$C$13</f>
        <v>1367314.4149001183</v>
      </c>
      <c r="AB94" s="49">
        <f ca="1">(1-$B$2)*AB82/Parameters!$C$13</f>
        <v>7589000.2533592097</v>
      </c>
      <c r="AC94" s="49">
        <f ca="1">(1-$B$2)*AC82/Parameters!$C$13</f>
        <v>45657.110685907755</v>
      </c>
      <c r="AD94" s="49">
        <f ca="1">(1-$B$2)*AD82/Parameters!$C$13</f>
        <v>367432.0454103229</v>
      </c>
      <c r="AE94" s="49">
        <f ca="1">(1-$B$2)*AE82/Parameters!$C$13</f>
        <v>497570.85862858483</v>
      </c>
      <c r="AF94" s="49">
        <f ca="1">(1-$B$2)*AF82/Parameters!$C$13</f>
        <v>867077.52219221788</v>
      </c>
      <c r="AG94" s="49">
        <f ca="1">(1-$B$2)*AG82/Parameters!$C$13</f>
        <v>162393.35756083872</v>
      </c>
      <c r="AH94" s="49">
        <f ca="1">(1-$B$2)*AH82/Parameters!$C$13</f>
        <v>10291912.844374783</v>
      </c>
      <c r="AI94" s="49">
        <f ca="1">(1-$B$2)*AI82/Parameters!$C$13</f>
        <v>899456.30919638718</v>
      </c>
      <c r="AJ94" s="49">
        <f ca="1">(1-$B$2)*AJ82/Parameters!$C$13</f>
        <v>3587982.3719087145</v>
      </c>
      <c r="AK94" s="49">
        <f ca="1">(1-$B$2)*AK82/Parameters!$C$13</f>
        <v>3561546.051092078</v>
      </c>
      <c r="AL94" s="49">
        <f ca="1">(1-$B$2)*AL82/Parameters!$C$13</f>
        <v>6955176.4718546225</v>
      </c>
      <c r="AM94" s="49">
        <f ca="1">(1-$B$2)*AM82/Parameters!$C$13</f>
        <v>5566383.3216408473</v>
      </c>
      <c r="AN94" s="49">
        <f ca="1">(1-$B$2)*AN82/Parameters!$C$13</f>
        <v>6734194.3799239481</v>
      </c>
      <c r="AO94" s="330">
        <f ca="1">SUM(B94:AN94)</f>
        <v>131432813.93217228</v>
      </c>
    </row>
    <row r="95" spans="1:45" ht="15.75" x14ac:dyDescent="0.25">
      <c r="A95" s="329" t="s">
        <v>1043</v>
      </c>
      <c r="B95" s="49">
        <f t="shared" ref="B95:AN95" ca="1" si="34">SUMPRODUCT(B8:B13,B72:B77)*$B$2*$B$1</f>
        <v>0</v>
      </c>
      <c r="C95" s="49">
        <f t="shared" ca="1" si="34"/>
        <v>0</v>
      </c>
      <c r="D95" s="49">
        <f t="shared" ca="1" si="34"/>
        <v>0</v>
      </c>
      <c r="E95" s="49">
        <f t="shared" ca="1" si="34"/>
        <v>0</v>
      </c>
      <c r="F95" s="49">
        <f t="shared" ca="1" si="34"/>
        <v>0</v>
      </c>
      <c r="G95" s="49">
        <f t="shared" ca="1" si="34"/>
        <v>0</v>
      </c>
      <c r="H95" s="49">
        <f t="shared" ca="1" si="34"/>
        <v>0</v>
      </c>
      <c r="I95" s="49">
        <f t="shared" ca="1" si="34"/>
        <v>0</v>
      </c>
      <c r="J95" s="49">
        <f t="shared" ca="1" si="34"/>
        <v>0</v>
      </c>
      <c r="K95" s="49">
        <f t="shared" ca="1" si="34"/>
        <v>0</v>
      </c>
      <c r="L95" s="49">
        <f t="shared" ca="1" si="34"/>
        <v>0</v>
      </c>
      <c r="M95" s="49">
        <f t="shared" ca="1" si="34"/>
        <v>0</v>
      </c>
      <c r="N95" s="49">
        <f t="shared" ca="1" si="34"/>
        <v>0</v>
      </c>
      <c r="O95" s="49">
        <f t="shared" ca="1" si="34"/>
        <v>0</v>
      </c>
      <c r="P95" s="49">
        <f t="shared" ca="1" si="34"/>
        <v>0</v>
      </c>
      <c r="Q95" s="49">
        <f t="shared" ca="1" si="34"/>
        <v>0</v>
      </c>
      <c r="R95" s="49">
        <f t="shared" ca="1" si="34"/>
        <v>0</v>
      </c>
      <c r="S95" s="49">
        <f t="shared" ca="1" si="34"/>
        <v>0</v>
      </c>
      <c r="T95" s="49">
        <f t="shared" ca="1" si="34"/>
        <v>0</v>
      </c>
      <c r="U95" s="49">
        <f t="shared" ca="1" si="34"/>
        <v>0</v>
      </c>
      <c r="V95" s="49">
        <f t="shared" ca="1" si="34"/>
        <v>0</v>
      </c>
      <c r="W95" s="49">
        <f t="shared" ca="1" si="34"/>
        <v>0</v>
      </c>
      <c r="X95" s="49">
        <f t="shared" ca="1" si="34"/>
        <v>0</v>
      </c>
      <c r="Y95" s="49">
        <f t="shared" ca="1" si="34"/>
        <v>0</v>
      </c>
      <c r="Z95" s="49">
        <f t="shared" ca="1" si="34"/>
        <v>0</v>
      </c>
      <c r="AA95" s="49">
        <f t="shared" ca="1" si="34"/>
        <v>0</v>
      </c>
      <c r="AB95" s="49">
        <f t="shared" ca="1" si="34"/>
        <v>0</v>
      </c>
      <c r="AC95" s="49">
        <f t="shared" ca="1" si="34"/>
        <v>0</v>
      </c>
      <c r="AD95" s="49">
        <f t="shared" ca="1" si="34"/>
        <v>0</v>
      </c>
      <c r="AE95" s="49">
        <f t="shared" ca="1" si="34"/>
        <v>0</v>
      </c>
      <c r="AF95" s="49">
        <f t="shared" ca="1" si="34"/>
        <v>0</v>
      </c>
      <c r="AG95" s="49">
        <f t="shared" ca="1" si="34"/>
        <v>0</v>
      </c>
      <c r="AH95" s="49">
        <f t="shared" ca="1" si="34"/>
        <v>0</v>
      </c>
      <c r="AI95" s="49">
        <f t="shared" ca="1" si="34"/>
        <v>0</v>
      </c>
      <c r="AJ95" s="49">
        <f t="shared" ca="1" si="34"/>
        <v>0</v>
      </c>
      <c r="AK95" s="49">
        <f t="shared" ca="1" si="34"/>
        <v>0</v>
      </c>
      <c r="AL95" s="49">
        <f t="shared" ca="1" si="34"/>
        <v>0</v>
      </c>
      <c r="AM95" s="49">
        <f t="shared" ca="1" si="34"/>
        <v>0</v>
      </c>
      <c r="AN95" s="49">
        <f t="shared" ca="1" si="34"/>
        <v>0</v>
      </c>
      <c r="AO95" s="330">
        <f ca="1">SUM(B95:AN95)</f>
        <v>0</v>
      </c>
    </row>
    <row r="96" spans="1:45" ht="15.75" x14ac:dyDescent="0.25">
      <c r="A96" s="329" t="s">
        <v>864</v>
      </c>
      <c r="B96" s="49">
        <f t="shared" ref="B96:AN96" ca="1" si="35">(SUMPRODUCT(B8:B13,B58:B63)+SUMPRODUCT(B8:B13,B65:B70))*$B$2/2</f>
        <v>941309.61295731319</v>
      </c>
      <c r="C96" s="49">
        <f t="shared" ca="1" si="35"/>
        <v>124764.15252148079</v>
      </c>
      <c r="D96" s="49">
        <f t="shared" ca="1" si="35"/>
        <v>495979.2667916026</v>
      </c>
      <c r="E96" s="49">
        <f t="shared" ca="1" si="35"/>
        <v>-4.531969135772317E-12</v>
      </c>
      <c r="F96" s="49">
        <f t="shared" ca="1" si="35"/>
        <v>20835570.667828336</v>
      </c>
      <c r="G96" s="49">
        <f t="shared" ca="1" si="35"/>
        <v>1840.2992686275247</v>
      </c>
      <c r="H96" s="49">
        <f t="shared" ca="1" si="35"/>
        <v>140546.2385277203</v>
      </c>
      <c r="I96" s="49">
        <f t="shared" ca="1" si="35"/>
        <v>25024385.377928019</v>
      </c>
      <c r="J96" s="49">
        <f t="shared" ca="1" si="35"/>
        <v>1815429.4193630067</v>
      </c>
      <c r="K96" s="49">
        <f t="shared" ca="1" si="35"/>
        <v>4960864.8175008353</v>
      </c>
      <c r="L96" s="49">
        <f t="shared" ca="1" si="35"/>
        <v>73583.574536271524</v>
      </c>
      <c r="M96" s="49">
        <f t="shared" ca="1" si="35"/>
        <v>155158.94607805958</v>
      </c>
      <c r="N96" s="49">
        <f t="shared" ca="1" si="35"/>
        <v>13313021.404199032</v>
      </c>
      <c r="O96" s="49">
        <f t="shared" ca="1" si="35"/>
        <v>9586170.5575432684</v>
      </c>
      <c r="P96" s="49">
        <f t="shared" ca="1" si="35"/>
        <v>2219018.725479845</v>
      </c>
      <c r="Q96" s="49">
        <f t="shared" ca="1" si="35"/>
        <v>2221794.834733888</v>
      </c>
      <c r="R96" s="49">
        <f t="shared" ca="1" si="35"/>
        <v>289.00658340973814</v>
      </c>
      <c r="S96" s="49">
        <f t="shared" ca="1" si="35"/>
        <v>235791.94728429746</v>
      </c>
      <c r="T96" s="49">
        <f t="shared" ca="1" si="35"/>
        <v>271.0126444359442</v>
      </c>
      <c r="U96" s="49">
        <f t="shared" ca="1" si="35"/>
        <v>382284.60595436097</v>
      </c>
      <c r="V96" s="49">
        <f t="shared" ca="1" si="35"/>
        <v>1198330.5422567846</v>
      </c>
      <c r="W96" s="49">
        <f t="shared" ca="1" si="35"/>
        <v>7293961.8322253749</v>
      </c>
      <c r="X96" s="49">
        <f t="shared" ca="1" si="35"/>
        <v>223885.19908817491</v>
      </c>
      <c r="Y96" s="49">
        <f t="shared" ca="1" si="35"/>
        <v>1072780.834605142</v>
      </c>
      <c r="Z96" s="49">
        <f t="shared" ca="1" si="35"/>
        <v>5303863.4280211385</v>
      </c>
      <c r="AA96" s="49">
        <f t="shared" ca="1" si="35"/>
        <v>915359.20729625307</v>
      </c>
      <c r="AB96" s="49">
        <f t="shared" ca="1" si="35"/>
        <v>2516290.9001614042</v>
      </c>
      <c r="AC96" s="49">
        <f t="shared" ca="1" si="35"/>
        <v>1343.8705333763778</v>
      </c>
      <c r="AD96" s="49">
        <f t="shared" ca="1" si="35"/>
        <v>204834.55462215582</v>
      </c>
      <c r="AE96" s="49">
        <f t="shared" ca="1" si="35"/>
        <v>137151.95522511235</v>
      </c>
      <c r="AF96" s="49">
        <f t="shared" ca="1" si="35"/>
        <v>130917.62345293938</v>
      </c>
      <c r="AG96" s="49">
        <f t="shared" ca="1" si="35"/>
        <v>34222.911176052992</v>
      </c>
      <c r="AH96" s="49">
        <f t="shared" ca="1" si="35"/>
        <v>9381620.8300135955</v>
      </c>
      <c r="AI96" s="49">
        <f t="shared" ca="1" si="35"/>
        <v>1963476.9034135668</v>
      </c>
      <c r="AJ96" s="49">
        <f t="shared" ca="1" si="35"/>
        <v>6871783.6945020007</v>
      </c>
      <c r="AK96" s="49">
        <f t="shared" ca="1" si="35"/>
        <v>3869938.4586548419</v>
      </c>
      <c r="AL96" s="49">
        <f t="shared" ca="1" si="35"/>
        <v>12878411.171984505</v>
      </c>
      <c r="AM96" s="49">
        <f t="shared" ca="1" si="35"/>
        <v>1492792.8814604587</v>
      </c>
      <c r="AN96" s="49">
        <f t="shared" ca="1" si="35"/>
        <v>3310669.995356061</v>
      </c>
      <c r="AO96" s="330">
        <f ca="1">SUM(B96:AN96)</f>
        <v>141329711.26177272</v>
      </c>
    </row>
    <row r="97" spans="1:42" s="49" customFormat="1" ht="15.75" x14ac:dyDescent="0.25">
      <c r="A97" s="329" t="s">
        <v>866</v>
      </c>
      <c r="B97" s="49">
        <f t="shared" ref="B97:AN97" ca="1" si="36">IF(comflag&lt;3,MIN(SUMPRODUCT(B8:B13,B72:B77)*$B$1,B83)*$B$2,B96)</f>
        <v>941309.61295731319</v>
      </c>
      <c r="C97" s="49">
        <f t="shared" ca="1" si="36"/>
        <v>124764.15252148079</v>
      </c>
      <c r="D97" s="49">
        <f t="shared" ca="1" si="36"/>
        <v>495979.2667916026</v>
      </c>
      <c r="E97" s="49">
        <f t="shared" ca="1" si="36"/>
        <v>-4.531969135772317E-12</v>
      </c>
      <c r="F97" s="49">
        <f t="shared" ca="1" si="36"/>
        <v>20835570.667828336</v>
      </c>
      <c r="G97" s="49">
        <f t="shared" ca="1" si="36"/>
        <v>1840.2992686275247</v>
      </c>
      <c r="H97" s="49">
        <f t="shared" ca="1" si="36"/>
        <v>140546.2385277203</v>
      </c>
      <c r="I97" s="49">
        <f t="shared" ca="1" si="36"/>
        <v>25024385.377928019</v>
      </c>
      <c r="J97" s="49">
        <f t="shared" ca="1" si="36"/>
        <v>1815429.4193630067</v>
      </c>
      <c r="K97" s="49">
        <f t="shared" ca="1" si="36"/>
        <v>4960864.8175008353</v>
      </c>
      <c r="L97" s="49">
        <f t="shared" ca="1" si="36"/>
        <v>73583.574536271524</v>
      </c>
      <c r="M97" s="49">
        <f t="shared" ca="1" si="36"/>
        <v>155158.94607805958</v>
      </c>
      <c r="N97" s="49">
        <f t="shared" ca="1" si="36"/>
        <v>13313021.404199032</v>
      </c>
      <c r="O97" s="49">
        <f t="shared" ca="1" si="36"/>
        <v>9586170.5575432684</v>
      </c>
      <c r="P97" s="49">
        <f t="shared" ca="1" si="36"/>
        <v>2219018.725479845</v>
      </c>
      <c r="Q97" s="49">
        <f t="shared" ca="1" si="36"/>
        <v>2221794.834733888</v>
      </c>
      <c r="R97" s="49">
        <f t="shared" ca="1" si="36"/>
        <v>289.00658340973814</v>
      </c>
      <c r="S97" s="49">
        <f t="shared" ca="1" si="36"/>
        <v>235791.94728429746</v>
      </c>
      <c r="T97" s="49">
        <f t="shared" ca="1" si="36"/>
        <v>271.0126444359442</v>
      </c>
      <c r="U97" s="49">
        <f t="shared" ca="1" si="36"/>
        <v>382284.60595436097</v>
      </c>
      <c r="V97" s="49">
        <f t="shared" ca="1" si="36"/>
        <v>1198330.5422567846</v>
      </c>
      <c r="W97" s="49">
        <f t="shared" ca="1" si="36"/>
        <v>7293961.8322253749</v>
      </c>
      <c r="X97" s="49">
        <f t="shared" ca="1" si="36"/>
        <v>223885.19908817491</v>
      </c>
      <c r="Y97" s="49">
        <f t="shared" ca="1" si="36"/>
        <v>1072780.834605142</v>
      </c>
      <c r="Z97" s="49">
        <f t="shared" ca="1" si="36"/>
        <v>5303863.4280211385</v>
      </c>
      <c r="AA97" s="49">
        <f t="shared" ca="1" si="36"/>
        <v>915359.20729625307</v>
      </c>
      <c r="AB97" s="49">
        <f t="shared" ca="1" si="36"/>
        <v>2516290.9001614042</v>
      </c>
      <c r="AC97" s="49">
        <f t="shared" ca="1" si="36"/>
        <v>1343.8705333763778</v>
      </c>
      <c r="AD97" s="49">
        <f t="shared" ca="1" si="36"/>
        <v>204834.55462215582</v>
      </c>
      <c r="AE97" s="49">
        <f t="shared" ca="1" si="36"/>
        <v>137151.95522511235</v>
      </c>
      <c r="AF97" s="49">
        <f t="shared" ca="1" si="36"/>
        <v>130917.62345293938</v>
      </c>
      <c r="AG97" s="49">
        <f t="shared" ca="1" si="36"/>
        <v>34222.911176052992</v>
      </c>
      <c r="AH97" s="49">
        <f t="shared" ca="1" si="36"/>
        <v>9381620.8300135955</v>
      </c>
      <c r="AI97" s="49">
        <f t="shared" ca="1" si="36"/>
        <v>1963476.9034135668</v>
      </c>
      <c r="AJ97" s="49">
        <f t="shared" ca="1" si="36"/>
        <v>6871783.6945020007</v>
      </c>
      <c r="AK97" s="49">
        <f t="shared" ca="1" si="36"/>
        <v>3869938.4586548419</v>
      </c>
      <c r="AL97" s="49">
        <f t="shared" ca="1" si="36"/>
        <v>12878411.171984505</v>
      </c>
      <c r="AM97" s="49">
        <f t="shared" ca="1" si="36"/>
        <v>1492792.8814604587</v>
      </c>
      <c r="AN97" s="49">
        <f t="shared" ca="1" si="36"/>
        <v>3310669.995356061</v>
      </c>
      <c r="AO97" s="330">
        <f ca="1">SUM(B97:AN97)</f>
        <v>141329711.26177272</v>
      </c>
    </row>
    <row r="98" spans="1:42" s="49" customFormat="1" x14ac:dyDescent="0.25">
      <c r="A98" s="49" t="str">
        <f>"Min of (current or "&amp;IF(remcover=0,"U of MN recs","crop removal")&amp;") * adoption"</f>
        <v>Min of (current or U of MN recs) * adoption</v>
      </c>
      <c r="B98" s="49">
        <f t="shared" ref="B98:AN98" ca="1" si="37">B94+B97</f>
        <v>8450458.0426810272</v>
      </c>
      <c r="C98" s="49">
        <f t="shared" ca="1" si="37"/>
        <v>585878.12591261067</v>
      </c>
      <c r="D98" s="49">
        <f t="shared" ca="1" si="37"/>
        <v>2892017.6842327816</v>
      </c>
      <c r="E98" s="49">
        <f t="shared" ca="1" si="37"/>
        <v>2823704.395612299</v>
      </c>
      <c r="F98" s="49">
        <f t="shared" ca="1" si="37"/>
        <v>28097019.191358104</v>
      </c>
      <c r="G98" s="49">
        <f t="shared" ca="1" si="37"/>
        <v>7364.8596699969848</v>
      </c>
      <c r="H98" s="49">
        <f t="shared" ca="1" si="37"/>
        <v>2642195.6026893328</v>
      </c>
      <c r="I98" s="49">
        <f t="shared" ca="1" si="37"/>
        <v>37249812.034225829</v>
      </c>
      <c r="J98" s="49">
        <f t="shared" ca="1" si="37"/>
        <v>5269875.4101246754</v>
      </c>
      <c r="K98" s="49">
        <f t="shared" ca="1" si="37"/>
        <v>10605912.244032782</v>
      </c>
      <c r="L98" s="49">
        <f t="shared" ca="1" si="37"/>
        <v>148211.57675323042</v>
      </c>
      <c r="M98" s="49">
        <f t="shared" ca="1" si="37"/>
        <v>1614102.9176035894</v>
      </c>
      <c r="N98" s="49">
        <f t="shared" ca="1" si="37"/>
        <v>18555357.853674557</v>
      </c>
      <c r="O98" s="49">
        <f t="shared" ca="1" si="37"/>
        <v>15676692.047980411</v>
      </c>
      <c r="P98" s="49">
        <f t="shared" ca="1" si="37"/>
        <v>3909190.6856757505</v>
      </c>
      <c r="Q98" s="49">
        <f t="shared" ca="1" si="37"/>
        <v>3945106.5670172237</v>
      </c>
      <c r="R98" s="49">
        <f t="shared" ca="1" si="37"/>
        <v>1459.1845074715823</v>
      </c>
      <c r="S98" s="49">
        <f t="shared" ca="1" si="37"/>
        <v>1112343.5856582776</v>
      </c>
      <c r="T98" s="49">
        <f t="shared" ca="1" si="37"/>
        <v>1675.6475540064782</v>
      </c>
      <c r="U98" s="49">
        <f t="shared" ca="1" si="37"/>
        <v>909604.14662251179</v>
      </c>
      <c r="V98" s="49">
        <f t="shared" ca="1" si="37"/>
        <v>1627383.9333355268</v>
      </c>
      <c r="W98" s="49">
        <f t="shared" ca="1" si="37"/>
        <v>11115222.823888928</v>
      </c>
      <c r="X98" s="49">
        <f t="shared" ca="1" si="37"/>
        <v>501300.02604544105</v>
      </c>
      <c r="Y98" s="49">
        <f t="shared" ca="1" si="37"/>
        <v>5339516.9870536104</v>
      </c>
      <c r="Z98" s="49">
        <f t="shared" ca="1" si="37"/>
        <v>17479207.349454142</v>
      </c>
      <c r="AA98" s="49">
        <f t="shared" ca="1" si="37"/>
        <v>2282673.6221963712</v>
      </c>
      <c r="AB98" s="49">
        <f t="shared" ca="1" si="37"/>
        <v>10105291.153520614</v>
      </c>
      <c r="AC98" s="49">
        <f t="shared" ca="1" si="37"/>
        <v>47000.981219284135</v>
      </c>
      <c r="AD98" s="49">
        <f t="shared" ca="1" si="37"/>
        <v>572266.60003247869</v>
      </c>
      <c r="AE98" s="49">
        <f t="shared" ca="1" si="37"/>
        <v>634722.81385369715</v>
      </c>
      <c r="AF98" s="49">
        <f t="shared" ca="1" si="37"/>
        <v>997995.1456451572</v>
      </c>
      <c r="AG98" s="49">
        <f t="shared" ca="1" si="37"/>
        <v>196616.26873689171</v>
      </c>
      <c r="AH98" s="49">
        <f t="shared" ca="1" si="37"/>
        <v>19673533.674388379</v>
      </c>
      <c r="AI98" s="49">
        <f t="shared" ca="1" si="37"/>
        <v>2862933.2126099542</v>
      </c>
      <c r="AJ98" s="49">
        <f t="shared" ca="1" si="37"/>
        <v>10459766.066410715</v>
      </c>
      <c r="AK98" s="49">
        <f t="shared" ca="1" si="37"/>
        <v>7431484.5097469203</v>
      </c>
      <c r="AL98" s="49">
        <f t="shared" ca="1" si="37"/>
        <v>19833587.643839128</v>
      </c>
      <c r="AM98" s="49">
        <f t="shared" ca="1" si="37"/>
        <v>7059176.2031013062</v>
      </c>
      <c r="AN98" s="49">
        <f t="shared" ca="1" si="37"/>
        <v>10044864.37528001</v>
      </c>
      <c r="AO98" s="330">
        <f ca="1">SUM(B98:AN98)</f>
        <v>272762525.19394499</v>
      </c>
    </row>
    <row r="99" spans="1:42" s="49" customFormat="1" x14ac:dyDescent="0.25">
      <c r="A99" s="49" t="s">
        <v>608</v>
      </c>
      <c r="B99" s="49">
        <f t="shared" ref="B99:AN99" ca="1" si="38">B98-B83</f>
        <v>-29095284.105937552</v>
      </c>
      <c r="C99" s="49">
        <f t="shared" ca="1" si="38"/>
        <v>-1719691.7410430394</v>
      </c>
      <c r="D99" s="49">
        <f t="shared" ca="1" si="38"/>
        <v>-9088174.4029731154</v>
      </c>
      <c r="E99" s="49">
        <f t="shared" ca="1" si="38"/>
        <v>-11294817.582449196</v>
      </c>
      <c r="F99" s="49">
        <f t="shared" ca="1" si="38"/>
        <v>-8210223.4262907431</v>
      </c>
      <c r="G99" s="49">
        <f t="shared" ca="1" si="38"/>
        <v>-20257.942336850319</v>
      </c>
      <c r="H99" s="49">
        <f t="shared" ca="1" si="38"/>
        <v>-9866051.2181187328</v>
      </c>
      <c r="I99" s="49">
        <f t="shared" ca="1" si="38"/>
        <v>-23877321.247263223</v>
      </c>
      <c r="J99" s="49">
        <f t="shared" ca="1" si="38"/>
        <v>-12002354.543683674</v>
      </c>
      <c r="K99" s="49">
        <f t="shared" ca="1" si="38"/>
        <v>-17619324.888626959</v>
      </c>
      <c r="L99" s="49">
        <f t="shared" ca="1" si="38"/>
        <v>-224928.43433156417</v>
      </c>
      <c r="M99" s="49">
        <f t="shared" ca="1" si="38"/>
        <v>-5680616.9400240602</v>
      </c>
      <c r="N99" s="49">
        <f t="shared" ca="1" si="38"/>
        <v>-7656324.3937030695</v>
      </c>
      <c r="O99" s="49">
        <f t="shared" ca="1" si="38"/>
        <v>-14775915.404205309</v>
      </c>
      <c r="P99" s="49">
        <f t="shared" ca="1" si="38"/>
        <v>-4541669.11530378</v>
      </c>
      <c r="Q99" s="49">
        <f t="shared" ca="1" si="38"/>
        <v>-4671452.0943994559</v>
      </c>
      <c r="R99" s="49">
        <f t="shared" ca="1" si="38"/>
        <v>-4391.7051128376397</v>
      </c>
      <c r="S99" s="49">
        <f t="shared" ca="1" si="38"/>
        <v>-3270414.6062116241</v>
      </c>
      <c r="T99" s="49">
        <f t="shared" ca="1" si="38"/>
        <v>-5347.5269938461934</v>
      </c>
      <c r="U99" s="49">
        <f t="shared" ca="1" si="38"/>
        <v>-1726993.5567182426</v>
      </c>
      <c r="V99" s="49">
        <f t="shared" ca="1" si="38"/>
        <v>-517883.02205818426</v>
      </c>
      <c r="W99" s="49">
        <f t="shared" ca="1" si="38"/>
        <v>-7991082.1344288439</v>
      </c>
      <c r="X99" s="49">
        <f t="shared" ca="1" si="38"/>
        <v>-885774.10874089005</v>
      </c>
      <c r="Y99" s="49">
        <f t="shared" ca="1" si="38"/>
        <v>-15994163.775188733</v>
      </c>
      <c r="Z99" s="49">
        <f t="shared" ca="1" si="38"/>
        <v>-43397512.257710882</v>
      </c>
      <c r="AA99" s="49">
        <f t="shared" ca="1" si="38"/>
        <v>-4553898.4523042217</v>
      </c>
      <c r="AB99" s="49">
        <f t="shared" ca="1" si="38"/>
        <v>-27839710.113275446</v>
      </c>
      <c r="AC99" s="49">
        <f t="shared" ca="1" si="38"/>
        <v>-181284.57221025467</v>
      </c>
      <c r="AD99" s="49">
        <f t="shared" ca="1" si="38"/>
        <v>-1264893.6270191362</v>
      </c>
      <c r="AE99" s="49">
        <f t="shared" ca="1" si="38"/>
        <v>-1853131.4792892274</v>
      </c>
      <c r="AF99" s="49">
        <f t="shared" ca="1" si="38"/>
        <v>-3337392.4653159333</v>
      </c>
      <c r="AG99" s="49">
        <f t="shared" ca="1" si="38"/>
        <v>-615350.519067302</v>
      </c>
      <c r="AH99" s="49">
        <f t="shared" ca="1" si="38"/>
        <v>-31786030.547485553</v>
      </c>
      <c r="AI99" s="49">
        <f t="shared" ca="1" si="38"/>
        <v>-1634348.3333719829</v>
      </c>
      <c r="AJ99" s="49">
        <f t="shared" ca="1" si="38"/>
        <v>-7480145.7931328621</v>
      </c>
      <c r="AK99" s="49">
        <f t="shared" ca="1" si="38"/>
        <v>-10376245.745713476</v>
      </c>
      <c r="AL99" s="49">
        <f t="shared" ca="1" si="38"/>
        <v>-14942294.715433985</v>
      </c>
      <c r="AM99" s="49">
        <f t="shared" ca="1" si="38"/>
        <v>-20772740.405102935</v>
      </c>
      <c r="AN99" s="49">
        <f t="shared" ca="1" si="38"/>
        <v>-23626107.524339743</v>
      </c>
    </row>
    <row r="100" spans="1:42" s="3" customFormat="1" ht="15.75" x14ac:dyDescent="0.25">
      <c r="A100" s="329" t="s">
        <v>607</v>
      </c>
      <c r="B100" s="14">
        <f t="shared" ref="B100:AN100" ca="1" si="39">IFERROR(B99/B83,0)</f>
        <v>-0.77492899170214047</v>
      </c>
      <c r="C100" s="14">
        <f t="shared" ca="1" si="39"/>
        <v>-0.74588576372824333</v>
      </c>
      <c r="D100" s="14">
        <f t="shared" ca="1" si="39"/>
        <v>-0.75860005722935964</v>
      </c>
      <c r="E100" s="14">
        <f t="shared" ca="1" si="39"/>
        <v>-0.79999999999999993</v>
      </c>
      <c r="F100" s="14">
        <f t="shared" ca="1" si="39"/>
        <v>-0.22613183580897375</v>
      </c>
      <c r="G100" s="14">
        <f t="shared" ca="1" si="39"/>
        <v>-0.73337753106396153</v>
      </c>
      <c r="H100" s="14">
        <f t="shared" ca="1" si="39"/>
        <v>-0.78876371400875178</v>
      </c>
      <c r="I100" s="14">
        <f t="shared" ca="1" si="39"/>
        <v>-0.39061738978186172</v>
      </c>
      <c r="J100" s="14">
        <f t="shared" ca="1" si="39"/>
        <v>-0.69489316525902778</v>
      </c>
      <c r="K100" s="14">
        <f t="shared" ca="1" si="39"/>
        <v>-0.62424010136090013</v>
      </c>
      <c r="L100" s="14">
        <f t="shared" ca="1" si="39"/>
        <v>-0.60279902355593296</v>
      </c>
      <c r="M100" s="14">
        <f t="shared" ca="1" si="39"/>
        <v>-0.77872996508346792</v>
      </c>
      <c r="N100" s="14">
        <f t="shared" ca="1" si="39"/>
        <v>-0.29209588005245463</v>
      </c>
      <c r="O100" s="14">
        <f t="shared" ca="1" si="39"/>
        <v>-0.48521018856612802</v>
      </c>
      <c r="P100" s="14">
        <f t="shared" ca="1" si="39"/>
        <v>-0.53742095150807734</v>
      </c>
      <c r="Q100" s="14">
        <f t="shared" ca="1" si="39"/>
        <v>-0.54214823782461263</v>
      </c>
      <c r="R100" s="14">
        <f t="shared" ca="1" si="39"/>
        <v>-0.7506046768671627</v>
      </c>
      <c r="S100" s="14">
        <f t="shared" ca="1" si="39"/>
        <v>-0.74620010117790769</v>
      </c>
      <c r="T100" s="14">
        <f t="shared" ca="1" si="39"/>
        <v>-0.76141166041234076</v>
      </c>
      <c r="U100" s="14">
        <f t="shared" ca="1" si="39"/>
        <v>-0.65500836723403821</v>
      </c>
      <c r="V100" s="14">
        <f t="shared" ca="1" si="39"/>
        <v>-0.24140726204545462</v>
      </c>
      <c r="W100" s="14">
        <f t="shared" ca="1" si="39"/>
        <v>-0.41824320044415458</v>
      </c>
      <c r="X100" s="14">
        <f t="shared" ca="1" si="39"/>
        <v>-0.63859175694119419</v>
      </c>
      <c r="Y100" s="14">
        <f t="shared" ca="1" si="39"/>
        <v>-0.74971421731856913</v>
      </c>
      <c r="Z100" s="14">
        <f t="shared" ca="1" si="39"/>
        <v>-0.71287534114441853</v>
      </c>
      <c r="AA100" s="14">
        <f t="shared" ca="1" si="39"/>
        <v>-0.66610845357567317</v>
      </c>
      <c r="AB100" s="14">
        <f t="shared" ca="1" si="39"/>
        <v>-0.73368583960587996</v>
      </c>
      <c r="AC100" s="14">
        <f t="shared" ca="1" si="39"/>
        <v>-0.79411320377839345</v>
      </c>
      <c r="AD100" s="14">
        <f t="shared" ca="1" si="39"/>
        <v>-0.68850479582236201</v>
      </c>
      <c r="AE100" s="14">
        <f t="shared" ca="1" si="39"/>
        <v>-0.74487138752332349</v>
      </c>
      <c r="AF100" s="14">
        <f t="shared" ca="1" si="39"/>
        <v>-0.76980255626464811</v>
      </c>
      <c r="AG100" s="14">
        <f t="shared" ca="1" si="39"/>
        <v>-0.75785183373250753</v>
      </c>
      <c r="AH100" s="14">
        <f t="shared" ca="1" si="39"/>
        <v>-0.61768946216560183</v>
      </c>
      <c r="AI100" s="14">
        <f t="shared" ca="1" si="39"/>
        <v>-0.3634080536568095</v>
      </c>
      <c r="AJ100" s="14">
        <f t="shared" ca="1" si="39"/>
        <v>-0.41695554870597734</v>
      </c>
      <c r="AK100" s="14">
        <f t="shared" ca="1" si="39"/>
        <v>-0.58268210472987148</v>
      </c>
      <c r="AL100" s="14">
        <f t="shared" ca="1" si="39"/>
        <v>-0.42967406437207389</v>
      </c>
      <c r="AM100" s="14">
        <f t="shared" ca="1" si="39"/>
        <v>-0.7463639927327026</v>
      </c>
      <c r="AN100" s="14">
        <f t="shared" ca="1" si="39"/>
        <v>-0.70167584098178515</v>
      </c>
      <c r="AO100" s="325"/>
    </row>
    <row r="101" spans="1:42" x14ac:dyDescent="0.25">
      <c r="A101" s="49" t="s">
        <v>606</v>
      </c>
      <c r="B101" s="5">
        <f ca="1">B99*Returns_Per_A!$C$74</f>
        <v>-12801925.006612523</v>
      </c>
      <c r="C101" s="5">
        <f ca="1">C99*Returns_Per_A!$C$74</f>
        <v>-756664.36605893727</v>
      </c>
      <c r="D101" s="5">
        <f ca="1">D99*Returns_Per_A!$C$74</f>
        <v>-3998796.7373081706</v>
      </c>
      <c r="E101" s="5">
        <f ca="1">E99*Returns_Per_A!$C$74</f>
        <v>-4969719.7362776464</v>
      </c>
      <c r="F101" s="5">
        <f ca="1">F99*Returns_Per_A!$C$74</f>
        <v>-3612498.3075679271</v>
      </c>
      <c r="G101" s="5">
        <f ca="1">G99*Returns_Per_A!$C$74</f>
        <v>-8913.4946282141409</v>
      </c>
      <c r="H101" s="5">
        <f ca="1">H99*Returns_Per_A!$C$74</f>
        <v>-4341062.5359722422</v>
      </c>
      <c r="I101" s="5">
        <f ca="1">I99*Returns_Per_A!$C$74</f>
        <v>-10506021.348795818</v>
      </c>
      <c r="J101" s="5">
        <f ca="1">J99*Returns_Per_A!$C$74</f>
        <v>-5281035.9992208164</v>
      </c>
      <c r="K101" s="5">
        <f ca="1">K99*Returns_Per_A!$C$74</f>
        <v>-7752502.9509958625</v>
      </c>
      <c r="L101" s="5">
        <f ca="1">L99*Returns_Per_A!$C$74</f>
        <v>-98968.511105888232</v>
      </c>
      <c r="M101" s="5">
        <f ca="1">M99*Returns_Per_A!$C$74</f>
        <v>-2499471.4536105865</v>
      </c>
      <c r="N101" s="5">
        <f ca="1">N99*Returns_Per_A!$C$74</f>
        <v>-3368782.7332293508</v>
      </c>
      <c r="O101" s="5">
        <f ca="1">O99*Returns_Per_A!$C$74</f>
        <v>-6501402.7778503364</v>
      </c>
      <c r="P101" s="5">
        <f ca="1">P99*Returns_Per_A!$C$74</f>
        <v>-1998334.4107336632</v>
      </c>
      <c r="Q101" s="5">
        <f ca="1">Q99*Returns_Per_A!$C$74</f>
        <v>-2055438.9215357606</v>
      </c>
      <c r="R101" s="5">
        <f ca="1">R99*Returns_Per_A!$C$74</f>
        <v>-1932.3502496485614</v>
      </c>
      <c r="S101" s="5">
        <f ca="1">S99*Returns_Per_A!$C$74</f>
        <v>-1438982.4267331145</v>
      </c>
      <c r="T101" s="5">
        <f ca="1">T99*Returns_Per_A!$C$74</f>
        <v>-2352.9118772923252</v>
      </c>
      <c r="U101" s="5">
        <f ca="1">U99*Returns_Per_A!$C$74</f>
        <v>-759877.16495602671</v>
      </c>
      <c r="V101" s="5">
        <f ca="1">V99*Returns_Per_A!$C$74</f>
        <v>-227868.52970560107</v>
      </c>
      <c r="W101" s="5">
        <f ca="1">W99*Returns_Per_A!$C$74</f>
        <v>-3516076.1391486912</v>
      </c>
      <c r="X101" s="5">
        <f ca="1">X99*Returns_Per_A!$C$74</f>
        <v>-389740.60784599162</v>
      </c>
      <c r="Y101" s="5">
        <f ca="1">Y99*Returns_Per_A!$C$74</f>
        <v>-7037432.0610830421</v>
      </c>
      <c r="Z101" s="5">
        <f ca="1">Z99*Returns_Per_A!$C$74</f>
        <v>-19094905.393392786</v>
      </c>
      <c r="AA101" s="5">
        <f ca="1">AA99*Returns_Per_A!$C$74</f>
        <v>-2003715.3190138575</v>
      </c>
      <c r="AB101" s="5">
        <f ca="1">AB99*Returns_Per_A!$C$74</f>
        <v>-12249472.449841196</v>
      </c>
      <c r="AC101" s="5">
        <f ca="1">AC99*Returns_Per_A!$C$74</f>
        <v>-79765.211772512062</v>
      </c>
      <c r="AD101" s="5">
        <f ca="1">AD99*Returns_Per_A!$C$74</f>
        <v>-556553.19588841998</v>
      </c>
      <c r="AE101" s="5">
        <f ca="1">AE99*Returns_Per_A!$C$74</f>
        <v>-815377.85088726005</v>
      </c>
      <c r="AF101" s="5">
        <f ca="1">AF99*Returns_Per_A!$C$74</f>
        <v>-1468452.6847390106</v>
      </c>
      <c r="AG101" s="5">
        <f ca="1">AG99*Returns_Per_A!$C$74</f>
        <v>-270754.22838961286</v>
      </c>
      <c r="AH101" s="5">
        <f ca="1">AH99*Returns_Per_A!$C$74</f>
        <v>-13985853.440893643</v>
      </c>
      <c r="AI101" s="5">
        <f ca="1">AI99*Returns_Per_A!$C$74</f>
        <v>-719113.26668367244</v>
      </c>
      <c r="AJ101" s="5">
        <f ca="1">AJ99*Returns_Per_A!$C$74</f>
        <v>-3291264.1489784592</v>
      </c>
      <c r="AK101" s="5">
        <f ca="1">AK99*Returns_Per_A!$C$74</f>
        <v>-4565548.1281139292</v>
      </c>
      <c r="AL101" s="5">
        <f ca="1">AL99*Returns_Per_A!$C$74</f>
        <v>-6574609.6747909533</v>
      </c>
      <c r="AM101" s="5">
        <f ca="1">AM99*Returns_Per_A!$C$74</f>
        <v>-9140005.7782452907</v>
      </c>
      <c r="AN101" s="5">
        <f ca="1">AN99*Returns_Per_A!$C$74</f>
        <v>-10395487.310709488</v>
      </c>
      <c r="AO101" s="328">
        <f ca="1">SUM(B101:AN101)</f>
        <v>-169136679.56544325</v>
      </c>
    </row>
    <row r="102" spans="1:42" s="49" customFormat="1" x14ac:dyDescent="0.25">
      <c r="A102" s="27" t="s">
        <v>605</v>
      </c>
      <c r="B102" s="327">
        <f ca="1">-Parameters!$C$14*(B100)*(-$B$2)</f>
        <v>-1.2398863867234249</v>
      </c>
      <c r="C102" s="327">
        <f ca="1">-Parameters!$C$14*(C100)*(-$B$2)</f>
        <v>-1.1934172219651893</v>
      </c>
      <c r="D102" s="327">
        <f ca="1">-Parameters!$C$14*(D100)*(-$B$2)</f>
        <v>-1.2137600915669755</v>
      </c>
      <c r="E102" s="327">
        <f ca="1">-Parameters!$C$14*(E100)*(-$B$2)</f>
        <v>-1.28</v>
      </c>
      <c r="F102" s="327">
        <f ca="1">-Parameters!$C$14*(F100)*(-$B$2)</f>
        <v>-0.36181093729435804</v>
      </c>
      <c r="G102" s="327">
        <f ca="1">-Parameters!$C$14*(G100)*(-$B$2)</f>
        <v>-1.1734040497023386</v>
      </c>
      <c r="H102" s="327">
        <f ca="1">-Parameters!$C$14*(H100)*(-$B$2)</f>
        <v>-1.2620219424140029</v>
      </c>
      <c r="I102" s="327">
        <f ca="1">-Parameters!$C$14*(I100)*(-$B$2)</f>
        <v>-0.62498782365097882</v>
      </c>
      <c r="J102" s="327">
        <f ca="1">-Parameters!$C$14*(J100)*(-$B$2)</f>
        <v>-1.1118290644144444</v>
      </c>
      <c r="K102" s="327">
        <f ca="1">-Parameters!$C$14*(K100)*(-$B$2)</f>
        <v>-0.99878416217744026</v>
      </c>
      <c r="L102" s="327">
        <f ca="1">-Parameters!$C$14*(L100)*(-$B$2)</f>
        <v>-0.96447843768949282</v>
      </c>
      <c r="M102" s="327">
        <f ca="1">-Parameters!$C$14*(M100)*(-$B$2)</f>
        <v>-1.2459679441335487</v>
      </c>
      <c r="N102" s="327">
        <f ca="1">-Parameters!$C$14*(N100)*(-$B$2)</f>
        <v>-0.46735340808392745</v>
      </c>
      <c r="O102" s="327">
        <f ca="1">-Parameters!$C$14*(O100)*(-$B$2)</f>
        <v>-0.77633630170580492</v>
      </c>
      <c r="P102" s="327">
        <f ca="1">-Parameters!$C$14*(P100)*(-$B$2)</f>
        <v>-0.85987352241292381</v>
      </c>
      <c r="Q102" s="327">
        <f ca="1">-Parameters!$C$14*(Q100)*(-$B$2)</f>
        <v>-0.86743718051938024</v>
      </c>
      <c r="R102" s="327">
        <f ca="1">-Parameters!$C$14*(R100)*(-$B$2)</f>
        <v>-1.2009674829874604</v>
      </c>
      <c r="S102" s="327">
        <f ca="1">-Parameters!$C$14*(S100)*(-$B$2)</f>
        <v>-1.1939201618846524</v>
      </c>
      <c r="T102" s="327">
        <f ca="1">-Parameters!$C$14*(T100)*(-$B$2)</f>
        <v>-1.2182586566597453</v>
      </c>
      <c r="U102" s="327">
        <f ca="1">-Parameters!$C$14*(U100)*(-$B$2)</f>
        <v>-1.0480133875744613</v>
      </c>
      <c r="V102" s="327">
        <f ca="1">-Parameters!$C$14*(V100)*(-$B$2)</f>
        <v>-0.38625161927272744</v>
      </c>
      <c r="W102" s="327">
        <f ca="1">-Parameters!$C$14*(W100)*(-$B$2)</f>
        <v>-0.6691891207106474</v>
      </c>
      <c r="X102" s="327">
        <f ca="1">-Parameters!$C$14*(X100)*(-$B$2)</f>
        <v>-1.0217468111059107</v>
      </c>
      <c r="Y102" s="327">
        <f ca="1">-Parameters!$C$14*(Y100)*(-$B$2)</f>
        <v>-1.1995427477097107</v>
      </c>
      <c r="Z102" s="327">
        <f ca="1">-Parameters!$C$14*(Z100)*(-$B$2)</f>
        <v>-1.1406005458310697</v>
      </c>
      <c r="AA102" s="327">
        <f ca="1">-Parameters!$C$14*(AA100)*(-$B$2)</f>
        <v>-1.0657735257210772</v>
      </c>
      <c r="AB102" s="327">
        <f ca="1">-Parameters!$C$14*(AB100)*(-$B$2)</f>
        <v>-1.173897343369408</v>
      </c>
      <c r="AC102" s="327">
        <f ca="1">-Parameters!$C$14*(AC100)*(-$B$2)</f>
        <v>-1.2705811260454296</v>
      </c>
      <c r="AD102" s="327">
        <f ca="1">-Parameters!$C$14*(AD100)*(-$B$2)</f>
        <v>-1.1016076733157794</v>
      </c>
      <c r="AE102" s="327">
        <f ca="1">-Parameters!$C$14*(AE100)*(-$B$2)</f>
        <v>-1.1917942200373177</v>
      </c>
      <c r="AF102" s="327">
        <f ca="1">-Parameters!$C$14*(AF100)*(-$B$2)</f>
        <v>-1.2316840900234372</v>
      </c>
      <c r="AG102" s="327">
        <f ca="1">-Parameters!$C$14*(AG100)*(-$B$2)</f>
        <v>-1.2125629339720121</v>
      </c>
      <c r="AH102" s="327">
        <f ca="1">-Parameters!$C$14*(AH100)*(-$B$2)</f>
        <v>-0.98830313946496295</v>
      </c>
      <c r="AI102" s="327">
        <f ca="1">-Parameters!$C$14*(AI100)*(-$B$2)</f>
        <v>-0.58145288585089527</v>
      </c>
      <c r="AJ102" s="327">
        <f ca="1">-Parameters!$C$14*(AJ100)*(-$B$2)</f>
        <v>-0.66712887792956377</v>
      </c>
      <c r="AK102" s="327">
        <f ca="1">-Parameters!$C$14*(AK100)*(-$B$2)</f>
        <v>-0.9322913675677944</v>
      </c>
      <c r="AL102" s="327">
        <f ca="1">-Parameters!$C$14*(AL100)*(-$B$2)</f>
        <v>-0.68747850299531832</v>
      </c>
      <c r="AM102" s="327">
        <f ca="1">-Parameters!$C$14*(AM100)*(-$B$2)</f>
        <v>-1.1941823883723242</v>
      </c>
      <c r="AN102" s="327">
        <f ca="1">-Parameters!$C$14*(AN100)*(-$B$2)</f>
        <v>-1.1226813455708562</v>
      </c>
      <c r="AO102" s="321">
        <f ca="1">SUMPRODUCT(B102:AN102*$B$84:$AN$84)/$AO$84</f>
        <v>-0.94195825749859796</v>
      </c>
    </row>
    <row r="103" spans="1:42" s="49" customFormat="1" x14ac:dyDescent="0.25">
      <c r="A103" s="51" t="s">
        <v>880</v>
      </c>
      <c r="B103" s="51">
        <f ca="1">B98*Parameters!$C$13</f>
        <v>3687779.8898260002</v>
      </c>
      <c r="C103" s="51">
        <f ca="1">C98*Parameters!$C$13</f>
        <v>255677.2141482633</v>
      </c>
      <c r="D103" s="51">
        <f ca="1">D98*Parameters!$C$13</f>
        <v>1262076.517399186</v>
      </c>
      <c r="E103" s="51">
        <f ca="1">E98*Parameters!$C$13</f>
        <v>1232264.5982452072</v>
      </c>
      <c r="F103" s="51">
        <f ca="1">F98*Parameters!$C$13</f>
        <v>12261539.175108677</v>
      </c>
      <c r="G103" s="51">
        <f ca="1">G98*Parameters!$C$13</f>
        <v>3214.0247599866843</v>
      </c>
      <c r="H103" s="51">
        <f ca="1">H98*Parameters!$C$13</f>
        <v>1153054.1610136249</v>
      </c>
      <c r="I103" s="51">
        <f ca="1">I98*Parameters!$C$13</f>
        <v>16255817.971736152</v>
      </c>
      <c r="J103" s="51">
        <f ca="1">J98*Parameters!$C$13</f>
        <v>2299773.6289784084</v>
      </c>
      <c r="K103" s="51">
        <f ca="1">K98*Parameters!$C$13</f>
        <v>4628420.1032959064</v>
      </c>
      <c r="L103" s="51">
        <f ca="1">L98*Parameters!$C$13</f>
        <v>64679.532095109753</v>
      </c>
      <c r="M103" s="51">
        <f ca="1">M98*Parameters!$C$13</f>
        <v>704394.51324220642</v>
      </c>
      <c r="N103" s="51">
        <f ca="1">N98*Parameters!$C$13</f>
        <v>8097558.1673435764</v>
      </c>
      <c r="O103" s="51">
        <f ca="1">O98*Parameters!$C$13</f>
        <v>6841308.4097386515</v>
      </c>
      <c r="P103" s="51">
        <f ca="1">P98*Parameters!$C$13</f>
        <v>1705970.8152288976</v>
      </c>
      <c r="Q103" s="51">
        <f ca="1">Q98*Parameters!$C$13</f>
        <v>1721644.5058463165</v>
      </c>
      <c r="R103" s="51">
        <f ca="1">R98*Parameters!$C$13</f>
        <v>636.78811906059855</v>
      </c>
      <c r="S103" s="51">
        <f ca="1">S98*Parameters!$C$13</f>
        <v>485426.74078127235</v>
      </c>
      <c r="T103" s="51">
        <f ca="1">T98*Parameters!$C$13</f>
        <v>731.25259256842708</v>
      </c>
      <c r="U103" s="51">
        <f ca="1">U98*Parameters!$C$13</f>
        <v>396951.24958606414</v>
      </c>
      <c r="V103" s="51">
        <f ca="1">V98*Parameters!$C$13</f>
        <v>710190.34850762389</v>
      </c>
      <c r="W103" s="51">
        <f ca="1">W98*Parameters!$C$13</f>
        <v>4850683.2403451279</v>
      </c>
      <c r="X103" s="51">
        <f ca="1">X98*Parameters!$C$13</f>
        <v>218767.33136623047</v>
      </c>
      <c r="Y103" s="51">
        <f ca="1">Y98*Parameters!$C$13</f>
        <v>2330165.2131501958</v>
      </c>
      <c r="Z103" s="51">
        <f ca="1">Z98*Parameters!$C$13</f>
        <v>7627926.0873017879</v>
      </c>
      <c r="AA103" s="51">
        <f ca="1">AA98*Parameters!$C$13</f>
        <v>996158.76872649638</v>
      </c>
      <c r="AB103" s="51">
        <f ca="1">AB98*Parameters!$C$13</f>
        <v>4409949.0593963964</v>
      </c>
      <c r="AC103" s="51">
        <f ca="1">AC98*Parameters!$C$13</f>
        <v>20511.228204095598</v>
      </c>
      <c r="AD103" s="51">
        <f ca="1">AD98*Parameters!$C$13</f>
        <v>249737.14425417371</v>
      </c>
      <c r="AE103" s="51">
        <f ca="1">AE98*Parameters!$C$13</f>
        <v>276993.03596575343</v>
      </c>
      <c r="AF103" s="51">
        <f ca="1">AF98*Parameters!$C$13</f>
        <v>435525.08155954664</v>
      </c>
      <c r="AG103" s="51">
        <f ca="1">AG98*Parameters!$C$13</f>
        <v>85803.339676779549</v>
      </c>
      <c r="AH103" s="51">
        <f ca="1">AH98*Parameters!$C$13</f>
        <v>8585530.0955030881</v>
      </c>
      <c r="AI103" s="51">
        <f ca="1">AI98*Parameters!$C$13</f>
        <v>1249384.053982984</v>
      </c>
      <c r="AJ103" s="51">
        <f ca="1">AJ98*Parameters!$C$13</f>
        <v>4564641.9113816358</v>
      </c>
      <c r="AK103" s="51">
        <f ca="1">AK98*Parameters!$C$13</f>
        <v>3243099.840053556</v>
      </c>
      <c r="AL103" s="51">
        <f ca="1">AL98*Parameters!$C$13</f>
        <v>8655377.6477713957</v>
      </c>
      <c r="AM103" s="51">
        <f ca="1">AM98*Parameters!$C$13</f>
        <v>3080624.4950334099</v>
      </c>
      <c r="AN103" s="51">
        <f ca="1">AN98*Parameters!$C$13</f>
        <v>4383578.8133721966</v>
      </c>
      <c r="AO103" s="330"/>
    </row>
    <row r="104" spans="1:42" s="3" customFormat="1" x14ac:dyDescent="0.25">
      <c r="A104" s="324" t="s">
        <v>881</v>
      </c>
      <c r="B104" s="326">
        <f t="shared" ref="B104:AN104" ca="1" si="40">IFERROR(B103/B84,0)</f>
        <v>3.1157004397714299</v>
      </c>
      <c r="C104" s="326">
        <f t="shared" ca="1" si="40"/>
        <v>2.6701254087112463</v>
      </c>
      <c r="D104" s="326">
        <f t="shared" ca="1" si="40"/>
        <v>3.2835509097719986</v>
      </c>
      <c r="E104" s="326">
        <f t="shared" ca="1" si="40"/>
        <v>2.3404858992440851</v>
      </c>
      <c r="F104" s="326">
        <f t="shared" ca="1" si="40"/>
        <v>11.272222598122191</v>
      </c>
      <c r="G104" s="326">
        <f t="shared" ca="1" si="40"/>
        <v>0.14761150493315417</v>
      </c>
      <c r="H104" s="326">
        <f t="shared" ca="1" si="40"/>
        <v>2.4174292965269895</v>
      </c>
      <c r="I104" s="326">
        <f t="shared" ca="1" si="40"/>
        <v>9.1177195730008513</v>
      </c>
      <c r="J104" s="326">
        <f t="shared" ca="1" si="40"/>
        <v>5.0166345701325907</v>
      </c>
      <c r="K104" s="326">
        <f t="shared" ca="1" si="40"/>
        <v>5.6500909923262101</v>
      </c>
      <c r="L104" s="326">
        <f t="shared" ca="1" si="40"/>
        <v>1.2977334431672332</v>
      </c>
      <c r="M104" s="326">
        <f t="shared" ca="1" si="40"/>
        <v>2.6615165158163197</v>
      </c>
      <c r="N104" s="326">
        <f t="shared" ca="1" si="40"/>
        <v>10.519951423611612</v>
      </c>
      <c r="O104" s="326">
        <f t="shared" ca="1" si="40"/>
        <v>8.2557324100895926</v>
      </c>
      <c r="P104" s="326">
        <f t="shared" ca="1" si="40"/>
        <v>7.0545803636762106</v>
      </c>
      <c r="Q104" s="326">
        <f t="shared" ca="1" si="40"/>
        <v>6.9754658184175993</v>
      </c>
      <c r="R104" s="326">
        <f t="shared" ca="1" si="40"/>
        <v>0.14858268429894922</v>
      </c>
      <c r="S104" s="326">
        <f t="shared" ca="1" si="40"/>
        <v>2.7233417740117747</v>
      </c>
      <c r="T104" s="326">
        <f t="shared" ca="1" si="40"/>
        <v>0.11257838577609619</v>
      </c>
      <c r="U104" s="326">
        <f t="shared" ca="1" si="40"/>
        <v>3.7321067959415468</v>
      </c>
      <c r="V104" s="326">
        <f t="shared" ca="1" si="40"/>
        <v>11.054748029694295</v>
      </c>
      <c r="W104" s="326">
        <f t="shared" ca="1" si="40"/>
        <v>9.0690552810601446</v>
      </c>
      <c r="X104" s="326">
        <f t="shared" ca="1" si="40"/>
        <v>3.0095315970498628</v>
      </c>
      <c r="Y104" s="326">
        <f t="shared" ca="1" si="40"/>
        <v>4.0283890817082986</v>
      </c>
      <c r="Z104" s="326">
        <f t="shared" ca="1" si="40"/>
        <v>4.3825507540891202</v>
      </c>
      <c r="AA104" s="326">
        <f t="shared" ca="1" si="40"/>
        <v>3.2082210000957079</v>
      </c>
      <c r="AB104" s="326">
        <f t="shared" ca="1" si="40"/>
        <v>3.9435925480341987</v>
      </c>
      <c r="AC104" s="326">
        <f t="shared" ca="1" si="40"/>
        <v>0.44007867987479649</v>
      </c>
      <c r="AD104" s="326">
        <f t="shared" ca="1" si="40"/>
        <v>4.5872811863145708</v>
      </c>
      <c r="AE104" s="326">
        <f t="shared" ca="1" si="40"/>
        <v>4.218393277916153</v>
      </c>
      <c r="AF104" s="326">
        <f t="shared" ca="1" si="40"/>
        <v>3.3259616801018814</v>
      </c>
      <c r="AG104" s="326">
        <f t="shared" ca="1" si="40"/>
        <v>3.3301237076082244</v>
      </c>
      <c r="AH104" s="326">
        <f t="shared" ca="1" si="40"/>
        <v>6.4039531833604011</v>
      </c>
      <c r="AI104" s="326">
        <f t="shared" ca="1" si="40"/>
        <v>9.7335815914192381</v>
      </c>
      <c r="AJ104" s="326">
        <f t="shared" ca="1" si="40"/>
        <v>7.9472575099904885</v>
      </c>
      <c r="AK104" s="326">
        <f t="shared" ca="1" si="40"/>
        <v>6.206781492437214</v>
      </c>
      <c r="AL104" s="326">
        <f t="shared" ca="1" si="40"/>
        <v>8.1307132413353731</v>
      </c>
      <c r="AM104" s="326">
        <f t="shared" ca="1" si="40"/>
        <v>3.8995016524349939</v>
      </c>
      <c r="AN104" s="326">
        <f t="shared" ca="1" si="40"/>
        <v>4.6155830092890779</v>
      </c>
      <c r="AO104" s="325"/>
    </row>
    <row r="105" spans="1:42" x14ac:dyDescent="0.25">
      <c r="A105" s="324" t="s">
        <v>604</v>
      </c>
      <c r="B105" s="323">
        <f t="shared" ref="B105:AN105" ca="1" si="41">IFERROR((B104-B85)/B85,0)</f>
        <v>-0.77492899170214047</v>
      </c>
      <c r="C105" s="323">
        <f t="shared" ca="1" si="41"/>
        <v>-0.74588576372824333</v>
      </c>
      <c r="D105" s="323">
        <f t="shared" ca="1" si="41"/>
        <v>-0.75860005722935975</v>
      </c>
      <c r="E105" s="323">
        <f t="shared" ca="1" si="41"/>
        <v>-0.8</v>
      </c>
      <c r="F105" s="323">
        <f t="shared" ca="1" si="41"/>
        <v>-0.22613183580897386</v>
      </c>
      <c r="G105" s="323">
        <f t="shared" ca="1" si="41"/>
        <v>-0.73337753106396164</v>
      </c>
      <c r="H105" s="323">
        <f t="shared" ca="1" si="41"/>
        <v>-0.78876371400875178</v>
      </c>
      <c r="I105" s="323">
        <f t="shared" ca="1" si="41"/>
        <v>-0.39061738978186172</v>
      </c>
      <c r="J105" s="323">
        <f t="shared" ca="1" si="41"/>
        <v>-0.69489316525902767</v>
      </c>
      <c r="K105" s="323">
        <f t="shared" ca="1" si="41"/>
        <v>-0.62424010136090013</v>
      </c>
      <c r="L105" s="323">
        <f t="shared" ca="1" si="41"/>
        <v>-0.60279902355593296</v>
      </c>
      <c r="M105" s="323">
        <f t="shared" ca="1" si="41"/>
        <v>-0.77872996508346803</v>
      </c>
      <c r="N105" s="323">
        <f t="shared" ca="1" si="41"/>
        <v>-0.29209588005245463</v>
      </c>
      <c r="O105" s="323">
        <f t="shared" ca="1" si="41"/>
        <v>-0.48521018856612796</v>
      </c>
      <c r="P105" s="323">
        <f t="shared" ca="1" si="41"/>
        <v>-0.53742095150807734</v>
      </c>
      <c r="Q105" s="323">
        <f t="shared" ca="1" si="41"/>
        <v>-0.54214823782461263</v>
      </c>
      <c r="R105" s="323">
        <f t="shared" ca="1" si="41"/>
        <v>-0.7506046768671627</v>
      </c>
      <c r="S105" s="323">
        <f t="shared" ca="1" si="41"/>
        <v>-0.74620010117790747</v>
      </c>
      <c r="T105" s="323">
        <f t="shared" ca="1" si="41"/>
        <v>-0.76141166041234076</v>
      </c>
      <c r="U105" s="323">
        <f t="shared" ca="1" si="41"/>
        <v>-0.65500836723403821</v>
      </c>
      <c r="V105" s="323">
        <f t="shared" ca="1" si="41"/>
        <v>-0.24140726204545479</v>
      </c>
      <c r="W105" s="323">
        <f t="shared" ca="1" si="41"/>
        <v>-0.41824320044415464</v>
      </c>
      <c r="X105" s="323">
        <f t="shared" ca="1" si="41"/>
        <v>-0.63859175694119419</v>
      </c>
      <c r="Y105" s="323">
        <f t="shared" ca="1" si="41"/>
        <v>-0.74971421731856913</v>
      </c>
      <c r="Z105" s="323">
        <f t="shared" ca="1" si="41"/>
        <v>-0.71287534114441864</v>
      </c>
      <c r="AA105" s="323">
        <f t="shared" ca="1" si="41"/>
        <v>-0.66610845357567305</v>
      </c>
      <c r="AB105" s="323">
        <f t="shared" ca="1" si="41"/>
        <v>-0.73368583960587996</v>
      </c>
      <c r="AC105" s="323">
        <f t="shared" ca="1" si="41"/>
        <v>-0.79411320377839345</v>
      </c>
      <c r="AD105" s="323">
        <f t="shared" ca="1" si="41"/>
        <v>-0.6885047958223619</v>
      </c>
      <c r="AE105" s="323">
        <f t="shared" ca="1" si="41"/>
        <v>-0.74487138752332349</v>
      </c>
      <c r="AF105" s="323">
        <f t="shared" ca="1" si="41"/>
        <v>-0.76980255626464811</v>
      </c>
      <c r="AG105" s="323">
        <f t="shared" ca="1" si="41"/>
        <v>-0.75785183373250742</v>
      </c>
      <c r="AH105" s="323">
        <f t="shared" ca="1" si="41"/>
        <v>-0.61768946216560183</v>
      </c>
      <c r="AI105" s="323">
        <f t="shared" ca="1" si="41"/>
        <v>-0.3634080536568095</v>
      </c>
      <c r="AJ105" s="323">
        <f t="shared" ca="1" si="41"/>
        <v>-0.41695554870597734</v>
      </c>
      <c r="AK105" s="323">
        <f t="shared" ca="1" si="41"/>
        <v>-0.58268210472987148</v>
      </c>
      <c r="AL105" s="323">
        <f t="shared" ca="1" si="41"/>
        <v>-0.42967406437207389</v>
      </c>
      <c r="AM105" s="323">
        <f t="shared" ca="1" si="41"/>
        <v>-0.7463639927327026</v>
      </c>
      <c r="AN105" s="323">
        <f t="shared" ca="1" si="41"/>
        <v>-0.70167584098178504</v>
      </c>
    </row>
    <row r="106" spans="1:42" x14ac:dyDescent="0.25">
      <c r="A106" s="21" t="s">
        <v>87</v>
      </c>
      <c r="B106" s="21">
        <f ca="1">VLOOKUP(B104*Parameters!$C$18,Parameters!$A$3:$B$8,2,TRUE)</f>
        <v>0</v>
      </c>
      <c r="C106" s="21">
        <f ca="1">VLOOKUP(C104*Parameters!$C$18,Parameters!$A$3:$B$8,2,TRUE)</f>
        <v>0</v>
      </c>
      <c r="D106" s="21">
        <f ca="1">VLOOKUP(D104*Parameters!$C$18,Parameters!$A$3:$B$8,2,TRUE)</f>
        <v>0</v>
      </c>
      <c r="E106" s="21">
        <f ca="1">VLOOKUP(E104*Parameters!$C$18,Parameters!$A$3:$B$8,2,TRUE)</f>
        <v>0</v>
      </c>
      <c r="F106" s="21">
        <f ca="1">VLOOKUP(F104*Parameters!$C$18,Parameters!$A$3:$B$8,2,TRUE)</f>
        <v>1</v>
      </c>
      <c r="G106" s="21">
        <f ca="1">VLOOKUP(G104*Parameters!$C$18,Parameters!$A$3:$B$8,2,TRUE)</f>
        <v>0</v>
      </c>
      <c r="H106" s="21">
        <f ca="1">VLOOKUP(H104*Parameters!$C$18,Parameters!$A$3:$B$8,2,TRUE)</f>
        <v>0</v>
      </c>
      <c r="I106" s="21">
        <f ca="1">VLOOKUP(I104*Parameters!$C$18,Parameters!$A$3:$B$8,2,TRUE)</f>
        <v>1</v>
      </c>
      <c r="J106" s="21">
        <f ca="1">VLOOKUP(J104*Parameters!$C$18,Parameters!$A$3:$B$8,2,TRUE)</f>
        <v>0</v>
      </c>
      <c r="K106" s="21">
        <f ca="1">VLOOKUP(K104*Parameters!$C$18,Parameters!$A$3:$B$8,2,TRUE)</f>
        <v>0</v>
      </c>
      <c r="L106" s="21">
        <f ca="1">VLOOKUP(L104*Parameters!$C$18,Parameters!$A$3:$B$8,2,TRUE)</f>
        <v>0</v>
      </c>
      <c r="M106" s="21">
        <f ca="1">VLOOKUP(M104*Parameters!$C$18,Parameters!$A$3:$B$8,2,TRUE)</f>
        <v>0</v>
      </c>
      <c r="N106" s="21">
        <f ca="1">VLOOKUP(N104*Parameters!$C$18,Parameters!$A$3:$B$8,2,TRUE)</f>
        <v>1</v>
      </c>
      <c r="O106" s="21">
        <f ca="1">VLOOKUP(O104*Parameters!$C$18,Parameters!$A$3:$B$8,2,TRUE)</f>
        <v>1</v>
      </c>
      <c r="P106" s="21">
        <f ca="1">VLOOKUP(P104*Parameters!$C$18,Parameters!$A$3:$B$8,2,TRUE)</f>
        <v>1</v>
      </c>
      <c r="Q106" s="21">
        <f ca="1">VLOOKUP(Q104*Parameters!$C$18,Parameters!$A$3:$B$8,2,TRUE)</f>
        <v>1</v>
      </c>
      <c r="R106" s="21">
        <f ca="1">VLOOKUP(R104*Parameters!$C$18,Parameters!$A$3:$B$8,2,TRUE)</f>
        <v>0</v>
      </c>
      <c r="S106" s="21">
        <f ca="1">VLOOKUP(S104*Parameters!$C$18,Parameters!$A$3:$B$8,2,TRUE)</f>
        <v>0</v>
      </c>
      <c r="T106" s="21">
        <f ca="1">VLOOKUP(T104*Parameters!$C$18,Parameters!$A$3:$B$8,2,TRUE)</f>
        <v>0</v>
      </c>
      <c r="U106" s="21">
        <f ca="1">VLOOKUP(U104*Parameters!$C$18,Parameters!$A$3:$B$8,2,TRUE)</f>
        <v>0</v>
      </c>
      <c r="V106" s="21">
        <f ca="1">VLOOKUP(V104*Parameters!$C$18,Parameters!$A$3:$B$8,2,TRUE)</f>
        <v>1</v>
      </c>
      <c r="W106" s="21">
        <f ca="1">VLOOKUP(W104*Parameters!$C$18,Parameters!$A$3:$B$8,2,TRUE)</f>
        <v>1</v>
      </c>
      <c r="X106" s="21">
        <f ca="1">VLOOKUP(X104*Parameters!$C$18,Parameters!$A$3:$B$8,2,TRUE)</f>
        <v>0</v>
      </c>
      <c r="Y106" s="21">
        <f ca="1">VLOOKUP(Y104*Parameters!$C$18,Parameters!$A$3:$B$8,2,TRUE)</f>
        <v>0</v>
      </c>
      <c r="Z106" s="21">
        <f ca="1">VLOOKUP(Z104*Parameters!$C$18,Parameters!$A$3:$B$8,2,TRUE)</f>
        <v>0</v>
      </c>
      <c r="AA106" s="21">
        <f ca="1">VLOOKUP(AA104*Parameters!$C$18,Parameters!$A$3:$B$8,2,TRUE)</f>
        <v>0</v>
      </c>
      <c r="AB106" s="21">
        <f ca="1">VLOOKUP(AB104*Parameters!$C$18,Parameters!$A$3:$B$8,2,TRUE)</f>
        <v>0</v>
      </c>
      <c r="AC106" s="21">
        <f ca="1">VLOOKUP(AC104*Parameters!$C$18,Parameters!$A$3:$B$8,2,TRUE)</f>
        <v>0</v>
      </c>
      <c r="AD106" s="21">
        <f ca="1">VLOOKUP(AD104*Parameters!$C$18,Parameters!$A$3:$B$8,2,TRUE)</f>
        <v>0</v>
      </c>
      <c r="AE106" s="21">
        <f ca="1">VLOOKUP(AE104*Parameters!$C$18,Parameters!$A$3:$B$8,2,TRUE)</f>
        <v>0</v>
      </c>
      <c r="AF106" s="21">
        <f ca="1">VLOOKUP(AF104*Parameters!$C$18,Parameters!$A$3:$B$8,2,TRUE)</f>
        <v>0</v>
      </c>
      <c r="AG106" s="21">
        <f ca="1">VLOOKUP(AG104*Parameters!$C$18,Parameters!$A$3:$B$8,2,TRUE)</f>
        <v>0</v>
      </c>
      <c r="AH106" s="21">
        <f ca="1">VLOOKUP(AH104*Parameters!$C$18,Parameters!$A$3:$B$8,2,TRUE)</f>
        <v>0</v>
      </c>
      <c r="AI106" s="21">
        <f ca="1">VLOOKUP(AI104*Parameters!$C$18,Parameters!$A$3:$B$8,2,TRUE)</f>
        <v>1</v>
      </c>
      <c r="AJ106" s="21">
        <f ca="1">VLOOKUP(AJ104*Parameters!$C$18,Parameters!$A$3:$B$8,2,TRUE)</f>
        <v>1</v>
      </c>
      <c r="AK106" s="21">
        <f ca="1">VLOOKUP(AK104*Parameters!$C$18,Parameters!$A$3:$B$8,2,TRUE)</f>
        <v>0</v>
      </c>
      <c r="AL106" s="21">
        <f ca="1">VLOOKUP(AL104*Parameters!$C$18,Parameters!$A$3:$B$8,2,TRUE)</f>
        <v>1</v>
      </c>
      <c r="AM106" s="21">
        <f ca="1">VLOOKUP(AM104*Parameters!$C$18,Parameters!$A$3:$B$8,2,TRUE)</f>
        <v>0</v>
      </c>
      <c r="AN106" s="21">
        <f ca="1">VLOOKUP(AN104*Parameters!$C$18,Parameters!$A$3:$B$8,2,TRUE)</f>
        <v>0</v>
      </c>
    </row>
    <row r="107" spans="1:42" x14ac:dyDescent="0.25">
      <c r="A107" s="21" t="s">
        <v>103</v>
      </c>
      <c r="B107" s="31">
        <f ca="1">B106</f>
        <v>0</v>
      </c>
      <c r="C107" s="31">
        <f t="shared" ref="C107:H107" ca="1" si="42">C106</f>
        <v>0</v>
      </c>
      <c r="D107" s="31">
        <f t="shared" ca="1" si="42"/>
        <v>0</v>
      </c>
      <c r="E107" s="31">
        <f t="shared" ca="1" si="42"/>
        <v>0</v>
      </c>
      <c r="F107" s="31">
        <f t="shared" ca="1" si="42"/>
        <v>1</v>
      </c>
      <c r="G107" s="31">
        <f t="shared" ca="1" si="42"/>
        <v>0</v>
      </c>
      <c r="H107" s="31">
        <f t="shared" ca="1" si="42"/>
        <v>0</v>
      </c>
      <c r="I107" s="31">
        <f t="shared" ref="I107:AN107" ca="1" si="43">I106</f>
        <v>1</v>
      </c>
      <c r="J107" s="31">
        <f t="shared" ca="1" si="43"/>
        <v>0</v>
      </c>
      <c r="K107" s="31">
        <f t="shared" ca="1" si="43"/>
        <v>0</v>
      </c>
      <c r="L107" s="31">
        <f t="shared" ca="1" si="43"/>
        <v>0</v>
      </c>
      <c r="M107" s="31">
        <f t="shared" ca="1" si="43"/>
        <v>0</v>
      </c>
      <c r="N107" s="31">
        <f t="shared" ca="1" si="43"/>
        <v>1</v>
      </c>
      <c r="O107" s="31">
        <f t="shared" ca="1" si="43"/>
        <v>1</v>
      </c>
      <c r="P107" s="31">
        <f t="shared" ca="1" si="43"/>
        <v>1</v>
      </c>
      <c r="Q107" s="31">
        <f t="shared" ca="1" si="43"/>
        <v>1</v>
      </c>
      <c r="R107" s="31">
        <f t="shared" ca="1" si="43"/>
        <v>0</v>
      </c>
      <c r="S107" s="31">
        <f t="shared" ca="1" si="43"/>
        <v>0</v>
      </c>
      <c r="T107" s="31">
        <f t="shared" ca="1" si="43"/>
        <v>0</v>
      </c>
      <c r="U107" s="31">
        <f t="shared" ca="1" si="43"/>
        <v>0</v>
      </c>
      <c r="V107" s="31">
        <f t="shared" ca="1" si="43"/>
        <v>1</v>
      </c>
      <c r="W107" s="31">
        <f t="shared" ca="1" si="43"/>
        <v>1</v>
      </c>
      <c r="X107" s="31">
        <f t="shared" ca="1" si="43"/>
        <v>0</v>
      </c>
      <c r="Y107" s="31">
        <f t="shared" ca="1" si="43"/>
        <v>0</v>
      </c>
      <c r="Z107" s="31">
        <f t="shared" ca="1" si="43"/>
        <v>0</v>
      </c>
      <c r="AA107" s="31">
        <f t="shared" ca="1" si="43"/>
        <v>0</v>
      </c>
      <c r="AB107" s="31">
        <f t="shared" ca="1" si="43"/>
        <v>0</v>
      </c>
      <c r="AC107" s="31">
        <f t="shared" ca="1" si="43"/>
        <v>0</v>
      </c>
      <c r="AD107" s="31">
        <f t="shared" ca="1" si="43"/>
        <v>0</v>
      </c>
      <c r="AE107" s="31">
        <f t="shared" ca="1" si="43"/>
        <v>0</v>
      </c>
      <c r="AF107" s="31">
        <f t="shared" ca="1" si="43"/>
        <v>0</v>
      </c>
      <c r="AG107" s="31">
        <f t="shared" ca="1" si="43"/>
        <v>0</v>
      </c>
      <c r="AH107" s="31">
        <f t="shared" ca="1" si="43"/>
        <v>0</v>
      </c>
      <c r="AI107" s="31">
        <f t="shared" ca="1" si="43"/>
        <v>1</v>
      </c>
      <c r="AJ107" s="31">
        <f t="shared" ca="1" si="43"/>
        <v>1</v>
      </c>
      <c r="AK107" s="31">
        <f t="shared" ca="1" si="43"/>
        <v>0</v>
      </c>
      <c r="AL107" s="31">
        <f t="shared" ca="1" si="43"/>
        <v>1</v>
      </c>
      <c r="AM107" s="31">
        <f t="shared" ca="1" si="43"/>
        <v>0</v>
      </c>
      <c r="AN107" s="31">
        <f t="shared" ca="1" si="43"/>
        <v>0</v>
      </c>
    </row>
    <row r="108" spans="1:42" x14ac:dyDescent="0.25">
      <c r="A108" s="322" t="s">
        <v>101</v>
      </c>
      <c r="B108" s="54">
        <f ca="1">VLOOKUP(B104*Parameters!$C$18, Parameters!$E$3:$G$8, 2, TRUE)+VLOOKUP(B104*Parameters!$C$18, Parameters!$E$3:$G$8, 3, TRUE)*(B104*Parameters!$C$18-VLOOKUP(B104*Parameters!$C$18, Parameters!$E$3:$G$8, 1, TRUE))</f>
        <v>0.43651969220869735</v>
      </c>
      <c r="C108" s="54">
        <f ca="1">VLOOKUP(C104*Parameters!$C$18, Parameters!$E$3:$G$8, 2, TRUE)+VLOOKUP(C104*Parameters!$C$18, Parameters!$E$3:$G$8, 3, TRUE)*(C104*Parameters!$C$18-VLOOKUP(C104*Parameters!$C$18, Parameters!$E$3:$G$8, 1, TRUE))</f>
        <v>0.37409319159539034</v>
      </c>
      <c r="D108" s="54">
        <f ca="1">VLOOKUP(D104*Parameters!$C$18, Parameters!$E$3:$G$8, 2, TRUE)+VLOOKUP(D104*Parameters!$C$18, Parameters!$E$3:$G$8, 3, TRUE)*(D104*Parameters!$C$18-VLOOKUP(D104*Parameters!$C$18, Parameters!$E$3:$G$8, 1, TRUE))</f>
        <v>0.46003608504494464</v>
      </c>
      <c r="E108" s="54">
        <f ca="1">VLOOKUP(E104*Parameters!$C$18, Parameters!$E$3:$G$8, 2, TRUE)+VLOOKUP(E104*Parameters!$C$18, Parameters!$E$3:$G$8, 3, TRUE)*(E104*Parameters!$C$18-VLOOKUP(E104*Parameters!$C$18, Parameters!$E$3:$G$8, 1, TRUE))</f>
        <v>0.32790963191306499</v>
      </c>
      <c r="F108" s="54">
        <f ca="1">VLOOKUP(F104*Parameters!$C$18, Parameters!$E$3:$G$8, 2, TRUE)+VLOOKUP(F104*Parameters!$C$18, Parameters!$E$3:$G$8, 3, TRUE)*(F104*Parameters!$C$18-VLOOKUP(F104*Parameters!$C$18, Parameters!$E$3:$G$8, 1, TRUE))</f>
        <v>1.7723663786715842</v>
      </c>
      <c r="G108" s="54">
        <f ca="1">VLOOKUP(G104*Parameters!$C$18, Parameters!$E$3:$G$8, 2, TRUE)+VLOOKUP(G104*Parameters!$C$18, Parameters!$E$3:$G$8, 3, TRUE)*(G104*Parameters!$C$18-VLOOKUP(G104*Parameters!$C$18, Parameters!$E$3:$G$8, 1, TRUE))</f>
        <v>2.0680848478684326E-2</v>
      </c>
      <c r="H108" s="54">
        <f ca="1">VLOOKUP(H104*Parameters!$C$18, Parameters!$E$3:$G$8, 2, TRUE)+VLOOKUP(H104*Parameters!$C$18, Parameters!$E$3:$G$8, 3, TRUE)*(H104*Parameters!$C$18-VLOOKUP(H104*Parameters!$C$18, Parameters!$E$3:$G$8, 1, TRUE))</f>
        <v>0.33868965032262971</v>
      </c>
      <c r="I108" s="54">
        <f ca="1">VLOOKUP(I104*Parameters!$C$18, Parameters!$E$3:$G$8, 2, TRUE)+VLOOKUP(I104*Parameters!$C$18, Parameters!$E$3:$G$8, 3, TRUE)*(I104*Parameters!$C$18-VLOOKUP(I104*Parameters!$C$18, Parameters!$E$3:$G$8, 1, TRUE))</f>
        <v>1.3698959377252271</v>
      </c>
      <c r="J108" s="54">
        <f ca="1">VLOOKUP(J104*Parameters!$C$18, Parameters!$E$3:$G$8, 2, TRUE)+VLOOKUP(J104*Parameters!$C$18, Parameters!$E$3:$G$8, 3, TRUE)*(J104*Parameters!$C$18-VLOOKUP(J104*Parameters!$C$18, Parameters!$E$3:$G$8, 1, TRUE))</f>
        <v>0.70284670198860288</v>
      </c>
      <c r="K108" s="54">
        <f ca="1">VLOOKUP(K104*Parameters!$C$18, Parameters!$E$3:$G$8, 2, TRUE)+VLOOKUP(K104*Parameters!$C$18, Parameters!$E$3:$G$8, 3, TRUE)*(K104*Parameters!$C$18-VLOOKUP(K104*Parameters!$C$18, Parameters!$E$3:$G$8, 1, TRUE))</f>
        <v>0.79159599216871623</v>
      </c>
      <c r="L108" s="54">
        <f ca="1">VLOOKUP(L104*Parameters!$C$18, Parameters!$E$3:$G$8, 2, TRUE)+VLOOKUP(L104*Parameters!$C$18, Parameters!$E$3:$G$8, 3, TRUE)*(L104*Parameters!$C$18-VLOOKUP(L104*Parameters!$C$18, Parameters!$E$3:$G$8, 1, TRUE))</f>
        <v>0.18181664576901735</v>
      </c>
      <c r="M108" s="54">
        <f ca="1">VLOOKUP(M104*Parameters!$C$18, Parameters!$E$3:$G$8, 2, TRUE)+VLOOKUP(M104*Parameters!$C$18, Parameters!$E$3:$G$8, 3, TRUE)*(M104*Parameters!$C$18-VLOOKUP(M104*Parameters!$C$18, Parameters!$E$3:$G$8, 1, TRUE))</f>
        <v>0.37288705790269594</v>
      </c>
      <c r="N108" s="54">
        <f ca="1">VLOOKUP(N104*Parameters!$C$18, Parameters!$E$3:$G$8, 2, TRUE)+VLOOKUP(N104*Parameters!$C$18, Parameters!$E$3:$G$8, 3, TRUE)*(N104*Parameters!$C$18-VLOOKUP(N104*Parameters!$C$18, Parameters!$E$3:$G$8, 1, TRUE))</f>
        <v>1.6318388844948448</v>
      </c>
      <c r="O108" s="54">
        <f ca="1">VLOOKUP(O104*Parameters!$C$18, Parameters!$E$3:$G$8, 2, TRUE)+VLOOKUP(O104*Parameters!$C$18, Parameters!$E$3:$G$8, 3, TRUE)*(O104*Parameters!$C$18-VLOOKUP(O104*Parameters!$C$18, Parameters!$E$3:$G$8, 1, TRUE))</f>
        <v>1.2088730245513386</v>
      </c>
      <c r="P108" s="54">
        <f ca="1">VLOOKUP(P104*Parameters!$C$18, Parameters!$E$3:$G$8, 2, TRUE)+VLOOKUP(P104*Parameters!$C$18, Parameters!$E$3:$G$8, 3, TRUE)*(P104*Parameters!$C$18-VLOOKUP(P104*Parameters!$C$18, Parameters!$E$3:$G$8, 1, TRUE))</f>
        <v>0.98836948819103143</v>
      </c>
      <c r="Q108" s="54">
        <f ca="1">VLOOKUP(Q104*Parameters!$C$18, Parameters!$E$3:$G$8, 2, TRUE)+VLOOKUP(Q104*Parameters!$C$18, Parameters!$E$3:$G$8, 3, TRUE)*(Q104*Parameters!$C$18-VLOOKUP(Q104*Parameters!$C$18, Parameters!$E$3:$G$8, 1, TRUE))</f>
        <v>0.97728528493943334</v>
      </c>
      <c r="R108" s="54">
        <f ca="1">VLOOKUP(R104*Parameters!$C$18, Parameters!$E$3:$G$8, 2, TRUE)+VLOOKUP(R104*Parameters!$C$18, Parameters!$E$3:$G$8, 3, TRUE)*(R104*Parameters!$C$18-VLOOKUP(R104*Parameters!$C$18, Parameters!$E$3:$G$8, 1, TRUE))</f>
        <v>2.0816913843770386E-2</v>
      </c>
      <c r="S108" s="54">
        <f ca="1">VLOOKUP(S104*Parameters!$C$18, Parameters!$E$3:$G$8, 2, TRUE)+VLOOKUP(S104*Parameters!$C$18, Parameters!$E$3:$G$8, 3, TRUE)*(S104*Parameters!$C$18-VLOOKUP(S104*Parameters!$C$18, Parameters!$E$3:$G$8, 1, TRUE))</f>
        <v>0.3815489762096379</v>
      </c>
      <c r="T108" s="54">
        <f ca="1">VLOOKUP(T104*Parameters!$C$18, Parameters!$E$3:$G$8, 2, TRUE)+VLOOKUP(T104*Parameters!$C$18, Parameters!$E$3:$G$8, 3, TRUE)*(T104*Parameters!$C$18-VLOOKUP(T104*Parameters!$C$18, Parameters!$E$3:$G$8, 1, TRUE))</f>
        <v>1.5772595362838746E-2</v>
      </c>
      <c r="U108" s="54">
        <f ca="1">VLOOKUP(U104*Parameters!$C$18, Parameters!$E$3:$G$8, 2, TRUE)+VLOOKUP(U104*Parameters!$C$18, Parameters!$E$3:$G$8, 3, TRUE)*(U104*Parameters!$C$18-VLOOKUP(U104*Parameters!$C$18, Parameters!$E$3:$G$8, 1, TRUE))</f>
        <v>0.52288021308425481</v>
      </c>
      <c r="V108" s="54">
        <f ca="1">VLOOKUP(V104*Parameters!$C$18, Parameters!$E$3:$G$8, 2, TRUE)+VLOOKUP(V104*Parameters!$C$18, Parameters!$E$3:$G$8, 3, TRUE)*(V104*Parameters!$C$18-VLOOKUP(V104*Parameters!$C$18, Parameters!$E$3:$G$8, 1, TRUE))</f>
        <v>1.7317411929887447</v>
      </c>
      <c r="W108" s="54">
        <f ca="1">VLOOKUP(W104*Parameters!$C$18, Parameters!$E$3:$G$8, 2, TRUE)+VLOOKUP(W104*Parameters!$C$18, Parameters!$E$3:$G$8, 3, TRUE)*(W104*Parameters!$C$18-VLOOKUP(W104*Parameters!$C$18, Parameters!$E$3:$G$8, 1, TRUE))</f>
        <v>1.3608052384747049</v>
      </c>
      <c r="X108" s="54">
        <f ca="1">VLOOKUP(X104*Parameters!$C$18, Parameters!$E$3:$G$8, 2, TRUE)+VLOOKUP(X104*Parameters!$C$18, Parameters!$E$3:$G$8, 3, TRUE)*(X104*Parameters!$C$18-VLOOKUP(X104*Parameters!$C$18, Parameters!$E$3:$G$8, 1, TRUE))</f>
        <v>0.42164509452421267</v>
      </c>
      <c r="Y108" s="54">
        <f ca="1">VLOOKUP(Y104*Parameters!$C$18, Parameters!$E$3:$G$8, 2, TRUE)+VLOOKUP(Y104*Parameters!$C$18, Parameters!$E$3:$G$8, 3, TRUE)*(Y104*Parameters!$C$18-VLOOKUP(Y104*Parameters!$C$18, Parameters!$E$3:$G$8, 1, TRUE))</f>
        <v>0.56439031801567741</v>
      </c>
      <c r="Z108" s="54">
        <f ca="1">VLOOKUP(Z104*Parameters!$C$18, Parameters!$E$3:$G$8, 2, TRUE)+VLOOKUP(Z104*Parameters!$C$18, Parameters!$E$3:$G$8, 3, TRUE)*(Z104*Parameters!$C$18-VLOOKUP(Z104*Parameters!$C$18, Parameters!$E$3:$G$8, 1, TRUE))</f>
        <v>0.61400951190427067</v>
      </c>
      <c r="AA108" s="54">
        <f ca="1">VLOOKUP(AA104*Parameters!$C$18, Parameters!$E$3:$G$8, 2, TRUE)+VLOOKUP(AA104*Parameters!$C$18, Parameters!$E$3:$G$8, 3, TRUE)*(AA104*Parameters!$C$18-VLOOKUP(AA104*Parameters!$C$18, Parameters!$E$3:$G$8, 1, TRUE))</f>
        <v>0.44948212145901795</v>
      </c>
      <c r="AB108" s="54">
        <f ca="1">VLOOKUP(AB104*Parameters!$C$18, Parameters!$E$3:$G$8, 2, TRUE)+VLOOKUP(AB104*Parameters!$C$18, Parameters!$E$3:$G$8, 3, TRUE)*(AB104*Parameters!$C$18-VLOOKUP(AB104*Parameters!$C$18, Parameters!$E$3:$G$8, 1, TRUE))</f>
        <v>0.5525100498399288</v>
      </c>
      <c r="AC108" s="54">
        <f ca="1">VLOOKUP(AC104*Parameters!$C$18, Parameters!$E$3:$G$8, 2, TRUE)+VLOOKUP(AC104*Parameters!$C$18, Parameters!$E$3:$G$8, 3, TRUE)*(AC104*Parameters!$C$18-VLOOKUP(AC104*Parameters!$C$18, Parameters!$E$3:$G$8, 1, TRUE))</f>
        <v>6.16564440645163E-2</v>
      </c>
      <c r="AD108" s="54">
        <f ca="1">VLOOKUP(AD104*Parameters!$C$18, Parameters!$E$3:$G$8, 2, TRUE)+VLOOKUP(AD104*Parameters!$C$18, Parameters!$E$3:$G$8, 3, TRUE)*(AD104*Parameters!$C$18-VLOOKUP(AD104*Parameters!$C$18, Parameters!$E$3:$G$8, 1, TRUE))</f>
        <v>0.64269290653362199</v>
      </c>
      <c r="AE108" s="54">
        <f ca="1">VLOOKUP(AE104*Parameters!$C$18, Parameters!$E$3:$G$8, 2, TRUE)+VLOOKUP(AE104*Parameters!$C$18, Parameters!$E$3:$G$8, 3, TRUE)*(AE104*Parameters!$C$18-VLOOKUP(AE104*Parameters!$C$18, Parameters!$E$3:$G$8, 1, TRUE))</f>
        <v>0.59101051942794747</v>
      </c>
      <c r="AF108" s="54">
        <f ca="1">VLOOKUP(AF104*Parameters!$C$18, Parameters!$E$3:$G$8, 2, TRUE)+VLOOKUP(AF104*Parameters!$C$18, Parameters!$E$3:$G$8, 3, TRUE)*(AF104*Parameters!$C$18-VLOOKUP(AF104*Parameters!$C$18, Parameters!$E$3:$G$8, 1, TRUE))</f>
        <v>0.46597797091253862</v>
      </c>
      <c r="AG108" s="54">
        <f ca="1">VLOOKUP(AG104*Parameters!$C$18, Parameters!$E$3:$G$8, 2, TRUE)+VLOOKUP(AG104*Parameters!$C$18, Parameters!$E$3:$G$8, 3, TRUE)*(AG104*Parameters!$C$18-VLOOKUP(AG104*Parameters!$C$18, Parameters!$E$3:$G$8, 1, TRUE))</f>
        <v>0.46656108440536409</v>
      </c>
      <c r="AH108" s="54">
        <f ca="1">VLOOKUP(AH104*Parameters!$C$18, Parameters!$E$3:$G$8, 2, TRUE)+VLOOKUP(AH104*Parameters!$C$18, Parameters!$E$3:$G$8, 3, TRUE)*(AH104*Parameters!$C$18-VLOOKUP(AH104*Parameters!$C$18, Parameters!$E$3:$G$8, 1, TRUE))</f>
        <v>0.89721451935362129</v>
      </c>
      <c r="AI108" s="54">
        <f ca="1">VLOOKUP(AI104*Parameters!$C$18, Parameters!$E$3:$G$8, 2, TRUE)+VLOOKUP(AI104*Parameters!$C$18, Parameters!$E$3:$G$8, 3, TRUE)*(AI104*Parameters!$C$18-VLOOKUP(AI104*Parameters!$C$18, Parameters!$E$3:$G$8, 1, TRUE))</f>
        <v>1.4849416142570586</v>
      </c>
      <c r="AJ108" s="54">
        <f ca="1">VLOOKUP(AJ104*Parameters!$C$18, Parameters!$E$3:$G$8, 2, TRUE)+VLOOKUP(AJ104*Parameters!$C$18, Parameters!$E$3:$G$8, 3, TRUE)*(AJ104*Parameters!$C$18-VLOOKUP(AJ104*Parameters!$C$18, Parameters!$E$3:$G$8, 1, TRUE))</f>
        <v>1.1512485851255561</v>
      </c>
      <c r="AK108" s="54">
        <f ca="1">VLOOKUP(AK104*Parameters!$C$18, Parameters!$E$3:$G$8, 2, TRUE)+VLOOKUP(AK104*Parameters!$C$18, Parameters!$E$3:$G$8, 3, TRUE)*(AK104*Parameters!$C$18-VLOOKUP(AK104*Parameters!$C$18, Parameters!$E$3:$G$8, 1, TRUE))</f>
        <v>0.86959012878789277</v>
      </c>
      <c r="AL108" s="54">
        <f ca="1">VLOOKUP(AL104*Parameters!$C$18, Parameters!$E$3:$G$8, 2, TRUE)+VLOOKUP(AL104*Parameters!$C$18, Parameters!$E$3:$G$8, 3, TRUE)*(AL104*Parameters!$C$18-VLOOKUP(AL104*Parameters!$C$18, Parameters!$E$3:$G$8, 1, TRUE))</f>
        <v>1.1855189055788562</v>
      </c>
      <c r="AM108" s="54">
        <f ca="1">VLOOKUP(AM104*Parameters!$C$18, Parameters!$E$3:$G$8, 2, TRUE)+VLOOKUP(AM104*Parameters!$C$18, Parameters!$E$3:$G$8, 3, TRUE)*(AM104*Parameters!$C$18-VLOOKUP(AM104*Parameters!$C$18, Parameters!$E$3:$G$8, 1, TRUE))</f>
        <v>0.54633277299697836</v>
      </c>
      <c r="AN108" s="54">
        <f ca="1">VLOOKUP(AN104*Parameters!$C$18, Parameters!$E$3:$G$8, 2, TRUE)+VLOOKUP(AN104*Parameters!$C$18, Parameters!$E$3:$G$8, 3, TRUE)*(AN104*Parameters!$C$18-VLOOKUP(AN104*Parameters!$C$18, Parameters!$E$3:$G$8, 1, TRUE))</f>
        <v>0.64665808331893682</v>
      </c>
      <c r="AO108" s="321">
        <f ca="1">SUMPRODUCT(B108:AN108*$B$84:$AN$84)/$AO$84</f>
        <v>0.8837567057543495</v>
      </c>
      <c r="AP108" s="20">
        <f ca="1">AO108-AO87</f>
        <v>-1.9449548143320001</v>
      </c>
    </row>
    <row r="110" spans="1:42" x14ac:dyDescent="0.25">
      <c r="B110" s="3"/>
      <c r="C110" s="3"/>
      <c r="D110" s="3"/>
      <c r="E110" s="3"/>
      <c r="F110" s="3"/>
      <c r="G110" s="3"/>
      <c r="H110" s="3"/>
      <c r="I110" s="3"/>
      <c r="J110" s="3"/>
      <c r="K110" s="3"/>
      <c r="L110" s="3"/>
      <c r="M110" s="3"/>
      <c r="N110" s="3"/>
      <c r="O110" s="3"/>
      <c r="P110" s="3"/>
      <c r="Q110" s="3"/>
      <c r="R110" s="3"/>
      <c r="S110" s="3"/>
      <c r="T110" s="3"/>
      <c r="U110" s="3"/>
      <c r="V110" s="3"/>
      <c r="W110" s="3"/>
      <c r="X110" s="3"/>
      <c r="Y110" s="3"/>
      <c r="Z110" s="3"/>
      <c r="AA110" s="3"/>
      <c r="AB110" s="3"/>
      <c r="AC110" s="3"/>
      <c r="AD110" s="3"/>
      <c r="AE110" s="3"/>
      <c r="AF110" s="3"/>
      <c r="AG110" s="3"/>
      <c r="AH110" s="3"/>
      <c r="AI110" s="3"/>
      <c r="AJ110" s="3"/>
      <c r="AK110" s="3"/>
      <c r="AL110" s="3"/>
      <c r="AM110" s="3"/>
      <c r="AN110" s="3"/>
      <c r="AO110" s="325"/>
      <c r="AP110" s="3"/>
    </row>
  </sheetData>
  <sheetProtection algorithmName="SHA-512" hashValue="c3EX5IRcU9Jm+cpQn3Ca76cd5vXAnOlRFXJ1h6ag/w4yDf8j65MHeiMwponkFIcBj24qzAWMo0RuHih3oG6aZw==" saltValue="pferQClcKicFNJlakHr9Cw==" spinCount="100000" sheet="1" objects="1" scenarios="1"/>
  <pageMargins left="0.7" right="0.7" top="0.75" bottom="0.75" header="0.3" footer="0.3"/>
  <pageSetup orientation="portrait"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13394" r:id="rId4" name="Button 82">
              <controlPr defaultSize="0" print="0" autoFill="0" autoPict="0" macro="[0]!reconcilePsales">
                <anchor moveWithCells="1">
                  <from>
                    <xdr:col>43</xdr:col>
                    <xdr:colOff>285750</xdr:colOff>
                    <xdr:row>78</xdr:row>
                    <xdr:rowOff>66675</xdr:rowOff>
                  </from>
                  <to>
                    <xdr:col>45</xdr:col>
                    <xdr:colOff>66675</xdr:colOff>
                    <xdr:row>79</xdr:row>
                    <xdr:rowOff>114300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dimension ref="A1:AP92"/>
  <sheetViews>
    <sheetView topLeftCell="AB25" workbookViewId="0">
      <selection activeCell="C43" sqref="C43"/>
    </sheetView>
  </sheetViews>
  <sheetFormatPr defaultRowHeight="15" x14ac:dyDescent="0.25"/>
  <cols>
    <col min="2" max="2" width="25.5703125" customWidth="1"/>
    <col min="3" max="3" width="16.7109375" customWidth="1"/>
    <col min="4" max="4" width="10" bestFit="1" customWidth="1"/>
    <col min="5" max="7" width="11.5703125" bestFit="1" customWidth="1"/>
    <col min="8" max="8" width="10.7109375" customWidth="1"/>
    <col min="9" max="12" width="11.5703125" bestFit="1" customWidth="1"/>
    <col min="13" max="13" width="9" customWidth="1"/>
    <col min="14" max="14" width="10" bestFit="1" customWidth="1"/>
    <col min="15" max="16" width="11.5703125" bestFit="1" customWidth="1"/>
    <col min="17" max="18" width="10" bestFit="1" customWidth="1"/>
    <col min="19" max="19" width="9.140625" customWidth="1"/>
    <col min="20" max="20" width="10" bestFit="1" customWidth="1"/>
    <col min="21" max="21" width="9.7109375" customWidth="1"/>
    <col min="22" max="23" width="10" bestFit="1" customWidth="1"/>
    <col min="24" max="24" width="11.5703125" bestFit="1" customWidth="1"/>
    <col min="25" max="25" width="10" bestFit="1" customWidth="1"/>
    <col min="26" max="27" width="11.5703125" bestFit="1" customWidth="1"/>
    <col min="28" max="28" width="10" bestFit="1" customWidth="1"/>
    <col min="29" max="29" width="11.5703125" bestFit="1" customWidth="1"/>
    <col min="30" max="30" width="9" customWidth="1"/>
    <col min="31" max="33" width="10" bestFit="1" customWidth="1"/>
    <col min="34" max="34" width="9" customWidth="1"/>
    <col min="35" max="35" width="11.5703125" bestFit="1" customWidth="1"/>
    <col min="36" max="36" width="10" bestFit="1" customWidth="1"/>
    <col min="37" max="41" width="11.5703125" bestFit="1" customWidth="1"/>
    <col min="42" max="42" width="12.85546875" customWidth="1"/>
  </cols>
  <sheetData>
    <row r="1" spans="1:42" x14ac:dyDescent="0.25">
      <c r="A1" s="364" t="s">
        <v>642</v>
      </c>
    </row>
    <row r="2" spans="1:42" x14ac:dyDescent="0.25">
      <c r="A2" s="148"/>
      <c r="B2" s="363"/>
      <c r="C2" s="21">
        <v>1</v>
      </c>
      <c r="D2" s="21">
        <v>2</v>
      </c>
      <c r="E2" s="21">
        <v>3</v>
      </c>
      <c r="F2" s="21">
        <v>4</v>
      </c>
      <c r="G2" s="21">
        <v>5</v>
      </c>
      <c r="H2" s="21">
        <v>6</v>
      </c>
      <c r="I2" s="21">
        <v>7</v>
      </c>
      <c r="J2" s="21">
        <v>8</v>
      </c>
      <c r="K2" s="21">
        <v>9</v>
      </c>
      <c r="L2" s="21">
        <v>10</v>
      </c>
      <c r="M2" s="21">
        <v>11</v>
      </c>
      <c r="N2" s="21">
        <v>12</v>
      </c>
      <c r="O2" s="21">
        <v>13</v>
      </c>
      <c r="P2" s="21">
        <v>14</v>
      </c>
      <c r="Q2" s="21">
        <v>15</v>
      </c>
      <c r="R2" s="21">
        <v>16</v>
      </c>
      <c r="S2" s="21">
        <v>17</v>
      </c>
      <c r="T2" s="21">
        <v>18</v>
      </c>
      <c r="U2" s="21">
        <v>19</v>
      </c>
      <c r="V2" s="21">
        <v>20</v>
      </c>
      <c r="W2" s="21">
        <v>21</v>
      </c>
      <c r="X2" s="21">
        <v>22</v>
      </c>
      <c r="Y2" s="21">
        <v>23</v>
      </c>
      <c r="Z2" s="21">
        <v>24</v>
      </c>
      <c r="AA2" s="21">
        <v>25</v>
      </c>
      <c r="AB2" s="21">
        <v>26</v>
      </c>
      <c r="AC2" s="21">
        <v>27</v>
      </c>
      <c r="AD2" s="21">
        <v>28</v>
      </c>
      <c r="AE2" s="21">
        <v>29</v>
      </c>
      <c r="AF2" s="21">
        <v>30</v>
      </c>
      <c r="AG2" s="21">
        <v>31</v>
      </c>
      <c r="AH2" s="21">
        <v>32</v>
      </c>
      <c r="AI2" s="21">
        <v>33</v>
      </c>
      <c r="AJ2" s="21">
        <v>34</v>
      </c>
      <c r="AK2" s="21">
        <v>35</v>
      </c>
      <c r="AL2" s="21">
        <v>36</v>
      </c>
      <c r="AM2" s="21">
        <v>37</v>
      </c>
      <c r="AN2" s="21">
        <v>38</v>
      </c>
      <c r="AO2" s="21">
        <v>39</v>
      </c>
    </row>
    <row r="3" spans="1:42" s="32" customFormat="1" ht="63.75" customHeight="1" x14ac:dyDescent="0.25">
      <c r="B3" s="508" t="s">
        <v>61</v>
      </c>
      <c r="C3" s="509" t="s">
        <v>60</v>
      </c>
      <c r="D3" s="509" t="s">
        <v>59</v>
      </c>
      <c r="E3" s="509" t="s">
        <v>58</v>
      </c>
      <c r="F3" s="509" t="s">
        <v>57</v>
      </c>
      <c r="G3" s="509" t="s">
        <v>56</v>
      </c>
      <c r="H3" s="509" t="s">
        <v>55</v>
      </c>
      <c r="I3" s="509" t="s">
        <v>54</v>
      </c>
      <c r="J3" s="509" t="s">
        <v>53</v>
      </c>
      <c r="K3" s="509" t="s">
        <v>52</v>
      </c>
      <c r="L3" s="509" t="s">
        <v>51</v>
      </c>
      <c r="M3" s="509" t="s">
        <v>50</v>
      </c>
      <c r="N3" s="509" t="s">
        <v>49</v>
      </c>
      <c r="O3" s="509" t="s">
        <v>48</v>
      </c>
      <c r="P3" s="509" t="s">
        <v>47</v>
      </c>
      <c r="Q3" s="509" t="s">
        <v>46</v>
      </c>
      <c r="R3" s="509" t="s">
        <v>45</v>
      </c>
      <c r="S3" s="509" t="s">
        <v>44</v>
      </c>
      <c r="T3" s="509" t="s">
        <v>43</v>
      </c>
      <c r="U3" s="509" t="s">
        <v>42</v>
      </c>
      <c r="V3" s="509" t="s">
        <v>41</v>
      </c>
      <c r="W3" s="509" t="s">
        <v>40</v>
      </c>
      <c r="X3" s="509" t="s">
        <v>39</v>
      </c>
      <c r="Y3" s="509" t="s">
        <v>38</v>
      </c>
      <c r="Z3" s="509" t="s">
        <v>37</v>
      </c>
      <c r="AA3" s="509" t="s">
        <v>36</v>
      </c>
      <c r="AB3" s="509" t="s">
        <v>35</v>
      </c>
      <c r="AC3" s="509" t="s">
        <v>34</v>
      </c>
      <c r="AD3" s="509" t="s">
        <v>33</v>
      </c>
      <c r="AE3" s="509" t="s">
        <v>32</v>
      </c>
      <c r="AF3" s="509" t="s">
        <v>31</v>
      </c>
      <c r="AG3" s="509" t="s">
        <v>30</v>
      </c>
      <c r="AH3" s="509" t="s">
        <v>29</v>
      </c>
      <c r="AI3" s="509" t="s">
        <v>28</v>
      </c>
      <c r="AJ3" s="509" t="s">
        <v>27</v>
      </c>
      <c r="AK3" s="509" t="s">
        <v>26</v>
      </c>
      <c r="AL3" s="509" t="s">
        <v>25</v>
      </c>
      <c r="AM3" s="509" t="s">
        <v>24</v>
      </c>
      <c r="AN3" s="509" t="s">
        <v>23</v>
      </c>
      <c r="AO3" s="509" t="s">
        <v>22</v>
      </c>
      <c r="AP3" s="509" t="s">
        <v>110</v>
      </c>
    </row>
    <row r="4" spans="1:42" x14ac:dyDescent="0.25">
      <c r="A4" s="21"/>
      <c r="B4" s="363"/>
      <c r="C4" s="30"/>
      <c r="D4" s="30"/>
      <c r="E4" s="30"/>
      <c r="F4" s="30"/>
      <c r="G4" s="30"/>
      <c r="H4" s="30"/>
      <c r="I4" s="30"/>
      <c r="J4" s="30"/>
      <c r="K4" s="30"/>
      <c r="L4" s="30"/>
      <c r="M4" s="30"/>
      <c r="N4" s="30"/>
      <c r="O4" s="30"/>
      <c r="P4" s="30"/>
      <c r="Q4" s="30"/>
      <c r="R4" s="30"/>
      <c r="S4" s="30"/>
      <c r="T4" s="30"/>
      <c r="U4" s="30"/>
      <c r="V4" s="30"/>
      <c r="W4" s="30"/>
      <c r="X4" s="30"/>
      <c r="Y4" s="30"/>
      <c r="Z4" s="30"/>
      <c r="AA4" s="30"/>
      <c r="AB4" s="30"/>
      <c r="AC4" s="30"/>
      <c r="AD4" s="30"/>
      <c r="AE4" s="30"/>
      <c r="AF4" s="30"/>
      <c r="AG4" s="30"/>
      <c r="AH4" s="30"/>
      <c r="AI4" s="30"/>
      <c r="AJ4" s="30"/>
      <c r="AK4" s="30"/>
      <c r="AL4" s="30"/>
      <c r="AM4" s="30"/>
      <c r="AN4" s="30"/>
      <c r="AO4" s="30"/>
    </row>
    <row r="5" spans="1:42" x14ac:dyDescent="0.25">
      <c r="A5" s="21"/>
      <c r="B5" s="21" t="str">
        <f>INDEX(watershed_list,Main!B7)</f>
        <v>Statewide</v>
      </c>
      <c r="C5" s="22">
        <f>Watersheds!B122</f>
        <v>1</v>
      </c>
      <c r="D5" s="22">
        <f>Watersheds!C122</f>
        <v>1</v>
      </c>
      <c r="E5" s="22">
        <f>Watersheds!D122</f>
        <v>1</v>
      </c>
      <c r="F5" s="22">
        <f>Watersheds!E122</f>
        <v>1</v>
      </c>
      <c r="G5" s="22">
        <f>Watersheds!F122</f>
        <v>1</v>
      </c>
      <c r="H5" s="22">
        <f>Watersheds!G122</f>
        <v>1</v>
      </c>
      <c r="I5" s="22">
        <f>Watersheds!H122</f>
        <v>1</v>
      </c>
      <c r="J5" s="22">
        <f>Watersheds!I122</f>
        <v>1</v>
      </c>
      <c r="K5" s="22">
        <f>Watersheds!J122</f>
        <v>1</v>
      </c>
      <c r="L5" s="22">
        <f>Watersheds!K122</f>
        <v>1</v>
      </c>
      <c r="M5" s="22">
        <f>Watersheds!L122</f>
        <v>1</v>
      </c>
      <c r="N5" s="22">
        <f>Watersheds!M122</f>
        <v>1</v>
      </c>
      <c r="O5" s="22">
        <f>Watersheds!N122</f>
        <v>1</v>
      </c>
      <c r="P5" s="22">
        <f>Watersheds!O122</f>
        <v>1</v>
      </c>
      <c r="Q5" s="22">
        <f>Watersheds!P122</f>
        <v>1</v>
      </c>
      <c r="R5" s="22">
        <f>Watersheds!Q122</f>
        <v>1</v>
      </c>
      <c r="S5" s="22">
        <f>Watersheds!R122</f>
        <v>1</v>
      </c>
      <c r="T5" s="22">
        <f>Watersheds!S122</f>
        <v>1</v>
      </c>
      <c r="U5" s="22">
        <f>Watersheds!T122</f>
        <v>1</v>
      </c>
      <c r="V5" s="22">
        <f>Watersheds!U122</f>
        <v>1</v>
      </c>
      <c r="W5" s="22">
        <f>Watersheds!V122</f>
        <v>1</v>
      </c>
      <c r="X5" s="22">
        <f>Watersheds!W122</f>
        <v>1</v>
      </c>
      <c r="Y5" s="22">
        <f>Watersheds!X122</f>
        <v>1</v>
      </c>
      <c r="Z5" s="22">
        <f>Watersheds!Y122</f>
        <v>1</v>
      </c>
      <c r="AA5" s="22">
        <f>Watersheds!Z122</f>
        <v>1</v>
      </c>
      <c r="AB5" s="22">
        <f>Watersheds!AA122</f>
        <v>1</v>
      </c>
      <c r="AC5" s="22">
        <f>Watersheds!AB122</f>
        <v>1</v>
      </c>
      <c r="AD5" s="22">
        <f>Watersheds!AC122</f>
        <v>1</v>
      </c>
      <c r="AE5" s="22">
        <f>Watersheds!AD122</f>
        <v>1</v>
      </c>
      <c r="AF5" s="22">
        <f>Watersheds!AE122</f>
        <v>1</v>
      </c>
      <c r="AG5" s="22">
        <f>Watersheds!AF122</f>
        <v>1</v>
      </c>
      <c r="AH5" s="22">
        <f>Watersheds!AG122</f>
        <v>1</v>
      </c>
      <c r="AI5" s="22">
        <f>Watersheds!AH122</f>
        <v>1</v>
      </c>
      <c r="AJ5" s="22">
        <f>Watersheds!AI122</f>
        <v>1</v>
      </c>
      <c r="AK5" s="22">
        <f>Watersheds!AJ122</f>
        <v>1</v>
      </c>
      <c r="AL5" s="22">
        <f>Watersheds!AK122</f>
        <v>1</v>
      </c>
      <c r="AM5" s="22">
        <f>Watersheds!AL122</f>
        <v>1</v>
      </c>
      <c r="AN5" s="22">
        <f>Watersheds!AM122</f>
        <v>1</v>
      </c>
      <c r="AO5" s="22">
        <f>Watersheds!AN122</f>
        <v>1</v>
      </c>
    </row>
    <row r="6" spans="1:42" ht="15" customHeight="1" x14ac:dyDescent="0.25">
      <c r="B6" s="363" t="s">
        <v>665</v>
      </c>
      <c r="C6" s="312" t="s">
        <v>640</v>
      </c>
      <c r="D6" s="312" t="s">
        <v>640</v>
      </c>
      <c r="E6" s="312" t="s">
        <v>637</v>
      </c>
      <c r="F6" s="312" t="s">
        <v>640</v>
      </c>
      <c r="G6" s="312" t="s">
        <v>639</v>
      </c>
      <c r="H6" s="312" t="s">
        <v>636</v>
      </c>
      <c r="I6" s="312" t="s">
        <v>640</v>
      </c>
      <c r="J6" s="312" t="s">
        <v>639</v>
      </c>
      <c r="K6" s="312" t="s">
        <v>639</v>
      </c>
      <c r="L6" s="312" t="s">
        <v>641</v>
      </c>
      <c r="M6" s="312" t="s">
        <v>355</v>
      </c>
      <c r="N6" s="312" t="s">
        <v>355</v>
      </c>
      <c r="O6" s="312" t="s">
        <v>639</v>
      </c>
      <c r="P6" s="312" t="s">
        <v>641</v>
      </c>
      <c r="Q6" s="312" t="s">
        <v>637</v>
      </c>
      <c r="R6" s="312" t="s">
        <v>641</v>
      </c>
      <c r="S6" s="312" t="s">
        <v>355</v>
      </c>
      <c r="T6" s="312" t="s">
        <v>355</v>
      </c>
      <c r="U6" s="312" t="s">
        <v>355</v>
      </c>
      <c r="V6" s="312" t="s">
        <v>641</v>
      </c>
      <c r="W6" s="312" t="s">
        <v>639</v>
      </c>
      <c r="X6" s="312" t="s">
        <v>641</v>
      </c>
      <c r="Y6" s="312" t="s">
        <v>641</v>
      </c>
      <c r="Z6" s="312" t="s">
        <v>637</v>
      </c>
      <c r="AA6" s="312" t="s">
        <v>638</v>
      </c>
      <c r="AB6" s="312" t="s">
        <v>355</v>
      </c>
      <c r="AC6" s="312" t="s">
        <v>640</v>
      </c>
      <c r="AD6" s="312" t="s">
        <v>355</v>
      </c>
      <c r="AE6" s="312" t="s">
        <v>638</v>
      </c>
      <c r="AF6" s="312" t="s">
        <v>638</v>
      </c>
      <c r="AG6" s="312" t="s">
        <v>638</v>
      </c>
      <c r="AH6" s="312" t="s">
        <v>637</v>
      </c>
      <c r="AI6" s="312" t="s">
        <v>638</v>
      </c>
      <c r="AJ6" s="312" t="s">
        <v>639</v>
      </c>
      <c r="AK6" s="312" t="s">
        <v>641</v>
      </c>
      <c r="AL6" s="312" t="s">
        <v>637</v>
      </c>
      <c r="AM6" s="312" t="s">
        <v>641</v>
      </c>
      <c r="AN6" s="312" t="s">
        <v>638</v>
      </c>
      <c r="AO6" s="312" t="s">
        <v>638</v>
      </c>
    </row>
    <row r="7" spans="1:42" ht="15" customHeight="1" x14ac:dyDescent="0.25">
      <c r="A7" s="21" t="s">
        <v>664</v>
      </c>
      <c r="B7" s="363"/>
      <c r="C7" s="362">
        <f>(Watersheds!B13+Watersheds!B14)*C5</f>
        <v>506597.70712019998</v>
      </c>
      <c r="D7" s="362">
        <f>(Watersheds!C13+Watersheds!C14)*D5</f>
        <v>31011.809260819999</v>
      </c>
      <c r="E7" s="362">
        <f>(Watersheds!D13+Watersheds!D14)*E5</f>
        <v>200993.56008679999</v>
      </c>
      <c r="F7" s="362">
        <f>(Watersheds!E13+Watersheds!E14)*F5</f>
        <v>215972.39465229999</v>
      </c>
      <c r="G7" s="362">
        <f>(Watersheds!F13+Watersheds!F14)*G5</f>
        <v>550320.38415072998</v>
      </c>
      <c r="H7" s="362">
        <f>(Watersheds!G13+Watersheds!G14)*H5</f>
        <v>0.77492249012000003</v>
      </c>
      <c r="I7" s="362">
        <f>(Watersheds!H13+Watersheds!H14)*I5</f>
        <v>196379.92969290001</v>
      </c>
      <c r="J7" s="362">
        <f>(Watersheds!I13+Watersheds!I14)*J5</f>
        <v>912517.08039946004</v>
      </c>
      <c r="K7" s="362">
        <f>(Watersheds!J13+Watersheds!J14)*K5</f>
        <v>221982.35102209001</v>
      </c>
      <c r="L7" s="362">
        <f>(Watersheds!K13+Watersheds!K14)*L5</f>
        <v>204721.18489547999</v>
      </c>
      <c r="M7" s="362">
        <f>(Watersheds!L13+Watersheds!L14)*M5</f>
        <v>337.23005384470002</v>
      </c>
      <c r="N7" s="362">
        <f>(Watersheds!M13+Watersheds!M14)*N5</f>
        <v>11947.86594354</v>
      </c>
      <c r="O7" s="362">
        <f>(Watersheds!N13+Watersheds!N14)*O5</f>
        <v>412053.655084864</v>
      </c>
      <c r="P7" s="362">
        <f>(Watersheds!O13+Watersheds!O14)*P5</f>
        <v>81246.726180219994</v>
      </c>
      <c r="Q7" s="362">
        <f>(Watersheds!P13+Watersheds!P14)*Q5</f>
        <v>125732.16555819</v>
      </c>
      <c r="R7" s="362">
        <f>(Watersheds!Q13+Watersheds!Q14)*R5</f>
        <v>30208.791063483</v>
      </c>
      <c r="S7" s="362">
        <f>(Watersheds!R13+Watersheds!R14)*S5</f>
        <v>12.3987598419</v>
      </c>
      <c r="T7" s="362">
        <f>(Watersheds!S13+Watersheds!S14)*T5</f>
        <v>24001.311690269999</v>
      </c>
      <c r="U7" s="362">
        <f>(Watersheds!T13+Watersheds!T14)*U5</f>
        <v>20.922906875599999</v>
      </c>
      <c r="V7" s="362">
        <f>(Watersheds!U13+Watersheds!U14)*V5</f>
        <v>1051.294158529</v>
      </c>
      <c r="W7" s="362">
        <f>(Watersheds!V13+Watersheds!V14)*W5</f>
        <v>33050.6132813</v>
      </c>
      <c r="X7" s="362">
        <f>(Watersheds!W13+Watersheds!W14)*X5</f>
        <v>142838.242501842</v>
      </c>
      <c r="Y7" s="362">
        <f>(Watersheds!X13+Watersheds!X14)*Y5</f>
        <v>1643.5656707959999</v>
      </c>
      <c r="Z7" s="362">
        <f>(Watersheds!Y13+Watersheds!Y14)*Z5</f>
        <v>351132.96567569999</v>
      </c>
      <c r="AA7" s="362">
        <f>(Watersheds!Z13+Watersheds!Z14)*AA5</f>
        <v>893863.22778421</v>
      </c>
      <c r="AB7" s="362">
        <f>(Watersheds!AA13+Watersheds!AA14)*AB5</f>
        <v>8852.2606688300002</v>
      </c>
      <c r="AC7" s="362">
        <f>(Watersheds!AB13+Watersheds!AB14)*AC5</f>
        <v>416636.837872</v>
      </c>
      <c r="AD7" s="362">
        <f>(Watersheds!AC13+Watersheds!AC14)*AD5</f>
        <v>3431.5561253799997</v>
      </c>
      <c r="AE7" s="362">
        <f>(Watersheds!AD13+Watersheds!AD14)*AE5</f>
        <v>27698.831710721999</v>
      </c>
      <c r="AF7" s="362">
        <f>(Watersheds!AE13+Watersheds!AE14)*AF5</f>
        <v>29088.143480120001</v>
      </c>
      <c r="AG7" s="362">
        <f>(Watersheds!AF13+Watersheds!AF14)*AG5</f>
        <v>60570.672050250003</v>
      </c>
      <c r="AH7" s="362">
        <f>(Watersheds!AG13+Watersheds!AG14)*AH5</f>
        <v>13748.49875544</v>
      </c>
      <c r="AI7" s="362">
        <f>(Watersheds!AH13+Watersheds!AH14)*AI5</f>
        <v>662315.56607906998</v>
      </c>
      <c r="AJ7" s="362">
        <f>(Watersheds!AI13+Watersheds!AI14)*AJ5</f>
        <v>63986.411631870003</v>
      </c>
      <c r="AK7" s="362">
        <f>(Watersheds!AJ13+Watersheds!AJ14)*AK5</f>
        <v>43960.983059209997</v>
      </c>
      <c r="AL7" s="362">
        <f>(Watersheds!AK13+Watersheds!AK14)*AL5</f>
        <v>272708.68336565001</v>
      </c>
      <c r="AM7" s="362">
        <f>(Watersheds!AL13+Watersheds!AL14)*AM5</f>
        <v>111687.33896030999</v>
      </c>
      <c r="AN7" s="362">
        <f>(Watersheds!AM13+Watersheds!AM14)*AN5</f>
        <v>420897.62111941999</v>
      </c>
      <c r="AO7" s="362">
        <f>(Watersheds!AN13+Watersheds!AN14)*AO5</f>
        <v>503229.74504463898</v>
      </c>
    </row>
    <row r="8" spans="1:42" s="355" customFormat="1" x14ac:dyDescent="0.25">
      <c r="A8" s="349"/>
      <c r="B8" s="359" t="s">
        <v>663</v>
      </c>
      <c r="C8" s="876">
        <v>0.02</v>
      </c>
      <c r="D8" s="876">
        <v>0.02</v>
      </c>
      <c r="E8" s="876">
        <v>0.05</v>
      </c>
      <c r="F8" s="876">
        <v>0.02</v>
      </c>
      <c r="G8" s="876">
        <v>0.27</v>
      </c>
      <c r="H8" s="876">
        <v>0.14000000000000001</v>
      </c>
      <c r="I8" s="876">
        <v>0.02</v>
      </c>
      <c r="J8" s="876">
        <v>0.27</v>
      </c>
      <c r="K8" s="876">
        <v>0.27</v>
      </c>
      <c r="L8" s="876">
        <v>0.14000000000000001</v>
      </c>
      <c r="M8" s="876">
        <v>0.14000000000000001</v>
      </c>
      <c r="N8" s="876">
        <v>0.14000000000000001</v>
      </c>
      <c r="O8" s="876">
        <v>0.27</v>
      </c>
      <c r="P8" s="876">
        <v>0.14000000000000001</v>
      </c>
      <c r="Q8" s="876">
        <v>0.05</v>
      </c>
      <c r="R8" s="876">
        <v>0.14000000000000001</v>
      </c>
      <c r="S8" s="876">
        <v>0.14000000000000001</v>
      </c>
      <c r="T8" s="876">
        <v>0.14000000000000001</v>
      </c>
      <c r="U8" s="876">
        <v>0.14000000000000001</v>
      </c>
      <c r="V8" s="876">
        <v>0.14000000000000001</v>
      </c>
      <c r="W8" s="876">
        <v>0.27</v>
      </c>
      <c r="X8" s="876">
        <v>0.14000000000000001</v>
      </c>
      <c r="Y8" s="876">
        <v>0.14000000000000001</v>
      </c>
      <c r="Z8" s="876">
        <v>0.05</v>
      </c>
      <c r="AA8" s="876">
        <v>0.25</v>
      </c>
      <c r="AB8" s="876">
        <v>0.14000000000000001</v>
      </c>
      <c r="AC8" s="876">
        <v>0.02</v>
      </c>
      <c r="AD8" s="876">
        <v>0.14000000000000001</v>
      </c>
      <c r="AE8" s="876">
        <v>0.25</v>
      </c>
      <c r="AF8" s="876">
        <v>0.25</v>
      </c>
      <c r="AG8" s="876">
        <v>0.25</v>
      </c>
      <c r="AH8" s="876">
        <v>0.05</v>
      </c>
      <c r="AI8" s="876">
        <v>0.25</v>
      </c>
      <c r="AJ8" s="876">
        <v>0.27</v>
      </c>
      <c r="AK8" s="876">
        <v>0.14000000000000001</v>
      </c>
      <c r="AL8" s="876">
        <v>0.05</v>
      </c>
      <c r="AM8" s="876">
        <v>0.14000000000000001</v>
      </c>
      <c r="AN8" s="876">
        <v>0.25</v>
      </c>
      <c r="AO8" s="876">
        <v>0.25</v>
      </c>
    </row>
    <row r="9" spans="1:42" s="355" customFormat="1" x14ac:dyDescent="0.25">
      <c r="A9" s="349"/>
      <c r="B9" s="359" t="s">
        <v>662</v>
      </c>
      <c r="C9" s="876">
        <v>0.14000000000000001</v>
      </c>
      <c r="D9" s="876">
        <v>0.14000000000000001</v>
      </c>
      <c r="E9" s="876">
        <v>0.24</v>
      </c>
      <c r="F9" s="876">
        <v>0.14000000000000001</v>
      </c>
      <c r="G9" s="876">
        <v>0.23</v>
      </c>
      <c r="H9" s="876">
        <v>0.22</v>
      </c>
      <c r="I9" s="876">
        <v>0.14000000000000001</v>
      </c>
      <c r="J9" s="876">
        <v>0.23</v>
      </c>
      <c r="K9" s="876">
        <v>0.23</v>
      </c>
      <c r="L9" s="876">
        <v>0.44</v>
      </c>
      <c r="M9" s="876">
        <v>0.22</v>
      </c>
      <c r="N9" s="876">
        <v>0.22</v>
      </c>
      <c r="O9" s="876">
        <v>0.23</v>
      </c>
      <c r="P9" s="876">
        <v>0.44</v>
      </c>
      <c r="Q9" s="876">
        <v>0.24</v>
      </c>
      <c r="R9" s="876">
        <v>0.44</v>
      </c>
      <c r="S9" s="876">
        <v>0.22</v>
      </c>
      <c r="T9" s="876">
        <v>0.22</v>
      </c>
      <c r="U9" s="876">
        <v>0.22</v>
      </c>
      <c r="V9" s="876">
        <v>0.44</v>
      </c>
      <c r="W9" s="876">
        <v>0.23</v>
      </c>
      <c r="X9" s="876">
        <v>0.44</v>
      </c>
      <c r="Y9" s="876">
        <v>0.44</v>
      </c>
      <c r="Z9" s="876">
        <v>0.24</v>
      </c>
      <c r="AA9" s="876">
        <v>0.2</v>
      </c>
      <c r="AB9" s="876">
        <v>0.22</v>
      </c>
      <c r="AC9" s="876">
        <v>0.14000000000000001</v>
      </c>
      <c r="AD9" s="876">
        <v>0.22</v>
      </c>
      <c r="AE9" s="876">
        <v>0.2</v>
      </c>
      <c r="AF9" s="876">
        <v>0.2</v>
      </c>
      <c r="AG9" s="876">
        <v>0.2</v>
      </c>
      <c r="AH9" s="876">
        <v>0.24</v>
      </c>
      <c r="AI9" s="876">
        <v>0.2</v>
      </c>
      <c r="AJ9" s="876">
        <v>0.23</v>
      </c>
      <c r="AK9" s="876">
        <v>0.44</v>
      </c>
      <c r="AL9" s="876">
        <v>0.24</v>
      </c>
      <c r="AM9" s="876">
        <v>0.44</v>
      </c>
      <c r="AN9" s="876">
        <v>0.2</v>
      </c>
      <c r="AO9" s="876">
        <v>0.2</v>
      </c>
    </row>
    <row r="10" spans="1:42" s="355" customFormat="1" x14ac:dyDescent="0.25">
      <c r="A10" s="354"/>
      <c r="B10" s="359" t="s">
        <v>657</v>
      </c>
      <c r="C10" s="876">
        <v>0.28999999999999998</v>
      </c>
      <c r="D10" s="876">
        <v>0.28999999999999998</v>
      </c>
      <c r="E10" s="876">
        <v>0.4</v>
      </c>
      <c r="F10" s="876">
        <v>0.28999999999999998</v>
      </c>
      <c r="G10" s="876">
        <v>0.13</v>
      </c>
      <c r="H10" s="876">
        <v>0.32</v>
      </c>
      <c r="I10" s="876">
        <v>0.28999999999999998</v>
      </c>
      <c r="J10" s="876">
        <v>0.13</v>
      </c>
      <c r="K10" s="876">
        <v>0.13</v>
      </c>
      <c r="L10" s="876">
        <v>0.28999999999999998</v>
      </c>
      <c r="M10" s="876">
        <v>0.32</v>
      </c>
      <c r="N10" s="876">
        <v>0.32</v>
      </c>
      <c r="O10" s="876">
        <v>0.13</v>
      </c>
      <c r="P10" s="876">
        <v>0.28999999999999998</v>
      </c>
      <c r="Q10" s="876">
        <v>0.4</v>
      </c>
      <c r="R10" s="876">
        <v>0.28999999999999998</v>
      </c>
      <c r="S10" s="876">
        <v>0.32</v>
      </c>
      <c r="T10" s="876">
        <v>0.32</v>
      </c>
      <c r="U10" s="876">
        <v>0.32</v>
      </c>
      <c r="V10" s="876">
        <v>0.28999999999999998</v>
      </c>
      <c r="W10" s="876">
        <v>0.13</v>
      </c>
      <c r="X10" s="876">
        <v>0.28999999999999998</v>
      </c>
      <c r="Y10" s="876">
        <v>0.28999999999999998</v>
      </c>
      <c r="Z10" s="876">
        <v>0.4</v>
      </c>
      <c r="AA10" s="876">
        <v>0.34</v>
      </c>
      <c r="AB10" s="876">
        <v>0.32</v>
      </c>
      <c r="AC10" s="876">
        <v>0.28999999999999998</v>
      </c>
      <c r="AD10" s="876">
        <v>0.32</v>
      </c>
      <c r="AE10" s="876">
        <v>0.34</v>
      </c>
      <c r="AF10" s="876">
        <v>0.34</v>
      </c>
      <c r="AG10" s="876">
        <v>0.34</v>
      </c>
      <c r="AH10" s="876">
        <v>0.4</v>
      </c>
      <c r="AI10" s="876">
        <v>0.34</v>
      </c>
      <c r="AJ10" s="876">
        <v>0.13</v>
      </c>
      <c r="AK10" s="876">
        <v>0.28999999999999998</v>
      </c>
      <c r="AL10" s="876">
        <v>0.4</v>
      </c>
      <c r="AM10" s="876">
        <v>0.28999999999999998</v>
      </c>
      <c r="AN10" s="876">
        <v>0.34</v>
      </c>
      <c r="AO10" s="876">
        <v>0.34</v>
      </c>
    </row>
    <row r="11" spans="1:42" s="355" customFormat="1" x14ac:dyDescent="0.25">
      <c r="A11" s="354"/>
      <c r="B11" s="359" t="s">
        <v>656</v>
      </c>
      <c r="C11" s="264">
        <f t="shared" ref="C11:AO11" si="0">SUM(C8:C10)</f>
        <v>0.44999999999999996</v>
      </c>
      <c r="D11" s="264">
        <f t="shared" si="0"/>
        <v>0.44999999999999996</v>
      </c>
      <c r="E11" s="264">
        <f t="shared" si="0"/>
        <v>0.69</v>
      </c>
      <c r="F11" s="264">
        <f t="shared" si="0"/>
        <v>0.44999999999999996</v>
      </c>
      <c r="G11" s="264">
        <f t="shared" si="0"/>
        <v>0.63</v>
      </c>
      <c r="H11" s="264">
        <f t="shared" si="0"/>
        <v>0.67999999999999994</v>
      </c>
      <c r="I11" s="264">
        <f t="shared" si="0"/>
        <v>0.44999999999999996</v>
      </c>
      <c r="J11" s="264">
        <f t="shared" si="0"/>
        <v>0.63</v>
      </c>
      <c r="K11" s="264">
        <f t="shared" si="0"/>
        <v>0.63</v>
      </c>
      <c r="L11" s="264">
        <f t="shared" si="0"/>
        <v>0.87000000000000011</v>
      </c>
      <c r="M11" s="264">
        <f t="shared" si="0"/>
        <v>0.67999999999999994</v>
      </c>
      <c r="N11" s="264">
        <f t="shared" si="0"/>
        <v>0.67999999999999994</v>
      </c>
      <c r="O11" s="264">
        <f t="shared" si="0"/>
        <v>0.63</v>
      </c>
      <c r="P11" s="264">
        <f t="shared" si="0"/>
        <v>0.87000000000000011</v>
      </c>
      <c r="Q11" s="264">
        <f t="shared" si="0"/>
        <v>0.69</v>
      </c>
      <c r="R11" s="264">
        <f t="shared" si="0"/>
        <v>0.87000000000000011</v>
      </c>
      <c r="S11" s="264">
        <f t="shared" si="0"/>
        <v>0.67999999999999994</v>
      </c>
      <c r="T11" s="264">
        <f t="shared" si="0"/>
        <v>0.67999999999999994</v>
      </c>
      <c r="U11" s="264">
        <f t="shared" si="0"/>
        <v>0.67999999999999994</v>
      </c>
      <c r="V11" s="264">
        <f t="shared" si="0"/>
        <v>0.87000000000000011</v>
      </c>
      <c r="W11" s="264">
        <f t="shared" si="0"/>
        <v>0.63</v>
      </c>
      <c r="X11" s="264">
        <f t="shared" si="0"/>
        <v>0.87000000000000011</v>
      </c>
      <c r="Y11" s="264">
        <f t="shared" si="0"/>
        <v>0.87000000000000011</v>
      </c>
      <c r="Z11" s="264">
        <f t="shared" si="0"/>
        <v>0.69</v>
      </c>
      <c r="AA11" s="264">
        <f t="shared" si="0"/>
        <v>0.79</v>
      </c>
      <c r="AB11" s="264">
        <f t="shared" si="0"/>
        <v>0.67999999999999994</v>
      </c>
      <c r="AC11" s="264">
        <f t="shared" si="0"/>
        <v>0.44999999999999996</v>
      </c>
      <c r="AD11" s="264">
        <f t="shared" si="0"/>
        <v>0.67999999999999994</v>
      </c>
      <c r="AE11" s="264">
        <f t="shared" si="0"/>
        <v>0.79</v>
      </c>
      <c r="AF11" s="264">
        <f t="shared" si="0"/>
        <v>0.79</v>
      </c>
      <c r="AG11" s="264">
        <f t="shared" si="0"/>
        <v>0.79</v>
      </c>
      <c r="AH11" s="264">
        <f t="shared" si="0"/>
        <v>0.69</v>
      </c>
      <c r="AI11" s="264">
        <f t="shared" si="0"/>
        <v>0.79</v>
      </c>
      <c r="AJ11" s="264">
        <f t="shared" si="0"/>
        <v>0.63</v>
      </c>
      <c r="AK11" s="264">
        <f t="shared" si="0"/>
        <v>0.87000000000000011</v>
      </c>
      <c r="AL11" s="264">
        <f t="shared" si="0"/>
        <v>0.69</v>
      </c>
      <c r="AM11" s="264">
        <f t="shared" si="0"/>
        <v>0.87000000000000011</v>
      </c>
      <c r="AN11" s="264">
        <f t="shared" si="0"/>
        <v>0.79</v>
      </c>
      <c r="AO11" s="264">
        <f t="shared" si="0"/>
        <v>0.79</v>
      </c>
    </row>
    <row r="12" spans="1:42" x14ac:dyDescent="0.25">
      <c r="A12" s="360"/>
      <c r="B12" s="312" t="s">
        <v>1957</v>
      </c>
      <c r="C12" s="264">
        <f t="shared" ref="C12:AO12" si="1">C8/C11</f>
        <v>4.4444444444444453E-2</v>
      </c>
      <c r="D12" s="264">
        <f t="shared" si="1"/>
        <v>4.4444444444444453E-2</v>
      </c>
      <c r="E12" s="264">
        <f t="shared" si="1"/>
        <v>7.2463768115942045E-2</v>
      </c>
      <c r="F12" s="264">
        <f t="shared" si="1"/>
        <v>4.4444444444444453E-2</v>
      </c>
      <c r="G12" s="264">
        <f t="shared" si="1"/>
        <v>0.4285714285714286</v>
      </c>
      <c r="H12" s="264">
        <f t="shared" si="1"/>
        <v>0.20588235294117652</v>
      </c>
      <c r="I12" s="264">
        <f t="shared" si="1"/>
        <v>4.4444444444444453E-2</v>
      </c>
      <c r="J12" s="264">
        <f t="shared" si="1"/>
        <v>0.4285714285714286</v>
      </c>
      <c r="K12" s="264">
        <f t="shared" si="1"/>
        <v>0.4285714285714286</v>
      </c>
      <c r="L12" s="264">
        <f t="shared" si="1"/>
        <v>0.16091954022988506</v>
      </c>
      <c r="M12" s="264">
        <f t="shared" si="1"/>
        <v>0.20588235294117652</v>
      </c>
      <c r="N12" s="264">
        <f t="shared" si="1"/>
        <v>0.20588235294117652</v>
      </c>
      <c r="O12" s="264">
        <f t="shared" si="1"/>
        <v>0.4285714285714286</v>
      </c>
      <c r="P12" s="264">
        <f t="shared" si="1"/>
        <v>0.16091954022988506</v>
      </c>
      <c r="Q12" s="264">
        <f t="shared" si="1"/>
        <v>7.2463768115942045E-2</v>
      </c>
      <c r="R12" s="264">
        <f t="shared" si="1"/>
        <v>0.16091954022988506</v>
      </c>
      <c r="S12" s="264">
        <f t="shared" si="1"/>
        <v>0.20588235294117652</v>
      </c>
      <c r="T12" s="264">
        <f t="shared" si="1"/>
        <v>0.20588235294117652</v>
      </c>
      <c r="U12" s="264">
        <f t="shared" si="1"/>
        <v>0.20588235294117652</v>
      </c>
      <c r="V12" s="264">
        <f t="shared" si="1"/>
        <v>0.16091954022988506</v>
      </c>
      <c r="W12" s="264">
        <f t="shared" si="1"/>
        <v>0.4285714285714286</v>
      </c>
      <c r="X12" s="264">
        <f t="shared" si="1"/>
        <v>0.16091954022988506</v>
      </c>
      <c r="Y12" s="264">
        <f t="shared" si="1"/>
        <v>0.16091954022988506</v>
      </c>
      <c r="Z12" s="264">
        <f t="shared" si="1"/>
        <v>7.2463768115942045E-2</v>
      </c>
      <c r="AA12" s="264">
        <f t="shared" si="1"/>
        <v>0.31645569620253161</v>
      </c>
      <c r="AB12" s="264">
        <f t="shared" si="1"/>
        <v>0.20588235294117652</v>
      </c>
      <c r="AC12" s="264">
        <f t="shared" si="1"/>
        <v>4.4444444444444453E-2</v>
      </c>
      <c r="AD12" s="264">
        <f t="shared" si="1"/>
        <v>0.20588235294117652</v>
      </c>
      <c r="AE12" s="264">
        <f t="shared" si="1"/>
        <v>0.31645569620253161</v>
      </c>
      <c r="AF12" s="264">
        <f t="shared" si="1"/>
        <v>0.31645569620253161</v>
      </c>
      <c r="AG12" s="264">
        <f t="shared" si="1"/>
        <v>0.31645569620253161</v>
      </c>
      <c r="AH12" s="264">
        <f t="shared" si="1"/>
        <v>7.2463768115942045E-2</v>
      </c>
      <c r="AI12" s="264">
        <f t="shared" si="1"/>
        <v>0.31645569620253161</v>
      </c>
      <c r="AJ12" s="264">
        <f t="shared" si="1"/>
        <v>0.4285714285714286</v>
      </c>
      <c r="AK12" s="264">
        <f t="shared" si="1"/>
        <v>0.16091954022988506</v>
      </c>
      <c r="AL12" s="264">
        <f t="shared" si="1"/>
        <v>7.2463768115942045E-2</v>
      </c>
      <c r="AM12" s="264">
        <f t="shared" si="1"/>
        <v>0.16091954022988506</v>
      </c>
      <c r="AN12" s="264">
        <f t="shared" si="1"/>
        <v>0.31645569620253161</v>
      </c>
      <c r="AO12" s="264">
        <f t="shared" si="1"/>
        <v>0.31645569620253161</v>
      </c>
    </row>
    <row r="13" spans="1:42" s="355" customFormat="1" x14ac:dyDescent="0.25">
      <c r="A13" s="354"/>
      <c r="B13" s="359" t="s">
        <v>658</v>
      </c>
      <c r="C13" s="264">
        <f t="shared" ref="C13:AO13" si="2">C10/C11</f>
        <v>0.64444444444444449</v>
      </c>
      <c r="D13" s="264">
        <f t="shared" si="2"/>
        <v>0.64444444444444449</v>
      </c>
      <c r="E13" s="264">
        <f t="shared" si="2"/>
        <v>0.57971014492753636</v>
      </c>
      <c r="F13" s="264">
        <f t="shared" si="2"/>
        <v>0.64444444444444449</v>
      </c>
      <c r="G13" s="264">
        <f t="shared" si="2"/>
        <v>0.20634920634920637</v>
      </c>
      <c r="H13" s="264">
        <f t="shared" si="2"/>
        <v>0.4705882352941177</v>
      </c>
      <c r="I13" s="264">
        <f t="shared" si="2"/>
        <v>0.64444444444444449</v>
      </c>
      <c r="J13" s="264">
        <f t="shared" si="2"/>
        <v>0.20634920634920637</v>
      </c>
      <c r="K13" s="264">
        <f t="shared" si="2"/>
        <v>0.20634920634920637</v>
      </c>
      <c r="L13" s="264">
        <f t="shared" si="2"/>
        <v>0.33333333333333326</v>
      </c>
      <c r="M13" s="264">
        <f t="shared" si="2"/>
        <v>0.4705882352941177</v>
      </c>
      <c r="N13" s="264">
        <f t="shared" si="2"/>
        <v>0.4705882352941177</v>
      </c>
      <c r="O13" s="264">
        <f t="shared" si="2"/>
        <v>0.20634920634920637</v>
      </c>
      <c r="P13" s="264">
        <f t="shared" si="2"/>
        <v>0.33333333333333326</v>
      </c>
      <c r="Q13" s="264">
        <f t="shared" si="2"/>
        <v>0.57971014492753636</v>
      </c>
      <c r="R13" s="264">
        <f t="shared" si="2"/>
        <v>0.33333333333333326</v>
      </c>
      <c r="S13" s="264">
        <f t="shared" si="2"/>
        <v>0.4705882352941177</v>
      </c>
      <c r="T13" s="264">
        <f t="shared" si="2"/>
        <v>0.4705882352941177</v>
      </c>
      <c r="U13" s="264">
        <f t="shared" si="2"/>
        <v>0.4705882352941177</v>
      </c>
      <c r="V13" s="264">
        <f t="shared" si="2"/>
        <v>0.33333333333333326</v>
      </c>
      <c r="W13" s="264">
        <f t="shared" si="2"/>
        <v>0.20634920634920637</v>
      </c>
      <c r="X13" s="264">
        <f t="shared" si="2"/>
        <v>0.33333333333333326</v>
      </c>
      <c r="Y13" s="264">
        <f t="shared" si="2"/>
        <v>0.33333333333333326</v>
      </c>
      <c r="Z13" s="264">
        <f t="shared" si="2"/>
        <v>0.57971014492753636</v>
      </c>
      <c r="AA13" s="264">
        <f t="shared" si="2"/>
        <v>0.43037974683544306</v>
      </c>
      <c r="AB13" s="264">
        <f t="shared" si="2"/>
        <v>0.4705882352941177</v>
      </c>
      <c r="AC13" s="264">
        <f t="shared" si="2"/>
        <v>0.64444444444444449</v>
      </c>
      <c r="AD13" s="264">
        <f t="shared" si="2"/>
        <v>0.4705882352941177</v>
      </c>
      <c r="AE13" s="264">
        <f t="shared" si="2"/>
        <v>0.43037974683544306</v>
      </c>
      <c r="AF13" s="264">
        <f t="shared" si="2"/>
        <v>0.43037974683544306</v>
      </c>
      <c r="AG13" s="264">
        <f t="shared" si="2"/>
        <v>0.43037974683544306</v>
      </c>
      <c r="AH13" s="264">
        <f t="shared" si="2"/>
        <v>0.57971014492753636</v>
      </c>
      <c r="AI13" s="264">
        <f t="shared" si="2"/>
        <v>0.43037974683544306</v>
      </c>
      <c r="AJ13" s="264">
        <f t="shared" si="2"/>
        <v>0.20634920634920637</v>
      </c>
      <c r="AK13" s="264">
        <f t="shared" si="2"/>
        <v>0.33333333333333326</v>
      </c>
      <c r="AL13" s="264">
        <f t="shared" si="2"/>
        <v>0.57971014492753636</v>
      </c>
      <c r="AM13" s="264">
        <f t="shared" si="2"/>
        <v>0.33333333333333326</v>
      </c>
      <c r="AN13" s="264">
        <f t="shared" si="2"/>
        <v>0.43037974683544306</v>
      </c>
      <c r="AO13" s="264">
        <f t="shared" si="2"/>
        <v>0.43037974683544306</v>
      </c>
    </row>
    <row r="14" spans="1:42" s="355" customFormat="1" x14ac:dyDescent="0.25">
      <c r="B14" s="359" t="s">
        <v>649</v>
      </c>
      <c r="C14" s="264">
        <f t="shared" ref="C14:AO14" si="3">1-C11</f>
        <v>0.55000000000000004</v>
      </c>
      <c r="D14" s="264">
        <f t="shared" si="3"/>
        <v>0.55000000000000004</v>
      </c>
      <c r="E14" s="264">
        <f t="shared" si="3"/>
        <v>0.31000000000000005</v>
      </c>
      <c r="F14" s="264">
        <f t="shared" si="3"/>
        <v>0.55000000000000004</v>
      </c>
      <c r="G14" s="264">
        <f t="shared" si="3"/>
        <v>0.37</v>
      </c>
      <c r="H14" s="264">
        <f t="shared" si="3"/>
        <v>0.32000000000000006</v>
      </c>
      <c r="I14" s="264">
        <f t="shared" si="3"/>
        <v>0.55000000000000004</v>
      </c>
      <c r="J14" s="264">
        <f t="shared" si="3"/>
        <v>0.37</v>
      </c>
      <c r="K14" s="264">
        <f t="shared" si="3"/>
        <v>0.37</v>
      </c>
      <c r="L14" s="264">
        <f t="shared" si="3"/>
        <v>0.12999999999999989</v>
      </c>
      <c r="M14" s="264">
        <f t="shared" si="3"/>
        <v>0.32000000000000006</v>
      </c>
      <c r="N14" s="264">
        <f t="shared" si="3"/>
        <v>0.32000000000000006</v>
      </c>
      <c r="O14" s="264">
        <f t="shared" si="3"/>
        <v>0.37</v>
      </c>
      <c r="P14" s="264">
        <f t="shared" si="3"/>
        <v>0.12999999999999989</v>
      </c>
      <c r="Q14" s="264">
        <f t="shared" si="3"/>
        <v>0.31000000000000005</v>
      </c>
      <c r="R14" s="264">
        <f t="shared" si="3"/>
        <v>0.12999999999999989</v>
      </c>
      <c r="S14" s="264">
        <f t="shared" si="3"/>
        <v>0.32000000000000006</v>
      </c>
      <c r="T14" s="264">
        <f t="shared" si="3"/>
        <v>0.32000000000000006</v>
      </c>
      <c r="U14" s="264">
        <f t="shared" si="3"/>
        <v>0.32000000000000006</v>
      </c>
      <c r="V14" s="264">
        <f t="shared" si="3"/>
        <v>0.12999999999999989</v>
      </c>
      <c r="W14" s="264">
        <f t="shared" si="3"/>
        <v>0.37</v>
      </c>
      <c r="X14" s="264">
        <f t="shared" si="3"/>
        <v>0.12999999999999989</v>
      </c>
      <c r="Y14" s="264">
        <f t="shared" si="3"/>
        <v>0.12999999999999989</v>
      </c>
      <c r="Z14" s="264">
        <f t="shared" si="3"/>
        <v>0.31000000000000005</v>
      </c>
      <c r="AA14" s="264">
        <f t="shared" si="3"/>
        <v>0.20999999999999996</v>
      </c>
      <c r="AB14" s="264">
        <f t="shared" si="3"/>
        <v>0.32000000000000006</v>
      </c>
      <c r="AC14" s="264">
        <f t="shared" si="3"/>
        <v>0.55000000000000004</v>
      </c>
      <c r="AD14" s="264">
        <f t="shared" si="3"/>
        <v>0.32000000000000006</v>
      </c>
      <c r="AE14" s="264">
        <f t="shared" si="3"/>
        <v>0.20999999999999996</v>
      </c>
      <c r="AF14" s="264">
        <f t="shared" si="3"/>
        <v>0.20999999999999996</v>
      </c>
      <c r="AG14" s="264">
        <f t="shared" si="3"/>
        <v>0.20999999999999996</v>
      </c>
      <c r="AH14" s="264">
        <f t="shared" si="3"/>
        <v>0.31000000000000005</v>
      </c>
      <c r="AI14" s="264">
        <f t="shared" si="3"/>
        <v>0.20999999999999996</v>
      </c>
      <c r="AJ14" s="264">
        <f t="shared" si="3"/>
        <v>0.37</v>
      </c>
      <c r="AK14" s="264">
        <f t="shared" si="3"/>
        <v>0.12999999999999989</v>
      </c>
      <c r="AL14" s="264">
        <f t="shared" si="3"/>
        <v>0.31000000000000005</v>
      </c>
      <c r="AM14" s="264">
        <f t="shared" si="3"/>
        <v>0.12999999999999989</v>
      </c>
      <c r="AN14" s="264">
        <f t="shared" si="3"/>
        <v>0.20999999999999996</v>
      </c>
      <c r="AO14" s="264">
        <f t="shared" si="3"/>
        <v>0.20999999999999996</v>
      </c>
    </row>
    <row r="15" spans="1:42" x14ac:dyDescent="0.25">
      <c r="A15" s="21" t="s">
        <v>661</v>
      </c>
      <c r="B15" s="312"/>
      <c r="C15" s="51">
        <f>Watersheds!B16*C5</f>
        <v>46418.758933199999</v>
      </c>
      <c r="D15" s="51">
        <f>Watersheds!C16*D5</f>
        <v>3842.5345758100002</v>
      </c>
      <c r="E15" s="51">
        <f>Watersheds!D16*E5</f>
        <v>955.69712999599994</v>
      </c>
      <c r="F15" s="51">
        <f>Watersheds!E16*F5</f>
        <v>15145.627656799999</v>
      </c>
      <c r="G15" s="51">
        <f>Watersheds!F16*G5</f>
        <v>18427.890144699999</v>
      </c>
      <c r="H15" s="51">
        <f>Watersheds!G16*H5</f>
        <v>504.17350773300001</v>
      </c>
      <c r="I15" s="51">
        <f>Watersheds!H16*I5</f>
        <v>15916.2242303</v>
      </c>
      <c r="J15" s="51">
        <f>Watersheds!I16*J5</f>
        <v>25668.0957342</v>
      </c>
      <c r="K15" s="51">
        <f>Watersheds!J16*K5</f>
        <v>22988.893876099999</v>
      </c>
      <c r="L15" s="51">
        <f>Watersheds!K16*L5</f>
        <v>164603.083748</v>
      </c>
      <c r="M15" s="51">
        <f>Watersheds!L16*M5</f>
        <v>3702.5742105300001</v>
      </c>
      <c r="N15" s="51">
        <f>Watersheds!M16*N5</f>
        <v>92621.547611300004</v>
      </c>
      <c r="O15" s="51">
        <f>Watersheds!N16*O5</f>
        <v>4876.2073744299996</v>
      </c>
      <c r="P15" s="51">
        <f>Watersheds!O16*P5</f>
        <v>292259.96355500002</v>
      </c>
      <c r="Q15" s="51">
        <f>Watersheds!P16*Q5</f>
        <v>306.11132484400002</v>
      </c>
      <c r="R15" s="51">
        <f>Watersheds!Q16*R5</f>
        <v>81406.907597500001</v>
      </c>
      <c r="S15" s="51">
        <f>Watersheds!R16*S5</f>
        <v>89.702253528200004</v>
      </c>
      <c r="T15" s="51">
        <f>Watersheds!S16*T5</f>
        <v>40616.6732233</v>
      </c>
      <c r="U15" s="51">
        <f>Watersheds!T16*U5</f>
        <v>105.42348853599999</v>
      </c>
      <c r="V15" s="51">
        <f>Watersheds!U16*V5</f>
        <v>44051.667663200002</v>
      </c>
      <c r="W15" s="51">
        <f>Watersheds!V16*W5</f>
        <v>172.65700304500001</v>
      </c>
      <c r="X15" s="51">
        <f>Watersheds!W16*X5</f>
        <v>108785.22915</v>
      </c>
      <c r="Y15" s="51">
        <f>Watersheds!X16*Y5</f>
        <v>16635.0670102</v>
      </c>
      <c r="Z15" s="51">
        <f>Watersheds!Y16*Z5</f>
        <v>827.08452865799995</v>
      </c>
      <c r="AA15" s="51">
        <f>Watersheds!Z16*AA5</f>
        <v>39135.316447099998</v>
      </c>
      <c r="AB15" s="51">
        <f>Watersheds!AA16*AB5</f>
        <v>89598.661550699995</v>
      </c>
      <c r="AC15" s="51">
        <f>Watersheds!AB16*AC5</f>
        <v>144474.97468399999</v>
      </c>
      <c r="AD15" s="51">
        <f>Watersheds!AC16*AD5</f>
        <v>670.11963214599996</v>
      </c>
      <c r="AE15" s="51">
        <f>Watersheds!AD16*AE5</f>
        <v>296.42752501199999</v>
      </c>
      <c r="AF15" s="51">
        <f>Watersheds!AE16*AF5</f>
        <v>1930.2977445700001</v>
      </c>
      <c r="AG15" s="51">
        <f>Watersheds!AF16*AG5</f>
        <v>2036.99808749</v>
      </c>
      <c r="AH15" s="51">
        <f>Watersheds!AG16*AH5</f>
        <v>96.628536245399999</v>
      </c>
      <c r="AI15" s="51">
        <f>Watersheds!AH16*AI5</f>
        <v>42454.277972000004</v>
      </c>
      <c r="AJ15" s="51">
        <f>Watersheds!AI16*AJ5</f>
        <v>5023.9110966899998</v>
      </c>
      <c r="AK15" s="51">
        <f>Watersheds!AJ16*AK5</f>
        <v>152455.18741300001</v>
      </c>
      <c r="AL15" s="51">
        <f>Watersheds!AK16*AL5</f>
        <v>922.04684490099999</v>
      </c>
      <c r="AM15" s="51">
        <f>Watersheds!AL16*AM5</f>
        <v>281541.37570700003</v>
      </c>
      <c r="AN15" s="51">
        <f>Watersheds!AM16*AN5</f>
        <v>4932.1650630000004</v>
      </c>
      <c r="AO15" s="51">
        <f>Watersheds!AN16*AO5</f>
        <v>5748.1894407299997</v>
      </c>
    </row>
    <row r="16" spans="1:42" s="355" customFormat="1" x14ac:dyDescent="0.25">
      <c r="B16" s="359" t="s">
        <v>660</v>
      </c>
      <c r="C16" s="876">
        <v>0.04</v>
      </c>
      <c r="D16" s="876">
        <v>0.04</v>
      </c>
      <c r="E16" s="876">
        <v>0.06</v>
      </c>
      <c r="F16" s="876">
        <v>0.04</v>
      </c>
      <c r="G16" s="876">
        <v>7.0000000000000007E-2</v>
      </c>
      <c r="H16" s="876">
        <v>0.06</v>
      </c>
      <c r="I16" s="876">
        <v>0.04</v>
      </c>
      <c r="J16" s="876">
        <v>7.0000000000000007E-2</v>
      </c>
      <c r="K16" s="876">
        <v>7.0000000000000007E-2</v>
      </c>
      <c r="L16" s="876">
        <v>0.06</v>
      </c>
      <c r="M16" s="876">
        <v>0.06</v>
      </c>
      <c r="N16" s="876">
        <v>0.06</v>
      </c>
      <c r="O16" s="876">
        <v>7.0000000000000007E-2</v>
      </c>
      <c r="P16" s="876">
        <v>0.06</v>
      </c>
      <c r="Q16" s="876">
        <v>0.06</v>
      </c>
      <c r="R16" s="876">
        <v>0.06</v>
      </c>
      <c r="S16" s="876">
        <v>0.06</v>
      </c>
      <c r="T16" s="876">
        <v>0.06</v>
      </c>
      <c r="U16" s="876">
        <v>0.06</v>
      </c>
      <c r="V16" s="876">
        <v>0.06</v>
      </c>
      <c r="W16" s="876">
        <v>7.0000000000000007E-2</v>
      </c>
      <c r="X16" s="876">
        <v>0.06</v>
      </c>
      <c r="Y16" s="876">
        <v>0.06</v>
      </c>
      <c r="Z16" s="876">
        <v>0.06</v>
      </c>
      <c r="AA16" s="876">
        <v>0.05</v>
      </c>
      <c r="AB16" s="876">
        <v>0.06</v>
      </c>
      <c r="AC16" s="876">
        <v>0.04</v>
      </c>
      <c r="AD16" s="876">
        <v>0.06</v>
      </c>
      <c r="AE16" s="876">
        <v>0.05</v>
      </c>
      <c r="AF16" s="876">
        <v>0.05</v>
      </c>
      <c r="AG16" s="876">
        <v>0.05</v>
      </c>
      <c r="AH16" s="876">
        <v>0.06</v>
      </c>
      <c r="AI16" s="876">
        <v>0.05</v>
      </c>
      <c r="AJ16" s="876">
        <v>7.0000000000000007E-2</v>
      </c>
      <c r="AK16" s="876">
        <v>0.06</v>
      </c>
      <c r="AL16" s="876">
        <v>0.06</v>
      </c>
      <c r="AM16" s="876">
        <v>0.06</v>
      </c>
      <c r="AN16" s="876">
        <v>0.05</v>
      </c>
      <c r="AO16" s="876">
        <v>0.05</v>
      </c>
    </row>
    <row r="17" spans="1:41" s="355" customFormat="1" x14ac:dyDescent="0.25">
      <c r="A17" s="361"/>
      <c r="B17" s="359" t="s">
        <v>659</v>
      </c>
      <c r="C17" s="876">
        <v>0.18</v>
      </c>
      <c r="D17" s="876">
        <v>0.18</v>
      </c>
      <c r="E17" s="876">
        <v>0.24</v>
      </c>
      <c r="F17" s="876">
        <v>0.18</v>
      </c>
      <c r="G17" s="876">
        <v>0.31</v>
      </c>
      <c r="H17" s="876">
        <v>0.24</v>
      </c>
      <c r="I17" s="876">
        <v>0.18</v>
      </c>
      <c r="J17" s="876">
        <v>0.31</v>
      </c>
      <c r="K17" s="876">
        <v>0.31</v>
      </c>
      <c r="L17" s="876">
        <v>0.23</v>
      </c>
      <c r="M17" s="876">
        <v>0.24</v>
      </c>
      <c r="N17" s="876">
        <v>0.24</v>
      </c>
      <c r="O17" s="876">
        <v>0.31</v>
      </c>
      <c r="P17" s="876">
        <v>0.23</v>
      </c>
      <c r="Q17" s="876">
        <v>0.24</v>
      </c>
      <c r="R17" s="876">
        <v>0.23</v>
      </c>
      <c r="S17" s="876">
        <v>0.24</v>
      </c>
      <c r="T17" s="876">
        <v>0.24</v>
      </c>
      <c r="U17" s="876">
        <v>0.24</v>
      </c>
      <c r="V17" s="876">
        <v>0.23</v>
      </c>
      <c r="W17" s="876">
        <v>0.31</v>
      </c>
      <c r="X17" s="876">
        <v>0.23</v>
      </c>
      <c r="Y17" s="876">
        <v>0.23</v>
      </c>
      <c r="Z17" s="876">
        <v>0.24</v>
      </c>
      <c r="AA17" s="876">
        <v>0.26</v>
      </c>
      <c r="AB17" s="876">
        <v>0.24</v>
      </c>
      <c r="AC17" s="876">
        <v>0.18</v>
      </c>
      <c r="AD17" s="876">
        <v>0.24</v>
      </c>
      <c r="AE17" s="876">
        <v>0.26</v>
      </c>
      <c r="AF17" s="876">
        <v>0.26</v>
      </c>
      <c r="AG17" s="876">
        <v>0.26</v>
      </c>
      <c r="AH17" s="876">
        <v>0.24</v>
      </c>
      <c r="AI17" s="876">
        <v>0.26</v>
      </c>
      <c r="AJ17" s="876">
        <v>0.31</v>
      </c>
      <c r="AK17" s="876">
        <v>0.23</v>
      </c>
      <c r="AL17" s="876">
        <v>0.24</v>
      </c>
      <c r="AM17" s="876">
        <v>0.23</v>
      </c>
      <c r="AN17" s="876">
        <v>0.26</v>
      </c>
      <c r="AO17" s="876">
        <v>0.26</v>
      </c>
    </row>
    <row r="18" spans="1:41" s="355" customFormat="1" x14ac:dyDescent="0.25">
      <c r="A18" s="361"/>
      <c r="B18" s="359" t="s">
        <v>652</v>
      </c>
      <c r="C18" s="876">
        <v>7.0000000000000007E-2</v>
      </c>
      <c r="D18" s="876">
        <v>7.0000000000000007E-2</v>
      </c>
      <c r="E18" s="876">
        <v>0.18</v>
      </c>
      <c r="F18" s="876">
        <v>7.0000000000000007E-2</v>
      </c>
      <c r="G18" s="876">
        <v>0.03</v>
      </c>
      <c r="H18" s="876">
        <v>0.18</v>
      </c>
      <c r="I18" s="876">
        <v>7.0000000000000007E-2</v>
      </c>
      <c r="J18" s="876">
        <v>0.03</v>
      </c>
      <c r="K18" s="876">
        <v>0.03</v>
      </c>
      <c r="L18" s="876">
        <v>0.28000000000000003</v>
      </c>
      <c r="M18" s="876">
        <v>0.18</v>
      </c>
      <c r="N18" s="876">
        <v>0.18</v>
      </c>
      <c r="O18" s="876">
        <v>0.03</v>
      </c>
      <c r="P18" s="876">
        <v>0.28000000000000003</v>
      </c>
      <c r="Q18" s="876">
        <v>0.18</v>
      </c>
      <c r="R18" s="876">
        <v>0.28000000000000003</v>
      </c>
      <c r="S18" s="876">
        <v>0.18</v>
      </c>
      <c r="T18" s="876">
        <v>0.18</v>
      </c>
      <c r="U18" s="876">
        <v>0.18</v>
      </c>
      <c r="V18" s="876">
        <v>0.28000000000000003</v>
      </c>
      <c r="W18" s="876">
        <v>0.03</v>
      </c>
      <c r="X18" s="876">
        <v>0.28000000000000003</v>
      </c>
      <c r="Y18" s="876">
        <v>0.28000000000000003</v>
      </c>
      <c r="Z18" s="876">
        <v>0.18</v>
      </c>
      <c r="AA18" s="876">
        <v>0.05</v>
      </c>
      <c r="AB18" s="876">
        <v>0.18</v>
      </c>
      <c r="AC18" s="876">
        <v>7.0000000000000007E-2</v>
      </c>
      <c r="AD18" s="876">
        <v>0.18</v>
      </c>
      <c r="AE18" s="876">
        <v>0.05</v>
      </c>
      <c r="AF18" s="876">
        <v>0.05</v>
      </c>
      <c r="AG18" s="876">
        <v>0.05</v>
      </c>
      <c r="AH18" s="876">
        <v>0.18</v>
      </c>
      <c r="AI18" s="876">
        <v>0.05</v>
      </c>
      <c r="AJ18" s="876">
        <v>0.03</v>
      </c>
      <c r="AK18" s="876">
        <v>0.28000000000000003</v>
      </c>
      <c r="AL18" s="876">
        <v>0.18</v>
      </c>
      <c r="AM18" s="876">
        <v>0.28000000000000003</v>
      </c>
      <c r="AN18" s="876">
        <v>0.05</v>
      </c>
      <c r="AO18" s="876">
        <v>0.05</v>
      </c>
    </row>
    <row r="19" spans="1:41" s="355" customFormat="1" x14ac:dyDescent="0.25">
      <c r="A19" s="361"/>
      <c r="B19" s="359" t="s">
        <v>650</v>
      </c>
      <c r="C19" s="264">
        <f t="shared" ref="C19:AO19" si="4">SUM(C16:C18)</f>
        <v>0.29000000000000004</v>
      </c>
      <c r="D19" s="264">
        <f t="shared" si="4"/>
        <v>0.29000000000000004</v>
      </c>
      <c r="E19" s="264">
        <f t="shared" si="4"/>
        <v>0.48</v>
      </c>
      <c r="F19" s="264">
        <f t="shared" si="4"/>
        <v>0.29000000000000004</v>
      </c>
      <c r="G19" s="264">
        <f t="shared" si="4"/>
        <v>0.41000000000000003</v>
      </c>
      <c r="H19" s="264">
        <f t="shared" si="4"/>
        <v>0.48</v>
      </c>
      <c r="I19" s="264">
        <f t="shared" si="4"/>
        <v>0.29000000000000004</v>
      </c>
      <c r="J19" s="264">
        <f t="shared" si="4"/>
        <v>0.41000000000000003</v>
      </c>
      <c r="K19" s="264">
        <f t="shared" si="4"/>
        <v>0.41000000000000003</v>
      </c>
      <c r="L19" s="264">
        <f t="shared" si="4"/>
        <v>0.57000000000000006</v>
      </c>
      <c r="M19" s="264">
        <f t="shared" si="4"/>
        <v>0.48</v>
      </c>
      <c r="N19" s="264">
        <f t="shared" si="4"/>
        <v>0.48</v>
      </c>
      <c r="O19" s="264">
        <f t="shared" si="4"/>
        <v>0.41000000000000003</v>
      </c>
      <c r="P19" s="264">
        <f t="shared" si="4"/>
        <v>0.57000000000000006</v>
      </c>
      <c r="Q19" s="264">
        <f t="shared" si="4"/>
        <v>0.48</v>
      </c>
      <c r="R19" s="264">
        <f t="shared" si="4"/>
        <v>0.57000000000000006</v>
      </c>
      <c r="S19" s="264">
        <f t="shared" si="4"/>
        <v>0.48</v>
      </c>
      <c r="T19" s="264">
        <f t="shared" si="4"/>
        <v>0.48</v>
      </c>
      <c r="U19" s="264">
        <f t="shared" si="4"/>
        <v>0.48</v>
      </c>
      <c r="V19" s="264">
        <f t="shared" si="4"/>
        <v>0.57000000000000006</v>
      </c>
      <c r="W19" s="264">
        <f t="shared" si="4"/>
        <v>0.41000000000000003</v>
      </c>
      <c r="X19" s="264">
        <f t="shared" si="4"/>
        <v>0.57000000000000006</v>
      </c>
      <c r="Y19" s="264">
        <f t="shared" si="4"/>
        <v>0.57000000000000006</v>
      </c>
      <c r="Z19" s="264">
        <f t="shared" si="4"/>
        <v>0.48</v>
      </c>
      <c r="AA19" s="264">
        <f t="shared" si="4"/>
        <v>0.36</v>
      </c>
      <c r="AB19" s="264">
        <f t="shared" si="4"/>
        <v>0.48</v>
      </c>
      <c r="AC19" s="264">
        <f t="shared" si="4"/>
        <v>0.29000000000000004</v>
      </c>
      <c r="AD19" s="264">
        <f t="shared" si="4"/>
        <v>0.48</v>
      </c>
      <c r="AE19" s="264">
        <f t="shared" si="4"/>
        <v>0.36</v>
      </c>
      <c r="AF19" s="264">
        <f t="shared" si="4"/>
        <v>0.36</v>
      </c>
      <c r="AG19" s="264">
        <f t="shared" si="4"/>
        <v>0.36</v>
      </c>
      <c r="AH19" s="264">
        <f t="shared" si="4"/>
        <v>0.48</v>
      </c>
      <c r="AI19" s="264">
        <f t="shared" si="4"/>
        <v>0.36</v>
      </c>
      <c r="AJ19" s="264">
        <f t="shared" si="4"/>
        <v>0.41000000000000003</v>
      </c>
      <c r="AK19" s="264">
        <f t="shared" si="4"/>
        <v>0.57000000000000006</v>
      </c>
      <c r="AL19" s="264">
        <f t="shared" si="4"/>
        <v>0.48</v>
      </c>
      <c r="AM19" s="264">
        <f t="shared" si="4"/>
        <v>0.57000000000000006</v>
      </c>
      <c r="AN19" s="264">
        <f t="shared" si="4"/>
        <v>0.36</v>
      </c>
      <c r="AO19" s="264">
        <f t="shared" si="4"/>
        <v>0.36</v>
      </c>
    </row>
    <row r="20" spans="1:41" s="355" customFormat="1" x14ac:dyDescent="0.25">
      <c r="A20" s="361"/>
      <c r="B20" s="312" t="s">
        <v>1957</v>
      </c>
      <c r="C20" s="264">
        <f t="shared" ref="C20:AO20" si="5">C16/C19</f>
        <v>0.13793103448275862</v>
      </c>
      <c r="D20" s="264">
        <f t="shared" si="5"/>
        <v>0.13793103448275862</v>
      </c>
      <c r="E20" s="264">
        <f t="shared" si="5"/>
        <v>0.125</v>
      </c>
      <c r="F20" s="264">
        <f t="shared" si="5"/>
        <v>0.13793103448275862</v>
      </c>
      <c r="G20" s="264">
        <f t="shared" si="5"/>
        <v>0.17073170731707318</v>
      </c>
      <c r="H20" s="264">
        <f t="shared" si="5"/>
        <v>0.125</v>
      </c>
      <c r="I20" s="264">
        <f t="shared" si="5"/>
        <v>0.13793103448275862</v>
      </c>
      <c r="J20" s="264">
        <f t="shared" si="5"/>
        <v>0.17073170731707318</v>
      </c>
      <c r="K20" s="264">
        <f t="shared" si="5"/>
        <v>0.17073170731707318</v>
      </c>
      <c r="L20" s="264">
        <f t="shared" si="5"/>
        <v>0.10526315789473682</v>
      </c>
      <c r="M20" s="264">
        <f t="shared" si="5"/>
        <v>0.125</v>
      </c>
      <c r="N20" s="264">
        <f t="shared" si="5"/>
        <v>0.125</v>
      </c>
      <c r="O20" s="264">
        <f t="shared" si="5"/>
        <v>0.17073170731707318</v>
      </c>
      <c r="P20" s="264">
        <f t="shared" si="5"/>
        <v>0.10526315789473682</v>
      </c>
      <c r="Q20" s="264">
        <f t="shared" si="5"/>
        <v>0.125</v>
      </c>
      <c r="R20" s="264">
        <f t="shared" si="5"/>
        <v>0.10526315789473682</v>
      </c>
      <c r="S20" s="264">
        <f t="shared" si="5"/>
        <v>0.125</v>
      </c>
      <c r="T20" s="264">
        <f t="shared" si="5"/>
        <v>0.125</v>
      </c>
      <c r="U20" s="264">
        <f t="shared" si="5"/>
        <v>0.125</v>
      </c>
      <c r="V20" s="264">
        <f t="shared" si="5"/>
        <v>0.10526315789473682</v>
      </c>
      <c r="W20" s="264">
        <f t="shared" si="5"/>
        <v>0.17073170731707318</v>
      </c>
      <c r="X20" s="264">
        <f t="shared" si="5"/>
        <v>0.10526315789473682</v>
      </c>
      <c r="Y20" s="264">
        <f t="shared" si="5"/>
        <v>0.10526315789473682</v>
      </c>
      <c r="Z20" s="264">
        <f t="shared" si="5"/>
        <v>0.125</v>
      </c>
      <c r="AA20" s="264">
        <f t="shared" si="5"/>
        <v>0.1388888888888889</v>
      </c>
      <c r="AB20" s="264">
        <f t="shared" si="5"/>
        <v>0.125</v>
      </c>
      <c r="AC20" s="264">
        <f t="shared" si="5"/>
        <v>0.13793103448275862</v>
      </c>
      <c r="AD20" s="264">
        <f t="shared" si="5"/>
        <v>0.125</v>
      </c>
      <c r="AE20" s="264">
        <f t="shared" si="5"/>
        <v>0.1388888888888889</v>
      </c>
      <c r="AF20" s="264">
        <f t="shared" si="5"/>
        <v>0.1388888888888889</v>
      </c>
      <c r="AG20" s="264">
        <f t="shared" si="5"/>
        <v>0.1388888888888889</v>
      </c>
      <c r="AH20" s="264">
        <f t="shared" si="5"/>
        <v>0.125</v>
      </c>
      <c r="AI20" s="264">
        <f t="shared" si="5"/>
        <v>0.1388888888888889</v>
      </c>
      <c r="AJ20" s="264">
        <f t="shared" si="5"/>
        <v>0.17073170731707318</v>
      </c>
      <c r="AK20" s="264">
        <f t="shared" si="5"/>
        <v>0.10526315789473682</v>
      </c>
      <c r="AL20" s="264">
        <f t="shared" si="5"/>
        <v>0.125</v>
      </c>
      <c r="AM20" s="264">
        <f t="shared" si="5"/>
        <v>0.10526315789473682</v>
      </c>
      <c r="AN20" s="264">
        <f t="shared" si="5"/>
        <v>0.1388888888888889</v>
      </c>
      <c r="AO20" s="264">
        <f t="shared" si="5"/>
        <v>0.1388888888888889</v>
      </c>
    </row>
    <row r="21" spans="1:41" s="355" customFormat="1" x14ac:dyDescent="0.25">
      <c r="A21" s="361"/>
      <c r="B21" s="359" t="s">
        <v>658</v>
      </c>
      <c r="C21" s="264">
        <f t="shared" ref="C21:AO21" si="6">C18/C19</f>
        <v>0.24137931034482757</v>
      </c>
      <c r="D21" s="264">
        <f t="shared" si="6"/>
        <v>0.24137931034482757</v>
      </c>
      <c r="E21" s="264">
        <f t="shared" si="6"/>
        <v>0.375</v>
      </c>
      <c r="F21" s="264">
        <f t="shared" si="6"/>
        <v>0.24137931034482757</v>
      </c>
      <c r="G21" s="264">
        <f t="shared" si="6"/>
        <v>7.3170731707317069E-2</v>
      </c>
      <c r="H21" s="264">
        <f t="shared" si="6"/>
        <v>0.375</v>
      </c>
      <c r="I21" s="264">
        <f t="shared" si="6"/>
        <v>0.24137931034482757</v>
      </c>
      <c r="J21" s="264">
        <f t="shared" si="6"/>
        <v>7.3170731707317069E-2</v>
      </c>
      <c r="K21" s="264">
        <f t="shared" si="6"/>
        <v>7.3170731707317069E-2</v>
      </c>
      <c r="L21" s="264">
        <f t="shared" si="6"/>
        <v>0.49122807017543857</v>
      </c>
      <c r="M21" s="264">
        <f t="shared" si="6"/>
        <v>0.375</v>
      </c>
      <c r="N21" s="264">
        <f t="shared" si="6"/>
        <v>0.375</v>
      </c>
      <c r="O21" s="264">
        <f t="shared" si="6"/>
        <v>7.3170731707317069E-2</v>
      </c>
      <c r="P21" s="264">
        <f t="shared" si="6"/>
        <v>0.49122807017543857</v>
      </c>
      <c r="Q21" s="264">
        <f t="shared" si="6"/>
        <v>0.375</v>
      </c>
      <c r="R21" s="264">
        <f t="shared" si="6"/>
        <v>0.49122807017543857</v>
      </c>
      <c r="S21" s="264">
        <f t="shared" si="6"/>
        <v>0.375</v>
      </c>
      <c r="T21" s="264">
        <f t="shared" si="6"/>
        <v>0.375</v>
      </c>
      <c r="U21" s="264">
        <f t="shared" si="6"/>
        <v>0.375</v>
      </c>
      <c r="V21" s="264">
        <f t="shared" si="6"/>
        <v>0.49122807017543857</v>
      </c>
      <c r="W21" s="264">
        <f t="shared" si="6"/>
        <v>7.3170731707317069E-2</v>
      </c>
      <c r="X21" s="264">
        <f t="shared" si="6"/>
        <v>0.49122807017543857</v>
      </c>
      <c r="Y21" s="264">
        <f t="shared" si="6"/>
        <v>0.49122807017543857</v>
      </c>
      <c r="Z21" s="264">
        <f t="shared" si="6"/>
        <v>0.375</v>
      </c>
      <c r="AA21" s="264">
        <f t="shared" si="6"/>
        <v>0.1388888888888889</v>
      </c>
      <c r="AB21" s="264">
        <f t="shared" si="6"/>
        <v>0.375</v>
      </c>
      <c r="AC21" s="264">
        <f t="shared" si="6"/>
        <v>0.24137931034482757</v>
      </c>
      <c r="AD21" s="264">
        <f t="shared" si="6"/>
        <v>0.375</v>
      </c>
      <c r="AE21" s="264">
        <f t="shared" si="6"/>
        <v>0.1388888888888889</v>
      </c>
      <c r="AF21" s="264">
        <f t="shared" si="6"/>
        <v>0.1388888888888889</v>
      </c>
      <c r="AG21" s="264">
        <f t="shared" si="6"/>
        <v>0.1388888888888889</v>
      </c>
      <c r="AH21" s="264">
        <f t="shared" si="6"/>
        <v>0.375</v>
      </c>
      <c r="AI21" s="264">
        <f t="shared" si="6"/>
        <v>0.1388888888888889</v>
      </c>
      <c r="AJ21" s="264">
        <f t="shared" si="6"/>
        <v>7.3170731707317069E-2</v>
      </c>
      <c r="AK21" s="264">
        <f t="shared" si="6"/>
        <v>0.49122807017543857</v>
      </c>
      <c r="AL21" s="264">
        <f t="shared" si="6"/>
        <v>0.375</v>
      </c>
      <c r="AM21" s="264">
        <f t="shared" si="6"/>
        <v>0.49122807017543857</v>
      </c>
      <c r="AN21" s="264">
        <f t="shared" si="6"/>
        <v>0.1388888888888889</v>
      </c>
      <c r="AO21" s="264">
        <f t="shared" si="6"/>
        <v>0.1388888888888889</v>
      </c>
    </row>
    <row r="22" spans="1:41" s="355" customFormat="1" x14ac:dyDescent="0.25">
      <c r="A22" s="361"/>
      <c r="B22" s="349" t="s">
        <v>649</v>
      </c>
      <c r="C22" s="264">
        <f t="shared" ref="C22:AO22" si="7">1-C19</f>
        <v>0.71</v>
      </c>
      <c r="D22" s="264">
        <f t="shared" si="7"/>
        <v>0.71</v>
      </c>
      <c r="E22" s="264">
        <f t="shared" si="7"/>
        <v>0.52</v>
      </c>
      <c r="F22" s="264">
        <f t="shared" si="7"/>
        <v>0.71</v>
      </c>
      <c r="G22" s="264">
        <f t="shared" si="7"/>
        <v>0.59</v>
      </c>
      <c r="H22" s="264">
        <f t="shared" si="7"/>
        <v>0.52</v>
      </c>
      <c r="I22" s="264">
        <f t="shared" si="7"/>
        <v>0.71</v>
      </c>
      <c r="J22" s="264">
        <f t="shared" si="7"/>
        <v>0.59</v>
      </c>
      <c r="K22" s="264">
        <f t="shared" si="7"/>
        <v>0.59</v>
      </c>
      <c r="L22" s="264">
        <f t="shared" si="7"/>
        <v>0.42999999999999994</v>
      </c>
      <c r="M22" s="264">
        <f t="shared" si="7"/>
        <v>0.52</v>
      </c>
      <c r="N22" s="264">
        <f t="shared" si="7"/>
        <v>0.52</v>
      </c>
      <c r="O22" s="264">
        <f t="shared" si="7"/>
        <v>0.59</v>
      </c>
      <c r="P22" s="264">
        <f t="shared" si="7"/>
        <v>0.42999999999999994</v>
      </c>
      <c r="Q22" s="264">
        <f t="shared" si="7"/>
        <v>0.52</v>
      </c>
      <c r="R22" s="264">
        <f t="shared" si="7"/>
        <v>0.42999999999999994</v>
      </c>
      <c r="S22" s="264">
        <f t="shared" si="7"/>
        <v>0.52</v>
      </c>
      <c r="T22" s="264">
        <f t="shared" si="7"/>
        <v>0.52</v>
      </c>
      <c r="U22" s="264">
        <f t="shared" si="7"/>
        <v>0.52</v>
      </c>
      <c r="V22" s="264">
        <f t="shared" si="7"/>
        <v>0.42999999999999994</v>
      </c>
      <c r="W22" s="264">
        <f t="shared" si="7"/>
        <v>0.59</v>
      </c>
      <c r="X22" s="264">
        <f t="shared" si="7"/>
        <v>0.42999999999999994</v>
      </c>
      <c r="Y22" s="264">
        <f t="shared" si="7"/>
        <v>0.42999999999999994</v>
      </c>
      <c r="Z22" s="264">
        <f t="shared" si="7"/>
        <v>0.52</v>
      </c>
      <c r="AA22" s="264">
        <f t="shared" si="7"/>
        <v>0.64</v>
      </c>
      <c r="AB22" s="264">
        <f t="shared" si="7"/>
        <v>0.52</v>
      </c>
      <c r="AC22" s="264">
        <f t="shared" si="7"/>
        <v>0.71</v>
      </c>
      <c r="AD22" s="264">
        <f t="shared" si="7"/>
        <v>0.52</v>
      </c>
      <c r="AE22" s="264">
        <f t="shared" si="7"/>
        <v>0.64</v>
      </c>
      <c r="AF22" s="264">
        <f t="shared" si="7"/>
        <v>0.64</v>
      </c>
      <c r="AG22" s="264">
        <f t="shared" si="7"/>
        <v>0.64</v>
      </c>
      <c r="AH22" s="264">
        <f t="shared" si="7"/>
        <v>0.52</v>
      </c>
      <c r="AI22" s="264">
        <f t="shared" si="7"/>
        <v>0.64</v>
      </c>
      <c r="AJ22" s="264">
        <f t="shared" si="7"/>
        <v>0.59</v>
      </c>
      <c r="AK22" s="264">
        <f t="shared" si="7"/>
        <v>0.42999999999999994</v>
      </c>
      <c r="AL22" s="264">
        <f t="shared" si="7"/>
        <v>0.52</v>
      </c>
      <c r="AM22" s="264">
        <f t="shared" si="7"/>
        <v>0.42999999999999994</v>
      </c>
      <c r="AN22" s="264">
        <f t="shared" si="7"/>
        <v>0.64</v>
      </c>
      <c r="AO22" s="264">
        <f t="shared" si="7"/>
        <v>0.64</v>
      </c>
    </row>
    <row r="23" spans="1:41" s="355" customFormat="1" x14ac:dyDescent="0.25">
      <c r="A23" s="312" t="s">
        <v>645</v>
      </c>
      <c r="B23" s="349"/>
      <c r="C23" s="349"/>
      <c r="D23" s="349"/>
      <c r="E23" s="349"/>
      <c r="F23" s="349"/>
      <c r="G23" s="349"/>
      <c r="H23" s="349"/>
      <c r="I23" s="349"/>
      <c r="J23" s="349"/>
      <c r="K23" s="349"/>
      <c r="L23" s="349"/>
      <c r="M23" s="349"/>
      <c r="N23" s="349"/>
      <c r="O23" s="349"/>
      <c r="P23" s="349"/>
      <c r="Q23" s="349"/>
      <c r="R23" s="349"/>
      <c r="S23" s="349"/>
      <c r="T23" s="349"/>
      <c r="U23" s="349"/>
      <c r="V23" s="349"/>
      <c r="W23" s="349"/>
      <c r="X23" s="349"/>
      <c r="Y23" s="349"/>
      <c r="Z23" s="349"/>
      <c r="AA23" s="349"/>
      <c r="AB23" s="349"/>
      <c r="AC23" s="349"/>
      <c r="AD23" s="349"/>
      <c r="AE23" s="349"/>
      <c r="AF23" s="349"/>
      <c r="AG23" s="349"/>
      <c r="AH23" s="349"/>
      <c r="AI23" s="349"/>
      <c r="AJ23" s="349"/>
      <c r="AK23" s="349"/>
      <c r="AL23" s="349"/>
      <c r="AM23" s="349"/>
      <c r="AN23" s="349"/>
      <c r="AO23" s="349"/>
    </row>
    <row r="24" spans="1:41" s="355" customFormat="1" x14ac:dyDescent="0.25">
      <c r="A24" s="312" t="s">
        <v>646</v>
      </c>
      <c r="B24" s="21"/>
      <c r="D24" s="21"/>
      <c r="E24" s="21"/>
      <c r="F24" s="21"/>
      <c r="G24" s="21"/>
      <c r="H24" s="21"/>
      <c r="I24" s="21"/>
      <c r="J24" s="21"/>
      <c r="K24" s="21"/>
      <c r="L24" s="21"/>
      <c r="M24" s="21"/>
      <c r="N24" s="21"/>
      <c r="O24" s="21"/>
      <c r="P24" s="21"/>
      <c r="Q24" s="21"/>
      <c r="R24" s="21"/>
      <c r="S24" s="21"/>
      <c r="T24" s="21"/>
      <c r="U24" s="21"/>
      <c r="V24" s="21"/>
      <c r="W24" s="21"/>
      <c r="X24" s="21"/>
      <c r="Y24" s="21"/>
      <c r="Z24" s="21"/>
      <c r="AA24" s="21"/>
      <c r="AB24" s="21"/>
      <c r="AC24" s="21"/>
      <c r="AD24" s="21"/>
      <c r="AE24" s="21"/>
      <c r="AF24" s="21"/>
      <c r="AG24" s="21"/>
      <c r="AH24" s="21"/>
      <c r="AI24" s="21"/>
      <c r="AJ24" s="21"/>
      <c r="AK24" s="21"/>
      <c r="AL24" s="21"/>
      <c r="AM24" s="21"/>
      <c r="AN24" s="21"/>
      <c r="AO24" s="21"/>
    </row>
    <row r="25" spans="1:41" s="355" customFormat="1" x14ac:dyDescent="0.25">
      <c r="A25" s="21" t="s">
        <v>134</v>
      </c>
      <c r="B25" s="22">
        <v>0.83</v>
      </c>
      <c r="C25" s="21"/>
      <c r="D25" s="21"/>
      <c r="E25" s="21"/>
      <c r="F25" s="21"/>
      <c r="G25" s="21"/>
      <c r="H25" s="21"/>
      <c r="I25" s="21"/>
      <c r="J25" s="21"/>
      <c r="K25" s="21"/>
      <c r="L25" s="21"/>
      <c r="M25" s="21"/>
      <c r="N25" s="21"/>
      <c r="O25" s="21"/>
      <c r="P25" s="21"/>
      <c r="Q25" s="21"/>
      <c r="R25" s="21"/>
      <c r="S25" s="21"/>
      <c r="T25" s="21"/>
      <c r="U25" s="21"/>
      <c r="V25" s="21"/>
      <c r="W25" s="21"/>
      <c r="X25" s="21"/>
      <c r="Y25" s="21"/>
      <c r="Z25" s="21"/>
      <c r="AA25" s="21"/>
      <c r="AB25" s="21"/>
      <c r="AC25" s="21"/>
      <c r="AD25" s="21"/>
      <c r="AE25" s="21"/>
      <c r="AF25" s="21"/>
      <c r="AG25" s="21"/>
      <c r="AH25" s="21"/>
      <c r="AI25" s="21"/>
      <c r="AJ25" s="21"/>
      <c r="AK25" s="21"/>
      <c r="AL25" s="21"/>
      <c r="AM25" s="21"/>
      <c r="AN25" s="21"/>
      <c r="AO25" s="21"/>
    </row>
    <row r="26" spans="1:41" s="355" customFormat="1" x14ac:dyDescent="0.25">
      <c r="B26" s="21">
        <v>4</v>
      </c>
      <c r="C26" s="21" t="s">
        <v>644</v>
      </c>
      <c r="D26" s="21"/>
      <c r="E26" s="21"/>
      <c r="F26" s="21"/>
      <c r="G26" s="21"/>
      <c r="H26" s="21"/>
      <c r="I26" s="21"/>
      <c r="J26" s="21"/>
      <c r="K26" s="21"/>
      <c r="L26" s="21"/>
      <c r="M26" s="21"/>
      <c r="N26" s="21"/>
      <c r="O26" s="21"/>
      <c r="P26" s="21"/>
      <c r="Q26" s="21"/>
      <c r="R26" s="21"/>
      <c r="S26" s="21"/>
      <c r="T26" s="21"/>
      <c r="U26" s="21"/>
      <c r="V26" s="21"/>
      <c r="W26" s="21"/>
      <c r="X26" s="21"/>
      <c r="Y26" s="21"/>
      <c r="Z26" s="21"/>
      <c r="AA26" s="21"/>
      <c r="AB26" s="21"/>
      <c r="AC26" s="21"/>
      <c r="AD26" s="21"/>
      <c r="AE26" s="21"/>
      <c r="AF26" s="21"/>
      <c r="AG26" s="21"/>
      <c r="AH26" s="21"/>
      <c r="AI26" s="21"/>
      <c r="AJ26" s="21"/>
      <c r="AK26" s="21"/>
      <c r="AL26" s="21"/>
      <c r="AM26" s="21"/>
      <c r="AN26" s="21"/>
      <c r="AO26" s="21"/>
    </row>
    <row r="27" spans="1:41" s="355" customFormat="1" x14ac:dyDescent="0.25">
      <c r="A27" s="21"/>
      <c r="B27" s="21">
        <v>2</v>
      </c>
      <c r="C27" s="345">
        <f>C8*$B$25*$B$26</f>
        <v>6.6400000000000001E-2</v>
      </c>
      <c r="D27" s="345">
        <f t="shared" ref="D27:AO27" si="8">D8*$B$25*$B$26</f>
        <v>6.6400000000000001E-2</v>
      </c>
      <c r="E27" s="345">
        <f t="shared" si="8"/>
        <v>0.16600000000000001</v>
      </c>
      <c r="F27" s="345">
        <f t="shared" si="8"/>
        <v>6.6400000000000001E-2</v>
      </c>
      <c r="G27" s="345">
        <f t="shared" si="8"/>
        <v>0.89639999999999997</v>
      </c>
      <c r="H27" s="345">
        <f t="shared" si="8"/>
        <v>0.46480000000000005</v>
      </c>
      <c r="I27" s="345">
        <f t="shared" si="8"/>
        <v>6.6400000000000001E-2</v>
      </c>
      <c r="J27" s="345">
        <f t="shared" si="8"/>
        <v>0.89639999999999997</v>
      </c>
      <c r="K27" s="345">
        <f t="shared" si="8"/>
        <v>0.89639999999999997</v>
      </c>
      <c r="L27" s="345">
        <f t="shared" si="8"/>
        <v>0.46480000000000005</v>
      </c>
      <c r="M27" s="345">
        <f t="shared" si="8"/>
        <v>0.46480000000000005</v>
      </c>
      <c r="N27" s="345">
        <f t="shared" si="8"/>
        <v>0.46480000000000005</v>
      </c>
      <c r="O27" s="345">
        <f t="shared" si="8"/>
        <v>0.89639999999999997</v>
      </c>
      <c r="P27" s="345">
        <f t="shared" si="8"/>
        <v>0.46480000000000005</v>
      </c>
      <c r="Q27" s="345">
        <f t="shared" si="8"/>
        <v>0.16600000000000001</v>
      </c>
      <c r="R27" s="345">
        <f t="shared" si="8"/>
        <v>0.46480000000000005</v>
      </c>
      <c r="S27" s="345">
        <f t="shared" si="8"/>
        <v>0.46480000000000005</v>
      </c>
      <c r="T27" s="345">
        <f t="shared" si="8"/>
        <v>0.46480000000000005</v>
      </c>
      <c r="U27" s="345">
        <f t="shared" si="8"/>
        <v>0.46480000000000005</v>
      </c>
      <c r="V27" s="345">
        <f t="shared" si="8"/>
        <v>0.46480000000000005</v>
      </c>
      <c r="W27" s="345">
        <f t="shared" si="8"/>
        <v>0.89639999999999997</v>
      </c>
      <c r="X27" s="345">
        <f t="shared" si="8"/>
        <v>0.46480000000000005</v>
      </c>
      <c r="Y27" s="345">
        <f t="shared" si="8"/>
        <v>0.46480000000000005</v>
      </c>
      <c r="Z27" s="345">
        <f t="shared" si="8"/>
        <v>0.16600000000000001</v>
      </c>
      <c r="AA27" s="345">
        <f t="shared" si="8"/>
        <v>0.83</v>
      </c>
      <c r="AB27" s="345">
        <f t="shared" si="8"/>
        <v>0.46480000000000005</v>
      </c>
      <c r="AC27" s="345">
        <f t="shared" si="8"/>
        <v>6.6400000000000001E-2</v>
      </c>
      <c r="AD27" s="345">
        <f t="shared" si="8"/>
        <v>0.46480000000000005</v>
      </c>
      <c r="AE27" s="345">
        <f t="shared" si="8"/>
        <v>0.83</v>
      </c>
      <c r="AF27" s="345">
        <f t="shared" si="8"/>
        <v>0.83</v>
      </c>
      <c r="AG27" s="345">
        <f t="shared" si="8"/>
        <v>0.83</v>
      </c>
      <c r="AH27" s="345">
        <f t="shared" si="8"/>
        <v>0.16600000000000001</v>
      </c>
      <c r="AI27" s="345">
        <f t="shared" si="8"/>
        <v>0.83</v>
      </c>
      <c r="AJ27" s="345">
        <f t="shared" si="8"/>
        <v>0.89639999999999997</v>
      </c>
      <c r="AK27" s="345">
        <f t="shared" si="8"/>
        <v>0.46480000000000005</v>
      </c>
      <c r="AL27" s="345">
        <f t="shared" si="8"/>
        <v>0.16600000000000001</v>
      </c>
      <c r="AM27" s="345">
        <f t="shared" si="8"/>
        <v>0.46480000000000005</v>
      </c>
      <c r="AN27" s="345">
        <f t="shared" si="8"/>
        <v>0.83</v>
      </c>
      <c r="AO27" s="345">
        <f t="shared" si="8"/>
        <v>0.83</v>
      </c>
    </row>
    <row r="28" spans="1:41" s="355" customFormat="1" x14ac:dyDescent="0.25">
      <c r="A28" s="21"/>
      <c r="B28" s="21">
        <v>1</v>
      </c>
      <c r="C28" s="345">
        <f>C9*$B$25*$B$27</f>
        <v>0.23240000000000002</v>
      </c>
      <c r="D28" s="345">
        <f t="shared" ref="D28:AO28" si="9">D9*$B$25*$B$27</f>
        <v>0.23240000000000002</v>
      </c>
      <c r="E28" s="345">
        <f t="shared" si="9"/>
        <v>0.39839999999999998</v>
      </c>
      <c r="F28" s="345">
        <f t="shared" si="9"/>
        <v>0.23240000000000002</v>
      </c>
      <c r="G28" s="345">
        <f t="shared" si="9"/>
        <v>0.38179999999999997</v>
      </c>
      <c r="H28" s="345">
        <f t="shared" si="9"/>
        <v>0.36519999999999997</v>
      </c>
      <c r="I28" s="345">
        <f t="shared" si="9"/>
        <v>0.23240000000000002</v>
      </c>
      <c r="J28" s="345">
        <f t="shared" si="9"/>
        <v>0.38179999999999997</v>
      </c>
      <c r="K28" s="345">
        <f t="shared" si="9"/>
        <v>0.38179999999999997</v>
      </c>
      <c r="L28" s="345">
        <f t="shared" si="9"/>
        <v>0.73039999999999994</v>
      </c>
      <c r="M28" s="345">
        <f t="shared" si="9"/>
        <v>0.36519999999999997</v>
      </c>
      <c r="N28" s="345">
        <f t="shared" si="9"/>
        <v>0.36519999999999997</v>
      </c>
      <c r="O28" s="345">
        <f t="shared" si="9"/>
        <v>0.38179999999999997</v>
      </c>
      <c r="P28" s="345">
        <f t="shared" si="9"/>
        <v>0.73039999999999994</v>
      </c>
      <c r="Q28" s="345">
        <f t="shared" si="9"/>
        <v>0.39839999999999998</v>
      </c>
      <c r="R28" s="345">
        <f t="shared" si="9"/>
        <v>0.73039999999999994</v>
      </c>
      <c r="S28" s="345">
        <f t="shared" si="9"/>
        <v>0.36519999999999997</v>
      </c>
      <c r="T28" s="345">
        <f t="shared" si="9"/>
        <v>0.36519999999999997</v>
      </c>
      <c r="U28" s="345">
        <f t="shared" si="9"/>
        <v>0.36519999999999997</v>
      </c>
      <c r="V28" s="345">
        <f t="shared" si="9"/>
        <v>0.73039999999999994</v>
      </c>
      <c r="W28" s="345">
        <f t="shared" si="9"/>
        <v>0.38179999999999997</v>
      </c>
      <c r="X28" s="345">
        <f t="shared" si="9"/>
        <v>0.73039999999999994</v>
      </c>
      <c r="Y28" s="345">
        <f t="shared" si="9"/>
        <v>0.73039999999999994</v>
      </c>
      <c r="Z28" s="345">
        <f t="shared" si="9"/>
        <v>0.39839999999999998</v>
      </c>
      <c r="AA28" s="345">
        <f t="shared" si="9"/>
        <v>0.33200000000000002</v>
      </c>
      <c r="AB28" s="345">
        <f t="shared" si="9"/>
        <v>0.36519999999999997</v>
      </c>
      <c r="AC28" s="345">
        <f t="shared" si="9"/>
        <v>0.23240000000000002</v>
      </c>
      <c r="AD28" s="345">
        <f t="shared" si="9"/>
        <v>0.36519999999999997</v>
      </c>
      <c r="AE28" s="345">
        <f t="shared" si="9"/>
        <v>0.33200000000000002</v>
      </c>
      <c r="AF28" s="345">
        <f t="shared" si="9"/>
        <v>0.33200000000000002</v>
      </c>
      <c r="AG28" s="345">
        <f t="shared" si="9"/>
        <v>0.33200000000000002</v>
      </c>
      <c r="AH28" s="345">
        <f t="shared" si="9"/>
        <v>0.39839999999999998</v>
      </c>
      <c r="AI28" s="345">
        <f t="shared" si="9"/>
        <v>0.33200000000000002</v>
      </c>
      <c r="AJ28" s="345">
        <f t="shared" si="9"/>
        <v>0.38179999999999997</v>
      </c>
      <c r="AK28" s="345">
        <f t="shared" si="9"/>
        <v>0.73039999999999994</v>
      </c>
      <c r="AL28" s="345">
        <f t="shared" si="9"/>
        <v>0.39839999999999998</v>
      </c>
      <c r="AM28" s="345">
        <f t="shared" si="9"/>
        <v>0.73039999999999994</v>
      </c>
      <c r="AN28" s="345">
        <f t="shared" si="9"/>
        <v>0.33200000000000002</v>
      </c>
      <c r="AO28" s="345">
        <f t="shared" si="9"/>
        <v>0.33200000000000002</v>
      </c>
    </row>
    <row r="29" spans="1:41" s="355" customFormat="1" x14ac:dyDescent="0.25">
      <c r="A29" s="146"/>
      <c r="B29" s="21">
        <v>0</v>
      </c>
      <c r="C29" s="345">
        <f>C10*$B$25</f>
        <v>0.24069999999999997</v>
      </c>
      <c r="D29" s="345">
        <f t="shared" ref="D29:AO29" si="10">D10*$B$25</f>
        <v>0.24069999999999997</v>
      </c>
      <c r="E29" s="345">
        <f t="shared" si="10"/>
        <v>0.33200000000000002</v>
      </c>
      <c r="F29" s="345">
        <f t="shared" si="10"/>
        <v>0.24069999999999997</v>
      </c>
      <c r="G29" s="345">
        <f t="shared" si="10"/>
        <v>0.1079</v>
      </c>
      <c r="H29" s="345">
        <f t="shared" si="10"/>
        <v>0.2656</v>
      </c>
      <c r="I29" s="345">
        <f t="shared" si="10"/>
        <v>0.24069999999999997</v>
      </c>
      <c r="J29" s="345">
        <f t="shared" si="10"/>
        <v>0.1079</v>
      </c>
      <c r="K29" s="345">
        <f t="shared" si="10"/>
        <v>0.1079</v>
      </c>
      <c r="L29" s="345">
        <f t="shared" si="10"/>
        <v>0.24069999999999997</v>
      </c>
      <c r="M29" s="345">
        <f t="shared" si="10"/>
        <v>0.2656</v>
      </c>
      <c r="N29" s="345">
        <f t="shared" si="10"/>
        <v>0.2656</v>
      </c>
      <c r="O29" s="345">
        <f t="shared" si="10"/>
        <v>0.1079</v>
      </c>
      <c r="P29" s="345">
        <f t="shared" si="10"/>
        <v>0.24069999999999997</v>
      </c>
      <c r="Q29" s="345">
        <f t="shared" si="10"/>
        <v>0.33200000000000002</v>
      </c>
      <c r="R29" s="345">
        <f t="shared" si="10"/>
        <v>0.24069999999999997</v>
      </c>
      <c r="S29" s="345">
        <f t="shared" si="10"/>
        <v>0.2656</v>
      </c>
      <c r="T29" s="345">
        <f t="shared" si="10"/>
        <v>0.2656</v>
      </c>
      <c r="U29" s="345">
        <f t="shared" si="10"/>
        <v>0.2656</v>
      </c>
      <c r="V29" s="345">
        <f t="shared" si="10"/>
        <v>0.24069999999999997</v>
      </c>
      <c r="W29" s="345">
        <f t="shared" si="10"/>
        <v>0.1079</v>
      </c>
      <c r="X29" s="345">
        <f t="shared" si="10"/>
        <v>0.24069999999999997</v>
      </c>
      <c r="Y29" s="345">
        <f t="shared" si="10"/>
        <v>0.24069999999999997</v>
      </c>
      <c r="Z29" s="345">
        <f t="shared" si="10"/>
        <v>0.33200000000000002</v>
      </c>
      <c r="AA29" s="345">
        <f t="shared" si="10"/>
        <v>0.28220000000000001</v>
      </c>
      <c r="AB29" s="345">
        <f t="shared" si="10"/>
        <v>0.2656</v>
      </c>
      <c r="AC29" s="345">
        <f t="shared" si="10"/>
        <v>0.24069999999999997</v>
      </c>
      <c r="AD29" s="345">
        <f t="shared" si="10"/>
        <v>0.2656</v>
      </c>
      <c r="AE29" s="345">
        <f t="shared" si="10"/>
        <v>0.28220000000000001</v>
      </c>
      <c r="AF29" s="345">
        <f t="shared" si="10"/>
        <v>0.28220000000000001</v>
      </c>
      <c r="AG29" s="345">
        <f t="shared" si="10"/>
        <v>0.28220000000000001</v>
      </c>
      <c r="AH29" s="345">
        <f t="shared" si="10"/>
        <v>0.33200000000000002</v>
      </c>
      <c r="AI29" s="345">
        <f t="shared" si="10"/>
        <v>0.28220000000000001</v>
      </c>
      <c r="AJ29" s="345">
        <f t="shared" si="10"/>
        <v>0.1079</v>
      </c>
      <c r="AK29" s="345">
        <f t="shared" si="10"/>
        <v>0.24069999999999997</v>
      </c>
      <c r="AL29" s="345">
        <f t="shared" si="10"/>
        <v>0.33200000000000002</v>
      </c>
      <c r="AM29" s="345">
        <f t="shared" si="10"/>
        <v>0.24069999999999997</v>
      </c>
      <c r="AN29" s="345">
        <f t="shared" si="10"/>
        <v>0.28220000000000001</v>
      </c>
      <c r="AO29" s="345">
        <f t="shared" si="10"/>
        <v>0.28220000000000001</v>
      </c>
    </row>
    <row r="30" spans="1:41" s="355" customFormat="1" x14ac:dyDescent="0.25">
      <c r="A30" s="21" t="s">
        <v>186</v>
      </c>
      <c r="B30" s="22">
        <v>0.17</v>
      </c>
      <c r="C30" s="21"/>
      <c r="D30" s="21"/>
      <c r="E30" s="21"/>
      <c r="F30" s="21"/>
      <c r="G30" s="21"/>
      <c r="H30" s="21"/>
      <c r="I30" s="21"/>
      <c r="J30" s="21"/>
      <c r="K30" s="21"/>
      <c r="L30" s="21"/>
      <c r="M30" s="21"/>
      <c r="N30" s="21"/>
      <c r="O30" s="21"/>
      <c r="P30" s="21"/>
      <c r="Q30" s="21"/>
      <c r="R30" s="21"/>
      <c r="S30" s="21"/>
      <c r="T30" s="21"/>
      <c r="U30" s="21"/>
      <c r="V30" s="21"/>
      <c r="W30" s="21"/>
      <c r="X30" s="21"/>
      <c r="Y30" s="21"/>
      <c r="Z30" s="21"/>
      <c r="AA30" s="21"/>
      <c r="AB30" s="21"/>
      <c r="AC30" s="21"/>
      <c r="AD30" s="21"/>
      <c r="AE30" s="21"/>
      <c r="AF30" s="21"/>
      <c r="AG30" s="21"/>
      <c r="AH30" s="21"/>
      <c r="AI30" s="21"/>
      <c r="AJ30" s="21"/>
      <c r="AK30" s="21"/>
      <c r="AL30" s="21"/>
      <c r="AM30" s="21"/>
      <c r="AN30" s="21"/>
      <c r="AO30" s="21"/>
    </row>
    <row r="31" spans="1:41" s="355" customFormat="1" x14ac:dyDescent="0.25">
      <c r="B31" s="21">
        <v>4</v>
      </c>
      <c r="C31" s="57">
        <v>0</v>
      </c>
      <c r="D31" s="57">
        <v>0</v>
      </c>
      <c r="E31" s="57">
        <v>0</v>
      </c>
      <c r="F31" s="57">
        <v>0</v>
      </c>
      <c r="G31" s="57">
        <v>0</v>
      </c>
      <c r="H31" s="57">
        <v>0</v>
      </c>
      <c r="I31" s="57">
        <v>0</v>
      </c>
      <c r="J31" s="57">
        <v>0</v>
      </c>
      <c r="K31" s="57">
        <v>0</v>
      </c>
      <c r="L31" s="57">
        <v>0</v>
      </c>
      <c r="M31" s="57">
        <v>0</v>
      </c>
      <c r="N31" s="57">
        <v>0</v>
      </c>
      <c r="O31" s="57">
        <v>0</v>
      </c>
      <c r="P31" s="57">
        <v>0</v>
      </c>
      <c r="Q31" s="57">
        <v>0</v>
      </c>
      <c r="R31" s="57">
        <v>0</v>
      </c>
      <c r="S31" s="57">
        <v>0</v>
      </c>
      <c r="T31" s="57">
        <v>0</v>
      </c>
      <c r="U31" s="57">
        <v>0</v>
      </c>
      <c r="V31" s="57">
        <v>0</v>
      </c>
      <c r="W31" s="57">
        <v>0</v>
      </c>
      <c r="X31" s="57">
        <v>0</v>
      </c>
      <c r="Y31" s="57">
        <v>0</v>
      </c>
      <c r="Z31" s="57">
        <v>0</v>
      </c>
      <c r="AA31" s="57">
        <v>0</v>
      </c>
      <c r="AB31" s="57">
        <v>0</v>
      </c>
      <c r="AC31" s="57">
        <v>0</v>
      </c>
      <c r="AD31" s="57">
        <v>0</v>
      </c>
      <c r="AE31" s="57">
        <v>0</v>
      </c>
      <c r="AF31" s="57">
        <v>0</v>
      </c>
      <c r="AG31" s="57">
        <v>0</v>
      </c>
      <c r="AH31" s="57">
        <v>0</v>
      </c>
      <c r="AI31" s="57">
        <v>0</v>
      </c>
      <c r="AJ31" s="57">
        <v>0</v>
      </c>
      <c r="AK31" s="57">
        <v>0</v>
      </c>
      <c r="AL31" s="57">
        <v>0</v>
      </c>
      <c r="AM31" s="57">
        <v>0</v>
      </c>
      <c r="AN31" s="57">
        <v>0</v>
      </c>
      <c r="AO31" s="57">
        <v>0</v>
      </c>
    </row>
    <row r="32" spans="1:41" s="355" customFormat="1" x14ac:dyDescent="0.25">
      <c r="A32" s="21"/>
      <c r="B32" s="21">
        <v>2</v>
      </c>
      <c r="C32" s="345">
        <f>C16*$B$30*$B$31</f>
        <v>2.7200000000000002E-2</v>
      </c>
      <c r="D32" s="345">
        <f t="shared" ref="D32:AO32" si="11">D16*$B$30*$B$31</f>
        <v>2.7200000000000002E-2</v>
      </c>
      <c r="E32" s="345">
        <f t="shared" si="11"/>
        <v>4.0800000000000003E-2</v>
      </c>
      <c r="F32" s="345">
        <f t="shared" si="11"/>
        <v>2.7200000000000002E-2</v>
      </c>
      <c r="G32" s="345">
        <f t="shared" si="11"/>
        <v>4.760000000000001E-2</v>
      </c>
      <c r="H32" s="345">
        <f t="shared" si="11"/>
        <v>4.0800000000000003E-2</v>
      </c>
      <c r="I32" s="345">
        <f t="shared" si="11"/>
        <v>2.7200000000000002E-2</v>
      </c>
      <c r="J32" s="345">
        <f t="shared" si="11"/>
        <v>4.760000000000001E-2</v>
      </c>
      <c r="K32" s="345">
        <f t="shared" si="11"/>
        <v>4.760000000000001E-2</v>
      </c>
      <c r="L32" s="345">
        <f t="shared" si="11"/>
        <v>4.0800000000000003E-2</v>
      </c>
      <c r="M32" s="345">
        <f t="shared" si="11"/>
        <v>4.0800000000000003E-2</v>
      </c>
      <c r="N32" s="345">
        <f t="shared" si="11"/>
        <v>4.0800000000000003E-2</v>
      </c>
      <c r="O32" s="345">
        <f t="shared" si="11"/>
        <v>4.760000000000001E-2</v>
      </c>
      <c r="P32" s="345">
        <f t="shared" si="11"/>
        <v>4.0800000000000003E-2</v>
      </c>
      <c r="Q32" s="345">
        <f t="shared" si="11"/>
        <v>4.0800000000000003E-2</v>
      </c>
      <c r="R32" s="345">
        <f t="shared" si="11"/>
        <v>4.0800000000000003E-2</v>
      </c>
      <c r="S32" s="345">
        <f t="shared" si="11"/>
        <v>4.0800000000000003E-2</v>
      </c>
      <c r="T32" s="345">
        <f t="shared" si="11"/>
        <v>4.0800000000000003E-2</v>
      </c>
      <c r="U32" s="345">
        <f t="shared" si="11"/>
        <v>4.0800000000000003E-2</v>
      </c>
      <c r="V32" s="345">
        <f t="shared" si="11"/>
        <v>4.0800000000000003E-2</v>
      </c>
      <c r="W32" s="345">
        <f t="shared" si="11"/>
        <v>4.760000000000001E-2</v>
      </c>
      <c r="X32" s="345">
        <f t="shared" si="11"/>
        <v>4.0800000000000003E-2</v>
      </c>
      <c r="Y32" s="345">
        <f t="shared" si="11"/>
        <v>4.0800000000000003E-2</v>
      </c>
      <c r="Z32" s="345">
        <f t="shared" si="11"/>
        <v>4.0800000000000003E-2</v>
      </c>
      <c r="AA32" s="345">
        <f t="shared" si="11"/>
        <v>3.4000000000000002E-2</v>
      </c>
      <c r="AB32" s="345">
        <f t="shared" si="11"/>
        <v>4.0800000000000003E-2</v>
      </c>
      <c r="AC32" s="345">
        <f t="shared" si="11"/>
        <v>2.7200000000000002E-2</v>
      </c>
      <c r="AD32" s="345">
        <f t="shared" si="11"/>
        <v>4.0800000000000003E-2</v>
      </c>
      <c r="AE32" s="345">
        <f t="shared" si="11"/>
        <v>3.4000000000000002E-2</v>
      </c>
      <c r="AF32" s="345">
        <f t="shared" si="11"/>
        <v>3.4000000000000002E-2</v>
      </c>
      <c r="AG32" s="345">
        <f t="shared" si="11"/>
        <v>3.4000000000000002E-2</v>
      </c>
      <c r="AH32" s="345">
        <f t="shared" si="11"/>
        <v>4.0800000000000003E-2</v>
      </c>
      <c r="AI32" s="345">
        <f t="shared" si="11"/>
        <v>3.4000000000000002E-2</v>
      </c>
      <c r="AJ32" s="345">
        <f t="shared" si="11"/>
        <v>4.760000000000001E-2</v>
      </c>
      <c r="AK32" s="345">
        <f t="shared" si="11"/>
        <v>4.0800000000000003E-2</v>
      </c>
      <c r="AL32" s="345">
        <f t="shared" si="11"/>
        <v>4.0800000000000003E-2</v>
      </c>
      <c r="AM32" s="345">
        <f t="shared" si="11"/>
        <v>4.0800000000000003E-2</v>
      </c>
      <c r="AN32" s="345">
        <f t="shared" si="11"/>
        <v>3.4000000000000002E-2</v>
      </c>
      <c r="AO32" s="345">
        <f t="shared" si="11"/>
        <v>3.4000000000000002E-2</v>
      </c>
    </row>
    <row r="33" spans="1:41" s="355" customFormat="1" x14ac:dyDescent="0.25">
      <c r="A33" s="21"/>
      <c r="B33" s="21">
        <v>1</v>
      </c>
      <c r="C33" s="345">
        <f>C17*$B$30*$B$32</f>
        <v>6.1200000000000004E-2</v>
      </c>
      <c r="D33" s="345">
        <f t="shared" ref="D33:AO33" si="12">D17*$B$30*$B$32</f>
        <v>6.1200000000000004E-2</v>
      </c>
      <c r="E33" s="345">
        <f t="shared" si="12"/>
        <v>8.1600000000000006E-2</v>
      </c>
      <c r="F33" s="345">
        <f t="shared" si="12"/>
        <v>6.1200000000000004E-2</v>
      </c>
      <c r="G33" s="345">
        <f t="shared" si="12"/>
        <v>0.10540000000000001</v>
      </c>
      <c r="H33" s="345">
        <f t="shared" si="12"/>
        <v>8.1600000000000006E-2</v>
      </c>
      <c r="I33" s="345">
        <f t="shared" si="12"/>
        <v>6.1200000000000004E-2</v>
      </c>
      <c r="J33" s="345">
        <f t="shared" si="12"/>
        <v>0.10540000000000001</v>
      </c>
      <c r="K33" s="345">
        <f t="shared" si="12"/>
        <v>0.10540000000000001</v>
      </c>
      <c r="L33" s="345">
        <f t="shared" si="12"/>
        <v>7.8200000000000006E-2</v>
      </c>
      <c r="M33" s="345">
        <f t="shared" si="12"/>
        <v>8.1600000000000006E-2</v>
      </c>
      <c r="N33" s="345">
        <f t="shared" si="12"/>
        <v>8.1600000000000006E-2</v>
      </c>
      <c r="O33" s="345">
        <f t="shared" si="12"/>
        <v>0.10540000000000001</v>
      </c>
      <c r="P33" s="345">
        <f t="shared" si="12"/>
        <v>7.8200000000000006E-2</v>
      </c>
      <c r="Q33" s="345">
        <f t="shared" si="12"/>
        <v>8.1600000000000006E-2</v>
      </c>
      <c r="R33" s="345">
        <f t="shared" si="12"/>
        <v>7.8200000000000006E-2</v>
      </c>
      <c r="S33" s="345">
        <f t="shared" si="12"/>
        <v>8.1600000000000006E-2</v>
      </c>
      <c r="T33" s="345">
        <f t="shared" si="12"/>
        <v>8.1600000000000006E-2</v>
      </c>
      <c r="U33" s="345">
        <f t="shared" si="12"/>
        <v>8.1600000000000006E-2</v>
      </c>
      <c r="V33" s="345">
        <f t="shared" si="12"/>
        <v>7.8200000000000006E-2</v>
      </c>
      <c r="W33" s="345">
        <f t="shared" si="12"/>
        <v>0.10540000000000001</v>
      </c>
      <c r="X33" s="345">
        <f t="shared" si="12"/>
        <v>7.8200000000000006E-2</v>
      </c>
      <c r="Y33" s="345">
        <f t="shared" si="12"/>
        <v>7.8200000000000006E-2</v>
      </c>
      <c r="Z33" s="345">
        <f t="shared" si="12"/>
        <v>8.1600000000000006E-2</v>
      </c>
      <c r="AA33" s="345">
        <f t="shared" si="12"/>
        <v>8.8400000000000006E-2</v>
      </c>
      <c r="AB33" s="345">
        <f t="shared" si="12"/>
        <v>8.1600000000000006E-2</v>
      </c>
      <c r="AC33" s="345">
        <f t="shared" si="12"/>
        <v>6.1200000000000004E-2</v>
      </c>
      <c r="AD33" s="345">
        <f t="shared" si="12"/>
        <v>8.1600000000000006E-2</v>
      </c>
      <c r="AE33" s="345">
        <f t="shared" si="12"/>
        <v>8.8400000000000006E-2</v>
      </c>
      <c r="AF33" s="345">
        <f t="shared" si="12"/>
        <v>8.8400000000000006E-2</v>
      </c>
      <c r="AG33" s="345">
        <f t="shared" si="12"/>
        <v>8.8400000000000006E-2</v>
      </c>
      <c r="AH33" s="345">
        <f t="shared" si="12"/>
        <v>8.1600000000000006E-2</v>
      </c>
      <c r="AI33" s="345">
        <f t="shared" si="12"/>
        <v>8.8400000000000006E-2</v>
      </c>
      <c r="AJ33" s="345">
        <f t="shared" si="12"/>
        <v>0.10540000000000001</v>
      </c>
      <c r="AK33" s="345">
        <f t="shared" si="12"/>
        <v>7.8200000000000006E-2</v>
      </c>
      <c r="AL33" s="345">
        <f t="shared" si="12"/>
        <v>8.1600000000000006E-2</v>
      </c>
      <c r="AM33" s="345">
        <f t="shared" si="12"/>
        <v>7.8200000000000006E-2</v>
      </c>
      <c r="AN33" s="345">
        <f t="shared" si="12"/>
        <v>8.8400000000000006E-2</v>
      </c>
      <c r="AO33" s="345">
        <f t="shared" si="12"/>
        <v>8.8400000000000006E-2</v>
      </c>
    </row>
    <row r="34" spans="1:41" s="355" customFormat="1" x14ac:dyDescent="0.25">
      <c r="A34" s="146"/>
      <c r="B34" s="21">
        <v>0</v>
      </c>
      <c r="C34" s="345">
        <f>C18*$B$30</f>
        <v>1.1900000000000003E-2</v>
      </c>
      <c r="D34" s="345">
        <f t="shared" ref="D34:AO34" si="13">D18*$B$30</f>
        <v>1.1900000000000003E-2</v>
      </c>
      <c r="E34" s="345">
        <f t="shared" si="13"/>
        <v>3.0600000000000002E-2</v>
      </c>
      <c r="F34" s="345">
        <f t="shared" si="13"/>
        <v>1.1900000000000003E-2</v>
      </c>
      <c r="G34" s="345">
        <f t="shared" si="13"/>
        <v>5.1000000000000004E-3</v>
      </c>
      <c r="H34" s="345">
        <f t="shared" si="13"/>
        <v>3.0600000000000002E-2</v>
      </c>
      <c r="I34" s="345">
        <f t="shared" si="13"/>
        <v>1.1900000000000003E-2</v>
      </c>
      <c r="J34" s="345">
        <f t="shared" si="13"/>
        <v>5.1000000000000004E-3</v>
      </c>
      <c r="K34" s="345">
        <f t="shared" si="13"/>
        <v>5.1000000000000004E-3</v>
      </c>
      <c r="L34" s="345">
        <f t="shared" si="13"/>
        <v>4.760000000000001E-2</v>
      </c>
      <c r="M34" s="345">
        <f t="shared" si="13"/>
        <v>3.0600000000000002E-2</v>
      </c>
      <c r="N34" s="345">
        <f t="shared" si="13"/>
        <v>3.0600000000000002E-2</v>
      </c>
      <c r="O34" s="345">
        <f t="shared" si="13"/>
        <v>5.1000000000000004E-3</v>
      </c>
      <c r="P34" s="345">
        <f t="shared" si="13"/>
        <v>4.760000000000001E-2</v>
      </c>
      <c r="Q34" s="345">
        <f t="shared" si="13"/>
        <v>3.0600000000000002E-2</v>
      </c>
      <c r="R34" s="345">
        <f t="shared" si="13"/>
        <v>4.760000000000001E-2</v>
      </c>
      <c r="S34" s="345">
        <f t="shared" si="13"/>
        <v>3.0600000000000002E-2</v>
      </c>
      <c r="T34" s="345">
        <f t="shared" si="13"/>
        <v>3.0600000000000002E-2</v>
      </c>
      <c r="U34" s="345">
        <f t="shared" si="13"/>
        <v>3.0600000000000002E-2</v>
      </c>
      <c r="V34" s="345">
        <f t="shared" si="13"/>
        <v>4.760000000000001E-2</v>
      </c>
      <c r="W34" s="345">
        <f t="shared" si="13"/>
        <v>5.1000000000000004E-3</v>
      </c>
      <c r="X34" s="345">
        <f t="shared" si="13"/>
        <v>4.760000000000001E-2</v>
      </c>
      <c r="Y34" s="345">
        <f t="shared" si="13"/>
        <v>4.760000000000001E-2</v>
      </c>
      <c r="Z34" s="345">
        <f t="shared" si="13"/>
        <v>3.0600000000000002E-2</v>
      </c>
      <c r="AA34" s="345">
        <f t="shared" si="13"/>
        <v>8.5000000000000006E-3</v>
      </c>
      <c r="AB34" s="345">
        <f t="shared" si="13"/>
        <v>3.0600000000000002E-2</v>
      </c>
      <c r="AC34" s="345">
        <f t="shared" si="13"/>
        <v>1.1900000000000003E-2</v>
      </c>
      <c r="AD34" s="345">
        <f t="shared" si="13"/>
        <v>3.0600000000000002E-2</v>
      </c>
      <c r="AE34" s="345">
        <f t="shared" si="13"/>
        <v>8.5000000000000006E-3</v>
      </c>
      <c r="AF34" s="345">
        <f t="shared" si="13"/>
        <v>8.5000000000000006E-3</v>
      </c>
      <c r="AG34" s="345">
        <f t="shared" si="13"/>
        <v>8.5000000000000006E-3</v>
      </c>
      <c r="AH34" s="345">
        <f t="shared" si="13"/>
        <v>3.0600000000000002E-2</v>
      </c>
      <c r="AI34" s="345">
        <f t="shared" si="13"/>
        <v>8.5000000000000006E-3</v>
      </c>
      <c r="AJ34" s="345">
        <f t="shared" si="13"/>
        <v>5.1000000000000004E-3</v>
      </c>
      <c r="AK34" s="345">
        <f t="shared" si="13"/>
        <v>4.760000000000001E-2</v>
      </c>
      <c r="AL34" s="345">
        <f t="shared" si="13"/>
        <v>3.0600000000000002E-2</v>
      </c>
      <c r="AM34" s="345">
        <f t="shared" si="13"/>
        <v>4.760000000000001E-2</v>
      </c>
      <c r="AN34" s="345">
        <f t="shared" si="13"/>
        <v>8.5000000000000006E-3</v>
      </c>
      <c r="AO34" s="345">
        <f t="shared" si="13"/>
        <v>8.5000000000000006E-3</v>
      </c>
    </row>
    <row r="35" spans="1:41" s="355" customFormat="1" x14ac:dyDescent="0.25">
      <c r="A35" s="21" t="s">
        <v>643</v>
      </c>
      <c r="B35" s="21"/>
      <c r="C35" s="57">
        <v>0</v>
      </c>
      <c r="D35" s="57">
        <v>0</v>
      </c>
      <c r="E35" s="57">
        <v>0</v>
      </c>
      <c r="F35" s="57">
        <v>0</v>
      </c>
      <c r="G35" s="57">
        <v>0</v>
      </c>
      <c r="H35" s="57">
        <v>0</v>
      </c>
      <c r="I35" s="57">
        <v>0</v>
      </c>
      <c r="J35" s="57">
        <v>0</v>
      </c>
      <c r="K35" s="57">
        <v>0</v>
      </c>
      <c r="L35" s="57">
        <v>0</v>
      </c>
      <c r="M35" s="57">
        <v>0</v>
      </c>
      <c r="N35" s="57">
        <v>0</v>
      </c>
      <c r="O35" s="57">
        <v>0</v>
      </c>
      <c r="P35" s="57">
        <v>0</v>
      </c>
      <c r="Q35" s="57">
        <v>0</v>
      </c>
      <c r="R35" s="57">
        <v>0</v>
      </c>
      <c r="S35" s="57">
        <v>0</v>
      </c>
      <c r="T35" s="57">
        <v>0</v>
      </c>
      <c r="U35" s="57">
        <v>0</v>
      </c>
      <c r="V35" s="57">
        <v>0</v>
      </c>
      <c r="W35" s="57">
        <v>0</v>
      </c>
      <c r="X35" s="57">
        <v>0</v>
      </c>
      <c r="Y35" s="57">
        <v>0</v>
      </c>
      <c r="Z35" s="57">
        <v>0</v>
      </c>
      <c r="AA35" s="57">
        <v>0</v>
      </c>
      <c r="AB35" s="57">
        <v>0</v>
      </c>
      <c r="AC35" s="57">
        <v>0</v>
      </c>
      <c r="AD35" s="57">
        <v>0</v>
      </c>
      <c r="AE35" s="57">
        <v>0</v>
      </c>
      <c r="AF35" s="57">
        <v>0</v>
      </c>
      <c r="AG35" s="57">
        <v>0</v>
      </c>
      <c r="AH35" s="57">
        <v>0</v>
      </c>
      <c r="AI35" s="57">
        <v>0</v>
      </c>
      <c r="AJ35" s="57">
        <v>0</v>
      </c>
      <c r="AK35" s="57">
        <v>0</v>
      </c>
      <c r="AL35" s="57">
        <v>0</v>
      </c>
      <c r="AM35" s="57">
        <v>0</v>
      </c>
      <c r="AN35" s="57">
        <v>0</v>
      </c>
      <c r="AO35" s="57">
        <v>0</v>
      </c>
    </row>
    <row r="36" spans="1:41" s="355" customFormat="1" x14ac:dyDescent="0.25">
      <c r="A36" s="21" t="s">
        <v>103</v>
      </c>
      <c r="B36" s="21"/>
      <c r="C36" s="21">
        <f t="shared" ref="C36:AO36" si="14">SUM(C27:C34)</f>
        <v>0.63980000000000004</v>
      </c>
      <c r="D36" s="21">
        <f t="shared" si="14"/>
        <v>0.63980000000000004</v>
      </c>
      <c r="E36" s="21">
        <f t="shared" si="14"/>
        <v>1.0494000000000001</v>
      </c>
      <c r="F36" s="21">
        <f t="shared" si="14"/>
        <v>0.63980000000000004</v>
      </c>
      <c r="G36" s="21">
        <f t="shared" si="14"/>
        <v>1.5442</v>
      </c>
      <c r="H36" s="21">
        <f t="shared" si="14"/>
        <v>1.2485999999999999</v>
      </c>
      <c r="I36" s="21">
        <f t="shared" si="14"/>
        <v>0.63980000000000004</v>
      </c>
      <c r="J36" s="21">
        <f t="shared" si="14"/>
        <v>1.5442</v>
      </c>
      <c r="K36" s="21">
        <f t="shared" si="14"/>
        <v>1.5442</v>
      </c>
      <c r="L36" s="21">
        <f t="shared" si="14"/>
        <v>1.6025</v>
      </c>
      <c r="M36" s="21">
        <f t="shared" si="14"/>
        <v>1.2485999999999999</v>
      </c>
      <c r="N36" s="21">
        <f t="shared" si="14"/>
        <v>1.2485999999999999</v>
      </c>
      <c r="O36" s="21">
        <f t="shared" si="14"/>
        <v>1.5442</v>
      </c>
      <c r="P36" s="21">
        <f t="shared" si="14"/>
        <v>1.6025</v>
      </c>
      <c r="Q36" s="21">
        <f t="shared" si="14"/>
        <v>1.0494000000000001</v>
      </c>
      <c r="R36" s="21">
        <f t="shared" si="14"/>
        <v>1.6025</v>
      </c>
      <c r="S36" s="21">
        <f t="shared" si="14"/>
        <v>1.2485999999999999</v>
      </c>
      <c r="T36" s="21">
        <f t="shared" si="14"/>
        <v>1.2485999999999999</v>
      </c>
      <c r="U36" s="21">
        <f t="shared" si="14"/>
        <v>1.2485999999999999</v>
      </c>
      <c r="V36" s="21">
        <f t="shared" si="14"/>
        <v>1.6025</v>
      </c>
      <c r="W36" s="21">
        <f t="shared" si="14"/>
        <v>1.5442</v>
      </c>
      <c r="X36" s="21">
        <f t="shared" si="14"/>
        <v>1.6025</v>
      </c>
      <c r="Y36" s="21">
        <f t="shared" si="14"/>
        <v>1.6025</v>
      </c>
      <c r="Z36" s="21">
        <f t="shared" si="14"/>
        <v>1.0494000000000001</v>
      </c>
      <c r="AA36" s="21">
        <f t="shared" si="14"/>
        <v>1.5750999999999999</v>
      </c>
      <c r="AB36" s="21">
        <f t="shared" si="14"/>
        <v>1.2485999999999999</v>
      </c>
      <c r="AC36" s="21">
        <f t="shared" si="14"/>
        <v>0.63980000000000004</v>
      </c>
      <c r="AD36" s="21">
        <f t="shared" si="14"/>
        <v>1.2485999999999999</v>
      </c>
      <c r="AE36" s="21">
        <f t="shared" si="14"/>
        <v>1.5750999999999999</v>
      </c>
      <c r="AF36" s="21">
        <f t="shared" si="14"/>
        <v>1.5750999999999999</v>
      </c>
      <c r="AG36" s="21">
        <f t="shared" si="14"/>
        <v>1.5750999999999999</v>
      </c>
      <c r="AH36" s="21">
        <f t="shared" si="14"/>
        <v>1.0494000000000001</v>
      </c>
      <c r="AI36" s="21">
        <f t="shared" si="14"/>
        <v>1.5750999999999999</v>
      </c>
      <c r="AJ36" s="21">
        <f t="shared" si="14"/>
        <v>1.5442</v>
      </c>
      <c r="AK36" s="21">
        <f t="shared" si="14"/>
        <v>1.6025</v>
      </c>
      <c r="AL36" s="21">
        <f t="shared" si="14"/>
        <v>1.0494000000000001</v>
      </c>
      <c r="AM36" s="21">
        <f t="shared" si="14"/>
        <v>1.6025</v>
      </c>
      <c r="AN36" s="21">
        <f t="shared" si="14"/>
        <v>1.5750999999999999</v>
      </c>
      <c r="AO36" s="21">
        <f t="shared" si="14"/>
        <v>1.5750999999999999</v>
      </c>
    </row>
    <row r="37" spans="1:41" s="355" customFormat="1" x14ac:dyDescent="0.25">
      <c r="A37"/>
      <c r="B37" s="21"/>
      <c r="C37" s="31">
        <f t="shared" ref="C37:AO37" si="15">C36*0.5</f>
        <v>0.31990000000000002</v>
      </c>
      <c r="D37" s="31">
        <f t="shared" si="15"/>
        <v>0.31990000000000002</v>
      </c>
      <c r="E37" s="31">
        <f t="shared" si="15"/>
        <v>0.52470000000000006</v>
      </c>
      <c r="F37" s="31">
        <f t="shared" si="15"/>
        <v>0.31990000000000002</v>
      </c>
      <c r="G37" s="31">
        <f t="shared" si="15"/>
        <v>0.77210000000000001</v>
      </c>
      <c r="H37" s="31">
        <f t="shared" si="15"/>
        <v>0.62429999999999997</v>
      </c>
      <c r="I37" s="31">
        <f t="shared" si="15"/>
        <v>0.31990000000000002</v>
      </c>
      <c r="J37" s="31">
        <f t="shared" si="15"/>
        <v>0.77210000000000001</v>
      </c>
      <c r="K37" s="31">
        <f t="shared" si="15"/>
        <v>0.77210000000000001</v>
      </c>
      <c r="L37" s="31">
        <f t="shared" si="15"/>
        <v>0.80125000000000002</v>
      </c>
      <c r="M37" s="31">
        <f t="shared" si="15"/>
        <v>0.62429999999999997</v>
      </c>
      <c r="N37" s="31">
        <f t="shared" si="15"/>
        <v>0.62429999999999997</v>
      </c>
      <c r="O37" s="31">
        <f t="shared" si="15"/>
        <v>0.77210000000000001</v>
      </c>
      <c r="P37" s="31">
        <f t="shared" si="15"/>
        <v>0.80125000000000002</v>
      </c>
      <c r="Q37" s="31">
        <f t="shared" si="15"/>
        <v>0.52470000000000006</v>
      </c>
      <c r="R37" s="31">
        <f t="shared" si="15"/>
        <v>0.80125000000000002</v>
      </c>
      <c r="S37" s="31">
        <f t="shared" si="15"/>
        <v>0.62429999999999997</v>
      </c>
      <c r="T37" s="31">
        <f t="shared" si="15"/>
        <v>0.62429999999999997</v>
      </c>
      <c r="U37" s="31">
        <f t="shared" si="15"/>
        <v>0.62429999999999997</v>
      </c>
      <c r="V37" s="31">
        <f t="shared" si="15"/>
        <v>0.80125000000000002</v>
      </c>
      <c r="W37" s="31">
        <f t="shared" si="15"/>
        <v>0.77210000000000001</v>
      </c>
      <c r="X37" s="31">
        <f t="shared" si="15"/>
        <v>0.80125000000000002</v>
      </c>
      <c r="Y37" s="31">
        <f t="shared" si="15"/>
        <v>0.80125000000000002</v>
      </c>
      <c r="Z37" s="31">
        <f t="shared" si="15"/>
        <v>0.52470000000000006</v>
      </c>
      <c r="AA37" s="31">
        <f t="shared" si="15"/>
        <v>0.78754999999999997</v>
      </c>
      <c r="AB37" s="31">
        <f t="shared" si="15"/>
        <v>0.62429999999999997</v>
      </c>
      <c r="AC37" s="31">
        <f t="shared" si="15"/>
        <v>0.31990000000000002</v>
      </c>
      <c r="AD37" s="31">
        <f t="shared" si="15"/>
        <v>0.62429999999999997</v>
      </c>
      <c r="AE37" s="31">
        <f t="shared" si="15"/>
        <v>0.78754999999999997</v>
      </c>
      <c r="AF37" s="31">
        <f t="shared" si="15"/>
        <v>0.78754999999999997</v>
      </c>
      <c r="AG37" s="31">
        <f t="shared" si="15"/>
        <v>0.78754999999999997</v>
      </c>
      <c r="AH37" s="31">
        <f t="shared" si="15"/>
        <v>0.52470000000000006</v>
      </c>
      <c r="AI37" s="31">
        <f t="shared" si="15"/>
        <v>0.78754999999999997</v>
      </c>
      <c r="AJ37" s="31">
        <f t="shared" si="15"/>
        <v>0.77210000000000001</v>
      </c>
      <c r="AK37" s="31">
        <f t="shared" si="15"/>
        <v>0.80125000000000002</v>
      </c>
      <c r="AL37" s="31">
        <f t="shared" si="15"/>
        <v>0.52470000000000006</v>
      </c>
      <c r="AM37" s="31">
        <f t="shared" si="15"/>
        <v>0.80125000000000002</v>
      </c>
      <c r="AN37" s="31">
        <f t="shared" si="15"/>
        <v>0.78754999999999997</v>
      </c>
      <c r="AO37" s="31">
        <f t="shared" si="15"/>
        <v>0.78754999999999997</v>
      </c>
    </row>
    <row r="38" spans="1:41" s="355" customFormat="1" x14ac:dyDescent="0.25">
      <c r="A38" s="361"/>
      <c r="B38" s="349"/>
      <c r="C38" s="349"/>
      <c r="D38" s="349"/>
      <c r="E38" s="349"/>
      <c r="F38" s="349"/>
      <c r="G38" s="349"/>
      <c r="H38" s="349"/>
      <c r="I38" s="349"/>
      <c r="J38" s="349"/>
      <c r="K38" s="349"/>
      <c r="L38" s="349"/>
      <c r="M38" s="349"/>
      <c r="N38" s="349"/>
      <c r="O38" s="349"/>
      <c r="P38" s="349"/>
      <c r="Q38" s="349"/>
      <c r="R38" s="349"/>
      <c r="S38" s="349"/>
      <c r="T38" s="349"/>
      <c r="U38" s="349"/>
      <c r="V38" s="349"/>
      <c r="W38" s="349"/>
      <c r="X38" s="349"/>
      <c r="Y38" s="349"/>
      <c r="Z38" s="349"/>
      <c r="AA38" s="349"/>
      <c r="AB38" s="349"/>
      <c r="AC38" s="349"/>
      <c r="AD38" s="349"/>
      <c r="AE38" s="349"/>
      <c r="AF38" s="349"/>
      <c r="AG38" s="349"/>
      <c r="AH38" s="349"/>
      <c r="AI38" s="349"/>
      <c r="AJ38" s="349"/>
      <c r="AK38" s="349"/>
      <c r="AL38" s="349"/>
      <c r="AM38" s="349"/>
      <c r="AN38" s="349"/>
      <c r="AO38" s="349"/>
    </row>
    <row r="39" spans="1:41" s="355" customFormat="1" x14ac:dyDescent="0.25">
      <c r="A39" s="361"/>
      <c r="B39" s="349"/>
      <c r="C39" s="349"/>
      <c r="D39" s="349"/>
      <c r="E39" s="349"/>
      <c r="F39" s="349"/>
      <c r="G39" s="349"/>
      <c r="H39" s="349"/>
      <c r="I39" s="349"/>
      <c r="J39" s="349"/>
      <c r="K39" s="349"/>
      <c r="L39" s="349"/>
      <c r="M39" s="349"/>
      <c r="N39" s="349"/>
      <c r="O39" s="349"/>
      <c r="P39" s="349"/>
      <c r="Q39" s="349"/>
      <c r="R39" s="349"/>
      <c r="S39" s="349"/>
      <c r="T39" s="349"/>
      <c r="U39" s="349"/>
      <c r="V39" s="349"/>
      <c r="W39" s="349"/>
      <c r="X39" s="349"/>
      <c r="Y39" s="349"/>
      <c r="Z39" s="349"/>
      <c r="AA39" s="349"/>
      <c r="AB39" s="349"/>
      <c r="AC39" s="349"/>
      <c r="AD39" s="349"/>
      <c r="AE39" s="349"/>
      <c r="AF39" s="349"/>
      <c r="AG39" s="349"/>
      <c r="AH39" s="349"/>
      <c r="AI39" s="349"/>
      <c r="AJ39" s="349"/>
      <c r="AK39" s="349"/>
      <c r="AL39" s="349"/>
      <c r="AM39" s="349"/>
      <c r="AN39" s="349"/>
      <c r="AO39" s="349"/>
    </row>
    <row r="40" spans="1:41" ht="21" x14ac:dyDescent="0.35">
      <c r="A40" s="19" t="s">
        <v>21</v>
      </c>
      <c r="B40" s="21"/>
      <c r="C40" s="319"/>
      <c r="D40" s="21"/>
      <c r="E40" s="21"/>
      <c r="F40" s="21"/>
      <c r="G40" s="21"/>
      <c r="H40" s="21"/>
      <c r="I40" s="21"/>
      <c r="J40" s="21"/>
      <c r="K40" s="21"/>
      <c r="L40" s="21"/>
      <c r="M40" s="21"/>
      <c r="N40" s="21"/>
      <c r="O40" s="21"/>
      <c r="P40" s="21"/>
      <c r="Q40" s="21"/>
      <c r="R40" s="21"/>
      <c r="S40" s="21"/>
      <c r="T40" s="21"/>
      <c r="U40" s="21"/>
      <c r="V40" s="21"/>
      <c r="W40" s="21"/>
      <c r="X40" s="21"/>
      <c r="Y40" s="21"/>
      <c r="Z40" s="21"/>
      <c r="AA40" s="21"/>
      <c r="AB40" s="21"/>
      <c r="AC40" s="21"/>
      <c r="AD40" s="21"/>
      <c r="AE40" s="21"/>
      <c r="AF40" s="21"/>
      <c r="AG40" s="21"/>
      <c r="AH40" s="21"/>
      <c r="AI40" s="21"/>
      <c r="AJ40" s="21"/>
      <c r="AK40" s="21"/>
      <c r="AL40" s="21"/>
      <c r="AM40" s="21"/>
      <c r="AN40" s="21"/>
      <c r="AO40" s="21"/>
    </row>
    <row r="41" spans="1:41" s="355" customFormat="1" x14ac:dyDescent="0.25">
      <c r="A41" s="349" t="s">
        <v>134</v>
      </c>
      <c r="B41" s="312" t="s">
        <v>654</v>
      </c>
      <c r="C41" s="349">
        <f ca="1">IF('Fertilizer Rate'!B8&gt;0,C8*Main!$C$162*'Fertilizer Rate'!B90/'Fertilizer Rate'!B8,0)</f>
        <v>1.9999999999999996E-3</v>
      </c>
      <c r="D41" s="349">
        <f ca="1">IF('Fertilizer Rate'!C8&gt;0,D8*Main!$C$162*'Fertilizer Rate'!C90/'Fertilizer Rate'!C8,0)</f>
        <v>1.9999999999999996E-3</v>
      </c>
      <c r="E41" s="349">
        <f ca="1">IF('Fertilizer Rate'!D8&gt;0,E8*Main!$C$162*'Fertilizer Rate'!D90/'Fertilizer Rate'!D8,0)</f>
        <v>4.9999999999999992E-3</v>
      </c>
      <c r="F41" s="349">
        <f ca="1">IF('Fertilizer Rate'!E8&gt;0,F8*Main!$C$162*'Fertilizer Rate'!E90/'Fertilizer Rate'!E8,0)</f>
        <v>1.9999999999999996E-3</v>
      </c>
      <c r="G41" s="349">
        <f ca="1">IF('Fertilizer Rate'!F8&gt;0,G8*Main!$C$162*'Fertilizer Rate'!F90/'Fertilizer Rate'!F8,0)</f>
        <v>8.1000000000000003E-2</v>
      </c>
      <c r="H41" s="349">
        <f ca="1">IF('Fertilizer Rate'!G8&gt;0,H8*Main!$C$162*'Fertilizer Rate'!G90/'Fertilizer Rate'!G8,0)</f>
        <v>1.3999999999999999E-2</v>
      </c>
      <c r="I41" s="349">
        <f ca="1">IF('Fertilizer Rate'!H8&gt;0,I8*Main!$C$162*'Fertilizer Rate'!H90/'Fertilizer Rate'!H8,0)</f>
        <v>1.9999999999999996E-3</v>
      </c>
      <c r="J41" s="349">
        <f ca="1">IF('Fertilizer Rate'!I8&gt;0,J8*Main!$C$162*'Fertilizer Rate'!I90/'Fertilizer Rate'!I8,0)</f>
        <v>8.1000000000000003E-2</v>
      </c>
      <c r="K41" s="349">
        <f ca="1">IF('Fertilizer Rate'!J8&gt;0,K8*Main!$C$162*'Fertilizer Rate'!J90/'Fertilizer Rate'!J8,0)</f>
        <v>8.1000000000000016E-2</v>
      </c>
      <c r="L41" s="349">
        <f ca="1">IF('Fertilizer Rate'!K8&gt;0,L8*Main!$C$162*'Fertilizer Rate'!K90/'Fertilizer Rate'!K8,0)</f>
        <v>4.1999999999999996E-2</v>
      </c>
      <c r="M41" s="349">
        <f ca="1">IF('Fertilizer Rate'!L8&gt;0,M8*Main!$C$162*'Fertilizer Rate'!L90/'Fertilizer Rate'!L8,0)</f>
        <v>1.3999999999999999E-2</v>
      </c>
      <c r="N41" s="349">
        <f ca="1">IF('Fertilizer Rate'!M8&gt;0,N8*Main!$C$162*'Fertilizer Rate'!M90/'Fertilizer Rate'!M8,0)</f>
        <v>1.3999999999999999E-2</v>
      </c>
      <c r="O41" s="349">
        <f ca="1">IF('Fertilizer Rate'!N8&gt;0,O8*Main!$C$162*'Fertilizer Rate'!N90/'Fertilizer Rate'!N8,0)</f>
        <v>8.1000000000000003E-2</v>
      </c>
      <c r="P41" s="349">
        <f ca="1">IF('Fertilizer Rate'!O8&gt;0,P8*Main!$C$162*'Fertilizer Rate'!O90/'Fertilizer Rate'!O8,0)</f>
        <v>4.2000000000000003E-2</v>
      </c>
      <c r="Q41" s="349">
        <f ca="1">IF('Fertilizer Rate'!P8&gt;0,Q8*Main!$C$162*'Fertilizer Rate'!P90/'Fertilizer Rate'!P8,0)</f>
        <v>1.5000000000000001E-2</v>
      </c>
      <c r="R41" s="349">
        <f ca="1">IF('Fertilizer Rate'!Q8&gt;0,R8*Main!$C$162*'Fertilizer Rate'!Q90/'Fertilizer Rate'!Q8,0)</f>
        <v>4.200000000000001E-2</v>
      </c>
      <c r="S41" s="349">
        <f ca="1">IF('Fertilizer Rate'!R8&gt;0,S8*Main!$C$162*'Fertilizer Rate'!R90/'Fertilizer Rate'!R8,0)</f>
        <v>1.3999999999999999E-2</v>
      </c>
      <c r="T41" s="349">
        <f ca="1">IF('Fertilizer Rate'!S8&gt;0,T8*Main!$C$162*'Fertilizer Rate'!S90/'Fertilizer Rate'!S8,0)</f>
        <v>1.3999999999999999E-2</v>
      </c>
      <c r="U41" s="349">
        <f ca="1">IF('Fertilizer Rate'!T8&gt;0,U8*Main!$C$162*'Fertilizer Rate'!T90/'Fertilizer Rate'!T8,0)</f>
        <v>1.3999999999999999E-2</v>
      </c>
      <c r="V41" s="349">
        <f ca="1">IF('Fertilizer Rate'!U8&gt;0,V8*Main!$C$162*'Fertilizer Rate'!U90/'Fertilizer Rate'!U8,0)</f>
        <v>1.4E-2</v>
      </c>
      <c r="W41" s="349">
        <f ca="1">IF('Fertilizer Rate'!V8&gt;0,W8*Main!$C$162*'Fertilizer Rate'!V90/'Fertilizer Rate'!V8,0)</f>
        <v>8.1000000000000003E-2</v>
      </c>
      <c r="X41" s="349">
        <f ca="1">IF('Fertilizer Rate'!W8&gt;0,X8*Main!$C$162*'Fertilizer Rate'!W90/'Fertilizer Rate'!W8,0)</f>
        <v>4.200000000000001E-2</v>
      </c>
      <c r="Y41" s="349">
        <f ca="1">IF('Fertilizer Rate'!X8&gt;0,Y8*Main!$C$162*'Fertilizer Rate'!X90/'Fertilizer Rate'!X8,0)</f>
        <v>1.3999999999999997E-2</v>
      </c>
      <c r="Z41" s="349">
        <f ca="1">IF('Fertilizer Rate'!Y8&gt;0,Z8*Main!$C$162*'Fertilizer Rate'!Y90/'Fertilizer Rate'!Y8,0)</f>
        <v>4.9999999999999992E-3</v>
      </c>
      <c r="AA41" s="349">
        <f ca="1">IF('Fertilizer Rate'!Z8&gt;0,AA8*Main!$C$162*'Fertilizer Rate'!Z90/'Fertilizer Rate'!Z8,0)</f>
        <v>7.4999999999999983E-2</v>
      </c>
      <c r="AB41" s="349">
        <f ca="1">IF('Fertilizer Rate'!AA8&gt;0,AB8*Main!$C$162*'Fertilizer Rate'!AA90/'Fertilizer Rate'!AA8,0)</f>
        <v>1.3999999999999997E-2</v>
      </c>
      <c r="AC41" s="349">
        <f ca="1">IF('Fertilizer Rate'!AB8&gt;0,AC8*Main!$C$162*'Fertilizer Rate'!AB90/'Fertilizer Rate'!AB8,0)</f>
        <v>1.9999999999999996E-3</v>
      </c>
      <c r="AD41" s="349">
        <f ca="1">IF('Fertilizer Rate'!AC8&gt;0,AD8*Main!$C$162*'Fertilizer Rate'!AC90/'Fertilizer Rate'!AC8,0)</f>
        <v>1.3999999999999999E-2</v>
      </c>
      <c r="AE41" s="349">
        <f ca="1">IF('Fertilizer Rate'!AD8&gt;0,AE8*Main!$C$162*'Fertilizer Rate'!AD90/'Fertilizer Rate'!AD8,0)</f>
        <v>2.4999999999999994E-2</v>
      </c>
      <c r="AF41" s="349">
        <f ca="1">IF('Fertilizer Rate'!AE8&gt;0,AF8*Main!$C$162*'Fertilizer Rate'!AE90/'Fertilizer Rate'!AE8,0)</f>
        <v>2.4999999999999994E-2</v>
      </c>
      <c r="AG41" s="349">
        <f ca="1">IF('Fertilizer Rate'!AF8&gt;0,AG8*Main!$C$162*'Fertilizer Rate'!AF90/'Fertilizer Rate'!AF8,0)</f>
        <v>2.4999999999999994E-2</v>
      </c>
      <c r="AH41" s="349">
        <f ca="1">IF('Fertilizer Rate'!AG8&gt;0,AH8*Main!$C$162*'Fertilizer Rate'!AG90/'Fertilizer Rate'!AG8,0)</f>
        <v>4.9999999999999992E-3</v>
      </c>
      <c r="AI41" s="349">
        <f ca="1">IF('Fertilizer Rate'!AH8&gt;0,AI8*Main!$C$162*'Fertilizer Rate'!AH90/'Fertilizer Rate'!AH8,0)</f>
        <v>7.4999999999999997E-2</v>
      </c>
      <c r="AJ41" s="349">
        <f ca="1">IF('Fertilizer Rate'!AI8&gt;0,AJ8*Main!$C$162*'Fertilizer Rate'!AI90/'Fertilizer Rate'!AI8,0)</f>
        <v>8.1000000000000003E-2</v>
      </c>
      <c r="AK41" s="349">
        <f ca="1">IF('Fertilizer Rate'!AJ8&gt;0,AK8*Main!$C$162*'Fertilizer Rate'!AJ90/'Fertilizer Rate'!AJ8,0)</f>
        <v>4.2000000000000003E-2</v>
      </c>
      <c r="AL41" s="349">
        <f ca="1">IF('Fertilizer Rate'!AK8&gt;0,AL8*Main!$C$162*'Fertilizer Rate'!AK90/'Fertilizer Rate'!AK8,0)</f>
        <v>1.5000000000000001E-2</v>
      </c>
      <c r="AM41" s="349">
        <f ca="1">IF('Fertilizer Rate'!AL8&gt;0,AM8*Main!$C$162*'Fertilizer Rate'!AL90/'Fertilizer Rate'!AL8,0)</f>
        <v>4.200000000000001E-2</v>
      </c>
      <c r="AN41" s="349">
        <f ca="1">IF('Fertilizer Rate'!AM8&gt;0,AN8*Main!$C$162*'Fertilizer Rate'!AM90/'Fertilizer Rate'!AM8,0)</f>
        <v>2.4999999999999998E-2</v>
      </c>
      <c r="AO41" s="349">
        <f ca="1">IF('Fertilizer Rate'!AN8&gt;0,AO8*Main!$C$162*'Fertilizer Rate'!AN90/'Fertilizer Rate'!AN8,0)</f>
        <v>7.4999999999999997E-2</v>
      </c>
    </row>
    <row r="42" spans="1:41" s="355" customFormat="1" x14ac:dyDescent="0.25">
      <c r="A42" s="349"/>
      <c r="B42" s="351" t="s">
        <v>653</v>
      </c>
      <c r="C42" s="350">
        <f ca="1">IF('Fertilizer Rate'!B8&gt;0,C8*(1-Main!$C$162)*'Fertilizer Rate'!B90/'Fertilizer Rate'!B8,0)</f>
        <v>1.9999999999999996E-3</v>
      </c>
      <c r="D42" s="350">
        <f ca="1">IF('Fertilizer Rate'!C8&gt;0,D8*(1-Main!$C$162)*'Fertilizer Rate'!C90/'Fertilizer Rate'!C8,0)</f>
        <v>1.9999999999999996E-3</v>
      </c>
      <c r="E42" s="350">
        <f ca="1">IF('Fertilizer Rate'!D8&gt;0,E8*(1-Main!$C$162)*'Fertilizer Rate'!D90/'Fertilizer Rate'!D8,0)</f>
        <v>4.9999999999999992E-3</v>
      </c>
      <c r="F42" s="350">
        <f ca="1">IF('Fertilizer Rate'!E8&gt;0,F8*(1-Main!$C$162)*'Fertilizer Rate'!E90/'Fertilizer Rate'!E8,0)</f>
        <v>1.9999999999999996E-3</v>
      </c>
      <c r="G42" s="350">
        <f ca="1">IF('Fertilizer Rate'!F8&gt;0,G8*(1-Main!$C$162)*'Fertilizer Rate'!F90/'Fertilizer Rate'!F8,0)</f>
        <v>8.1000000000000003E-2</v>
      </c>
      <c r="H42" s="350">
        <f ca="1">IF('Fertilizer Rate'!G8&gt;0,H8*(1-Main!$C$162)*'Fertilizer Rate'!G90/'Fertilizer Rate'!G8,0)</f>
        <v>1.3999999999999999E-2</v>
      </c>
      <c r="I42" s="350">
        <f ca="1">IF('Fertilizer Rate'!H8&gt;0,I8*(1-Main!$C$162)*'Fertilizer Rate'!H90/'Fertilizer Rate'!H8,0)</f>
        <v>1.9999999999999996E-3</v>
      </c>
      <c r="J42" s="350">
        <f ca="1">IF('Fertilizer Rate'!I8&gt;0,J8*(1-Main!$C$162)*'Fertilizer Rate'!I90/'Fertilizer Rate'!I8,0)</f>
        <v>8.1000000000000003E-2</v>
      </c>
      <c r="K42" s="350">
        <f ca="1">IF('Fertilizer Rate'!J8&gt;0,K8*(1-Main!$C$162)*'Fertilizer Rate'!J90/'Fertilizer Rate'!J8,0)</f>
        <v>8.1000000000000016E-2</v>
      </c>
      <c r="L42" s="350">
        <f ca="1">IF('Fertilizer Rate'!K8&gt;0,L8*(1-Main!$C$162)*'Fertilizer Rate'!K90/'Fertilizer Rate'!K8,0)</f>
        <v>4.1999999999999996E-2</v>
      </c>
      <c r="M42" s="350">
        <f ca="1">IF('Fertilizer Rate'!L8&gt;0,M8*(1-Main!$C$162)*'Fertilizer Rate'!L90/'Fertilizer Rate'!L8,0)</f>
        <v>1.3999999999999999E-2</v>
      </c>
      <c r="N42" s="350">
        <f ca="1">IF('Fertilizer Rate'!M8&gt;0,N8*(1-Main!$C$162)*'Fertilizer Rate'!M90/'Fertilizer Rate'!M8,0)</f>
        <v>1.3999999999999999E-2</v>
      </c>
      <c r="O42" s="350">
        <f ca="1">IF('Fertilizer Rate'!N8&gt;0,O8*(1-Main!$C$162)*'Fertilizer Rate'!N90/'Fertilizer Rate'!N8,0)</f>
        <v>8.1000000000000003E-2</v>
      </c>
      <c r="P42" s="350">
        <f ca="1">IF('Fertilizer Rate'!O8&gt;0,P8*(1-Main!$C$162)*'Fertilizer Rate'!O90/'Fertilizer Rate'!O8,0)</f>
        <v>4.2000000000000003E-2</v>
      </c>
      <c r="Q42" s="350">
        <f ca="1">IF('Fertilizer Rate'!P8&gt;0,Q8*(1-Main!$C$162)*'Fertilizer Rate'!P90/'Fertilizer Rate'!P8,0)</f>
        <v>1.5000000000000001E-2</v>
      </c>
      <c r="R42" s="350">
        <f ca="1">IF('Fertilizer Rate'!Q8&gt;0,R8*(1-Main!$C$162)*'Fertilizer Rate'!Q90/'Fertilizer Rate'!Q8,0)</f>
        <v>4.200000000000001E-2</v>
      </c>
      <c r="S42" s="350">
        <f ca="1">IF('Fertilizer Rate'!R8&gt;0,S8*(1-Main!$C$162)*'Fertilizer Rate'!R90/'Fertilizer Rate'!R8,0)</f>
        <v>1.3999999999999999E-2</v>
      </c>
      <c r="T42" s="350">
        <f ca="1">IF('Fertilizer Rate'!S8&gt;0,T8*(1-Main!$C$162)*'Fertilizer Rate'!S90/'Fertilizer Rate'!S8,0)</f>
        <v>1.3999999999999999E-2</v>
      </c>
      <c r="U42" s="350">
        <f ca="1">IF('Fertilizer Rate'!T8&gt;0,U8*(1-Main!$C$162)*'Fertilizer Rate'!T90/'Fertilizer Rate'!T8,0)</f>
        <v>1.3999999999999999E-2</v>
      </c>
      <c r="V42" s="350">
        <f ca="1">IF('Fertilizer Rate'!U8&gt;0,V8*(1-Main!$C$162)*'Fertilizer Rate'!U90/'Fertilizer Rate'!U8,0)</f>
        <v>1.4E-2</v>
      </c>
      <c r="W42" s="350">
        <f ca="1">IF('Fertilizer Rate'!V8&gt;0,W8*(1-Main!$C$162)*'Fertilizer Rate'!V90/'Fertilizer Rate'!V8,0)</f>
        <v>8.1000000000000003E-2</v>
      </c>
      <c r="X42" s="350">
        <f ca="1">IF('Fertilizer Rate'!W8&gt;0,X8*(1-Main!$C$162)*'Fertilizer Rate'!W90/'Fertilizer Rate'!W8,0)</f>
        <v>4.200000000000001E-2</v>
      </c>
      <c r="Y42" s="350">
        <f ca="1">IF('Fertilizer Rate'!X8&gt;0,Y8*(1-Main!$C$162)*'Fertilizer Rate'!X90/'Fertilizer Rate'!X8,0)</f>
        <v>1.3999999999999997E-2</v>
      </c>
      <c r="Z42" s="350">
        <f ca="1">IF('Fertilizer Rate'!Y8&gt;0,Z8*(1-Main!$C$162)*'Fertilizer Rate'!Y90/'Fertilizer Rate'!Y8,0)</f>
        <v>4.9999999999999992E-3</v>
      </c>
      <c r="AA42" s="350">
        <f ca="1">IF('Fertilizer Rate'!Z8&gt;0,AA8*(1-Main!$C$162)*'Fertilizer Rate'!Z90/'Fertilizer Rate'!Z8,0)</f>
        <v>7.4999999999999983E-2</v>
      </c>
      <c r="AB42" s="350">
        <f ca="1">IF('Fertilizer Rate'!AA8&gt;0,AB8*(1-Main!$C$162)*'Fertilizer Rate'!AA90/'Fertilizer Rate'!AA8,0)</f>
        <v>1.3999999999999997E-2</v>
      </c>
      <c r="AC42" s="350">
        <f ca="1">IF('Fertilizer Rate'!AB8&gt;0,AC8*(1-Main!$C$162)*'Fertilizer Rate'!AB90/'Fertilizer Rate'!AB8,0)</f>
        <v>1.9999999999999996E-3</v>
      </c>
      <c r="AD42" s="350">
        <f ca="1">IF('Fertilizer Rate'!AC8&gt;0,AD8*(1-Main!$C$162)*'Fertilizer Rate'!AC90/'Fertilizer Rate'!AC8,0)</f>
        <v>1.3999999999999999E-2</v>
      </c>
      <c r="AE42" s="350">
        <f ca="1">IF('Fertilizer Rate'!AD8&gt;0,AE8*(1-Main!$C$162)*'Fertilizer Rate'!AD90/'Fertilizer Rate'!AD8,0)</f>
        <v>2.4999999999999994E-2</v>
      </c>
      <c r="AF42" s="350">
        <f ca="1">IF('Fertilizer Rate'!AE8&gt;0,AF8*(1-Main!$C$162)*'Fertilizer Rate'!AE90/'Fertilizer Rate'!AE8,0)</f>
        <v>2.4999999999999994E-2</v>
      </c>
      <c r="AG42" s="350">
        <f ca="1">IF('Fertilizer Rate'!AF8&gt;0,AG8*(1-Main!$C$162)*'Fertilizer Rate'!AF90/'Fertilizer Rate'!AF8,0)</f>
        <v>2.4999999999999994E-2</v>
      </c>
      <c r="AH42" s="350">
        <f ca="1">IF('Fertilizer Rate'!AG8&gt;0,AH8*(1-Main!$C$162)*'Fertilizer Rate'!AG90/'Fertilizer Rate'!AG8,0)</f>
        <v>4.9999999999999992E-3</v>
      </c>
      <c r="AI42" s="350">
        <f ca="1">IF('Fertilizer Rate'!AH8&gt;0,AI8*(1-Main!$C$162)*'Fertilizer Rate'!AH90/'Fertilizer Rate'!AH8,0)</f>
        <v>7.4999999999999997E-2</v>
      </c>
      <c r="AJ42" s="350">
        <f ca="1">IF('Fertilizer Rate'!AI8&gt;0,AJ8*(1-Main!$C$162)*'Fertilizer Rate'!AI90/'Fertilizer Rate'!AI8,0)</f>
        <v>8.1000000000000003E-2</v>
      </c>
      <c r="AK42" s="350">
        <f ca="1">IF('Fertilizer Rate'!AJ8&gt;0,AK8*(1-Main!$C$162)*'Fertilizer Rate'!AJ90/'Fertilizer Rate'!AJ8,0)</f>
        <v>4.2000000000000003E-2</v>
      </c>
      <c r="AL42" s="350">
        <f ca="1">IF('Fertilizer Rate'!AK8&gt;0,AL8*(1-Main!$C$162)*'Fertilizer Rate'!AK90/'Fertilizer Rate'!AK8,0)</f>
        <v>1.5000000000000001E-2</v>
      </c>
      <c r="AM42" s="350">
        <f ca="1">IF('Fertilizer Rate'!AL8&gt;0,AM8*(1-Main!$C$162)*'Fertilizer Rate'!AL90/'Fertilizer Rate'!AL8,0)</f>
        <v>4.200000000000001E-2</v>
      </c>
      <c r="AN42" s="350">
        <f ca="1">IF('Fertilizer Rate'!AM8&gt;0,AN8*(1-Main!$C$162)*'Fertilizer Rate'!AM90/'Fertilizer Rate'!AM8,0)</f>
        <v>2.4999999999999998E-2</v>
      </c>
      <c r="AO42" s="350">
        <f ca="1">IF('Fertilizer Rate'!AN8&gt;0,AO8*(1-Main!$C$162)*'Fertilizer Rate'!AN90/'Fertilizer Rate'!AN8,0)</f>
        <v>7.4999999999999997E-2</v>
      </c>
    </row>
    <row r="43" spans="1:41" s="358" customFormat="1" x14ac:dyDescent="0.25">
      <c r="A43" s="360"/>
      <c r="B43" s="359" t="s">
        <v>657</v>
      </c>
      <c r="C43" s="350">
        <f ca="1">IF('Fertilizer Rate'!B8&gt;0,MIN(C10+C41,Parameters!$C$29)*'Fertilizer Rate'!B90/'Fertilizer Rate'!B8,0)</f>
        <v>5.839999999999998E-2</v>
      </c>
      <c r="D43" s="350">
        <f ca="1">IF('Fertilizer Rate'!C8&gt;0,MIN(D10+D41,Parameters!$C$29)*'Fertilizer Rate'!C90/'Fertilizer Rate'!C8,0)</f>
        <v>5.839999999999998E-2</v>
      </c>
      <c r="E43" s="350">
        <f ca="1">IF('Fertilizer Rate'!D8&gt;0,MIN(E10+E41,Parameters!$C$29)*'Fertilizer Rate'!D90/'Fertilizer Rate'!D8,0)</f>
        <v>8.0999999999999989E-2</v>
      </c>
      <c r="F43" s="350">
        <f ca="1">IF('Fertilizer Rate'!E8&gt;0,MIN(F10+F41,Parameters!$C$29)*'Fertilizer Rate'!E90/'Fertilizer Rate'!E8,0)</f>
        <v>5.8399999999999987E-2</v>
      </c>
      <c r="G43" s="350">
        <f ca="1">IF('Fertilizer Rate'!F8&gt;0,MIN(G10+G41,Parameters!$C$29)*'Fertilizer Rate'!F90/'Fertilizer Rate'!F8,0)</f>
        <v>0.12660000000000002</v>
      </c>
      <c r="H43" s="350">
        <f ca="1">IF('Fertilizer Rate'!G8&gt;0,MIN(H10+H41,Parameters!$C$29)*'Fertilizer Rate'!G90/'Fertilizer Rate'!G8,0)</f>
        <v>6.6799999999999984E-2</v>
      </c>
      <c r="I43" s="350">
        <f ca="1">IF('Fertilizer Rate'!H8&gt;0,MIN(I10+I41,Parameters!$C$29)*'Fertilizer Rate'!H90/'Fertilizer Rate'!H8,0)</f>
        <v>5.8399999999999987E-2</v>
      </c>
      <c r="J43" s="350">
        <f ca="1">IF('Fertilizer Rate'!I8&gt;0,MIN(J10+J41,Parameters!$C$29)*'Fertilizer Rate'!I90/'Fertilizer Rate'!I8,0)</f>
        <v>0.12660000000000002</v>
      </c>
      <c r="K43" s="350">
        <f ca="1">IF('Fertilizer Rate'!J8&gt;0,MIN(K10+K41,Parameters!$C$29)*'Fertilizer Rate'!J90/'Fertilizer Rate'!J8,0)</f>
        <v>0.12660000000000002</v>
      </c>
      <c r="L43" s="350">
        <f ca="1">IF('Fertilizer Rate'!K8&gt;0,MIN(L10+L41,Parameters!$C$29)*'Fertilizer Rate'!K90/'Fertilizer Rate'!K8,0)</f>
        <v>0.19919999999999996</v>
      </c>
      <c r="M43" s="350">
        <f ca="1">IF('Fertilizer Rate'!L8&gt;0,MIN(M10+M41,Parameters!$C$29)*'Fertilizer Rate'!L90/'Fertilizer Rate'!L8,0)</f>
        <v>6.6799999999999984E-2</v>
      </c>
      <c r="N43" s="350">
        <f ca="1">IF('Fertilizer Rate'!M8&gt;0,MIN(N10+N41,Parameters!$C$29)*'Fertilizer Rate'!M90/'Fertilizer Rate'!M8,0)</f>
        <v>6.6799999999999998E-2</v>
      </c>
      <c r="O43" s="350">
        <f ca="1">IF('Fertilizer Rate'!N8&gt;0,MIN(O10+O41,Parameters!$C$29)*'Fertilizer Rate'!N90/'Fertilizer Rate'!N8,0)</f>
        <v>0.12660000000000002</v>
      </c>
      <c r="P43" s="350">
        <f ca="1">IF('Fertilizer Rate'!O8&gt;0,MIN(P10+P41,Parameters!$C$29)*'Fertilizer Rate'!O90/'Fertilizer Rate'!O8,0)</f>
        <v>0.19919999999999999</v>
      </c>
      <c r="Q43" s="350">
        <f ca="1">IF('Fertilizer Rate'!P8&gt;0,MIN(Q10+Q41,Parameters!$C$29)*'Fertilizer Rate'!P90/'Fertilizer Rate'!P8,0)</f>
        <v>0.24900000000000003</v>
      </c>
      <c r="R43" s="350">
        <f ca="1">IF('Fertilizer Rate'!Q8&gt;0,MIN(R10+R41,Parameters!$C$29)*'Fertilizer Rate'!Q90/'Fertilizer Rate'!Q8,0)</f>
        <v>0.19919999999999999</v>
      </c>
      <c r="S43" s="350">
        <f ca="1">IF('Fertilizer Rate'!R8&gt;0,MIN(S10+S41,Parameters!$C$29)*'Fertilizer Rate'!R90/'Fertilizer Rate'!R8,0)</f>
        <v>6.6799999999999984E-2</v>
      </c>
      <c r="T43" s="350">
        <f ca="1">IF('Fertilizer Rate'!S8&gt;0,MIN(T10+T41,Parameters!$C$29)*'Fertilizer Rate'!S90/'Fertilizer Rate'!S8,0)</f>
        <v>6.6799999999999984E-2</v>
      </c>
      <c r="U43" s="350">
        <f ca="1">IF('Fertilizer Rate'!T8&gt;0,MIN(U10+U41,Parameters!$C$29)*'Fertilizer Rate'!T90/'Fertilizer Rate'!T8,0)</f>
        <v>6.6799999999999984E-2</v>
      </c>
      <c r="V43" s="350">
        <f ca="1">IF('Fertilizer Rate'!U8&gt;0,MIN(V10+V41,Parameters!$C$29)*'Fertilizer Rate'!U90/'Fertilizer Rate'!U8,0)</f>
        <v>6.0799999999999986E-2</v>
      </c>
      <c r="W43" s="350">
        <f ca="1">IF('Fertilizer Rate'!V8&gt;0,MIN(W10+W41,Parameters!$C$29)*'Fertilizer Rate'!V90/'Fertilizer Rate'!V8,0)</f>
        <v>0.12660000000000002</v>
      </c>
      <c r="X43" s="350">
        <f ca="1">IF('Fertilizer Rate'!W8&gt;0,MIN(X10+X41,Parameters!$C$29)*'Fertilizer Rate'!W90/'Fertilizer Rate'!W8,0)</f>
        <v>0.19919999999999999</v>
      </c>
      <c r="Y43" s="350">
        <f ca="1">IF('Fertilizer Rate'!X8&gt;0,MIN(Y10+Y41,Parameters!$C$29)*'Fertilizer Rate'!X90/'Fertilizer Rate'!X8,0)</f>
        <v>6.0799999999999986E-2</v>
      </c>
      <c r="Z43" s="350">
        <f ca="1">IF('Fertilizer Rate'!Y8&gt;0,MIN(Z10+Z41,Parameters!$C$29)*'Fertilizer Rate'!Y90/'Fertilizer Rate'!Y8,0)</f>
        <v>8.0999999999999989E-2</v>
      </c>
      <c r="AA43" s="350">
        <f ca="1">IF('Fertilizer Rate'!Z8&gt;0,MIN(AA10+AA41,Parameters!$C$29)*'Fertilizer Rate'!Z90/'Fertilizer Rate'!Z8,0)</f>
        <v>0.24899999999999997</v>
      </c>
      <c r="AB43" s="350">
        <f ca="1">IF('Fertilizer Rate'!AA8&gt;0,MIN(AB10+AB41,Parameters!$C$29)*'Fertilizer Rate'!AA90/'Fertilizer Rate'!AA8,0)</f>
        <v>6.6799999999999984E-2</v>
      </c>
      <c r="AC43" s="350">
        <f ca="1">IF('Fertilizer Rate'!AB8&gt;0,MIN(AC10+AC41,Parameters!$C$29)*'Fertilizer Rate'!AB90/'Fertilizer Rate'!AB8,0)</f>
        <v>5.839999999999998E-2</v>
      </c>
      <c r="AD43" s="350">
        <f ca="1">IF('Fertilizer Rate'!AC8&gt;0,MIN(AD10+AD41,Parameters!$C$29)*'Fertilizer Rate'!AC90/'Fertilizer Rate'!AC8,0)</f>
        <v>6.6799999999999984E-2</v>
      </c>
      <c r="AE43" s="350">
        <f ca="1">IF('Fertilizer Rate'!AD8&gt;0,MIN(AE10+AE41,Parameters!$C$29)*'Fertilizer Rate'!AD90/'Fertilizer Rate'!AD8,0)</f>
        <v>7.2999999999999982E-2</v>
      </c>
      <c r="AF43" s="350">
        <f ca="1">IF('Fertilizer Rate'!AE8&gt;0,MIN(AF10+AF41,Parameters!$C$29)*'Fertilizer Rate'!AE90/'Fertilizer Rate'!AE8,0)</f>
        <v>7.2999999999999982E-2</v>
      </c>
      <c r="AG43" s="350">
        <f ca="1">IF('Fertilizer Rate'!AF8&gt;0,MIN(AG10+AG41,Parameters!$C$29)*'Fertilizer Rate'!AF90/'Fertilizer Rate'!AF8,0)</f>
        <v>7.2999999999999982E-2</v>
      </c>
      <c r="AH43" s="350">
        <f ca="1">IF('Fertilizer Rate'!AG8&gt;0,MIN(AH10+AH41,Parameters!$C$29)*'Fertilizer Rate'!AG90/'Fertilizer Rate'!AG8,0)</f>
        <v>8.0999999999999989E-2</v>
      </c>
      <c r="AI43" s="350">
        <f ca="1">IF('Fertilizer Rate'!AH8&gt;0,MIN(AI10+AI41,Parameters!$C$29)*'Fertilizer Rate'!AH90/'Fertilizer Rate'!AH8,0)</f>
        <v>0.24900000000000003</v>
      </c>
      <c r="AJ43" s="350">
        <f ca="1">IF('Fertilizer Rate'!AI8&gt;0,MIN(AJ10+AJ41,Parameters!$C$29)*'Fertilizer Rate'!AI90/'Fertilizer Rate'!AI8,0)</f>
        <v>0.12659999999999999</v>
      </c>
      <c r="AK43" s="350">
        <f ca="1">IF('Fertilizer Rate'!AJ8&gt;0,MIN(AK10+AK41,Parameters!$C$29)*'Fertilizer Rate'!AJ90/'Fertilizer Rate'!AJ8,0)</f>
        <v>0.19919999999999999</v>
      </c>
      <c r="AL43" s="350">
        <f ca="1">IF('Fertilizer Rate'!AK8&gt;0,MIN(AL10+AL41,Parameters!$C$29)*'Fertilizer Rate'!AK90/'Fertilizer Rate'!AK8,0)</f>
        <v>0.24900000000000005</v>
      </c>
      <c r="AM43" s="350">
        <f ca="1">IF('Fertilizer Rate'!AL8&gt;0,MIN(AM10+AM41,Parameters!$C$29)*'Fertilizer Rate'!AL90/'Fertilizer Rate'!AL8,0)</f>
        <v>0.19919999999999999</v>
      </c>
      <c r="AN43" s="350">
        <f ca="1">IF('Fertilizer Rate'!AM8&gt;0,MIN(AN10+AN41,Parameters!$C$29)*'Fertilizer Rate'!AM90/'Fertilizer Rate'!AM8,0)</f>
        <v>7.2999999999999995E-2</v>
      </c>
      <c r="AO43" s="350">
        <f ca="1">IF('Fertilizer Rate'!AN8&gt;0,MIN(AO10+AO41,Parameters!$C$29)*'Fertilizer Rate'!AN90/'Fertilizer Rate'!AN8,0)</f>
        <v>0.249</v>
      </c>
    </row>
    <row r="44" spans="1:41" s="355" customFormat="1" x14ac:dyDescent="0.25">
      <c r="A44" s="349"/>
      <c r="B44" s="351" t="s">
        <v>651</v>
      </c>
      <c r="C44" s="350">
        <f ca="1">IF('Fertilizer Rate'!B8&gt;0,(C9+C41-MIN(C41,Parameters!$C$29))*'Fertilizer Rate'!B90/'Fertilizer Rate'!B8,0)</f>
        <v>2.7999999999999994E-2</v>
      </c>
      <c r="D44" s="350">
        <f ca="1">IF('Fertilizer Rate'!C8&gt;0,(D9+D41-MIN(D41,Parameters!$C$29))*'Fertilizer Rate'!C90/'Fertilizer Rate'!C8,0)</f>
        <v>2.7999999999999994E-2</v>
      </c>
      <c r="E44" s="350">
        <f ca="1">IF('Fertilizer Rate'!D8&gt;0,(E9+E41-MIN(E41,Parameters!$C$29))*'Fertilizer Rate'!D90/'Fertilizer Rate'!D8,0)</f>
        <v>4.7999999999999987E-2</v>
      </c>
      <c r="F44" s="350">
        <f ca="1">IF('Fertilizer Rate'!E8&gt;0,(F9+F41-MIN(F41,Parameters!$C$29))*'Fertilizer Rate'!E90/'Fertilizer Rate'!E8,0)</f>
        <v>2.8000000000000001E-2</v>
      </c>
      <c r="G44" s="350">
        <f ca="1">IF('Fertilizer Rate'!F8&gt;0,(G9+G41-MIN(G41,Parameters!$C$29))*'Fertilizer Rate'!F90/'Fertilizer Rate'!F8,0)</f>
        <v>0.13800000000000001</v>
      </c>
      <c r="H44" s="350">
        <f ca="1">IF('Fertilizer Rate'!G8&gt;0,(H9+H41-MIN(H41,Parameters!$C$29))*'Fertilizer Rate'!G90/'Fertilizer Rate'!G8,0)</f>
        <v>4.3999999999999984E-2</v>
      </c>
      <c r="I44" s="350">
        <f ca="1">IF('Fertilizer Rate'!H8&gt;0,(I9+I41-MIN(I41,Parameters!$C$29))*'Fertilizer Rate'!H90/'Fertilizer Rate'!H8,0)</f>
        <v>2.7999999999999997E-2</v>
      </c>
      <c r="J44" s="350">
        <f ca="1">IF('Fertilizer Rate'!I8&gt;0,(J9+J41-MIN(J41,Parameters!$C$29))*'Fertilizer Rate'!I90/'Fertilizer Rate'!I8,0)</f>
        <v>0.13799999999999998</v>
      </c>
      <c r="K44" s="350">
        <f ca="1">IF('Fertilizer Rate'!J8&gt;0,(K9+K41-MIN(K41,Parameters!$C$29))*'Fertilizer Rate'!J90/'Fertilizer Rate'!J8,0)</f>
        <v>0.13800000000000004</v>
      </c>
      <c r="L44" s="350">
        <f ca="1">IF('Fertilizer Rate'!K8&gt;0,(L9+L41-MIN(L41,Parameters!$C$29))*'Fertilizer Rate'!K90/'Fertilizer Rate'!K8,0)</f>
        <v>0.26400000000000001</v>
      </c>
      <c r="M44" s="350">
        <f ca="1">IF('Fertilizer Rate'!L8&gt;0,(M9+M41-MIN(M41,Parameters!$C$29))*'Fertilizer Rate'!L90/'Fertilizer Rate'!L8,0)</f>
        <v>4.3999999999999984E-2</v>
      </c>
      <c r="N44" s="350">
        <f ca="1">IF('Fertilizer Rate'!M8&gt;0,(N9+N41-MIN(N41,Parameters!$C$29))*'Fertilizer Rate'!M90/'Fertilizer Rate'!M8,0)</f>
        <v>4.3999999999999991E-2</v>
      </c>
      <c r="O44" s="350">
        <f ca="1">IF('Fertilizer Rate'!N8&gt;0,(O9+O41-MIN(O41,Parameters!$C$29))*'Fertilizer Rate'!N90/'Fertilizer Rate'!N8,0)</f>
        <v>0.13799999999999998</v>
      </c>
      <c r="P44" s="350">
        <f ca="1">IF('Fertilizer Rate'!O8&gt;0,(P9+P41-MIN(P41,Parameters!$C$29))*'Fertilizer Rate'!O90/'Fertilizer Rate'!O8,0)</f>
        <v>0.26400000000000001</v>
      </c>
      <c r="Q44" s="350">
        <f ca="1">IF('Fertilizer Rate'!P8&gt;0,(Q9+Q41-MIN(Q41,Parameters!$C$29))*'Fertilizer Rate'!P90/'Fertilizer Rate'!P8,0)</f>
        <v>0.14399999999999999</v>
      </c>
      <c r="R44" s="350">
        <f ca="1">IF('Fertilizer Rate'!Q8&gt;0,(R9+R41-MIN(R41,Parameters!$C$29))*'Fertilizer Rate'!Q90/'Fertilizer Rate'!Q8,0)</f>
        <v>0.26400000000000001</v>
      </c>
      <c r="S44" s="350">
        <f ca="1">IF('Fertilizer Rate'!R8&gt;0,(S9+S41-MIN(S41,Parameters!$C$29))*'Fertilizer Rate'!R90/'Fertilizer Rate'!R8,0)</f>
        <v>4.3999999999999984E-2</v>
      </c>
      <c r="T44" s="350">
        <f ca="1">IF('Fertilizer Rate'!S8&gt;0,(T9+T41-MIN(T41,Parameters!$C$29))*'Fertilizer Rate'!S90/'Fertilizer Rate'!S8,0)</f>
        <v>4.3999999999999991E-2</v>
      </c>
      <c r="U44" s="350">
        <f ca="1">IF('Fertilizer Rate'!T8&gt;0,(U9+U41-MIN(U41,Parameters!$C$29))*'Fertilizer Rate'!T90/'Fertilizer Rate'!T8,0)</f>
        <v>4.3999999999999984E-2</v>
      </c>
      <c r="V44" s="350">
        <f ca="1">IF('Fertilizer Rate'!U8&gt;0,(V9+V41-MIN(V41,Parameters!$C$29))*'Fertilizer Rate'!U90/'Fertilizer Rate'!U8,0)</f>
        <v>8.7999999999999981E-2</v>
      </c>
      <c r="W44" s="350">
        <f ca="1">IF('Fertilizer Rate'!V8&gt;0,(W9+W41-MIN(W41,Parameters!$C$29))*'Fertilizer Rate'!V90/'Fertilizer Rate'!V8,0)</f>
        <v>0.13799999999999998</v>
      </c>
      <c r="X44" s="350">
        <f ca="1">IF('Fertilizer Rate'!W8&gt;0,(X9+X41-MIN(X41,Parameters!$C$29))*'Fertilizer Rate'!W90/'Fertilizer Rate'!W8,0)</f>
        <v>0.26399999999999996</v>
      </c>
      <c r="Y44" s="350">
        <f ca="1">IF('Fertilizer Rate'!X8&gt;0,(Y9+Y41-MIN(Y41,Parameters!$C$29))*'Fertilizer Rate'!X90/'Fertilizer Rate'!X8,0)</f>
        <v>8.7999999999999981E-2</v>
      </c>
      <c r="Z44" s="350">
        <f ca="1">IF('Fertilizer Rate'!Y8&gt;0,(Z9+Z41-MIN(Z41,Parameters!$C$29))*'Fertilizer Rate'!Y90/'Fertilizer Rate'!Y8,0)</f>
        <v>4.799999999999998E-2</v>
      </c>
      <c r="AA44" s="350">
        <f ca="1">IF('Fertilizer Rate'!Z8&gt;0,(AA9+AA41-MIN(AA41,Parameters!$C$29))*'Fertilizer Rate'!Z90/'Fertilizer Rate'!Z8,0)</f>
        <v>0.12000000000000001</v>
      </c>
      <c r="AB44" s="350">
        <f ca="1">IF('Fertilizer Rate'!AA8&gt;0,(AB9+AB41-MIN(AB41,Parameters!$C$29))*'Fertilizer Rate'!AA90/'Fertilizer Rate'!AA8,0)</f>
        <v>4.3999999999999991E-2</v>
      </c>
      <c r="AC44" s="350">
        <f ca="1">IF('Fertilizer Rate'!AB8&gt;0,(AC9+AC41-MIN(AC41,Parameters!$C$29))*'Fertilizer Rate'!AB90/'Fertilizer Rate'!AB8,0)</f>
        <v>2.7999999999999997E-2</v>
      </c>
      <c r="AD44" s="350">
        <f ca="1">IF('Fertilizer Rate'!AC8&gt;0,(AD9+AD41-MIN(AD41,Parameters!$C$29))*'Fertilizer Rate'!AC90/'Fertilizer Rate'!AC8,0)</f>
        <v>4.3999999999999984E-2</v>
      </c>
      <c r="AE44" s="350">
        <f ca="1">IF('Fertilizer Rate'!AD8&gt;0,(AE9+AE41-MIN(AE41,Parameters!$C$29))*'Fertilizer Rate'!AD90/'Fertilizer Rate'!AD8,0)</f>
        <v>3.9999999999999994E-2</v>
      </c>
      <c r="AF44" s="350">
        <f ca="1">IF('Fertilizer Rate'!AE8&gt;0,(AF9+AF41-MIN(AF41,Parameters!$C$29))*'Fertilizer Rate'!AE90/'Fertilizer Rate'!AE8,0)</f>
        <v>3.9999999999999987E-2</v>
      </c>
      <c r="AG44" s="350">
        <f ca="1">IF('Fertilizer Rate'!AF8&gt;0,(AG9+AG41-MIN(AG41,Parameters!$C$29))*'Fertilizer Rate'!AF90/'Fertilizer Rate'!AF8,0)</f>
        <v>3.9999999999999994E-2</v>
      </c>
      <c r="AH44" s="350">
        <f ca="1">IF('Fertilizer Rate'!AG8&gt;0,(AH9+AH41-MIN(AH41,Parameters!$C$29))*'Fertilizer Rate'!AG90/'Fertilizer Rate'!AG8,0)</f>
        <v>4.7999999999999987E-2</v>
      </c>
      <c r="AI44" s="350">
        <f ca="1">IF('Fertilizer Rate'!AH8&gt;0,(AI9+AI41-MIN(AI41,Parameters!$C$29))*'Fertilizer Rate'!AH90/'Fertilizer Rate'!AH8,0)</f>
        <v>0.12000000000000001</v>
      </c>
      <c r="AJ44" s="350">
        <f ca="1">IF('Fertilizer Rate'!AI8&gt;0,(AJ9+AJ41-MIN(AJ41,Parameters!$C$29))*'Fertilizer Rate'!AI90/'Fertilizer Rate'!AI8,0)</f>
        <v>0.13799999999999996</v>
      </c>
      <c r="AK44" s="350">
        <f ca="1">IF('Fertilizer Rate'!AJ8&gt;0,(AK9+AK41-MIN(AK41,Parameters!$C$29))*'Fertilizer Rate'!AJ90/'Fertilizer Rate'!AJ8,0)</f>
        <v>0.26400000000000001</v>
      </c>
      <c r="AL44" s="350">
        <f ca="1">IF('Fertilizer Rate'!AK8&gt;0,(AL9+AL41-MIN(AL41,Parameters!$C$29))*'Fertilizer Rate'!AK90/'Fertilizer Rate'!AK8,0)</f>
        <v>0.14399999999999999</v>
      </c>
      <c r="AM44" s="350">
        <f ca="1">IF('Fertilizer Rate'!AL8&gt;0,(AM9+AM41-MIN(AM41,Parameters!$C$29))*'Fertilizer Rate'!AL90/'Fertilizer Rate'!AL8,0)</f>
        <v>0.26400000000000001</v>
      </c>
      <c r="AN44" s="350">
        <f ca="1">IF('Fertilizer Rate'!AM8&gt;0,(AN9+AN41-MIN(AN41,Parameters!$C$29))*'Fertilizer Rate'!AM90/'Fertilizer Rate'!AM8,0)</f>
        <v>3.9999999999999994E-2</v>
      </c>
      <c r="AO44" s="350">
        <f ca="1">IF('Fertilizer Rate'!AN8&gt;0,(AO9+AO41-MIN(AO41,Parameters!$C$29))*'Fertilizer Rate'!AN90/'Fertilizer Rate'!AN8,0)</f>
        <v>0.12000000000000001</v>
      </c>
    </row>
    <row r="45" spans="1:41" s="357" customFormat="1" x14ac:dyDescent="0.25">
      <c r="A45" s="354"/>
      <c r="B45" s="356" t="s">
        <v>656</v>
      </c>
      <c r="C45" s="354">
        <f ca="1">SUM(C42:C44)</f>
        <v>8.8399999999999979E-2</v>
      </c>
      <c r="D45" s="354">
        <f t="shared" ref="D45:AO45" ca="1" si="16">SUM(D42:D44)</f>
        <v>8.8399999999999979E-2</v>
      </c>
      <c r="E45" s="354">
        <f t="shared" ca="1" si="16"/>
        <v>0.13399999999999998</v>
      </c>
      <c r="F45" s="354">
        <f t="shared" ca="1" si="16"/>
        <v>8.8399999999999992E-2</v>
      </c>
      <c r="G45" s="354">
        <f t="shared" ca="1" si="16"/>
        <v>0.34560000000000002</v>
      </c>
      <c r="H45" s="354">
        <f t="shared" ca="1" si="16"/>
        <v>0.12479999999999997</v>
      </c>
      <c r="I45" s="354">
        <f t="shared" ca="1" si="16"/>
        <v>8.8399999999999979E-2</v>
      </c>
      <c r="J45" s="354">
        <f t="shared" ca="1" si="16"/>
        <v>0.34560000000000002</v>
      </c>
      <c r="K45" s="354">
        <f t="shared" ca="1" si="16"/>
        <v>0.34560000000000007</v>
      </c>
      <c r="L45" s="354">
        <f t="shared" ca="1" si="16"/>
        <v>0.50519999999999998</v>
      </c>
      <c r="M45" s="354">
        <f t="shared" ca="1" si="16"/>
        <v>0.12479999999999997</v>
      </c>
      <c r="N45" s="354">
        <f t="shared" ca="1" si="16"/>
        <v>0.12479999999999999</v>
      </c>
      <c r="O45" s="354">
        <f t="shared" ca="1" si="16"/>
        <v>0.34560000000000002</v>
      </c>
      <c r="P45" s="354">
        <f t="shared" ca="1" si="16"/>
        <v>0.50519999999999998</v>
      </c>
      <c r="Q45" s="354">
        <f t="shared" ca="1" si="16"/>
        <v>0.40800000000000003</v>
      </c>
      <c r="R45" s="354">
        <f t="shared" ca="1" si="16"/>
        <v>0.50519999999999998</v>
      </c>
      <c r="S45" s="354">
        <f t="shared" ca="1" si="16"/>
        <v>0.12479999999999997</v>
      </c>
      <c r="T45" s="354">
        <f t="shared" ca="1" si="16"/>
        <v>0.12479999999999997</v>
      </c>
      <c r="U45" s="354">
        <f t="shared" ca="1" si="16"/>
        <v>0.12479999999999997</v>
      </c>
      <c r="V45" s="354">
        <f t="shared" ca="1" si="16"/>
        <v>0.16279999999999997</v>
      </c>
      <c r="W45" s="354">
        <f t="shared" ca="1" si="16"/>
        <v>0.34560000000000002</v>
      </c>
      <c r="X45" s="354">
        <f t="shared" ca="1" si="16"/>
        <v>0.50519999999999998</v>
      </c>
      <c r="Y45" s="354">
        <f t="shared" ca="1" si="16"/>
        <v>0.16279999999999994</v>
      </c>
      <c r="Z45" s="354">
        <f t="shared" ca="1" si="16"/>
        <v>0.13399999999999998</v>
      </c>
      <c r="AA45" s="354">
        <f t="shared" ca="1" si="16"/>
        <v>0.44399999999999995</v>
      </c>
      <c r="AB45" s="354">
        <f t="shared" ca="1" si="16"/>
        <v>0.12479999999999997</v>
      </c>
      <c r="AC45" s="354">
        <f t="shared" ca="1" si="16"/>
        <v>8.8399999999999979E-2</v>
      </c>
      <c r="AD45" s="354">
        <f t="shared" ca="1" si="16"/>
        <v>0.12479999999999997</v>
      </c>
      <c r="AE45" s="354">
        <f t="shared" ca="1" si="16"/>
        <v>0.13799999999999996</v>
      </c>
      <c r="AF45" s="354">
        <f t="shared" ca="1" si="16"/>
        <v>0.13799999999999996</v>
      </c>
      <c r="AG45" s="354">
        <f t="shared" ca="1" si="16"/>
        <v>0.13799999999999996</v>
      </c>
      <c r="AH45" s="354">
        <f t="shared" ca="1" si="16"/>
        <v>0.13399999999999998</v>
      </c>
      <c r="AI45" s="354">
        <f t="shared" ca="1" si="16"/>
        <v>0.44400000000000001</v>
      </c>
      <c r="AJ45" s="354">
        <f t="shared" ca="1" si="16"/>
        <v>0.34559999999999996</v>
      </c>
      <c r="AK45" s="354">
        <f t="shared" ca="1" si="16"/>
        <v>0.50519999999999998</v>
      </c>
      <c r="AL45" s="354">
        <f t="shared" ca="1" si="16"/>
        <v>0.40800000000000003</v>
      </c>
      <c r="AM45" s="354">
        <f t="shared" ca="1" si="16"/>
        <v>0.50519999999999998</v>
      </c>
      <c r="AN45" s="354">
        <f t="shared" ca="1" si="16"/>
        <v>0.13799999999999998</v>
      </c>
      <c r="AO45" s="354">
        <f t="shared" ca="1" si="16"/>
        <v>0.44400000000000001</v>
      </c>
    </row>
    <row r="46" spans="1:41" s="357" customFormat="1" x14ac:dyDescent="0.25">
      <c r="A46" s="354"/>
      <c r="B46" s="356" t="s">
        <v>655</v>
      </c>
      <c r="C46" s="354">
        <f ca="1">IF(C45&gt;0,C42/C45,0)</f>
        <v>2.2624434389140271E-2</v>
      </c>
      <c r="D46" s="354">
        <f t="shared" ref="D46:AO46" ca="1" si="17">IF(D45&gt;0,D42/D45,0)</f>
        <v>2.2624434389140271E-2</v>
      </c>
      <c r="E46" s="354">
        <f t="shared" ca="1" si="17"/>
        <v>3.7313432835820892E-2</v>
      </c>
      <c r="F46" s="354">
        <f t="shared" ca="1" si="17"/>
        <v>2.2624434389140267E-2</v>
      </c>
      <c r="G46" s="354">
        <f t="shared" ca="1" si="17"/>
        <v>0.234375</v>
      </c>
      <c r="H46" s="354">
        <f t="shared" ca="1" si="17"/>
        <v>0.1121794871794872</v>
      </c>
      <c r="I46" s="354">
        <f t="shared" ca="1" si="17"/>
        <v>2.2624434389140271E-2</v>
      </c>
      <c r="J46" s="354">
        <f t="shared" ca="1" si="17"/>
        <v>0.234375</v>
      </c>
      <c r="K46" s="354">
        <f t="shared" ca="1" si="17"/>
        <v>0.234375</v>
      </c>
      <c r="L46" s="354">
        <f t="shared" ca="1" si="17"/>
        <v>8.3135391923990498E-2</v>
      </c>
      <c r="M46" s="354">
        <f t="shared" ca="1" si="17"/>
        <v>0.1121794871794872</v>
      </c>
      <c r="N46" s="354">
        <f t="shared" ca="1" si="17"/>
        <v>0.11217948717948717</v>
      </c>
      <c r="O46" s="354">
        <f t="shared" ca="1" si="17"/>
        <v>0.234375</v>
      </c>
      <c r="P46" s="354">
        <f t="shared" ca="1" si="17"/>
        <v>8.3135391923990512E-2</v>
      </c>
      <c r="Q46" s="354">
        <f t="shared" ca="1" si="17"/>
        <v>3.6764705882352942E-2</v>
      </c>
      <c r="R46" s="354">
        <f t="shared" ca="1" si="17"/>
        <v>8.3135391923990526E-2</v>
      </c>
      <c r="S46" s="354">
        <f t="shared" ca="1" si="17"/>
        <v>0.1121794871794872</v>
      </c>
      <c r="T46" s="354">
        <f t="shared" ca="1" si="17"/>
        <v>0.1121794871794872</v>
      </c>
      <c r="U46" s="354">
        <f t="shared" ca="1" si="17"/>
        <v>0.1121794871794872</v>
      </c>
      <c r="V46" s="354">
        <f t="shared" ca="1" si="17"/>
        <v>8.5995085995086012E-2</v>
      </c>
      <c r="W46" s="354">
        <f t="shared" ca="1" si="17"/>
        <v>0.234375</v>
      </c>
      <c r="X46" s="354">
        <f t="shared" ca="1" si="17"/>
        <v>8.3135391923990526E-2</v>
      </c>
      <c r="Y46" s="354">
        <f t="shared" ca="1" si="17"/>
        <v>8.5995085995085999E-2</v>
      </c>
      <c r="Z46" s="354">
        <f t="shared" ca="1" si="17"/>
        <v>3.7313432835820892E-2</v>
      </c>
      <c r="AA46" s="354">
        <f t="shared" ca="1" si="17"/>
        <v>0.16891891891891889</v>
      </c>
      <c r="AB46" s="354">
        <f t="shared" ca="1" si="17"/>
        <v>0.11217948717948718</v>
      </c>
      <c r="AC46" s="354">
        <f t="shared" ca="1" si="17"/>
        <v>2.2624434389140271E-2</v>
      </c>
      <c r="AD46" s="354">
        <f t="shared" ca="1" si="17"/>
        <v>0.1121794871794872</v>
      </c>
      <c r="AE46" s="354">
        <f t="shared" ca="1" si="17"/>
        <v>0.1811594202898551</v>
      </c>
      <c r="AF46" s="354">
        <f t="shared" ca="1" si="17"/>
        <v>0.1811594202898551</v>
      </c>
      <c r="AG46" s="354">
        <f t="shared" ca="1" si="17"/>
        <v>0.1811594202898551</v>
      </c>
      <c r="AH46" s="354">
        <f t="shared" ca="1" si="17"/>
        <v>3.7313432835820892E-2</v>
      </c>
      <c r="AI46" s="354">
        <f t="shared" ca="1" si="17"/>
        <v>0.16891891891891891</v>
      </c>
      <c r="AJ46" s="354">
        <f t="shared" ca="1" si="17"/>
        <v>0.23437500000000003</v>
      </c>
      <c r="AK46" s="354">
        <f t="shared" ca="1" si="17"/>
        <v>8.3135391923990512E-2</v>
      </c>
      <c r="AL46" s="354">
        <f t="shared" ca="1" si="17"/>
        <v>3.6764705882352942E-2</v>
      </c>
      <c r="AM46" s="354">
        <f t="shared" ca="1" si="17"/>
        <v>8.3135391923990526E-2</v>
      </c>
      <c r="AN46" s="354">
        <f t="shared" ca="1" si="17"/>
        <v>0.18115942028985507</v>
      </c>
      <c r="AO46" s="354">
        <f t="shared" ca="1" si="17"/>
        <v>0.16891891891891891</v>
      </c>
    </row>
    <row r="47" spans="1:41" s="355" customFormat="1" x14ac:dyDescent="0.25">
      <c r="B47" s="356" t="s">
        <v>649</v>
      </c>
      <c r="C47" s="354">
        <f ca="1">1-C45</f>
        <v>0.91159999999999997</v>
      </c>
      <c r="D47" s="354">
        <f t="shared" ref="D47:AO47" ca="1" si="18">1-D45</f>
        <v>0.91159999999999997</v>
      </c>
      <c r="E47" s="354">
        <f t="shared" ca="1" si="18"/>
        <v>0.86599999999999999</v>
      </c>
      <c r="F47" s="354">
        <f t="shared" ca="1" si="18"/>
        <v>0.91159999999999997</v>
      </c>
      <c r="G47" s="354">
        <f t="shared" ca="1" si="18"/>
        <v>0.65439999999999998</v>
      </c>
      <c r="H47" s="354">
        <f t="shared" ca="1" si="18"/>
        <v>0.87519999999999998</v>
      </c>
      <c r="I47" s="354">
        <f t="shared" ca="1" si="18"/>
        <v>0.91159999999999997</v>
      </c>
      <c r="J47" s="354">
        <f t="shared" ca="1" si="18"/>
        <v>0.65439999999999998</v>
      </c>
      <c r="K47" s="354">
        <f t="shared" ca="1" si="18"/>
        <v>0.65439999999999987</v>
      </c>
      <c r="L47" s="354">
        <f t="shared" ca="1" si="18"/>
        <v>0.49480000000000002</v>
      </c>
      <c r="M47" s="354">
        <f t="shared" ca="1" si="18"/>
        <v>0.87519999999999998</v>
      </c>
      <c r="N47" s="354">
        <f t="shared" ca="1" si="18"/>
        <v>0.87519999999999998</v>
      </c>
      <c r="O47" s="354">
        <f t="shared" ca="1" si="18"/>
        <v>0.65439999999999998</v>
      </c>
      <c r="P47" s="354">
        <f t="shared" ca="1" si="18"/>
        <v>0.49480000000000002</v>
      </c>
      <c r="Q47" s="354">
        <f t="shared" ca="1" si="18"/>
        <v>0.59199999999999997</v>
      </c>
      <c r="R47" s="354">
        <f t="shared" ca="1" si="18"/>
        <v>0.49480000000000002</v>
      </c>
      <c r="S47" s="354">
        <f t="shared" ca="1" si="18"/>
        <v>0.87519999999999998</v>
      </c>
      <c r="T47" s="354">
        <f t="shared" ca="1" si="18"/>
        <v>0.87519999999999998</v>
      </c>
      <c r="U47" s="354">
        <f t="shared" ca="1" si="18"/>
        <v>0.87519999999999998</v>
      </c>
      <c r="V47" s="354">
        <f t="shared" ca="1" si="18"/>
        <v>0.83720000000000006</v>
      </c>
      <c r="W47" s="354">
        <f t="shared" ca="1" si="18"/>
        <v>0.65439999999999998</v>
      </c>
      <c r="X47" s="354">
        <f t="shared" ca="1" si="18"/>
        <v>0.49480000000000002</v>
      </c>
      <c r="Y47" s="354">
        <f t="shared" ca="1" si="18"/>
        <v>0.83720000000000006</v>
      </c>
      <c r="Z47" s="354">
        <f t="shared" ca="1" si="18"/>
        <v>0.86599999999999999</v>
      </c>
      <c r="AA47" s="354">
        <f t="shared" ca="1" si="18"/>
        <v>0.55600000000000005</v>
      </c>
      <c r="AB47" s="354">
        <f t="shared" ca="1" si="18"/>
        <v>0.87519999999999998</v>
      </c>
      <c r="AC47" s="354">
        <f t="shared" ca="1" si="18"/>
        <v>0.91159999999999997</v>
      </c>
      <c r="AD47" s="354">
        <f t="shared" ca="1" si="18"/>
        <v>0.87519999999999998</v>
      </c>
      <c r="AE47" s="354">
        <f t="shared" ca="1" si="18"/>
        <v>0.8620000000000001</v>
      </c>
      <c r="AF47" s="354">
        <f t="shared" ca="1" si="18"/>
        <v>0.8620000000000001</v>
      </c>
      <c r="AG47" s="354">
        <f t="shared" ca="1" si="18"/>
        <v>0.8620000000000001</v>
      </c>
      <c r="AH47" s="354">
        <f t="shared" ca="1" si="18"/>
        <v>0.86599999999999999</v>
      </c>
      <c r="AI47" s="354">
        <f t="shared" ca="1" si="18"/>
        <v>0.55600000000000005</v>
      </c>
      <c r="AJ47" s="354">
        <f t="shared" ca="1" si="18"/>
        <v>0.65440000000000009</v>
      </c>
      <c r="AK47" s="354">
        <f t="shared" ca="1" si="18"/>
        <v>0.49480000000000002</v>
      </c>
      <c r="AL47" s="354">
        <f t="shared" ca="1" si="18"/>
        <v>0.59199999999999997</v>
      </c>
      <c r="AM47" s="354">
        <f t="shared" ca="1" si="18"/>
        <v>0.49480000000000002</v>
      </c>
      <c r="AN47" s="354">
        <f t="shared" ca="1" si="18"/>
        <v>0.86199999999999999</v>
      </c>
      <c r="AO47" s="354">
        <f t="shared" ca="1" si="18"/>
        <v>0.55600000000000005</v>
      </c>
    </row>
    <row r="48" spans="1:41" x14ac:dyDescent="0.25">
      <c r="A48" s="21" t="s">
        <v>186</v>
      </c>
      <c r="B48" s="312" t="s">
        <v>654</v>
      </c>
      <c r="C48" s="354">
        <f ca="1">IFERROR(C16*Main!$C$162*'Fertilizer Rate'!B91/'Fertilizer Rate'!B9,0)</f>
        <v>1.1999999999999999E-2</v>
      </c>
      <c r="D48" s="354">
        <f ca="1">IFERROR(D16*Main!$C$162*'Fertilizer Rate'!C91/'Fertilizer Rate'!C9,0)</f>
        <v>1.2E-2</v>
      </c>
      <c r="E48" s="354">
        <f ca="1">IFERROR(E16*Main!$C$162*'Fertilizer Rate'!D91/'Fertilizer Rate'!D9,0)</f>
        <v>5.9999999999999984E-3</v>
      </c>
      <c r="F48" s="354">
        <f ca="1">IFERROR(F16*Main!$C$162*'Fertilizer Rate'!E91/'Fertilizer Rate'!E9,0)</f>
        <v>3.9999999999999992E-3</v>
      </c>
      <c r="G48" s="354">
        <f ca="1">IFERROR(G16*Main!$C$162*'Fertilizer Rate'!F91/'Fertilizer Rate'!F9,0)</f>
        <v>2.1000000000000001E-2</v>
      </c>
      <c r="H48" s="354">
        <f ca="1">IFERROR(H16*Main!$C$162*'Fertilizer Rate'!G91/'Fertilizer Rate'!G9,0)</f>
        <v>1.7999999999999995E-2</v>
      </c>
      <c r="I48" s="354">
        <f ca="1">IFERROR(I16*Main!$C$162*'Fertilizer Rate'!H91/'Fertilizer Rate'!H9,0)</f>
        <v>1.2E-2</v>
      </c>
      <c r="J48" s="354">
        <f ca="1">IFERROR(J16*Main!$C$162*'Fertilizer Rate'!I91/'Fertilizer Rate'!I9,0)</f>
        <v>2.1000000000000001E-2</v>
      </c>
      <c r="K48" s="354">
        <f ca="1">IFERROR(K16*Main!$C$162*'Fertilizer Rate'!J91/'Fertilizer Rate'!J9,0)</f>
        <v>2.1000000000000001E-2</v>
      </c>
      <c r="L48" s="354">
        <f ca="1">IFERROR(L16*Main!$C$162*'Fertilizer Rate'!K91/'Fertilizer Rate'!K9,0)</f>
        <v>1.8000000000000002E-2</v>
      </c>
      <c r="M48" s="354">
        <f ca="1">IFERROR(M16*Main!$C$162*'Fertilizer Rate'!L91/'Fertilizer Rate'!L9,0)</f>
        <v>1.7999999999999995E-2</v>
      </c>
      <c r="N48" s="354">
        <f ca="1">IFERROR(N16*Main!$C$162*'Fertilizer Rate'!M91/'Fertilizer Rate'!M9,0)</f>
        <v>1.7999999999999999E-2</v>
      </c>
      <c r="O48" s="354">
        <f ca="1">IFERROR(O16*Main!$C$162*'Fertilizer Rate'!N91/'Fertilizer Rate'!N9,0)</f>
        <v>2.0999999999999998E-2</v>
      </c>
      <c r="P48" s="354">
        <f ca="1">IFERROR(P16*Main!$C$162*'Fertilizer Rate'!O91/'Fertilizer Rate'!O9,0)</f>
        <v>1.7999999999999995E-2</v>
      </c>
      <c r="Q48" s="354">
        <f ca="1">IFERROR(Q16*Main!$C$162*'Fertilizer Rate'!P91/'Fertilizer Rate'!P9,0)</f>
        <v>1.7999999999999999E-2</v>
      </c>
      <c r="R48" s="354">
        <f ca="1">IFERROR(R16*Main!$C$162*'Fertilizer Rate'!Q91/'Fertilizer Rate'!Q9,0)</f>
        <v>1.7999999999999999E-2</v>
      </c>
      <c r="S48" s="354">
        <f ca="1">IFERROR(S16*Main!$C$162*'Fertilizer Rate'!R91/'Fertilizer Rate'!R9,0)</f>
        <v>1.7999999999999995E-2</v>
      </c>
      <c r="T48" s="354">
        <f ca="1">IFERROR(T16*Main!$C$162*'Fertilizer Rate'!S91/'Fertilizer Rate'!S9,0)</f>
        <v>1.7999999999999999E-2</v>
      </c>
      <c r="U48" s="354">
        <f ca="1">IFERROR(U16*Main!$C$162*'Fertilizer Rate'!T91/'Fertilizer Rate'!T9,0)</f>
        <v>1.7999999999999999E-2</v>
      </c>
      <c r="V48" s="354">
        <f ca="1">IFERROR(V16*Main!$C$162*'Fertilizer Rate'!U91/'Fertilizer Rate'!U9,0)</f>
        <v>1.7999999999999999E-2</v>
      </c>
      <c r="W48" s="354">
        <f ca="1">IFERROR(W16*Main!$C$162*'Fertilizer Rate'!V91/'Fertilizer Rate'!V9,0)</f>
        <v>2.1000000000000001E-2</v>
      </c>
      <c r="X48" s="354">
        <f ca="1">IFERROR(X16*Main!$C$162*'Fertilizer Rate'!W91/'Fertilizer Rate'!W9,0)</f>
        <v>1.8000000000000002E-2</v>
      </c>
      <c r="Y48" s="354">
        <f ca="1">IFERROR(Y16*Main!$C$162*'Fertilizer Rate'!X91/'Fertilizer Rate'!X9,0)</f>
        <v>1.7999999999999999E-2</v>
      </c>
      <c r="Z48" s="354">
        <f ca="1">IFERROR(Z16*Main!$C$162*'Fertilizer Rate'!Y91/'Fertilizer Rate'!Y9,0)</f>
        <v>1.7999999999999999E-2</v>
      </c>
      <c r="AA48" s="354">
        <f ca="1">IFERROR(AA16*Main!$C$162*'Fertilizer Rate'!Z91/'Fertilizer Rate'!Z9,0)</f>
        <v>1.4999999999999999E-2</v>
      </c>
      <c r="AB48" s="354">
        <f ca="1">IFERROR(AB16*Main!$C$162*'Fertilizer Rate'!AA91/'Fertilizer Rate'!AA9,0)</f>
        <v>1.7999999999999999E-2</v>
      </c>
      <c r="AC48" s="354">
        <f ca="1">IFERROR(AC16*Main!$C$162*'Fertilizer Rate'!AB91/'Fertilizer Rate'!AB9,0)</f>
        <v>1.2E-2</v>
      </c>
      <c r="AD48" s="354">
        <f ca="1">IFERROR(AD16*Main!$C$162*'Fertilizer Rate'!AC91/'Fertilizer Rate'!AC9,0)</f>
        <v>1.7999999999999999E-2</v>
      </c>
      <c r="AE48" s="354">
        <f ca="1">IFERROR(AE16*Main!$C$162*'Fertilizer Rate'!AD91/'Fertilizer Rate'!AD9,0)</f>
        <v>1.5000000000000001E-2</v>
      </c>
      <c r="AF48" s="354">
        <f ca="1">IFERROR(AF16*Main!$C$162*'Fertilizer Rate'!AE91/'Fertilizer Rate'!AE9,0)</f>
        <v>1.5000000000000003E-2</v>
      </c>
      <c r="AG48" s="354">
        <f ca="1">IFERROR(AG16*Main!$C$162*'Fertilizer Rate'!AF91/'Fertilizer Rate'!AF9,0)</f>
        <v>1.4999999999999998E-2</v>
      </c>
      <c r="AH48" s="354">
        <f ca="1">IFERROR(AH16*Main!$C$162*'Fertilizer Rate'!AG91/'Fertilizer Rate'!AG9,0)</f>
        <v>5.9999999999999993E-3</v>
      </c>
      <c r="AI48" s="354">
        <f ca="1">IFERROR(AI16*Main!$C$162*'Fertilizer Rate'!AH91/'Fertilizer Rate'!AH9,0)</f>
        <v>1.5000000000000001E-2</v>
      </c>
      <c r="AJ48" s="354">
        <f ca="1">IFERROR(AJ16*Main!$C$162*'Fertilizer Rate'!AI91/'Fertilizer Rate'!AI9,0)</f>
        <v>2.1000000000000001E-2</v>
      </c>
      <c r="AK48" s="354">
        <f ca="1">IFERROR(AK16*Main!$C$162*'Fertilizer Rate'!AJ91/'Fertilizer Rate'!AJ9,0)</f>
        <v>1.7999999999999999E-2</v>
      </c>
      <c r="AL48" s="354">
        <f ca="1">IFERROR(AL16*Main!$C$162*'Fertilizer Rate'!AK91/'Fertilizer Rate'!AK9,0)</f>
        <v>1.8000000000000002E-2</v>
      </c>
      <c r="AM48" s="354">
        <f ca="1">IFERROR(AM16*Main!$C$162*'Fertilizer Rate'!AL91/'Fertilizer Rate'!AL9,0)</f>
        <v>1.7999999999999999E-2</v>
      </c>
      <c r="AN48" s="354">
        <f ca="1">IFERROR(AN16*Main!$C$162*'Fertilizer Rate'!AM91/'Fertilizer Rate'!AM9,0)</f>
        <v>1.4999999999999999E-2</v>
      </c>
      <c r="AO48" s="354">
        <f ca="1">IFERROR(AO16*Main!$C$162*'Fertilizer Rate'!AN91/'Fertilizer Rate'!AN9,0)</f>
        <v>1.5000000000000001E-2</v>
      </c>
    </row>
    <row r="49" spans="1:42" x14ac:dyDescent="0.25">
      <c r="B49" s="353" t="s">
        <v>653</v>
      </c>
      <c r="C49" s="352">
        <f ca="1">IFERROR(C16*(1-Main!$C$162)*'Fertilizer Rate'!B91/'Fertilizer Rate'!B9,0)</f>
        <v>1.1999999999999999E-2</v>
      </c>
      <c r="D49" s="352">
        <f ca="1">IFERROR(D16*(1-Main!$C$162)*'Fertilizer Rate'!C91/'Fertilizer Rate'!C9,0)</f>
        <v>1.2E-2</v>
      </c>
      <c r="E49" s="352">
        <f ca="1">IFERROR(E16*(1-Main!$C$162)*'Fertilizer Rate'!D91/'Fertilizer Rate'!D9,0)</f>
        <v>5.9999999999999984E-3</v>
      </c>
      <c r="F49" s="352">
        <f ca="1">IFERROR(F16*(1-Main!$C$162)*'Fertilizer Rate'!E91/'Fertilizer Rate'!E9,0)</f>
        <v>3.9999999999999992E-3</v>
      </c>
      <c r="G49" s="352">
        <f ca="1">IFERROR(G16*(1-Main!$C$162)*'Fertilizer Rate'!F91/'Fertilizer Rate'!F9,0)</f>
        <v>2.1000000000000001E-2</v>
      </c>
      <c r="H49" s="352">
        <f ca="1">IFERROR(H16*(1-Main!$C$162)*'Fertilizer Rate'!G91/'Fertilizer Rate'!G9,0)</f>
        <v>1.7999999999999995E-2</v>
      </c>
      <c r="I49" s="352">
        <f ca="1">IFERROR(I16*(1-Main!$C$162)*'Fertilizer Rate'!H91/'Fertilizer Rate'!H9,0)</f>
        <v>1.2E-2</v>
      </c>
      <c r="J49" s="352">
        <f ca="1">IFERROR(J16*(1-Main!$C$162)*'Fertilizer Rate'!I91/'Fertilizer Rate'!I9,0)</f>
        <v>2.1000000000000001E-2</v>
      </c>
      <c r="K49" s="352">
        <f ca="1">IFERROR(K16*(1-Main!$C$162)*'Fertilizer Rate'!J91/'Fertilizer Rate'!J9,0)</f>
        <v>2.1000000000000001E-2</v>
      </c>
      <c r="L49" s="352">
        <f ca="1">IFERROR(L16*(1-Main!$C$162)*'Fertilizer Rate'!K91/'Fertilizer Rate'!K9,0)</f>
        <v>1.8000000000000002E-2</v>
      </c>
      <c r="M49" s="352">
        <f ca="1">IFERROR(M16*(1-Main!$C$162)*'Fertilizer Rate'!L91/'Fertilizer Rate'!L9,0)</f>
        <v>1.7999999999999995E-2</v>
      </c>
      <c r="N49" s="352">
        <f ca="1">IFERROR(N16*(1-Main!$C$162)*'Fertilizer Rate'!M91/'Fertilizer Rate'!M9,0)</f>
        <v>1.7999999999999999E-2</v>
      </c>
      <c r="O49" s="352">
        <f ca="1">IFERROR(O16*(1-Main!$C$162)*'Fertilizer Rate'!N91/'Fertilizer Rate'!N9,0)</f>
        <v>2.0999999999999998E-2</v>
      </c>
      <c r="P49" s="352">
        <f ca="1">IFERROR(P16*(1-Main!$C$162)*'Fertilizer Rate'!O91/'Fertilizer Rate'!O9,0)</f>
        <v>1.7999999999999995E-2</v>
      </c>
      <c r="Q49" s="352">
        <f ca="1">IFERROR(Q16*(1-Main!$C$162)*'Fertilizer Rate'!P91/'Fertilizer Rate'!P9,0)</f>
        <v>1.7999999999999999E-2</v>
      </c>
      <c r="R49" s="352">
        <f ca="1">IFERROR(R16*(1-Main!$C$162)*'Fertilizer Rate'!Q91/'Fertilizer Rate'!Q9,0)</f>
        <v>1.7999999999999999E-2</v>
      </c>
      <c r="S49" s="352">
        <f ca="1">IFERROR(S16*(1-Main!$C$162)*'Fertilizer Rate'!R91/'Fertilizer Rate'!R9,0)</f>
        <v>1.7999999999999995E-2</v>
      </c>
      <c r="T49" s="352">
        <f ca="1">IFERROR(T16*(1-Main!$C$162)*'Fertilizer Rate'!S91/'Fertilizer Rate'!S9,0)</f>
        <v>1.7999999999999999E-2</v>
      </c>
      <c r="U49" s="352">
        <f ca="1">IFERROR(U16*(1-Main!$C$162)*'Fertilizer Rate'!T91/'Fertilizer Rate'!T9,0)</f>
        <v>1.7999999999999999E-2</v>
      </c>
      <c r="V49" s="352">
        <f ca="1">IFERROR(V16*(1-Main!$C$162)*'Fertilizer Rate'!U91/'Fertilizer Rate'!U9,0)</f>
        <v>1.7999999999999999E-2</v>
      </c>
      <c r="W49" s="352">
        <f ca="1">IFERROR(W16*(1-Main!$C$162)*'Fertilizer Rate'!V91/'Fertilizer Rate'!V9,0)</f>
        <v>2.1000000000000001E-2</v>
      </c>
      <c r="X49" s="352">
        <f ca="1">IFERROR(X16*(1-Main!$C$162)*'Fertilizer Rate'!W91/'Fertilizer Rate'!W9,0)</f>
        <v>1.8000000000000002E-2</v>
      </c>
      <c r="Y49" s="352">
        <f ca="1">IFERROR(Y16*(1-Main!$C$162)*'Fertilizer Rate'!X91/'Fertilizer Rate'!X9,0)</f>
        <v>1.7999999999999999E-2</v>
      </c>
      <c r="Z49" s="352">
        <f ca="1">IFERROR(Z16*(1-Main!$C$162)*'Fertilizer Rate'!Y91/'Fertilizer Rate'!Y9,0)</f>
        <v>1.7999999999999999E-2</v>
      </c>
      <c r="AA49" s="352">
        <f ca="1">IFERROR(AA16*(1-Main!$C$162)*'Fertilizer Rate'!Z91/'Fertilizer Rate'!Z9,0)</f>
        <v>1.4999999999999999E-2</v>
      </c>
      <c r="AB49" s="352">
        <f ca="1">IFERROR(AB16*(1-Main!$C$162)*'Fertilizer Rate'!AA91/'Fertilizer Rate'!AA9,0)</f>
        <v>1.7999999999999999E-2</v>
      </c>
      <c r="AC49" s="352">
        <f ca="1">IFERROR(AC16*(1-Main!$C$162)*'Fertilizer Rate'!AB91/'Fertilizer Rate'!AB9,0)</f>
        <v>1.2E-2</v>
      </c>
      <c r="AD49" s="352">
        <f ca="1">IFERROR(AD16*(1-Main!$C$162)*'Fertilizer Rate'!AC91/'Fertilizer Rate'!AC9,0)</f>
        <v>1.7999999999999999E-2</v>
      </c>
      <c r="AE49" s="352">
        <f ca="1">IFERROR(AE16*(1-Main!$C$162)*'Fertilizer Rate'!AD91/'Fertilizer Rate'!AD9,0)</f>
        <v>1.5000000000000001E-2</v>
      </c>
      <c r="AF49" s="352">
        <f ca="1">IFERROR(AF16*(1-Main!$C$162)*'Fertilizer Rate'!AE91/'Fertilizer Rate'!AE9,0)</f>
        <v>1.5000000000000003E-2</v>
      </c>
      <c r="AG49" s="352">
        <f ca="1">IFERROR(AG16*(1-Main!$C$162)*'Fertilizer Rate'!AF91/'Fertilizer Rate'!AF9,0)</f>
        <v>1.4999999999999998E-2</v>
      </c>
      <c r="AH49" s="352">
        <f ca="1">IFERROR(AH16*(1-Main!$C$162)*'Fertilizer Rate'!AG91/'Fertilizer Rate'!AG9,0)</f>
        <v>5.9999999999999993E-3</v>
      </c>
      <c r="AI49" s="352">
        <f ca="1">IFERROR(AI16*(1-Main!$C$162)*'Fertilizer Rate'!AH91/'Fertilizer Rate'!AH9,0)</f>
        <v>1.5000000000000001E-2</v>
      </c>
      <c r="AJ49" s="352">
        <f ca="1">IFERROR(AJ16*(1-Main!$C$162)*'Fertilizer Rate'!AI91/'Fertilizer Rate'!AI9,0)</f>
        <v>2.1000000000000001E-2</v>
      </c>
      <c r="AK49" s="352">
        <f ca="1">IFERROR(AK16*(1-Main!$C$162)*'Fertilizer Rate'!AJ91/'Fertilizer Rate'!AJ9,0)</f>
        <v>1.7999999999999999E-2</v>
      </c>
      <c r="AL49" s="352">
        <f ca="1">IFERROR(AL16*(1-Main!$C$162)*'Fertilizer Rate'!AK91/'Fertilizer Rate'!AK9,0)</f>
        <v>1.8000000000000002E-2</v>
      </c>
      <c r="AM49" s="352">
        <f ca="1">IFERROR(AM16*(1-Main!$C$162)*'Fertilizer Rate'!AL91/'Fertilizer Rate'!AL9,0)</f>
        <v>1.7999999999999999E-2</v>
      </c>
      <c r="AN49" s="352">
        <f ca="1">IFERROR(AN16*(1-Main!$C$162)*'Fertilizer Rate'!AM91/'Fertilizer Rate'!AM9,0)</f>
        <v>1.4999999999999999E-2</v>
      </c>
      <c r="AO49" s="352">
        <f ca="1">IFERROR(AO16*(1-Main!$C$162)*'Fertilizer Rate'!AN91/'Fertilizer Rate'!AN9,0)</f>
        <v>1.5000000000000001E-2</v>
      </c>
    </row>
    <row r="50" spans="1:42" x14ac:dyDescent="0.25">
      <c r="A50" s="346"/>
      <c r="B50" s="312" t="s">
        <v>652</v>
      </c>
      <c r="C50" s="350">
        <f ca="1">IFERROR((C18+MIN(C48,Parameters!$C$29))*'Fertilizer Rate'!B91/'Fertilizer Rate'!B9,0)</f>
        <v>4.9200000000000001E-2</v>
      </c>
      <c r="D50" s="350">
        <f ca="1">IFERROR((D18+MIN(D48,Parameters!$C$29))*'Fertilizer Rate'!C91/'Fertilizer Rate'!C9,0)</f>
        <v>4.9200000000000001E-2</v>
      </c>
      <c r="E50" s="350">
        <f ca="1">IFERROR((E18+MIN(E48,Parameters!$C$29))*'Fertilizer Rate'!D91/'Fertilizer Rate'!D9,0)</f>
        <v>3.719999999999999E-2</v>
      </c>
      <c r="F50" s="350">
        <f ca="1">IFERROR((F18+MIN(F48,Parameters!$C$29))*'Fertilizer Rate'!E91/'Fertilizer Rate'!E9,0)</f>
        <v>1.4799999999999997E-2</v>
      </c>
      <c r="G50" s="350">
        <f ca="1">IFERROR((G18+MIN(G48,Parameters!$C$29))*'Fertilizer Rate'!F91/'Fertilizer Rate'!F9,0)</f>
        <v>3.0600000000000002E-2</v>
      </c>
      <c r="H50" s="350">
        <f ca="1">IFERROR((H18+MIN(H48,Parameters!$C$29))*'Fertilizer Rate'!G91/'Fertilizer Rate'!G9,0)</f>
        <v>0.11879999999999996</v>
      </c>
      <c r="I50" s="350">
        <f ca="1">IFERROR((I18+MIN(I48,Parameters!$C$29))*'Fertilizer Rate'!H91/'Fertilizer Rate'!H9,0)</f>
        <v>4.9200000000000001E-2</v>
      </c>
      <c r="J50" s="350">
        <f ca="1">IFERROR((J18+MIN(J48,Parameters!$C$29))*'Fertilizer Rate'!I91/'Fertilizer Rate'!I9,0)</f>
        <v>3.0600000000000002E-2</v>
      </c>
      <c r="K50" s="350">
        <f ca="1">IFERROR((K18+MIN(K48,Parameters!$C$29))*'Fertilizer Rate'!J91/'Fertilizer Rate'!J9,0)</f>
        <v>3.0600000000000002E-2</v>
      </c>
      <c r="L50" s="350">
        <f ca="1">IFERROR((L18+MIN(L48,Parameters!$C$29))*'Fertilizer Rate'!K91/'Fertilizer Rate'!K9,0)</f>
        <v>0.17880000000000004</v>
      </c>
      <c r="M50" s="350">
        <f ca="1">IFERROR((M18+MIN(M48,Parameters!$C$29))*'Fertilizer Rate'!L91/'Fertilizer Rate'!L9,0)</f>
        <v>0.11879999999999998</v>
      </c>
      <c r="N50" s="350">
        <f ca="1">IFERROR((N18+MIN(N48,Parameters!$C$29))*'Fertilizer Rate'!M91/'Fertilizer Rate'!M9,0)</f>
        <v>0.11879999999999999</v>
      </c>
      <c r="O50" s="350">
        <f ca="1">IFERROR((O18+MIN(O48,Parameters!$C$29))*'Fertilizer Rate'!N91/'Fertilizer Rate'!N9,0)</f>
        <v>3.0599999999999992E-2</v>
      </c>
      <c r="P50" s="350">
        <f ca="1">IFERROR((P18+MIN(P48,Parameters!$C$29))*'Fertilizer Rate'!O91/'Fertilizer Rate'!O9,0)</f>
        <v>0.17880000000000001</v>
      </c>
      <c r="Q50" s="350">
        <f ca="1">IFERROR((Q18+MIN(Q48,Parameters!$C$29))*'Fertilizer Rate'!P91/'Fertilizer Rate'!P9,0)</f>
        <v>0.11879999999999998</v>
      </c>
      <c r="R50" s="350">
        <f ca="1">IFERROR((R18+MIN(R48,Parameters!$C$29))*'Fertilizer Rate'!Q91/'Fertilizer Rate'!Q9,0)</f>
        <v>0.17880000000000001</v>
      </c>
      <c r="S50" s="350">
        <f ca="1">IFERROR((S18+MIN(S48,Parameters!$C$29))*'Fertilizer Rate'!R91/'Fertilizer Rate'!R9,0)</f>
        <v>0.11879999999999998</v>
      </c>
      <c r="T50" s="350">
        <f ca="1">IFERROR((T18+MIN(T48,Parameters!$C$29))*'Fertilizer Rate'!S91/'Fertilizer Rate'!S9,0)</f>
        <v>0.11879999999999998</v>
      </c>
      <c r="U50" s="350">
        <f ca="1">IFERROR((U18+MIN(U48,Parameters!$C$29))*'Fertilizer Rate'!T91/'Fertilizer Rate'!T9,0)</f>
        <v>0.11879999999999999</v>
      </c>
      <c r="V50" s="350">
        <f ca="1">IFERROR((V18+MIN(V48,Parameters!$C$29))*'Fertilizer Rate'!U91/'Fertilizer Rate'!U9,0)</f>
        <v>0.17880000000000001</v>
      </c>
      <c r="W50" s="350">
        <f ca="1">IFERROR((W18+MIN(W48,Parameters!$C$29))*'Fertilizer Rate'!V91/'Fertilizer Rate'!V9,0)</f>
        <v>3.0600000000000006E-2</v>
      </c>
      <c r="X50" s="350">
        <f ca="1">IFERROR((X18+MIN(X48,Parameters!$C$29))*'Fertilizer Rate'!W91/'Fertilizer Rate'!W9,0)</f>
        <v>0.17880000000000001</v>
      </c>
      <c r="Y50" s="350">
        <f ca="1">IFERROR((Y18+MIN(Y48,Parameters!$C$29))*'Fertilizer Rate'!X91/'Fertilizer Rate'!X9,0)</f>
        <v>0.17880000000000004</v>
      </c>
      <c r="Z50" s="350">
        <f ca="1">IFERROR((Z18+MIN(Z48,Parameters!$C$29))*'Fertilizer Rate'!Y91/'Fertilizer Rate'!Y9,0)</f>
        <v>0.11879999999999999</v>
      </c>
      <c r="AA50" s="350">
        <f ca="1">IFERROR((AA18+MIN(AA48,Parameters!$C$29))*'Fertilizer Rate'!Z91/'Fertilizer Rate'!Z9,0)</f>
        <v>3.9E-2</v>
      </c>
      <c r="AB50" s="350">
        <f ca="1">IFERROR((AB18+MIN(AB48,Parameters!$C$29))*'Fertilizer Rate'!AA91/'Fertilizer Rate'!AA9,0)</f>
        <v>0.11879999999999999</v>
      </c>
      <c r="AC50" s="350">
        <f ca="1">IFERROR((AC18+MIN(AC48,Parameters!$C$29))*'Fertilizer Rate'!AB91/'Fertilizer Rate'!AB9,0)</f>
        <v>4.9199999999999994E-2</v>
      </c>
      <c r="AD50" s="350">
        <f ca="1">IFERROR((AD18+MIN(AD48,Parameters!$C$29))*'Fertilizer Rate'!AC91/'Fertilizer Rate'!AC9,0)</f>
        <v>0.11879999999999999</v>
      </c>
      <c r="AE50" s="350">
        <f ca="1">IFERROR((AE18+MIN(AE48,Parameters!$C$29))*'Fertilizer Rate'!AD91/'Fertilizer Rate'!AD9,0)</f>
        <v>3.9E-2</v>
      </c>
      <c r="AF50" s="350">
        <f ca="1">IFERROR((AF18+MIN(AF48,Parameters!$C$29))*'Fertilizer Rate'!AE91/'Fertilizer Rate'!AE9,0)</f>
        <v>3.9E-2</v>
      </c>
      <c r="AG50" s="350">
        <f ca="1">IFERROR((AG18+MIN(AG48,Parameters!$C$29))*'Fertilizer Rate'!AF91/'Fertilizer Rate'!AF9,0)</f>
        <v>3.8999999999999993E-2</v>
      </c>
      <c r="AH50" s="350">
        <f ca="1">IFERROR((AH18+MIN(AH48,Parameters!$C$29))*'Fertilizer Rate'!AG91/'Fertilizer Rate'!AG9,0)</f>
        <v>3.7199999999999997E-2</v>
      </c>
      <c r="AI50" s="350">
        <f ca="1">IFERROR((AI18+MIN(AI48,Parameters!$C$29))*'Fertilizer Rate'!AH91/'Fertilizer Rate'!AH9,0)</f>
        <v>3.9E-2</v>
      </c>
      <c r="AJ50" s="350">
        <f ca="1">IFERROR((AJ18+MIN(AJ48,Parameters!$C$29))*'Fertilizer Rate'!AI91/'Fertilizer Rate'!AI9,0)</f>
        <v>3.0600000000000002E-2</v>
      </c>
      <c r="AK50" s="350">
        <f ca="1">IFERROR((AK18+MIN(AK48,Parameters!$C$29))*'Fertilizer Rate'!AJ91/'Fertilizer Rate'!AJ9,0)</f>
        <v>0.17880000000000001</v>
      </c>
      <c r="AL50" s="350">
        <f ca="1">IFERROR((AL18+MIN(AL48,Parameters!$C$29))*'Fertilizer Rate'!AK91/'Fertilizer Rate'!AK9,0)</f>
        <v>0.1188</v>
      </c>
      <c r="AM50" s="350">
        <f ca="1">IFERROR((AM18+MIN(AM48,Parameters!$C$29))*'Fertilizer Rate'!AL91/'Fertilizer Rate'!AL9,0)</f>
        <v>0.17880000000000001</v>
      </c>
      <c r="AN50" s="350">
        <f ca="1">IFERROR((AN18+MIN(AN48,Parameters!$C$29))*'Fertilizer Rate'!AM91/'Fertilizer Rate'!AM9,0)</f>
        <v>3.9E-2</v>
      </c>
      <c r="AO50" s="350">
        <f ca="1">IFERROR((AO18+MIN(AO48,Parameters!$C$29))*'Fertilizer Rate'!AN91/'Fertilizer Rate'!AN9,0)</f>
        <v>3.9E-2</v>
      </c>
    </row>
    <row r="51" spans="1:42" x14ac:dyDescent="0.25">
      <c r="A51" s="21"/>
      <c r="B51" s="351" t="s">
        <v>651</v>
      </c>
      <c r="C51" s="350">
        <f ca="1">IFERROR((C17+C48-MIN(C48,Parameters!$C$29))*'Fertilizer Rate'!B91/'Fertilizer Rate'!B9,0)</f>
        <v>0.10799999999999998</v>
      </c>
      <c r="D51" s="350">
        <f ca="1">IFERROR((D17+D48-MIN(D48,Parameters!$C$29))*'Fertilizer Rate'!C91/'Fertilizer Rate'!C9,0)</f>
        <v>0.108</v>
      </c>
      <c r="E51" s="350">
        <f ca="1">IFERROR((E17+E48-MIN(E48,Parameters!$C$29))*'Fertilizer Rate'!D91/'Fertilizer Rate'!D9,0)</f>
        <v>4.7999999999999987E-2</v>
      </c>
      <c r="F51" s="350">
        <f ca="1">IFERROR((F17+F48-MIN(F48,Parameters!$C$29))*'Fertilizer Rate'!E91/'Fertilizer Rate'!E9,0)</f>
        <v>3.599999999999999E-2</v>
      </c>
      <c r="G51" s="350">
        <f ca="1">IFERROR((G17+G48-MIN(G48,Parameters!$C$29))*'Fertilizer Rate'!F91/'Fertilizer Rate'!F9,0)</f>
        <v>0.186</v>
      </c>
      <c r="H51" s="350">
        <f ca="1">IFERROR((H17+H48-MIN(H48,Parameters!$C$29))*'Fertilizer Rate'!G91/'Fertilizer Rate'!G9,0)</f>
        <v>0.14399999999999999</v>
      </c>
      <c r="I51" s="350">
        <f ca="1">IFERROR((I17+I48-MIN(I48,Parameters!$C$29))*'Fertilizer Rate'!H91/'Fertilizer Rate'!H9,0)</f>
        <v>0.108</v>
      </c>
      <c r="J51" s="350">
        <f ca="1">IFERROR((J17+J48-MIN(J48,Parameters!$C$29))*'Fertilizer Rate'!I91/'Fertilizer Rate'!I9,0)</f>
        <v>0.18599999999999997</v>
      </c>
      <c r="K51" s="350">
        <f ca="1">IFERROR((K17+K48-MIN(K48,Parameters!$C$29))*'Fertilizer Rate'!J91/'Fertilizer Rate'!J9,0)</f>
        <v>0.18599999999999997</v>
      </c>
      <c r="L51" s="350">
        <f ca="1">IFERROR((L17+L48-MIN(L48,Parameters!$C$29))*'Fertilizer Rate'!K91/'Fertilizer Rate'!K9,0)</f>
        <v>0.13799999999999998</v>
      </c>
      <c r="M51" s="350">
        <f ca="1">IFERROR((M17+M48-MIN(M48,Parameters!$C$29))*'Fertilizer Rate'!L91/'Fertilizer Rate'!L9,0)</f>
        <v>0.14400000000000002</v>
      </c>
      <c r="N51" s="350">
        <f ca="1">IFERROR((N17+N48-MIN(N48,Parameters!$C$29))*'Fertilizer Rate'!M91/'Fertilizer Rate'!M9,0)</f>
        <v>0.14399999999999999</v>
      </c>
      <c r="O51" s="350">
        <f ca="1">IFERROR((O17+O48-MIN(O48,Parameters!$C$29))*'Fertilizer Rate'!N91/'Fertilizer Rate'!N9,0)</f>
        <v>0.186</v>
      </c>
      <c r="P51" s="350">
        <f ca="1">IFERROR((P17+P48-MIN(P48,Parameters!$C$29))*'Fertilizer Rate'!O91/'Fertilizer Rate'!O9,0)</f>
        <v>0.13800000000000001</v>
      </c>
      <c r="Q51" s="350">
        <f ca="1">IFERROR((Q17+Q48-MIN(Q48,Parameters!$C$29))*'Fertilizer Rate'!P91/'Fertilizer Rate'!P9,0)</f>
        <v>0.14400000000000002</v>
      </c>
      <c r="R51" s="350">
        <f ca="1">IFERROR((R17+R48-MIN(R48,Parameters!$C$29))*'Fertilizer Rate'!Q91/'Fertilizer Rate'!Q9,0)</f>
        <v>0.13799999999999998</v>
      </c>
      <c r="S51" s="350">
        <f ca="1">IFERROR((S17+S48-MIN(S48,Parameters!$C$29))*'Fertilizer Rate'!R91/'Fertilizer Rate'!R9,0)</f>
        <v>0.14399999999999999</v>
      </c>
      <c r="T51" s="350">
        <f ca="1">IFERROR((T17+T48-MIN(T48,Parameters!$C$29))*'Fertilizer Rate'!S91/'Fertilizer Rate'!S9,0)</f>
        <v>0.14400000000000002</v>
      </c>
      <c r="U51" s="350">
        <f ca="1">IFERROR((U17+U48-MIN(U48,Parameters!$C$29))*'Fertilizer Rate'!T91/'Fertilizer Rate'!T9,0)</f>
        <v>0.14399999999999999</v>
      </c>
      <c r="V51" s="350">
        <f ca="1">IFERROR((V17+V48-MIN(V48,Parameters!$C$29))*'Fertilizer Rate'!U91/'Fertilizer Rate'!U9,0)</f>
        <v>0.13799999999999998</v>
      </c>
      <c r="W51" s="350">
        <f ca="1">IFERROR((W17+W48-MIN(W48,Parameters!$C$29))*'Fertilizer Rate'!V91/'Fertilizer Rate'!V9,0)</f>
        <v>0.186</v>
      </c>
      <c r="X51" s="350">
        <f ca="1">IFERROR((X17+X48-MIN(X48,Parameters!$C$29))*'Fertilizer Rate'!W91/'Fertilizer Rate'!W9,0)</f>
        <v>0.13799999999999998</v>
      </c>
      <c r="Y51" s="350">
        <f ca="1">IFERROR((Y17+Y48-MIN(Y48,Parameters!$C$29))*'Fertilizer Rate'!X91/'Fertilizer Rate'!X9,0)</f>
        <v>0.13800000000000001</v>
      </c>
      <c r="Z51" s="350">
        <f ca="1">IFERROR((Z17+Z48-MIN(Z48,Parameters!$C$29))*'Fertilizer Rate'!Y91/'Fertilizer Rate'!Y9,0)</f>
        <v>0.14400000000000002</v>
      </c>
      <c r="AA51" s="350">
        <f ca="1">IFERROR((AA17+AA48-MIN(AA48,Parameters!$C$29))*'Fertilizer Rate'!Z91/'Fertilizer Rate'!Z9,0)</f>
        <v>0.156</v>
      </c>
      <c r="AB51" s="350">
        <f ca="1">IFERROR((AB17+AB48-MIN(AB48,Parameters!$C$29))*'Fertilizer Rate'!AA91/'Fertilizer Rate'!AA9,0)</f>
        <v>0.14399999999999999</v>
      </c>
      <c r="AC51" s="350">
        <f ca="1">IFERROR((AC17+AC48-MIN(AC48,Parameters!$C$29))*'Fertilizer Rate'!AB91/'Fertilizer Rate'!AB9,0)</f>
        <v>0.10799999999999998</v>
      </c>
      <c r="AD51" s="350">
        <f ca="1">IFERROR((AD17+AD48-MIN(AD48,Parameters!$C$29))*'Fertilizer Rate'!AC91/'Fertilizer Rate'!AC9,0)</f>
        <v>0.14399999999999999</v>
      </c>
      <c r="AE51" s="350">
        <f ca="1">IFERROR((AE17+AE48-MIN(AE48,Parameters!$C$29))*'Fertilizer Rate'!AD91/'Fertilizer Rate'!AD9,0)</f>
        <v>0.156</v>
      </c>
      <c r="AF51" s="350">
        <f ca="1">IFERROR((AF17+AF48-MIN(AF48,Parameters!$C$29))*'Fertilizer Rate'!AE91/'Fertilizer Rate'!AE9,0)</f>
        <v>0.156</v>
      </c>
      <c r="AG51" s="350">
        <f ca="1">IFERROR((AG17+AG48-MIN(AG48,Parameters!$C$29))*'Fertilizer Rate'!AF91/'Fertilizer Rate'!AF9,0)</f>
        <v>0.15599999999999997</v>
      </c>
      <c r="AH51" s="350">
        <f ca="1">IFERROR((AH17+AH48-MIN(AH48,Parameters!$C$29))*'Fertilizer Rate'!AG91/'Fertilizer Rate'!AG9,0)</f>
        <v>4.7999999999999994E-2</v>
      </c>
      <c r="AI51" s="350">
        <f ca="1">IFERROR((AI17+AI48-MIN(AI48,Parameters!$C$29))*'Fertilizer Rate'!AH91/'Fertilizer Rate'!AH9,0)</f>
        <v>0.156</v>
      </c>
      <c r="AJ51" s="350">
        <f ca="1">IFERROR((AJ17+AJ48-MIN(AJ48,Parameters!$C$29))*'Fertilizer Rate'!AI91/'Fertilizer Rate'!AI9,0)</f>
        <v>0.186</v>
      </c>
      <c r="AK51" s="350">
        <f ca="1">IFERROR((AK17+AK48-MIN(AK48,Parameters!$C$29))*'Fertilizer Rate'!AJ91/'Fertilizer Rate'!AJ9,0)</f>
        <v>0.13800000000000001</v>
      </c>
      <c r="AL51" s="350">
        <f ca="1">IFERROR((AL17+AL48-MIN(AL48,Parameters!$C$29))*'Fertilizer Rate'!AK91/'Fertilizer Rate'!AK9,0)</f>
        <v>0.14400000000000002</v>
      </c>
      <c r="AM51" s="350">
        <f ca="1">IFERROR((AM17+AM48-MIN(AM48,Parameters!$C$29))*'Fertilizer Rate'!AL91/'Fertilizer Rate'!AL9,0)</f>
        <v>0.13799999999999998</v>
      </c>
      <c r="AN51" s="350">
        <f ca="1">IFERROR((AN17+AN48-MIN(AN48,Parameters!$C$29))*'Fertilizer Rate'!AM91/'Fertilizer Rate'!AM9,0)</f>
        <v>0.156</v>
      </c>
      <c r="AO51" s="350">
        <f ca="1">IFERROR((AO17+AO48-MIN(AO48,Parameters!$C$29))*'Fertilizer Rate'!AN91/'Fertilizer Rate'!AN9,0)</f>
        <v>0.156</v>
      </c>
    </row>
    <row r="52" spans="1:42" x14ac:dyDescent="0.25">
      <c r="A52" s="346"/>
      <c r="B52" s="312" t="s">
        <v>650</v>
      </c>
      <c r="C52" s="349">
        <f ca="1">SUM(C49:C51)</f>
        <v>0.16919999999999999</v>
      </c>
      <c r="D52" s="349">
        <f t="shared" ref="D52:AO52" ca="1" si="19">SUM(D49:D51)</f>
        <v>0.16920000000000002</v>
      </c>
      <c r="E52" s="349">
        <f t="shared" ca="1" si="19"/>
        <v>9.1199999999999976E-2</v>
      </c>
      <c r="F52" s="349">
        <f t="shared" ca="1" si="19"/>
        <v>5.4799999999999988E-2</v>
      </c>
      <c r="G52" s="349">
        <f t="shared" ca="1" si="19"/>
        <v>0.23760000000000001</v>
      </c>
      <c r="H52" s="349">
        <f t="shared" ca="1" si="19"/>
        <v>0.28079999999999994</v>
      </c>
      <c r="I52" s="349">
        <f t="shared" ca="1" si="19"/>
        <v>0.16920000000000002</v>
      </c>
      <c r="J52" s="349">
        <f t="shared" ca="1" si="19"/>
        <v>0.23759999999999998</v>
      </c>
      <c r="K52" s="349">
        <f t="shared" ca="1" si="19"/>
        <v>0.23759999999999998</v>
      </c>
      <c r="L52" s="349">
        <f t="shared" ca="1" si="19"/>
        <v>0.33479999999999999</v>
      </c>
      <c r="M52" s="349">
        <f t="shared" ca="1" si="19"/>
        <v>0.28079999999999999</v>
      </c>
      <c r="N52" s="349">
        <f t="shared" ca="1" si="19"/>
        <v>0.28079999999999994</v>
      </c>
      <c r="O52" s="349">
        <f t="shared" ca="1" si="19"/>
        <v>0.23759999999999998</v>
      </c>
      <c r="P52" s="349">
        <f t="shared" ca="1" si="19"/>
        <v>0.33479999999999999</v>
      </c>
      <c r="Q52" s="349">
        <f t="shared" ca="1" si="19"/>
        <v>0.28079999999999999</v>
      </c>
      <c r="R52" s="349">
        <f t="shared" ca="1" si="19"/>
        <v>0.33479999999999999</v>
      </c>
      <c r="S52" s="349">
        <f t="shared" ca="1" si="19"/>
        <v>0.28079999999999994</v>
      </c>
      <c r="T52" s="349">
        <f t="shared" ca="1" si="19"/>
        <v>0.28079999999999999</v>
      </c>
      <c r="U52" s="349">
        <f t="shared" ca="1" si="19"/>
        <v>0.28079999999999994</v>
      </c>
      <c r="V52" s="349">
        <f t="shared" ca="1" si="19"/>
        <v>0.33479999999999999</v>
      </c>
      <c r="W52" s="349">
        <f t="shared" ca="1" si="19"/>
        <v>0.23760000000000001</v>
      </c>
      <c r="X52" s="349">
        <f t="shared" ca="1" si="19"/>
        <v>0.33479999999999999</v>
      </c>
      <c r="Y52" s="349">
        <f t="shared" ca="1" si="19"/>
        <v>0.33480000000000004</v>
      </c>
      <c r="Z52" s="349">
        <f t="shared" ca="1" si="19"/>
        <v>0.28079999999999999</v>
      </c>
      <c r="AA52" s="349">
        <f t="shared" ca="1" si="19"/>
        <v>0.21</v>
      </c>
      <c r="AB52" s="349">
        <f t="shared" ca="1" si="19"/>
        <v>0.28079999999999994</v>
      </c>
      <c r="AC52" s="349">
        <f t="shared" ca="1" si="19"/>
        <v>0.16919999999999996</v>
      </c>
      <c r="AD52" s="349">
        <f t="shared" ca="1" si="19"/>
        <v>0.28079999999999994</v>
      </c>
      <c r="AE52" s="349">
        <f t="shared" ca="1" si="19"/>
        <v>0.21</v>
      </c>
      <c r="AF52" s="349">
        <f t="shared" ca="1" si="19"/>
        <v>0.21000000000000002</v>
      </c>
      <c r="AG52" s="349">
        <f t="shared" ca="1" si="19"/>
        <v>0.20999999999999996</v>
      </c>
      <c r="AH52" s="349">
        <f t="shared" ca="1" si="19"/>
        <v>9.1199999999999989E-2</v>
      </c>
      <c r="AI52" s="349">
        <f t="shared" ca="1" si="19"/>
        <v>0.21</v>
      </c>
      <c r="AJ52" s="349">
        <f t="shared" ca="1" si="19"/>
        <v>0.23760000000000001</v>
      </c>
      <c r="AK52" s="349">
        <f t="shared" ca="1" si="19"/>
        <v>0.33479999999999999</v>
      </c>
      <c r="AL52" s="349">
        <f t="shared" ca="1" si="19"/>
        <v>0.28080000000000005</v>
      </c>
      <c r="AM52" s="349">
        <f t="shared" ca="1" si="19"/>
        <v>0.33479999999999999</v>
      </c>
      <c r="AN52" s="349">
        <f t="shared" ca="1" si="19"/>
        <v>0.21</v>
      </c>
      <c r="AO52" s="349">
        <f t="shared" ca="1" si="19"/>
        <v>0.21</v>
      </c>
    </row>
    <row r="53" spans="1:42" x14ac:dyDescent="0.25">
      <c r="A53" s="346"/>
      <c r="B53" s="21" t="s">
        <v>649</v>
      </c>
      <c r="C53" s="349">
        <f ca="1">1-C52</f>
        <v>0.83079999999999998</v>
      </c>
      <c r="D53" s="349">
        <f t="shared" ref="D53:AO53" ca="1" si="20">1-D52</f>
        <v>0.83079999999999998</v>
      </c>
      <c r="E53" s="349">
        <f t="shared" ca="1" si="20"/>
        <v>0.90880000000000005</v>
      </c>
      <c r="F53" s="349">
        <f t="shared" ca="1" si="20"/>
        <v>0.94520000000000004</v>
      </c>
      <c r="G53" s="349">
        <f t="shared" ca="1" si="20"/>
        <v>0.76239999999999997</v>
      </c>
      <c r="H53" s="349">
        <f t="shared" ca="1" si="20"/>
        <v>0.71920000000000006</v>
      </c>
      <c r="I53" s="349">
        <f t="shared" ca="1" si="20"/>
        <v>0.83079999999999998</v>
      </c>
      <c r="J53" s="349">
        <f t="shared" ca="1" si="20"/>
        <v>0.76239999999999997</v>
      </c>
      <c r="K53" s="349">
        <f t="shared" ca="1" si="20"/>
        <v>0.76239999999999997</v>
      </c>
      <c r="L53" s="349">
        <f t="shared" ca="1" si="20"/>
        <v>0.66520000000000001</v>
      </c>
      <c r="M53" s="349">
        <f t="shared" ca="1" si="20"/>
        <v>0.71920000000000006</v>
      </c>
      <c r="N53" s="349">
        <f t="shared" ca="1" si="20"/>
        <v>0.71920000000000006</v>
      </c>
      <c r="O53" s="349">
        <f t="shared" ca="1" si="20"/>
        <v>0.76239999999999997</v>
      </c>
      <c r="P53" s="349">
        <f t="shared" ca="1" si="20"/>
        <v>0.66520000000000001</v>
      </c>
      <c r="Q53" s="349">
        <f t="shared" ca="1" si="20"/>
        <v>0.71920000000000006</v>
      </c>
      <c r="R53" s="349">
        <f t="shared" ca="1" si="20"/>
        <v>0.66520000000000001</v>
      </c>
      <c r="S53" s="349">
        <f t="shared" ca="1" si="20"/>
        <v>0.71920000000000006</v>
      </c>
      <c r="T53" s="349">
        <f t="shared" ca="1" si="20"/>
        <v>0.71920000000000006</v>
      </c>
      <c r="U53" s="349">
        <f t="shared" ca="1" si="20"/>
        <v>0.71920000000000006</v>
      </c>
      <c r="V53" s="349">
        <f t="shared" ca="1" si="20"/>
        <v>0.66520000000000001</v>
      </c>
      <c r="W53" s="349">
        <f t="shared" ca="1" si="20"/>
        <v>0.76239999999999997</v>
      </c>
      <c r="X53" s="349">
        <f t="shared" ca="1" si="20"/>
        <v>0.66520000000000001</v>
      </c>
      <c r="Y53" s="349">
        <f t="shared" ca="1" si="20"/>
        <v>0.66520000000000001</v>
      </c>
      <c r="Z53" s="349">
        <f t="shared" ca="1" si="20"/>
        <v>0.71920000000000006</v>
      </c>
      <c r="AA53" s="349">
        <f t="shared" ca="1" si="20"/>
        <v>0.79</v>
      </c>
      <c r="AB53" s="349">
        <f t="shared" ca="1" si="20"/>
        <v>0.71920000000000006</v>
      </c>
      <c r="AC53" s="349">
        <f t="shared" ca="1" si="20"/>
        <v>0.83079999999999998</v>
      </c>
      <c r="AD53" s="349">
        <f t="shared" ca="1" si="20"/>
        <v>0.71920000000000006</v>
      </c>
      <c r="AE53" s="349">
        <f t="shared" ca="1" si="20"/>
        <v>0.79</v>
      </c>
      <c r="AF53" s="349">
        <f t="shared" ca="1" si="20"/>
        <v>0.79</v>
      </c>
      <c r="AG53" s="349">
        <f t="shared" ca="1" si="20"/>
        <v>0.79</v>
      </c>
      <c r="AH53" s="349">
        <f t="shared" ca="1" si="20"/>
        <v>0.90880000000000005</v>
      </c>
      <c r="AI53" s="349">
        <f t="shared" ca="1" si="20"/>
        <v>0.79</v>
      </c>
      <c r="AJ53" s="349">
        <f t="shared" ca="1" si="20"/>
        <v>0.76239999999999997</v>
      </c>
      <c r="AK53" s="349">
        <f t="shared" ca="1" si="20"/>
        <v>0.66520000000000001</v>
      </c>
      <c r="AL53" s="349">
        <f t="shared" ca="1" si="20"/>
        <v>0.71919999999999995</v>
      </c>
      <c r="AM53" s="349">
        <f t="shared" ca="1" si="20"/>
        <v>0.66520000000000001</v>
      </c>
      <c r="AN53" s="349">
        <f t="shared" ca="1" si="20"/>
        <v>0.79</v>
      </c>
      <c r="AO53" s="349">
        <f t="shared" ca="1" si="20"/>
        <v>0.79</v>
      </c>
    </row>
    <row r="54" spans="1:42" x14ac:dyDescent="0.25">
      <c r="A54" s="348" t="s">
        <v>648</v>
      </c>
      <c r="B54" s="21" t="s">
        <v>647</v>
      </c>
      <c r="C54" s="347">
        <f ca="1">Main!$C$162*(C7+C15)*'Cost data'!$C$10</f>
        <v>1711585.962435273</v>
      </c>
      <c r="D54" s="347">
        <f ca="1">Main!$C$162*(D7+D15)*'Cost data'!$C$10</f>
        <v>107874.19417436984</v>
      </c>
      <c r="E54" s="347">
        <f ca="1">Main!$C$162*(E7+E15)*'Cost data'!$C$10</f>
        <v>625032.95108598366</v>
      </c>
      <c r="F54" s="347">
        <f ca="1">Main!$C$162*(F7+F15)*'Cost data'!$C$10</f>
        <v>715310.27904666448</v>
      </c>
      <c r="G54" s="347">
        <f ca="1">Main!$C$162*(G7+G15)*'Cost data'!$C$10</f>
        <v>1760275.9089443558</v>
      </c>
      <c r="H54" s="347">
        <f ca="1">Main!$C$162*(H7+H15)*'Cost data'!$C$10</f>
        <v>1562.8153915405564</v>
      </c>
      <c r="I54" s="347">
        <f ca="1">Main!$C$162*(I7+I15)*'Cost data'!$C$10</f>
        <v>657056.59639230405</v>
      </c>
      <c r="J54" s="347">
        <f ca="1">Main!$C$162*(J7+J15)*'Cost data'!$C$10</f>
        <v>2903683.120133678</v>
      </c>
      <c r="K54" s="347">
        <f ca="1">Main!$C$162*(K7+K15)*'Cost data'!$C$10</f>
        <v>758186.00295989809</v>
      </c>
      <c r="L54" s="347">
        <f ca="1">Main!$C$162*(L7+L15)*'Cost data'!$C$10</f>
        <v>1143058.6114515706</v>
      </c>
      <c r="M54" s="347">
        <f ca="1">Main!$C$162*(M7+M15)*'Cost data'!$C$10</f>
        <v>12503.194198239698</v>
      </c>
      <c r="N54" s="347">
        <f ca="1">Main!$C$162*(N7+N15)*'Cost data'!$C$10</f>
        <v>323642.33495222987</v>
      </c>
      <c r="O54" s="347">
        <f ca="1">Main!$C$162*(O7+O15)*'Cost data'!$C$10</f>
        <v>1290397.9243115152</v>
      </c>
      <c r="P54" s="347">
        <f ca="1">Main!$C$162*(P7+P15)*'Cost data'!$C$10</f>
        <v>1156003.2047305061</v>
      </c>
      <c r="Q54" s="347">
        <f ca="1">Main!$C$162*(Q7+Q15)*'Cost data'!$C$10</f>
        <v>390088.46695299022</v>
      </c>
      <c r="R54" s="347">
        <f ca="1">Main!$C$162*(R7+R15)*'Cost data'!$C$10</f>
        <v>345450.58735574241</v>
      </c>
      <c r="S54" s="347">
        <f ca="1">Main!$C$162*(S7+S15)*'Cost data'!$C$10</f>
        <v>316.00263638045953</v>
      </c>
      <c r="T54" s="347">
        <f ca="1">Main!$C$162*(T7+T15)*'Cost data'!$C$10</f>
        <v>199992.66330749917</v>
      </c>
      <c r="U54" s="347">
        <f ca="1">Main!$C$162*(U7+U15)*'Cost data'!$C$10</f>
        <v>391.04209379890199</v>
      </c>
      <c r="V54" s="347">
        <f ca="1">Main!$C$162*(V7+V15)*'Cost data'!$C$10</f>
        <v>139593.66683825129</v>
      </c>
      <c r="W54" s="347">
        <f ca="1">Main!$C$162*(W7+W15)*'Cost data'!$C$10</f>
        <v>102826.02153004779</v>
      </c>
      <c r="X54" s="347">
        <f ca="1">Main!$C$162*(X7+X15)*'Cost data'!$C$10</f>
        <v>778774.64476245106</v>
      </c>
      <c r="Y54" s="347">
        <f ca="1">Main!$C$162*(Y7+Y15)*'Cost data'!$C$10</f>
        <v>56572.368147682624</v>
      </c>
      <c r="Z54" s="347">
        <f ca="1">Main!$C$162*(Z7+Z15)*'Cost data'!$C$10</f>
        <v>1089316.3553824881</v>
      </c>
      <c r="AA54" s="347">
        <f ca="1">Main!$C$162*(AA7+AA15)*'Cost data'!$C$10</f>
        <v>2887630.4943959047</v>
      </c>
      <c r="AB54" s="347">
        <f ca="1">Main!$C$162*(AB7+AB15)*'Cost data'!$C$10</f>
        <v>304705.60426944535</v>
      </c>
      <c r="AC54" s="347">
        <f ca="1">Main!$C$162*(AC7+AC15)*'Cost data'!$C$10</f>
        <v>1736641.05986082</v>
      </c>
      <c r="AD54" s="347">
        <f ca="1">Main!$C$162*(AD7+AD15)*'Cost data'!$C$10</f>
        <v>12694.68646954297</v>
      </c>
      <c r="AE54" s="347">
        <f ca="1">Main!$C$162*(AE7+AE15)*'Cost data'!$C$10</f>
        <v>86645.327334596732</v>
      </c>
      <c r="AF54" s="347">
        <f ca="1">Main!$C$162*(AF7+AF15)*'Cost data'!$C$10</f>
        <v>96002.075590415567</v>
      </c>
      <c r="AG54" s="347">
        <f ca="1">Main!$C$162*(AG7+AG15)*'Cost data'!$C$10</f>
        <v>193770.73907630533</v>
      </c>
      <c r="AH54" s="347">
        <f ca="1">Main!$C$162*(AH7+AH15)*'Cost data'!$C$10</f>
        <v>42850.668967766316</v>
      </c>
      <c r="AI54" s="347">
        <f ca="1">Main!$C$162*(AI7+AI15)*'Cost data'!$C$10</f>
        <v>2181262.6673380616</v>
      </c>
      <c r="AJ54" s="347">
        <f ca="1">Main!$C$162*(AJ7+AJ15)*'Cost data'!$C$10</f>
        <v>213586.94884489322</v>
      </c>
      <c r="AK54" s="347">
        <f ca="1">Main!$C$162*(AK7+AK15)*'Cost data'!$C$10</f>
        <v>607908.04761149001</v>
      </c>
      <c r="AL54" s="347">
        <f ca="1">Main!$C$162*(AL7+AL15)*'Cost data'!$C$10</f>
        <v>846887.11000165541</v>
      </c>
      <c r="AM54" s="347">
        <f ca="1">Main!$C$162*(AM7+AM15)*'Cost data'!$C$10</f>
        <v>1217042.8718953244</v>
      </c>
      <c r="AN54" s="347">
        <f ca="1">Main!$C$162*(AN7+AN15)*'Cost data'!$C$10</f>
        <v>1317943.18823459</v>
      </c>
      <c r="AO54" s="347">
        <f ca="1">Main!$C$162*(AO7+AO15)*'Cost data'!$C$10</f>
        <v>1575286.7072322173</v>
      </c>
      <c r="AP54" s="33">
        <f ca="1">SUM(C54:AO54)</f>
        <v>29590353.116338488</v>
      </c>
    </row>
    <row r="55" spans="1:42" x14ac:dyDescent="0.25">
      <c r="A55" s="346"/>
      <c r="B55" s="21"/>
      <c r="C55" s="21"/>
      <c r="D55" s="21"/>
      <c r="E55" s="21"/>
      <c r="F55" s="21"/>
      <c r="G55" s="21"/>
      <c r="H55" s="21"/>
      <c r="I55" s="21"/>
      <c r="J55" s="21"/>
      <c r="K55" s="21"/>
      <c r="L55" s="21"/>
      <c r="M55" s="21"/>
      <c r="N55" s="21"/>
      <c r="O55" s="21"/>
      <c r="P55" s="21"/>
      <c r="Q55" s="21"/>
      <c r="R55" s="21"/>
      <c r="S55" s="21"/>
      <c r="T55" s="21"/>
      <c r="U55" s="21"/>
      <c r="V55" s="21"/>
      <c r="W55" s="21"/>
      <c r="X55" s="21"/>
      <c r="Y55" s="21"/>
      <c r="Z55" s="21"/>
      <c r="AA55" s="21"/>
      <c r="AB55" s="21"/>
      <c r="AC55" s="21"/>
      <c r="AD55" s="21"/>
      <c r="AE55" s="21"/>
      <c r="AF55" s="21"/>
      <c r="AG55" s="21"/>
      <c r="AH55" s="21"/>
      <c r="AI55" s="21"/>
      <c r="AJ55" s="21"/>
      <c r="AK55" s="21"/>
      <c r="AL55" s="21"/>
      <c r="AM55" s="21"/>
      <c r="AN55" s="21"/>
      <c r="AO55" s="21"/>
    </row>
    <row r="56" spans="1:42" x14ac:dyDescent="0.25">
      <c r="A56" s="312" t="s">
        <v>645</v>
      </c>
      <c r="B56" s="21"/>
      <c r="C56" s="21"/>
      <c r="D56" s="21"/>
      <c r="E56" s="21"/>
      <c r="F56" s="21"/>
      <c r="G56" s="21"/>
      <c r="H56" s="21"/>
      <c r="I56" s="21"/>
      <c r="J56" s="21"/>
      <c r="K56" s="21"/>
      <c r="L56" s="21"/>
      <c r="M56" s="21"/>
      <c r="N56" s="21"/>
      <c r="O56" s="21"/>
      <c r="P56" s="21"/>
      <c r="Q56" s="21"/>
      <c r="R56" s="21"/>
      <c r="S56" s="21"/>
      <c r="T56" s="21"/>
      <c r="U56" s="21"/>
      <c r="V56" s="21"/>
      <c r="W56" s="21"/>
      <c r="X56" s="21"/>
      <c r="Y56" s="21"/>
      <c r="Z56" s="21"/>
      <c r="AA56" s="21"/>
      <c r="AB56" s="21"/>
      <c r="AC56" s="21"/>
      <c r="AD56" s="21"/>
      <c r="AE56" s="21"/>
      <c r="AF56" s="21"/>
      <c r="AG56" s="21"/>
      <c r="AH56" s="21"/>
      <c r="AI56" s="21"/>
      <c r="AJ56" s="21"/>
      <c r="AK56" s="21"/>
      <c r="AL56" s="21"/>
      <c r="AM56" s="21"/>
      <c r="AN56" s="21"/>
      <c r="AO56" s="21"/>
    </row>
    <row r="57" spans="1:42" x14ac:dyDescent="0.25">
      <c r="A57" s="312" t="s">
        <v>646</v>
      </c>
      <c r="B57" s="21"/>
      <c r="D57" s="21"/>
      <c r="E57" s="21"/>
      <c r="F57" s="21"/>
      <c r="G57" s="21"/>
      <c r="H57" s="21"/>
      <c r="I57" s="21"/>
      <c r="J57" s="21"/>
      <c r="K57" s="21"/>
      <c r="L57" s="21"/>
      <c r="M57" s="21"/>
      <c r="N57" s="21"/>
      <c r="O57" s="21"/>
      <c r="P57" s="21"/>
      <c r="Q57" s="21"/>
      <c r="R57" s="21"/>
      <c r="S57" s="21"/>
      <c r="T57" s="21"/>
      <c r="U57" s="21"/>
      <c r="V57" s="21"/>
      <c r="W57" s="21"/>
      <c r="X57" s="21"/>
      <c r="Y57" s="21"/>
      <c r="Z57" s="21"/>
      <c r="AA57" s="21"/>
      <c r="AB57" s="21"/>
      <c r="AC57" s="21"/>
      <c r="AD57" s="21"/>
      <c r="AE57" s="21"/>
      <c r="AF57" s="21"/>
      <c r="AG57" s="21"/>
      <c r="AH57" s="21"/>
      <c r="AI57" s="21"/>
      <c r="AJ57" s="21"/>
      <c r="AK57" s="21"/>
      <c r="AL57" s="21"/>
      <c r="AM57" s="21"/>
      <c r="AN57" s="21"/>
      <c r="AO57" s="21"/>
    </row>
    <row r="58" spans="1:42" x14ac:dyDescent="0.25">
      <c r="A58" s="21" t="s">
        <v>134</v>
      </c>
      <c r="B58" s="22">
        <v>0.83</v>
      </c>
      <c r="D58" s="21"/>
      <c r="E58" s="21"/>
      <c r="F58" s="21"/>
      <c r="G58" s="21"/>
      <c r="H58" s="21"/>
      <c r="I58" s="21"/>
      <c r="J58" s="21"/>
      <c r="K58" s="21"/>
      <c r="L58" s="21"/>
      <c r="M58" s="21"/>
      <c r="N58" s="21"/>
      <c r="O58" s="21"/>
      <c r="P58" s="21"/>
      <c r="Q58" s="21"/>
      <c r="R58" s="21"/>
      <c r="S58" s="21"/>
      <c r="T58" s="21"/>
      <c r="U58" s="21"/>
      <c r="V58" s="21"/>
      <c r="W58" s="21"/>
      <c r="X58" s="21"/>
      <c r="Y58" s="21"/>
      <c r="Z58" s="21"/>
      <c r="AA58" s="21"/>
      <c r="AB58" s="21"/>
      <c r="AC58" s="21"/>
      <c r="AD58" s="21"/>
      <c r="AE58" s="21"/>
      <c r="AF58" s="21"/>
      <c r="AG58" s="21"/>
      <c r="AH58" s="21"/>
      <c r="AI58" s="21"/>
      <c r="AJ58" s="21"/>
      <c r="AK58" s="21"/>
      <c r="AL58" s="21"/>
      <c r="AM58" s="21"/>
      <c r="AN58" s="21"/>
      <c r="AO58" s="21"/>
    </row>
    <row r="59" spans="1:42" x14ac:dyDescent="0.25">
      <c r="B59" s="21">
        <v>4</v>
      </c>
      <c r="C59" s="21" t="s">
        <v>644</v>
      </c>
      <c r="D59" s="21"/>
      <c r="E59" s="21"/>
      <c r="F59" s="21"/>
      <c r="G59" s="21"/>
      <c r="H59" s="21"/>
      <c r="I59" s="21"/>
      <c r="J59" s="21"/>
      <c r="K59" s="21"/>
      <c r="L59" s="21"/>
      <c r="M59" s="21"/>
      <c r="N59" s="21"/>
      <c r="O59" s="21"/>
      <c r="P59" s="21"/>
      <c r="Q59" s="21"/>
      <c r="R59" s="21"/>
      <c r="S59" s="21"/>
      <c r="T59" s="21"/>
      <c r="U59" s="21"/>
      <c r="V59" s="21"/>
      <c r="W59" s="21"/>
      <c r="X59" s="21"/>
      <c r="Y59" s="21"/>
      <c r="Z59" s="21"/>
      <c r="AA59" s="21"/>
      <c r="AB59" s="21"/>
      <c r="AC59" s="21"/>
      <c r="AD59" s="21"/>
      <c r="AE59" s="21"/>
      <c r="AF59" s="21"/>
      <c r="AG59" s="21"/>
      <c r="AH59" s="21"/>
      <c r="AI59" s="21"/>
      <c r="AJ59" s="21"/>
      <c r="AK59" s="21"/>
      <c r="AL59" s="21"/>
      <c r="AM59" s="21"/>
      <c r="AN59" s="21"/>
      <c r="AO59" s="21"/>
    </row>
    <row r="60" spans="1:42" x14ac:dyDescent="0.25">
      <c r="A60" s="21"/>
      <c r="B60" s="21">
        <v>2</v>
      </c>
      <c r="C60" s="345">
        <f t="shared" ref="C60:K60" ca="1" si="21">C42*$B$58*$B$59</f>
        <v>6.6399999999999983E-3</v>
      </c>
      <c r="D60" s="345">
        <f t="shared" ca="1" si="21"/>
        <v>6.6399999999999983E-3</v>
      </c>
      <c r="E60" s="345">
        <f t="shared" ca="1" si="21"/>
        <v>1.6599999999999997E-2</v>
      </c>
      <c r="F60" s="345">
        <f t="shared" ca="1" si="21"/>
        <v>6.6399999999999983E-3</v>
      </c>
      <c r="G60" s="345">
        <f t="shared" ca="1" si="21"/>
        <v>0.26891999999999999</v>
      </c>
      <c r="H60" s="345">
        <f t="shared" ca="1" si="21"/>
        <v>4.6479999999999994E-2</v>
      </c>
      <c r="I60" s="345">
        <f t="shared" ca="1" si="21"/>
        <v>6.6399999999999983E-3</v>
      </c>
      <c r="J60" s="345">
        <f t="shared" ca="1" si="21"/>
        <v>0.26891999999999999</v>
      </c>
      <c r="K60" s="345">
        <f t="shared" ca="1" si="21"/>
        <v>0.26892000000000005</v>
      </c>
      <c r="L60" s="345">
        <f t="shared" ref="L60:AO60" ca="1" si="22">L42*$B$58*$B$59</f>
        <v>0.13943999999999998</v>
      </c>
      <c r="M60" s="345">
        <f t="shared" ca="1" si="22"/>
        <v>4.6479999999999994E-2</v>
      </c>
      <c r="N60" s="345">
        <f t="shared" ca="1" si="22"/>
        <v>4.6479999999999994E-2</v>
      </c>
      <c r="O60" s="345">
        <f t="shared" ca="1" si="22"/>
        <v>0.26891999999999999</v>
      </c>
      <c r="P60" s="345">
        <f t="shared" ca="1" si="22"/>
        <v>0.13944000000000001</v>
      </c>
      <c r="Q60" s="345">
        <f t="shared" ca="1" si="22"/>
        <v>4.9800000000000004E-2</v>
      </c>
      <c r="R60" s="345">
        <f t="shared" ca="1" si="22"/>
        <v>0.13944000000000004</v>
      </c>
      <c r="S60" s="345">
        <f t="shared" ca="1" si="22"/>
        <v>4.6479999999999994E-2</v>
      </c>
      <c r="T60" s="345">
        <f t="shared" ca="1" si="22"/>
        <v>4.6479999999999994E-2</v>
      </c>
      <c r="U60" s="345">
        <f t="shared" ca="1" si="22"/>
        <v>4.6479999999999994E-2</v>
      </c>
      <c r="V60" s="345">
        <f t="shared" ca="1" si="22"/>
        <v>4.648E-2</v>
      </c>
      <c r="W60" s="345">
        <f t="shared" ca="1" si="22"/>
        <v>0.26891999999999999</v>
      </c>
      <c r="X60" s="345">
        <f t="shared" ca="1" si="22"/>
        <v>0.13944000000000004</v>
      </c>
      <c r="Y60" s="345">
        <f t="shared" ca="1" si="22"/>
        <v>4.6479999999999987E-2</v>
      </c>
      <c r="Z60" s="345">
        <f t="shared" ca="1" si="22"/>
        <v>1.6599999999999997E-2</v>
      </c>
      <c r="AA60" s="345">
        <f t="shared" ca="1" si="22"/>
        <v>0.24899999999999994</v>
      </c>
      <c r="AB60" s="345">
        <f t="shared" ca="1" si="22"/>
        <v>4.6479999999999987E-2</v>
      </c>
      <c r="AC60" s="345">
        <f t="shared" ca="1" si="22"/>
        <v>6.6399999999999983E-3</v>
      </c>
      <c r="AD60" s="345">
        <f t="shared" ca="1" si="22"/>
        <v>4.6479999999999994E-2</v>
      </c>
      <c r="AE60" s="345">
        <f t="shared" ca="1" si="22"/>
        <v>8.2999999999999977E-2</v>
      </c>
      <c r="AF60" s="345">
        <f t="shared" ca="1" si="22"/>
        <v>8.2999999999999977E-2</v>
      </c>
      <c r="AG60" s="345">
        <f t="shared" ca="1" si="22"/>
        <v>8.2999999999999977E-2</v>
      </c>
      <c r="AH60" s="345">
        <f t="shared" ca="1" si="22"/>
        <v>1.6599999999999997E-2</v>
      </c>
      <c r="AI60" s="345">
        <f t="shared" ca="1" si="22"/>
        <v>0.24899999999999997</v>
      </c>
      <c r="AJ60" s="345">
        <f t="shared" ca="1" si="22"/>
        <v>0.26891999999999999</v>
      </c>
      <c r="AK60" s="345">
        <f t="shared" ca="1" si="22"/>
        <v>0.13944000000000001</v>
      </c>
      <c r="AL60" s="345">
        <f t="shared" ca="1" si="22"/>
        <v>4.9800000000000004E-2</v>
      </c>
      <c r="AM60" s="345">
        <f t="shared" ca="1" si="22"/>
        <v>0.13944000000000004</v>
      </c>
      <c r="AN60" s="345">
        <f t="shared" ca="1" si="22"/>
        <v>8.299999999999999E-2</v>
      </c>
      <c r="AO60" s="345">
        <f t="shared" ca="1" si="22"/>
        <v>0.24899999999999997</v>
      </c>
    </row>
    <row r="61" spans="1:42" x14ac:dyDescent="0.25">
      <c r="A61" s="21"/>
      <c r="B61" s="21">
        <v>1</v>
      </c>
      <c r="C61" s="345">
        <f t="shared" ref="C61:K61" ca="1" si="23">C43*$B$58</f>
        <v>4.847199999999998E-2</v>
      </c>
      <c r="D61" s="345">
        <f t="shared" ca="1" si="23"/>
        <v>4.847199999999998E-2</v>
      </c>
      <c r="E61" s="345">
        <f t="shared" ca="1" si="23"/>
        <v>6.7229999999999984E-2</v>
      </c>
      <c r="F61" s="345">
        <f t="shared" ca="1" si="23"/>
        <v>4.8471999999999987E-2</v>
      </c>
      <c r="G61" s="345">
        <f t="shared" ca="1" si="23"/>
        <v>0.105078</v>
      </c>
      <c r="H61" s="345">
        <f t="shared" ca="1" si="23"/>
        <v>5.5443999999999986E-2</v>
      </c>
      <c r="I61" s="345">
        <f t="shared" ca="1" si="23"/>
        <v>4.8471999999999987E-2</v>
      </c>
      <c r="J61" s="345">
        <f t="shared" ca="1" si="23"/>
        <v>0.105078</v>
      </c>
      <c r="K61" s="345">
        <f t="shared" ca="1" si="23"/>
        <v>0.105078</v>
      </c>
      <c r="L61" s="345">
        <f t="shared" ref="L61:AO61" ca="1" si="24">L43*$B$58</f>
        <v>0.16533599999999996</v>
      </c>
      <c r="M61" s="345">
        <f t="shared" ca="1" si="24"/>
        <v>5.5443999999999986E-2</v>
      </c>
      <c r="N61" s="345">
        <f t="shared" ca="1" si="24"/>
        <v>5.5443999999999993E-2</v>
      </c>
      <c r="O61" s="345">
        <f t="shared" ca="1" si="24"/>
        <v>0.105078</v>
      </c>
      <c r="P61" s="345">
        <f t="shared" ca="1" si="24"/>
        <v>0.16533599999999998</v>
      </c>
      <c r="Q61" s="345">
        <f t="shared" ca="1" si="24"/>
        <v>0.20667000000000002</v>
      </c>
      <c r="R61" s="345">
        <f t="shared" ca="1" si="24"/>
        <v>0.16533599999999998</v>
      </c>
      <c r="S61" s="345">
        <f t="shared" ca="1" si="24"/>
        <v>5.5443999999999986E-2</v>
      </c>
      <c r="T61" s="345">
        <f t="shared" ca="1" si="24"/>
        <v>5.5443999999999986E-2</v>
      </c>
      <c r="U61" s="345">
        <f t="shared" ca="1" si="24"/>
        <v>5.5443999999999986E-2</v>
      </c>
      <c r="V61" s="345">
        <f t="shared" ca="1" si="24"/>
        <v>5.0463999999999988E-2</v>
      </c>
      <c r="W61" s="345">
        <f t="shared" ca="1" si="24"/>
        <v>0.105078</v>
      </c>
      <c r="X61" s="345">
        <f t="shared" ca="1" si="24"/>
        <v>0.16533599999999998</v>
      </c>
      <c r="Y61" s="345">
        <f t="shared" ca="1" si="24"/>
        <v>5.0463999999999988E-2</v>
      </c>
      <c r="Z61" s="345">
        <f t="shared" ca="1" si="24"/>
        <v>6.7229999999999984E-2</v>
      </c>
      <c r="AA61" s="345">
        <f t="shared" ca="1" si="24"/>
        <v>0.20666999999999996</v>
      </c>
      <c r="AB61" s="345">
        <f t="shared" ca="1" si="24"/>
        <v>5.5443999999999986E-2</v>
      </c>
      <c r="AC61" s="345">
        <f t="shared" ca="1" si="24"/>
        <v>4.847199999999998E-2</v>
      </c>
      <c r="AD61" s="345">
        <f t="shared" ca="1" si="24"/>
        <v>5.5443999999999986E-2</v>
      </c>
      <c r="AE61" s="345">
        <f t="shared" ca="1" si="24"/>
        <v>6.0589999999999984E-2</v>
      </c>
      <c r="AF61" s="345">
        <f t="shared" ca="1" si="24"/>
        <v>6.0589999999999984E-2</v>
      </c>
      <c r="AG61" s="345">
        <f t="shared" ca="1" si="24"/>
        <v>6.0589999999999984E-2</v>
      </c>
      <c r="AH61" s="345">
        <f t="shared" ca="1" si="24"/>
        <v>6.7229999999999984E-2</v>
      </c>
      <c r="AI61" s="345">
        <f t="shared" ca="1" si="24"/>
        <v>0.20667000000000002</v>
      </c>
      <c r="AJ61" s="345">
        <f t="shared" ca="1" si="24"/>
        <v>0.10507799999999999</v>
      </c>
      <c r="AK61" s="345">
        <f t="shared" ca="1" si="24"/>
        <v>0.16533599999999998</v>
      </c>
      <c r="AL61" s="345">
        <f t="shared" ca="1" si="24"/>
        <v>0.20667000000000005</v>
      </c>
      <c r="AM61" s="345">
        <f t="shared" ca="1" si="24"/>
        <v>0.16533599999999998</v>
      </c>
      <c r="AN61" s="345">
        <f t="shared" ca="1" si="24"/>
        <v>6.0589999999999991E-2</v>
      </c>
      <c r="AO61" s="345">
        <f t="shared" ca="1" si="24"/>
        <v>0.20666999999999999</v>
      </c>
    </row>
    <row r="62" spans="1:42" x14ac:dyDescent="0.25">
      <c r="A62" s="146"/>
      <c r="B62" s="21">
        <v>0</v>
      </c>
      <c r="C62" s="345">
        <f t="shared" ref="C62:K62" ca="1" si="25">C44*$B$58*$B$60</f>
        <v>4.6479999999999987E-2</v>
      </c>
      <c r="D62" s="345">
        <f t="shared" ca="1" si="25"/>
        <v>4.6479999999999987E-2</v>
      </c>
      <c r="E62" s="345">
        <f t="shared" ca="1" si="25"/>
        <v>7.9679999999999973E-2</v>
      </c>
      <c r="F62" s="345">
        <f t="shared" ca="1" si="25"/>
        <v>4.648E-2</v>
      </c>
      <c r="G62" s="345">
        <f t="shared" ca="1" si="25"/>
        <v>0.22908000000000001</v>
      </c>
      <c r="H62" s="345">
        <f t="shared" ca="1" si="25"/>
        <v>7.3039999999999966E-2</v>
      </c>
      <c r="I62" s="345">
        <f t="shared" ca="1" si="25"/>
        <v>4.6479999999999994E-2</v>
      </c>
      <c r="J62" s="345">
        <f t="shared" ca="1" si="25"/>
        <v>0.22907999999999995</v>
      </c>
      <c r="K62" s="345">
        <f t="shared" ca="1" si="25"/>
        <v>0.22908000000000006</v>
      </c>
      <c r="L62" s="345">
        <f t="shared" ref="L62:AO62" ca="1" si="26">L44*$B$58*$B$60</f>
        <v>0.43824000000000002</v>
      </c>
      <c r="M62" s="345">
        <f t="shared" ca="1" si="26"/>
        <v>7.3039999999999966E-2</v>
      </c>
      <c r="N62" s="345">
        <f t="shared" ca="1" si="26"/>
        <v>7.303999999999998E-2</v>
      </c>
      <c r="O62" s="345">
        <f t="shared" ca="1" si="26"/>
        <v>0.22907999999999995</v>
      </c>
      <c r="P62" s="345">
        <f t="shared" ca="1" si="26"/>
        <v>0.43824000000000002</v>
      </c>
      <c r="Q62" s="345">
        <f t="shared" ca="1" si="26"/>
        <v>0.23903999999999997</v>
      </c>
      <c r="R62" s="345">
        <f t="shared" ca="1" si="26"/>
        <v>0.43824000000000002</v>
      </c>
      <c r="S62" s="345">
        <f t="shared" ca="1" si="26"/>
        <v>7.3039999999999966E-2</v>
      </c>
      <c r="T62" s="345">
        <f t="shared" ca="1" si="26"/>
        <v>7.303999999999998E-2</v>
      </c>
      <c r="U62" s="345">
        <f t="shared" ca="1" si="26"/>
        <v>7.3039999999999966E-2</v>
      </c>
      <c r="V62" s="345">
        <f t="shared" ca="1" si="26"/>
        <v>0.14607999999999996</v>
      </c>
      <c r="W62" s="345">
        <f t="shared" ca="1" si="26"/>
        <v>0.22907999999999995</v>
      </c>
      <c r="X62" s="345">
        <f t="shared" ca="1" si="26"/>
        <v>0.43823999999999991</v>
      </c>
      <c r="Y62" s="345">
        <f t="shared" ca="1" si="26"/>
        <v>0.14607999999999996</v>
      </c>
      <c r="Z62" s="345">
        <f t="shared" ca="1" si="26"/>
        <v>7.9679999999999959E-2</v>
      </c>
      <c r="AA62" s="345">
        <f t="shared" ca="1" si="26"/>
        <v>0.19920000000000002</v>
      </c>
      <c r="AB62" s="345">
        <f t="shared" ca="1" si="26"/>
        <v>7.303999999999998E-2</v>
      </c>
      <c r="AC62" s="345">
        <f t="shared" ca="1" si="26"/>
        <v>4.6479999999999994E-2</v>
      </c>
      <c r="AD62" s="345">
        <f t="shared" ca="1" si="26"/>
        <v>7.3039999999999966E-2</v>
      </c>
      <c r="AE62" s="345">
        <f t="shared" ca="1" si="26"/>
        <v>6.6399999999999987E-2</v>
      </c>
      <c r="AF62" s="345">
        <f t="shared" ca="1" si="26"/>
        <v>6.6399999999999973E-2</v>
      </c>
      <c r="AG62" s="345">
        <f t="shared" ca="1" si="26"/>
        <v>6.6399999999999987E-2</v>
      </c>
      <c r="AH62" s="345">
        <f t="shared" ca="1" si="26"/>
        <v>7.9679999999999973E-2</v>
      </c>
      <c r="AI62" s="345">
        <f t="shared" ca="1" si="26"/>
        <v>0.19920000000000002</v>
      </c>
      <c r="AJ62" s="345">
        <f t="shared" ca="1" si="26"/>
        <v>0.22907999999999992</v>
      </c>
      <c r="AK62" s="345">
        <f t="shared" ca="1" si="26"/>
        <v>0.43824000000000002</v>
      </c>
      <c r="AL62" s="345">
        <f t="shared" ca="1" si="26"/>
        <v>0.23903999999999997</v>
      </c>
      <c r="AM62" s="345">
        <f t="shared" ca="1" si="26"/>
        <v>0.43824000000000002</v>
      </c>
      <c r="AN62" s="345">
        <f t="shared" ca="1" si="26"/>
        <v>6.6399999999999987E-2</v>
      </c>
      <c r="AO62" s="345">
        <f t="shared" ca="1" si="26"/>
        <v>0.19920000000000002</v>
      </c>
    </row>
    <row r="63" spans="1:42" x14ac:dyDescent="0.25">
      <c r="A63" s="21" t="s">
        <v>186</v>
      </c>
      <c r="B63" s="22">
        <v>0.17</v>
      </c>
      <c r="C63" s="345"/>
      <c r="D63" s="345"/>
      <c r="E63" s="345"/>
      <c r="F63" s="345"/>
      <c r="G63" s="345"/>
      <c r="H63" s="345"/>
      <c r="I63" s="345"/>
      <c r="J63" s="345"/>
      <c r="K63" s="345"/>
      <c r="L63" s="345"/>
      <c r="M63" s="345"/>
      <c r="N63" s="345"/>
      <c r="O63" s="345"/>
      <c r="P63" s="345"/>
      <c r="Q63" s="345"/>
      <c r="R63" s="345"/>
      <c r="S63" s="345"/>
      <c r="T63" s="345"/>
      <c r="U63" s="345"/>
      <c r="V63" s="345"/>
      <c r="W63" s="345"/>
      <c r="X63" s="345"/>
      <c r="Y63" s="345"/>
      <c r="Z63" s="345"/>
      <c r="AA63" s="345"/>
      <c r="AB63" s="345"/>
      <c r="AC63" s="345"/>
      <c r="AD63" s="345"/>
      <c r="AE63" s="345"/>
      <c r="AF63" s="345"/>
      <c r="AG63" s="345"/>
      <c r="AH63" s="345"/>
      <c r="AI63" s="345"/>
      <c r="AJ63" s="345"/>
      <c r="AK63" s="345"/>
      <c r="AL63" s="345"/>
      <c r="AM63" s="345"/>
      <c r="AN63" s="345"/>
      <c r="AO63" s="345"/>
    </row>
    <row r="64" spans="1:42" x14ac:dyDescent="0.25">
      <c r="B64" s="21">
        <v>4</v>
      </c>
      <c r="C64" s="57">
        <v>0</v>
      </c>
      <c r="D64" s="57">
        <v>0</v>
      </c>
      <c r="E64" s="57">
        <v>0</v>
      </c>
      <c r="F64" s="57">
        <v>0</v>
      </c>
      <c r="G64" s="57">
        <v>0</v>
      </c>
      <c r="H64" s="57">
        <v>0</v>
      </c>
      <c r="I64" s="57">
        <v>0</v>
      </c>
      <c r="J64" s="57">
        <v>0</v>
      </c>
      <c r="K64" s="57">
        <v>0</v>
      </c>
      <c r="L64" s="57">
        <v>0</v>
      </c>
      <c r="M64" s="57">
        <v>0</v>
      </c>
      <c r="N64" s="57">
        <v>0</v>
      </c>
      <c r="O64" s="57">
        <v>0</v>
      </c>
      <c r="P64" s="57">
        <v>0</v>
      </c>
      <c r="Q64" s="57">
        <v>0</v>
      </c>
      <c r="R64" s="57">
        <v>0</v>
      </c>
      <c r="S64" s="57">
        <v>0</v>
      </c>
      <c r="T64" s="57">
        <v>0</v>
      </c>
      <c r="U64" s="57">
        <v>0</v>
      </c>
      <c r="V64" s="57">
        <v>0</v>
      </c>
      <c r="W64" s="57">
        <v>0</v>
      </c>
      <c r="X64" s="57">
        <v>0</v>
      </c>
      <c r="Y64" s="57">
        <v>0</v>
      </c>
      <c r="Z64" s="57">
        <v>0</v>
      </c>
      <c r="AA64" s="57">
        <v>0</v>
      </c>
      <c r="AB64" s="57">
        <v>0</v>
      </c>
      <c r="AC64" s="57">
        <v>0</v>
      </c>
      <c r="AD64" s="57">
        <v>0</v>
      </c>
      <c r="AE64" s="57">
        <v>0</v>
      </c>
      <c r="AF64" s="57">
        <v>0</v>
      </c>
      <c r="AG64" s="57">
        <v>0</v>
      </c>
      <c r="AH64" s="57">
        <v>0</v>
      </c>
      <c r="AI64" s="57">
        <v>0</v>
      </c>
      <c r="AJ64" s="57">
        <v>0</v>
      </c>
      <c r="AK64" s="57">
        <v>0</v>
      </c>
      <c r="AL64" s="57">
        <v>0</v>
      </c>
      <c r="AM64" s="57">
        <v>0</v>
      </c>
      <c r="AN64" s="57">
        <v>0</v>
      </c>
      <c r="AO64" s="57">
        <v>0</v>
      </c>
    </row>
    <row r="65" spans="1:41" ht="15" customHeight="1" x14ac:dyDescent="0.25">
      <c r="A65" s="21"/>
      <c r="B65" s="21">
        <v>2</v>
      </c>
      <c r="C65" s="21">
        <f ca="1">C49*$B$63*$B$64</f>
        <v>8.1599999999999989E-3</v>
      </c>
      <c r="D65" s="21">
        <f t="shared" ref="D65:AO65" ca="1" si="27">D49*$B$63*$B$64</f>
        <v>8.1600000000000006E-3</v>
      </c>
      <c r="E65" s="21">
        <f t="shared" ca="1" si="27"/>
        <v>4.0799999999999994E-3</v>
      </c>
      <c r="F65" s="21">
        <f t="shared" ca="1" si="27"/>
        <v>2.7199999999999998E-3</v>
      </c>
      <c r="G65" s="21">
        <f t="shared" ca="1" si="27"/>
        <v>1.4280000000000003E-2</v>
      </c>
      <c r="H65" s="21">
        <f t="shared" ca="1" si="27"/>
        <v>1.2239999999999997E-2</v>
      </c>
      <c r="I65" s="21">
        <f t="shared" ca="1" si="27"/>
        <v>8.1600000000000006E-3</v>
      </c>
      <c r="J65" s="21">
        <f t="shared" ca="1" si="27"/>
        <v>1.4280000000000003E-2</v>
      </c>
      <c r="K65" s="21">
        <f t="shared" ca="1" si="27"/>
        <v>1.4280000000000003E-2</v>
      </c>
      <c r="L65" s="21">
        <f t="shared" ca="1" si="27"/>
        <v>1.2240000000000003E-2</v>
      </c>
      <c r="M65" s="21">
        <f t="shared" ca="1" si="27"/>
        <v>1.2239999999999997E-2</v>
      </c>
      <c r="N65" s="21">
        <f t="shared" ca="1" si="27"/>
        <v>1.2239999999999999E-2</v>
      </c>
      <c r="O65" s="21">
        <f t="shared" ca="1" si="27"/>
        <v>1.4279999999999999E-2</v>
      </c>
      <c r="P65" s="21">
        <f t="shared" ca="1" si="27"/>
        <v>1.2239999999999997E-2</v>
      </c>
      <c r="Q65" s="21">
        <f t="shared" ca="1" si="27"/>
        <v>1.2239999999999999E-2</v>
      </c>
      <c r="R65" s="21">
        <f t="shared" ca="1" si="27"/>
        <v>1.2239999999999999E-2</v>
      </c>
      <c r="S65" s="21">
        <f t="shared" ca="1" si="27"/>
        <v>1.2239999999999997E-2</v>
      </c>
      <c r="T65" s="21">
        <f t="shared" ca="1" si="27"/>
        <v>1.2239999999999999E-2</v>
      </c>
      <c r="U65" s="21">
        <f t="shared" ca="1" si="27"/>
        <v>1.2239999999999999E-2</v>
      </c>
      <c r="V65" s="21">
        <f t="shared" ca="1" si="27"/>
        <v>1.2239999999999999E-2</v>
      </c>
      <c r="W65" s="21">
        <f t="shared" ca="1" si="27"/>
        <v>1.4280000000000003E-2</v>
      </c>
      <c r="X65" s="21">
        <f t="shared" ca="1" si="27"/>
        <v>1.2240000000000003E-2</v>
      </c>
      <c r="Y65" s="21">
        <f t="shared" ca="1" si="27"/>
        <v>1.2239999999999999E-2</v>
      </c>
      <c r="Z65" s="21">
        <f t="shared" ca="1" si="27"/>
        <v>1.2239999999999999E-2</v>
      </c>
      <c r="AA65" s="21">
        <f t="shared" ca="1" si="27"/>
        <v>1.0200000000000001E-2</v>
      </c>
      <c r="AB65" s="21">
        <f t="shared" ca="1" si="27"/>
        <v>1.2239999999999999E-2</v>
      </c>
      <c r="AC65" s="21">
        <f t="shared" ca="1" si="27"/>
        <v>8.1600000000000006E-3</v>
      </c>
      <c r="AD65" s="21">
        <f t="shared" ca="1" si="27"/>
        <v>1.2239999999999999E-2</v>
      </c>
      <c r="AE65" s="21">
        <f t="shared" ca="1" si="27"/>
        <v>1.0200000000000001E-2</v>
      </c>
      <c r="AF65" s="21">
        <f t="shared" ca="1" si="27"/>
        <v>1.0200000000000002E-2</v>
      </c>
      <c r="AG65" s="21">
        <f t="shared" ca="1" si="27"/>
        <v>1.0199999999999999E-2</v>
      </c>
      <c r="AH65" s="21">
        <f t="shared" ca="1" si="27"/>
        <v>4.0799999999999994E-3</v>
      </c>
      <c r="AI65" s="21">
        <f t="shared" ca="1" si="27"/>
        <v>1.0200000000000001E-2</v>
      </c>
      <c r="AJ65" s="21">
        <f t="shared" ca="1" si="27"/>
        <v>1.4280000000000003E-2</v>
      </c>
      <c r="AK65" s="21">
        <f t="shared" ca="1" si="27"/>
        <v>1.2239999999999999E-2</v>
      </c>
      <c r="AL65" s="21">
        <f t="shared" ca="1" si="27"/>
        <v>1.2240000000000003E-2</v>
      </c>
      <c r="AM65" s="21">
        <f t="shared" ca="1" si="27"/>
        <v>1.2239999999999999E-2</v>
      </c>
      <c r="AN65" s="21">
        <f t="shared" ca="1" si="27"/>
        <v>1.0200000000000001E-2</v>
      </c>
      <c r="AO65" s="21">
        <f t="shared" ca="1" si="27"/>
        <v>1.0200000000000001E-2</v>
      </c>
    </row>
    <row r="66" spans="1:41" x14ac:dyDescent="0.25">
      <c r="A66" s="21"/>
      <c r="B66" s="21">
        <v>1</v>
      </c>
      <c r="C66" s="345">
        <f ca="1">C51*$B$63*$B$65</f>
        <v>3.6719999999999996E-2</v>
      </c>
      <c r="D66" s="345">
        <f t="shared" ref="D66:AO66" ca="1" si="28">D51*$B$63*$B$65</f>
        <v>3.6720000000000003E-2</v>
      </c>
      <c r="E66" s="345">
        <f t="shared" ca="1" si="28"/>
        <v>1.6319999999999998E-2</v>
      </c>
      <c r="F66" s="345">
        <f t="shared" ca="1" si="28"/>
        <v>1.2239999999999997E-2</v>
      </c>
      <c r="G66" s="345">
        <f t="shared" ca="1" si="28"/>
        <v>6.3240000000000005E-2</v>
      </c>
      <c r="H66" s="345">
        <f t="shared" ca="1" si="28"/>
        <v>4.8959999999999997E-2</v>
      </c>
      <c r="I66" s="345">
        <f t="shared" ca="1" si="28"/>
        <v>3.6720000000000003E-2</v>
      </c>
      <c r="J66" s="345">
        <f t="shared" ca="1" si="28"/>
        <v>6.3239999999999991E-2</v>
      </c>
      <c r="K66" s="345">
        <f t="shared" ca="1" si="28"/>
        <v>6.3239999999999991E-2</v>
      </c>
      <c r="L66" s="345">
        <f t="shared" ca="1" si="28"/>
        <v>4.6919999999999996E-2</v>
      </c>
      <c r="M66" s="345">
        <f t="shared" ca="1" si="28"/>
        <v>4.896000000000001E-2</v>
      </c>
      <c r="N66" s="345">
        <f t="shared" ca="1" si="28"/>
        <v>4.8959999999999997E-2</v>
      </c>
      <c r="O66" s="345">
        <f t="shared" ca="1" si="28"/>
        <v>6.3240000000000005E-2</v>
      </c>
      <c r="P66" s="345">
        <f t="shared" ca="1" si="28"/>
        <v>4.692000000000001E-2</v>
      </c>
      <c r="Q66" s="345">
        <f t="shared" ca="1" si="28"/>
        <v>4.896000000000001E-2</v>
      </c>
      <c r="R66" s="345">
        <f t="shared" ca="1" si="28"/>
        <v>4.6919999999999996E-2</v>
      </c>
      <c r="S66" s="345">
        <f t="shared" ca="1" si="28"/>
        <v>4.8959999999999997E-2</v>
      </c>
      <c r="T66" s="345">
        <f t="shared" ca="1" si="28"/>
        <v>4.896000000000001E-2</v>
      </c>
      <c r="U66" s="345">
        <f t="shared" ca="1" si="28"/>
        <v>4.8959999999999997E-2</v>
      </c>
      <c r="V66" s="345">
        <f t="shared" ca="1" si="28"/>
        <v>4.6919999999999996E-2</v>
      </c>
      <c r="W66" s="345">
        <f t="shared" ca="1" si="28"/>
        <v>6.3240000000000005E-2</v>
      </c>
      <c r="X66" s="345">
        <f t="shared" ca="1" si="28"/>
        <v>4.6919999999999996E-2</v>
      </c>
      <c r="Y66" s="345">
        <f t="shared" ca="1" si="28"/>
        <v>4.692000000000001E-2</v>
      </c>
      <c r="Z66" s="345">
        <f t="shared" ca="1" si="28"/>
        <v>4.896000000000001E-2</v>
      </c>
      <c r="AA66" s="345">
        <f t="shared" ca="1" si="28"/>
        <v>5.3040000000000004E-2</v>
      </c>
      <c r="AB66" s="345">
        <f t="shared" ca="1" si="28"/>
        <v>4.8959999999999997E-2</v>
      </c>
      <c r="AC66" s="345">
        <f t="shared" ca="1" si="28"/>
        <v>3.6719999999999996E-2</v>
      </c>
      <c r="AD66" s="345">
        <f t="shared" ca="1" si="28"/>
        <v>4.8959999999999997E-2</v>
      </c>
      <c r="AE66" s="345">
        <f t="shared" ca="1" si="28"/>
        <v>5.3040000000000004E-2</v>
      </c>
      <c r="AF66" s="345">
        <f t="shared" ca="1" si="28"/>
        <v>5.3040000000000004E-2</v>
      </c>
      <c r="AG66" s="345">
        <f t="shared" ca="1" si="28"/>
        <v>5.3039999999999997E-2</v>
      </c>
      <c r="AH66" s="345">
        <f t="shared" ca="1" si="28"/>
        <v>1.6319999999999998E-2</v>
      </c>
      <c r="AI66" s="345">
        <f t="shared" ca="1" si="28"/>
        <v>5.3040000000000004E-2</v>
      </c>
      <c r="AJ66" s="345">
        <f t="shared" ca="1" si="28"/>
        <v>6.3240000000000005E-2</v>
      </c>
      <c r="AK66" s="345">
        <f t="shared" ca="1" si="28"/>
        <v>4.692000000000001E-2</v>
      </c>
      <c r="AL66" s="345">
        <f t="shared" ca="1" si="28"/>
        <v>4.896000000000001E-2</v>
      </c>
      <c r="AM66" s="345">
        <f t="shared" ca="1" si="28"/>
        <v>4.6919999999999996E-2</v>
      </c>
      <c r="AN66" s="345">
        <f t="shared" ca="1" si="28"/>
        <v>5.3040000000000004E-2</v>
      </c>
      <c r="AO66" s="345">
        <f t="shared" ca="1" si="28"/>
        <v>5.3040000000000004E-2</v>
      </c>
    </row>
    <row r="67" spans="1:41" x14ac:dyDescent="0.25">
      <c r="A67" s="146"/>
      <c r="B67" s="21">
        <v>0</v>
      </c>
      <c r="C67" s="345">
        <f ca="1">C50*$B$63</f>
        <v>8.3639999999999999E-3</v>
      </c>
      <c r="D67" s="345">
        <f t="shared" ref="D67:AO67" ca="1" si="29">D50*$B$63</f>
        <v>8.3639999999999999E-3</v>
      </c>
      <c r="E67" s="345">
        <f t="shared" ca="1" si="29"/>
        <v>6.3239999999999989E-3</v>
      </c>
      <c r="F67" s="345">
        <f t="shared" ca="1" si="29"/>
        <v>2.5159999999999996E-3</v>
      </c>
      <c r="G67" s="345">
        <f t="shared" ca="1" si="29"/>
        <v>5.2020000000000009E-3</v>
      </c>
      <c r="H67" s="345">
        <f t="shared" ca="1" si="29"/>
        <v>2.0195999999999995E-2</v>
      </c>
      <c r="I67" s="345">
        <f t="shared" ca="1" si="29"/>
        <v>8.3639999999999999E-3</v>
      </c>
      <c r="J67" s="345">
        <f t="shared" ca="1" si="29"/>
        <v>5.2020000000000009E-3</v>
      </c>
      <c r="K67" s="345">
        <f t="shared" ca="1" si="29"/>
        <v>5.2020000000000009E-3</v>
      </c>
      <c r="L67" s="345">
        <f t="shared" ca="1" si="29"/>
        <v>3.039600000000001E-2</v>
      </c>
      <c r="M67" s="345">
        <f t="shared" ca="1" si="29"/>
        <v>2.0195999999999999E-2</v>
      </c>
      <c r="N67" s="345">
        <f t="shared" ca="1" si="29"/>
        <v>2.0195999999999999E-2</v>
      </c>
      <c r="O67" s="345">
        <f t="shared" ca="1" si="29"/>
        <v>5.2019999999999992E-3</v>
      </c>
      <c r="P67" s="345">
        <f t="shared" ca="1" si="29"/>
        <v>3.0396000000000006E-2</v>
      </c>
      <c r="Q67" s="345">
        <f t="shared" ca="1" si="29"/>
        <v>2.0195999999999999E-2</v>
      </c>
      <c r="R67" s="345">
        <f t="shared" ca="1" si="29"/>
        <v>3.0396000000000006E-2</v>
      </c>
      <c r="S67" s="345">
        <f t="shared" ca="1" si="29"/>
        <v>2.0195999999999999E-2</v>
      </c>
      <c r="T67" s="345">
        <f t="shared" ca="1" si="29"/>
        <v>2.0195999999999999E-2</v>
      </c>
      <c r="U67" s="345">
        <f t="shared" ca="1" si="29"/>
        <v>2.0195999999999999E-2</v>
      </c>
      <c r="V67" s="345">
        <f t="shared" ca="1" si="29"/>
        <v>3.0396000000000006E-2</v>
      </c>
      <c r="W67" s="345">
        <f t="shared" ca="1" si="29"/>
        <v>5.2020000000000018E-3</v>
      </c>
      <c r="X67" s="345">
        <f t="shared" ca="1" si="29"/>
        <v>3.0396000000000006E-2</v>
      </c>
      <c r="Y67" s="345">
        <f t="shared" ca="1" si="29"/>
        <v>3.039600000000001E-2</v>
      </c>
      <c r="Z67" s="345">
        <f t="shared" ca="1" si="29"/>
        <v>2.0195999999999999E-2</v>
      </c>
      <c r="AA67" s="345">
        <f t="shared" ca="1" si="29"/>
        <v>6.6300000000000005E-3</v>
      </c>
      <c r="AB67" s="345">
        <f t="shared" ca="1" si="29"/>
        <v>2.0195999999999999E-2</v>
      </c>
      <c r="AC67" s="345">
        <f t="shared" ca="1" si="29"/>
        <v>8.3639999999999999E-3</v>
      </c>
      <c r="AD67" s="345">
        <f t="shared" ca="1" si="29"/>
        <v>2.0195999999999999E-2</v>
      </c>
      <c r="AE67" s="345">
        <f t="shared" ca="1" si="29"/>
        <v>6.6300000000000005E-3</v>
      </c>
      <c r="AF67" s="345">
        <f t="shared" ca="1" si="29"/>
        <v>6.6300000000000005E-3</v>
      </c>
      <c r="AG67" s="345">
        <f t="shared" ca="1" si="29"/>
        <v>6.6299999999999996E-3</v>
      </c>
      <c r="AH67" s="345">
        <f t="shared" ca="1" si="29"/>
        <v>6.3239999999999998E-3</v>
      </c>
      <c r="AI67" s="345">
        <f t="shared" ca="1" si="29"/>
        <v>6.6300000000000005E-3</v>
      </c>
      <c r="AJ67" s="345">
        <f t="shared" ca="1" si="29"/>
        <v>5.2020000000000009E-3</v>
      </c>
      <c r="AK67" s="345">
        <f t="shared" ca="1" si="29"/>
        <v>3.0396000000000006E-2</v>
      </c>
      <c r="AL67" s="345">
        <f t="shared" ca="1" si="29"/>
        <v>2.0196000000000002E-2</v>
      </c>
      <c r="AM67" s="345">
        <f t="shared" ca="1" si="29"/>
        <v>3.0396000000000006E-2</v>
      </c>
      <c r="AN67" s="345">
        <f t="shared" ca="1" si="29"/>
        <v>6.6300000000000005E-3</v>
      </c>
      <c r="AO67" s="345">
        <f t="shared" ca="1" si="29"/>
        <v>6.6300000000000005E-3</v>
      </c>
    </row>
    <row r="68" spans="1:41" x14ac:dyDescent="0.25">
      <c r="A68" s="21" t="s">
        <v>643</v>
      </c>
      <c r="B68" s="21"/>
      <c r="C68" s="57">
        <v>0</v>
      </c>
      <c r="D68" s="57">
        <v>0</v>
      </c>
      <c r="E68" s="57">
        <v>0</v>
      </c>
      <c r="F68" s="57">
        <v>0</v>
      </c>
      <c r="G68" s="57">
        <v>0</v>
      </c>
      <c r="H68" s="57">
        <v>0</v>
      </c>
      <c r="I68" s="57">
        <v>0</v>
      </c>
      <c r="J68" s="57">
        <v>0</v>
      </c>
      <c r="K68" s="57">
        <v>0</v>
      </c>
      <c r="L68" s="57">
        <v>0</v>
      </c>
      <c r="M68" s="57">
        <v>0</v>
      </c>
      <c r="N68" s="57">
        <v>0</v>
      </c>
      <c r="O68" s="57">
        <v>0</v>
      </c>
      <c r="P68" s="57">
        <v>0</v>
      </c>
      <c r="Q68" s="57">
        <v>0</v>
      </c>
      <c r="R68" s="57">
        <v>0</v>
      </c>
      <c r="S68" s="57">
        <v>0</v>
      </c>
      <c r="T68" s="57">
        <v>0</v>
      </c>
      <c r="U68" s="57">
        <v>0</v>
      </c>
      <c r="V68" s="57">
        <v>0</v>
      </c>
      <c r="W68" s="57">
        <v>0</v>
      </c>
      <c r="X68" s="57">
        <v>0</v>
      </c>
      <c r="Y68" s="57">
        <v>0</v>
      </c>
      <c r="Z68" s="57">
        <v>0</v>
      </c>
      <c r="AA68" s="57">
        <v>0</v>
      </c>
      <c r="AB68" s="57">
        <v>0</v>
      </c>
      <c r="AC68" s="57">
        <v>0</v>
      </c>
      <c r="AD68" s="57">
        <v>0</v>
      </c>
      <c r="AE68" s="57">
        <v>0</v>
      </c>
      <c r="AF68" s="57">
        <v>0</v>
      </c>
      <c r="AG68" s="57">
        <v>0</v>
      </c>
      <c r="AH68" s="57">
        <v>0</v>
      </c>
      <c r="AI68" s="57">
        <v>0</v>
      </c>
      <c r="AJ68" s="57">
        <v>0</v>
      </c>
      <c r="AK68" s="57">
        <v>0</v>
      </c>
      <c r="AL68" s="57">
        <v>0</v>
      </c>
      <c r="AM68" s="57">
        <v>0</v>
      </c>
      <c r="AN68" s="57">
        <v>0</v>
      </c>
      <c r="AO68" s="57">
        <v>0</v>
      </c>
    </row>
    <row r="69" spans="1:41" x14ac:dyDescent="0.25">
      <c r="A69" s="21" t="s">
        <v>103</v>
      </c>
      <c r="B69" s="21"/>
      <c r="C69" s="21">
        <f t="shared" ref="C69:AO69" ca="1" si="30">SUM(C60:C67)</f>
        <v>0.15483599999999997</v>
      </c>
      <c r="D69" s="21">
        <f t="shared" ca="1" si="30"/>
        <v>0.15483599999999997</v>
      </c>
      <c r="E69" s="21">
        <f t="shared" ca="1" si="30"/>
        <v>0.19023399999999996</v>
      </c>
      <c r="F69" s="21">
        <f t="shared" ca="1" si="30"/>
        <v>0.11906799999999999</v>
      </c>
      <c r="G69" s="21">
        <f t="shared" ca="1" si="30"/>
        <v>0.68579999999999997</v>
      </c>
      <c r="H69" s="21">
        <f t="shared" ca="1" si="30"/>
        <v>0.25635999999999998</v>
      </c>
      <c r="I69" s="21">
        <f t="shared" ca="1" si="30"/>
        <v>0.154836</v>
      </c>
      <c r="J69" s="21">
        <f t="shared" ca="1" si="30"/>
        <v>0.68579999999999997</v>
      </c>
      <c r="K69" s="21">
        <f t="shared" ca="1" si="30"/>
        <v>0.68580000000000008</v>
      </c>
      <c r="L69" s="21">
        <f t="shared" ca="1" si="30"/>
        <v>0.83257199999999987</v>
      </c>
      <c r="M69" s="21">
        <f t="shared" ca="1" si="30"/>
        <v>0.25635999999999998</v>
      </c>
      <c r="N69" s="21">
        <f t="shared" ca="1" si="30"/>
        <v>0.25635999999999998</v>
      </c>
      <c r="O69" s="21">
        <f t="shared" ca="1" si="30"/>
        <v>0.68579999999999997</v>
      </c>
      <c r="P69" s="21">
        <f t="shared" ca="1" si="30"/>
        <v>0.83257199999999998</v>
      </c>
      <c r="Q69" s="21">
        <f t="shared" ca="1" si="30"/>
        <v>0.57690600000000003</v>
      </c>
      <c r="R69" s="21">
        <f t="shared" ca="1" si="30"/>
        <v>0.83257200000000009</v>
      </c>
      <c r="S69" s="21">
        <f t="shared" ca="1" si="30"/>
        <v>0.25635999999999998</v>
      </c>
      <c r="T69" s="21">
        <f t="shared" ca="1" si="30"/>
        <v>0.25635999999999998</v>
      </c>
      <c r="U69" s="21">
        <f t="shared" ca="1" si="30"/>
        <v>0.25635999999999998</v>
      </c>
      <c r="V69" s="21">
        <f t="shared" ca="1" si="30"/>
        <v>0.33257999999999999</v>
      </c>
      <c r="W69" s="21">
        <f t="shared" ca="1" si="30"/>
        <v>0.68579999999999997</v>
      </c>
      <c r="X69" s="21">
        <f t="shared" ca="1" si="30"/>
        <v>0.83257199999999987</v>
      </c>
      <c r="Y69" s="21">
        <f t="shared" ca="1" si="30"/>
        <v>0.33257999999999999</v>
      </c>
      <c r="Z69" s="21">
        <f t="shared" ca="1" si="30"/>
        <v>0.24490599999999993</v>
      </c>
      <c r="AA69" s="21">
        <f t="shared" ca="1" si="30"/>
        <v>0.72473999999999994</v>
      </c>
      <c r="AB69" s="21">
        <f t="shared" ca="1" si="30"/>
        <v>0.25635999999999998</v>
      </c>
      <c r="AC69" s="21">
        <f t="shared" ca="1" si="30"/>
        <v>0.15483599999999997</v>
      </c>
      <c r="AD69" s="21">
        <f t="shared" ca="1" si="30"/>
        <v>0.25635999999999998</v>
      </c>
      <c r="AE69" s="21">
        <f t="shared" ca="1" si="30"/>
        <v>0.27986</v>
      </c>
      <c r="AF69" s="21">
        <f t="shared" ca="1" si="30"/>
        <v>0.27986</v>
      </c>
      <c r="AG69" s="21">
        <f t="shared" ca="1" si="30"/>
        <v>0.27985999999999994</v>
      </c>
      <c r="AH69" s="21">
        <f t="shared" ca="1" si="30"/>
        <v>0.19023399999999996</v>
      </c>
      <c r="AI69" s="21">
        <f t="shared" ca="1" si="30"/>
        <v>0.72474000000000005</v>
      </c>
      <c r="AJ69" s="21">
        <f t="shared" ca="1" si="30"/>
        <v>0.68579999999999985</v>
      </c>
      <c r="AK69" s="21">
        <f t="shared" ca="1" si="30"/>
        <v>0.83257199999999998</v>
      </c>
      <c r="AL69" s="21">
        <f t="shared" ca="1" si="30"/>
        <v>0.57690600000000003</v>
      </c>
      <c r="AM69" s="21">
        <f t="shared" ca="1" si="30"/>
        <v>0.83257200000000009</v>
      </c>
      <c r="AN69" s="21">
        <f t="shared" ca="1" si="30"/>
        <v>0.27986</v>
      </c>
      <c r="AO69" s="21">
        <f t="shared" ca="1" si="30"/>
        <v>0.72473999999999994</v>
      </c>
    </row>
    <row r="70" spans="1:41" x14ac:dyDescent="0.25">
      <c r="B70" s="21"/>
      <c r="C70" s="31">
        <f t="shared" ref="C70:AO70" ca="1" si="31">C69*0.5</f>
        <v>7.7417999999999987E-2</v>
      </c>
      <c r="D70" s="31">
        <f t="shared" ca="1" si="31"/>
        <v>7.7417999999999987E-2</v>
      </c>
      <c r="E70" s="31">
        <f t="shared" ca="1" si="31"/>
        <v>9.5116999999999979E-2</v>
      </c>
      <c r="F70" s="31">
        <f t="shared" ca="1" si="31"/>
        <v>5.9533999999999997E-2</v>
      </c>
      <c r="G70" s="31">
        <f t="shared" ca="1" si="31"/>
        <v>0.34289999999999998</v>
      </c>
      <c r="H70" s="31">
        <f t="shared" ca="1" si="31"/>
        <v>0.12817999999999999</v>
      </c>
      <c r="I70" s="31">
        <f t="shared" ca="1" si="31"/>
        <v>7.7418000000000001E-2</v>
      </c>
      <c r="J70" s="31">
        <f t="shared" ca="1" si="31"/>
        <v>0.34289999999999998</v>
      </c>
      <c r="K70" s="31">
        <f t="shared" ca="1" si="31"/>
        <v>0.34290000000000004</v>
      </c>
      <c r="L70" s="31">
        <f t="shared" ca="1" si="31"/>
        <v>0.41628599999999993</v>
      </c>
      <c r="M70" s="31">
        <f t="shared" ca="1" si="31"/>
        <v>0.12817999999999999</v>
      </c>
      <c r="N70" s="31">
        <f t="shared" ca="1" si="31"/>
        <v>0.12817999999999999</v>
      </c>
      <c r="O70" s="31">
        <f t="shared" ca="1" si="31"/>
        <v>0.34289999999999998</v>
      </c>
      <c r="P70" s="31">
        <f t="shared" ca="1" si="31"/>
        <v>0.41628599999999999</v>
      </c>
      <c r="Q70" s="31">
        <f t="shared" ca="1" si="31"/>
        <v>0.28845300000000001</v>
      </c>
      <c r="R70" s="31">
        <f t="shared" ca="1" si="31"/>
        <v>0.41628600000000004</v>
      </c>
      <c r="S70" s="31">
        <f t="shared" ca="1" si="31"/>
        <v>0.12817999999999999</v>
      </c>
      <c r="T70" s="31">
        <f t="shared" ca="1" si="31"/>
        <v>0.12817999999999999</v>
      </c>
      <c r="U70" s="31">
        <f t="shared" ca="1" si="31"/>
        <v>0.12817999999999999</v>
      </c>
      <c r="V70" s="31">
        <f t="shared" ca="1" si="31"/>
        <v>0.16628999999999999</v>
      </c>
      <c r="W70" s="31">
        <f t="shared" ca="1" si="31"/>
        <v>0.34289999999999998</v>
      </c>
      <c r="X70" s="31">
        <f t="shared" ca="1" si="31"/>
        <v>0.41628599999999993</v>
      </c>
      <c r="Y70" s="31">
        <f t="shared" ca="1" si="31"/>
        <v>0.16628999999999999</v>
      </c>
      <c r="Z70" s="31">
        <f t="shared" ca="1" si="31"/>
        <v>0.12245299999999996</v>
      </c>
      <c r="AA70" s="31">
        <f t="shared" ca="1" si="31"/>
        <v>0.36236999999999997</v>
      </c>
      <c r="AB70" s="31">
        <f t="shared" ca="1" si="31"/>
        <v>0.12817999999999999</v>
      </c>
      <c r="AC70" s="31">
        <f t="shared" ca="1" si="31"/>
        <v>7.7417999999999987E-2</v>
      </c>
      <c r="AD70" s="31">
        <f t="shared" ca="1" si="31"/>
        <v>0.12817999999999999</v>
      </c>
      <c r="AE70" s="31">
        <f t="shared" ca="1" si="31"/>
        <v>0.13993</v>
      </c>
      <c r="AF70" s="31">
        <f t="shared" ca="1" si="31"/>
        <v>0.13993</v>
      </c>
      <c r="AG70" s="31">
        <f t="shared" ca="1" si="31"/>
        <v>0.13992999999999997</v>
      </c>
      <c r="AH70" s="31">
        <f t="shared" ca="1" si="31"/>
        <v>9.5116999999999979E-2</v>
      </c>
      <c r="AI70" s="31">
        <f t="shared" ca="1" si="31"/>
        <v>0.36237000000000003</v>
      </c>
      <c r="AJ70" s="31">
        <f t="shared" ca="1" si="31"/>
        <v>0.34289999999999993</v>
      </c>
      <c r="AK70" s="31">
        <f t="shared" ca="1" si="31"/>
        <v>0.41628599999999999</v>
      </c>
      <c r="AL70" s="31">
        <f t="shared" ca="1" si="31"/>
        <v>0.28845300000000001</v>
      </c>
      <c r="AM70" s="31">
        <f t="shared" ca="1" si="31"/>
        <v>0.41628600000000004</v>
      </c>
      <c r="AN70" s="31">
        <f t="shared" ca="1" si="31"/>
        <v>0.13993</v>
      </c>
      <c r="AO70" s="31">
        <f t="shared" ca="1" si="31"/>
        <v>0.36236999999999997</v>
      </c>
    </row>
    <row r="79" spans="1:41" x14ac:dyDescent="0.25">
      <c r="F79" s="889" t="s">
        <v>642</v>
      </c>
      <c r="G79" s="889"/>
      <c r="H79" s="889"/>
      <c r="I79" s="889"/>
      <c r="J79" s="889"/>
      <c r="K79" s="889"/>
    </row>
    <row r="81" spans="3:12" x14ac:dyDescent="0.25">
      <c r="D81" s="295" t="s">
        <v>641</v>
      </c>
      <c r="E81">
        <v>0.14000000000000001</v>
      </c>
      <c r="F81">
        <v>0.44</v>
      </c>
      <c r="G81">
        <v>0.28999999999999998</v>
      </c>
      <c r="J81">
        <v>0.06</v>
      </c>
      <c r="K81">
        <v>0.23</v>
      </c>
      <c r="L81">
        <v>0.28000000000000003</v>
      </c>
    </row>
    <row r="82" spans="3:12" x14ac:dyDescent="0.25">
      <c r="D82" s="295" t="s">
        <v>640</v>
      </c>
      <c r="E82">
        <v>0.02</v>
      </c>
      <c r="F82">
        <v>0.14000000000000001</v>
      </c>
      <c r="G82">
        <v>0.28999999999999998</v>
      </c>
      <c r="J82">
        <v>0.04</v>
      </c>
      <c r="K82">
        <v>0.18</v>
      </c>
      <c r="L82">
        <v>7.0000000000000007E-2</v>
      </c>
    </row>
    <row r="83" spans="3:12" x14ac:dyDescent="0.25">
      <c r="D83" s="295" t="s">
        <v>639</v>
      </c>
      <c r="E83">
        <v>0.27</v>
      </c>
      <c r="F83">
        <v>0.23</v>
      </c>
      <c r="G83">
        <v>0.13</v>
      </c>
      <c r="J83">
        <v>7.0000000000000007E-2</v>
      </c>
      <c r="K83">
        <v>0.31</v>
      </c>
      <c r="L83">
        <v>0.03</v>
      </c>
    </row>
    <row r="84" spans="3:12" x14ac:dyDescent="0.25">
      <c r="D84" s="295" t="s">
        <v>638</v>
      </c>
      <c r="E84">
        <v>0.25</v>
      </c>
      <c r="F84">
        <v>0.2</v>
      </c>
      <c r="G84">
        <v>0.34</v>
      </c>
      <c r="J84">
        <v>0.05</v>
      </c>
      <c r="K84">
        <v>0.26</v>
      </c>
      <c r="L84">
        <v>0.05</v>
      </c>
    </row>
    <row r="85" spans="3:12" x14ac:dyDescent="0.25">
      <c r="D85" s="295" t="s">
        <v>637</v>
      </c>
      <c r="E85">
        <v>0.05</v>
      </c>
      <c r="F85">
        <v>0.24</v>
      </c>
      <c r="G85">
        <v>0.4</v>
      </c>
      <c r="J85">
        <v>0.06</v>
      </c>
      <c r="K85">
        <v>0.24</v>
      </c>
      <c r="L85">
        <v>0.18</v>
      </c>
    </row>
    <row r="86" spans="3:12" x14ac:dyDescent="0.25">
      <c r="D86" s="295" t="s">
        <v>636</v>
      </c>
      <c r="E86">
        <v>0.14000000000000001</v>
      </c>
      <c r="F86">
        <v>0.22</v>
      </c>
      <c r="G86">
        <v>0.32</v>
      </c>
      <c r="J86">
        <v>0.06</v>
      </c>
      <c r="K86">
        <v>0.24</v>
      </c>
      <c r="L86">
        <v>0.18</v>
      </c>
    </row>
    <row r="90" spans="3:12" x14ac:dyDescent="0.25">
      <c r="C90" s="295" t="s">
        <v>635</v>
      </c>
      <c r="D90" s="137">
        <v>7700000</v>
      </c>
      <c r="E90">
        <f>D90/D92</f>
        <v>0.82795698924731187</v>
      </c>
    </row>
    <row r="91" spans="3:12" x14ac:dyDescent="0.25">
      <c r="C91" s="295" t="s">
        <v>634</v>
      </c>
      <c r="D91" s="137">
        <v>1600000</v>
      </c>
      <c r="E91">
        <f>D91/D92</f>
        <v>0.17204301075268819</v>
      </c>
    </row>
    <row r="92" spans="3:12" x14ac:dyDescent="0.25">
      <c r="D92" s="137">
        <f>SUM(D90:D91)</f>
        <v>9300000</v>
      </c>
    </row>
  </sheetData>
  <sheetProtection algorithmName="SHA-512" hashValue="KxHAOLb15wGPwMHTY09V1ngiySdUl/UH8YUYXwED94Tx0f4BNxTlXQuBTdaUy8qqs+/GqVpVAuOMLTMvDpyPZQ==" saltValue="Czbo5FIB3yyxuW45mBSoDg==" spinCount="100000" sheet="1" objects="1" scenarios="1"/>
  <mergeCells count="1">
    <mergeCell ref="F79:K79"/>
  </mergeCells>
  <pageMargins left="0.7" right="0.7" top="0.75" bottom="0.75" header="0.3" footer="0.3"/>
  <pageSetup orientation="portrait" horizontalDpi="1200" verticalDpi="1200"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dimension ref="A1:AQ27"/>
  <sheetViews>
    <sheetView workbookViewId="0">
      <pane xSplit="1" ySplit="5" topLeftCell="B6" activePane="bottomRight" state="frozen"/>
      <selection pane="topRight" activeCell="B1" sqref="B1"/>
      <selection pane="bottomLeft" activeCell="A6" sqref="A6"/>
      <selection pane="bottomRight" activeCell="B10" sqref="B10"/>
    </sheetView>
  </sheetViews>
  <sheetFormatPr defaultColWidth="9.140625" defaultRowHeight="15" x14ac:dyDescent="0.25"/>
  <cols>
    <col min="1" max="1" width="27.5703125" style="21" customWidth="1"/>
    <col min="2" max="16384" width="9.140625" style="21"/>
  </cols>
  <sheetData>
    <row r="1" spans="1:43" ht="50.25" customHeight="1" x14ac:dyDescent="0.25"/>
    <row r="2" spans="1:43" x14ac:dyDescent="0.25">
      <c r="A2" s="21" t="s">
        <v>860</v>
      </c>
    </row>
    <row r="3" spans="1:43" x14ac:dyDescent="0.25">
      <c r="A3" s="618">
        <v>0.5</v>
      </c>
    </row>
    <row r="5" spans="1:43" x14ac:dyDescent="0.25">
      <c r="A5" s="21" t="s">
        <v>61</v>
      </c>
      <c r="B5" s="21">
        <v>1</v>
      </c>
      <c r="C5" s="21">
        <v>2</v>
      </c>
      <c r="D5" s="21">
        <v>3</v>
      </c>
      <c r="E5" s="21">
        <v>4</v>
      </c>
      <c r="F5" s="21">
        <v>5</v>
      </c>
      <c r="G5" s="21">
        <v>6</v>
      </c>
      <c r="H5" s="21">
        <v>7</v>
      </c>
      <c r="I5" s="21">
        <v>8</v>
      </c>
      <c r="J5" s="21">
        <v>9</v>
      </c>
      <c r="K5" s="21">
        <v>10</v>
      </c>
      <c r="L5" s="21">
        <v>11</v>
      </c>
      <c r="M5" s="21">
        <v>12</v>
      </c>
      <c r="N5" s="21">
        <v>13</v>
      </c>
      <c r="O5" s="21">
        <v>14</v>
      </c>
      <c r="P5" s="21">
        <v>15</v>
      </c>
      <c r="Q5" s="21">
        <v>16</v>
      </c>
      <c r="R5" s="21">
        <v>17</v>
      </c>
      <c r="S5" s="21">
        <v>18</v>
      </c>
      <c r="T5" s="21">
        <v>19</v>
      </c>
      <c r="U5" s="21">
        <v>20</v>
      </c>
      <c r="V5" s="21">
        <v>21</v>
      </c>
      <c r="W5" s="21">
        <v>22</v>
      </c>
      <c r="X5" s="21">
        <v>23</v>
      </c>
      <c r="Y5" s="21">
        <v>24</v>
      </c>
      <c r="Z5" s="21">
        <v>25</v>
      </c>
      <c r="AA5" s="21">
        <v>26</v>
      </c>
      <c r="AB5" s="21">
        <v>27</v>
      </c>
      <c r="AC5" s="21">
        <v>28</v>
      </c>
      <c r="AD5" s="21">
        <v>29</v>
      </c>
      <c r="AE5" s="21">
        <v>30</v>
      </c>
      <c r="AF5" s="21">
        <v>31</v>
      </c>
      <c r="AG5" s="21">
        <v>32</v>
      </c>
      <c r="AH5" s="21">
        <v>33</v>
      </c>
      <c r="AI5" s="21">
        <v>34</v>
      </c>
      <c r="AJ5" s="21">
        <v>35</v>
      </c>
      <c r="AK5" s="21">
        <v>36</v>
      </c>
      <c r="AL5" s="21">
        <v>37</v>
      </c>
      <c r="AM5" s="21">
        <v>38</v>
      </c>
      <c r="AN5" s="21">
        <v>39</v>
      </c>
      <c r="AO5" s="21" t="s">
        <v>97</v>
      </c>
    </row>
    <row r="6" spans="1:43" s="32" customFormat="1" ht="75" x14ac:dyDescent="0.25">
      <c r="A6" s="32" t="s">
        <v>111</v>
      </c>
      <c r="B6" s="32" t="s">
        <v>60</v>
      </c>
      <c r="C6" s="32" t="s">
        <v>59</v>
      </c>
      <c r="D6" s="32" t="s">
        <v>58</v>
      </c>
      <c r="E6" s="32" t="s">
        <v>57</v>
      </c>
      <c r="F6" s="32" t="s">
        <v>56</v>
      </c>
      <c r="G6" s="32" t="s">
        <v>55</v>
      </c>
      <c r="H6" s="32" t="s">
        <v>54</v>
      </c>
      <c r="I6" s="32" t="s">
        <v>53</v>
      </c>
      <c r="J6" s="32" t="s">
        <v>52</v>
      </c>
      <c r="K6" s="32" t="s">
        <v>51</v>
      </c>
      <c r="L6" s="32" t="s">
        <v>50</v>
      </c>
      <c r="M6" s="32" t="s">
        <v>49</v>
      </c>
      <c r="N6" s="32" t="s">
        <v>48</v>
      </c>
      <c r="O6" s="32" t="s">
        <v>47</v>
      </c>
      <c r="P6" s="32" t="s">
        <v>46</v>
      </c>
      <c r="Q6" s="32" t="s">
        <v>45</v>
      </c>
      <c r="R6" s="32" t="s">
        <v>44</v>
      </c>
      <c r="S6" s="32" t="s">
        <v>43</v>
      </c>
      <c r="T6" s="32" t="s">
        <v>42</v>
      </c>
      <c r="U6" s="32" t="s">
        <v>41</v>
      </c>
      <c r="V6" s="32" t="s">
        <v>40</v>
      </c>
      <c r="W6" s="32" t="s">
        <v>39</v>
      </c>
      <c r="X6" s="32" t="s">
        <v>38</v>
      </c>
      <c r="Y6" s="32" t="s">
        <v>37</v>
      </c>
      <c r="Z6" s="32" t="s">
        <v>36</v>
      </c>
      <c r="AA6" s="32" t="s">
        <v>35</v>
      </c>
      <c r="AB6" s="32" t="s">
        <v>34</v>
      </c>
      <c r="AC6" s="32" t="s">
        <v>33</v>
      </c>
      <c r="AD6" s="32" t="s">
        <v>32</v>
      </c>
      <c r="AE6" s="32" t="s">
        <v>31</v>
      </c>
      <c r="AF6" s="32" t="s">
        <v>30</v>
      </c>
      <c r="AG6" s="32" t="s">
        <v>29</v>
      </c>
      <c r="AH6" s="32" t="s">
        <v>28</v>
      </c>
      <c r="AI6" s="32" t="s">
        <v>27</v>
      </c>
      <c r="AJ6" s="32" t="s">
        <v>26</v>
      </c>
      <c r="AK6" s="32" t="s">
        <v>25</v>
      </c>
      <c r="AL6" s="32" t="s">
        <v>24</v>
      </c>
      <c r="AM6" s="32" t="s">
        <v>23</v>
      </c>
      <c r="AN6" s="32" t="s">
        <v>22</v>
      </c>
    </row>
    <row r="7" spans="1:43" x14ac:dyDescent="0.25">
      <c r="A7" s="21" t="str">
        <f>INDEX(watershed_list,Main!B7)</f>
        <v>Statewide</v>
      </c>
      <c r="B7" s="22">
        <f>Watersheds!B122</f>
        <v>1</v>
      </c>
      <c r="C7" s="22">
        <f>Watersheds!C122</f>
        <v>1</v>
      </c>
      <c r="D7" s="22">
        <f>Watersheds!D122</f>
        <v>1</v>
      </c>
      <c r="E7" s="22">
        <f>Watersheds!E122</f>
        <v>1</v>
      </c>
      <c r="F7" s="22">
        <f>Watersheds!F122</f>
        <v>1</v>
      </c>
      <c r="G7" s="22">
        <f>Watersheds!G122</f>
        <v>1</v>
      </c>
      <c r="H7" s="22">
        <f>Watersheds!H122</f>
        <v>1</v>
      </c>
      <c r="I7" s="22">
        <f>Watersheds!I122</f>
        <v>1</v>
      </c>
      <c r="J7" s="22">
        <f>Watersheds!J122</f>
        <v>1</v>
      </c>
      <c r="K7" s="22">
        <f>Watersheds!K122</f>
        <v>1</v>
      </c>
      <c r="L7" s="22">
        <f>Watersheds!L122</f>
        <v>1</v>
      </c>
      <c r="M7" s="22">
        <f>Watersheds!M122</f>
        <v>1</v>
      </c>
      <c r="N7" s="22">
        <f>Watersheds!N122</f>
        <v>1</v>
      </c>
      <c r="O7" s="22">
        <f>Watersheds!O122</f>
        <v>1</v>
      </c>
      <c r="P7" s="22">
        <f>Watersheds!P122</f>
        <v>1</v>
      </c>
      <c r="Q7" s="22">
        <f>Watersheds!Q122</f>
        <v>1</v>
      </c>
      <c r="R7" s="22">
        <f>Watersheds!R122</f>
        <v>1</v>
      </c>
      <c r="S7" s="22">
        <f>Watersheds!S122</f>
        <v>1</v>
      </c>
      <c r="T7" s="22">
        <f>Watersheds!T122</f>
        <v>1</v>
      </c>
      <c r="U7" s="22">
        <f>Watersheds!U122</f>
        <v>1</v>
      </c>
      <c r="V7" s="22">
        <f>Watersheds!V122</f>
        <v>1</v>
      </c>
      <c r="W7" s="22">
        <f>Watersheds!W122</f>
        <v>1</v>
      </c>
      <c r="X7" s="22">
        <f>Watersheds!X122</f>
        <v>1</v>
      </c>
      <c r="Y7" s="22">
        <f>Watersheds!Y122</f>
        <v>1</v>
      </c>
      <c r="Z7" s="22">
        <f>Watersheds!Z122</f>
        <v>1</v>
      </c>
      <c r="AA7" s="22">
        <f>Watersheds!AA122</f>
        <v>1</v>
      </c>
      <c r="AB7" s="22">
        <f>Watersheds!AB122</f>
        <v>1</v>
      </c>
      <c r="AC7" s="22">
        <f>Watersheds!AC122</f>
        <v>1</v>
      </c>
      <c r="AD7" s="22">
        <f>Watersheds!AD122</f>
        <v>1</v>
      </c>
      <c r="AE7" s="22">
        <f>Watersheds!AE122</f>
        <v>1</v>
      </c>
      <c r="AF7" s="22">
        <f>Watersheds!AF122</f>
        <v>1</v>
      </c>
      <c r="AG7" s="22">
        <f>Watersheds!AG122</f>
        <v>1</v>
      </c>
      <c r="AH7" s="22">
        <f>Watersheds!AH122</f>
        <v>1</v>
      </c>
      <c r="AI7" s="22">
        <f>Watersheds!AI122</f>
        <v>1</v>
      </c>
      <c r="AJ7" s="22">
        <f>Watersheds!AJ122</f>
        <v>1</v>
      </c>
      <c r="AK7" s="22">
        <f>Watersheds!AK122</f>
        <v>1</v>
      </c>
      <c r="AL7" s="22">
        <f>Watersheds!AL122</f>
        <v>1</v>
      </c>
      <c r="AM7" s="22">
        <f>Watersheds!AM122</f>
        <v>1</v>
      </c>
      <c r="AN7" s="22">
        <f>Watersheds!AN122</f>
        <v>1</v>
      </c>
    </row>
    <row r="8" spans="1:43" x14ac:dyDescent="0.25">
      <c r="A8" s="21" t="s">
        <v>859</v>
      </c>
      <c r="B8" s="57">
        <v>37.548168745985144</v>
      </c>
      <c r="C8" s="57">
        <v>32.489917379875038</v>
      </c>
      <c r="D8" s="57">
        <v>33.866291845135898</v>
      </c>
      <c r="E8" s="57">
        <v>43.482259630329871</v>
      </c>
      <c r="F8" s="57">
        <v>16.435578043561748</v>
      </c>
      <c r="G8" s="57">
        <v>24.468387976321576</v>
      </c>
      <c r="H8" s="57">
        <v>37.036593946448811</v>
      </c>
      <c r="I8" s="57">
        <v>23.288418920447924</v>
      </c>
      <c r="J8" s="57">
        <v>33.073818628544494</v>
      </c>
      <c r="K8" s="57">
        <v>29.869479602384459</v>
      </c>
      <c r="L8" s="57">
        <v>23.078295877717917</v>
      </c>
      <c r="M8" s="57">
        <v>35.429027502695163</v>
      </c>
      <c r="N8" s="57">
        <v>15.18777849409498</v>
      </c>
      <c r="O8" s="57">
        <v>18.638553239503384</v>
      </c>
      <c r="P8" s="57">
        <v>26.9448444857093</v>
      </c>
      <c r="Q8" s="57">
        <v>23.697266350073978</v>
      </c>
      <c r="R8" s="57">
        <v>33.945558739769993</v>
      </c>
      <c r="S8" s="57">
        <v>31.991378213031943</v>
      </c>
      <c r="T8" s="57">
        <v>22.364739946027072</v>
      </c>
      <c r="U8" s="57">
        <v>20.514258261744786</v>
      </c>
      <c r="V8" s="57">
        <v>20.210950871962549</v>
      </c>
      <c r="W8" s="57">
        <v>20.522404994048429</v>
      </c>
      <c r="X8" s="57">
        <v>26.162400643007135</v>
      </c>
      <c r="Y8" s="57">
        <v>33.45837256059437</v>
      </c>
      <c r="Z8" s="57">
        <v>32.178613130221855</v>
      </c>
      <c r="AA8" s="57">
        <v>29.200872625130224</v>
      </c>
      <c r="AB8" s="57">
        <v>32.619374177347623</v>
      </c>
      <c r="AC8" s="57">
        <v>36.315885032817263</v>
      </c>
      <c r="AD8" s="57">
        <v>32.008945744801103</v>
      </c>
      <c r="AE8" s="57">
        <v>35.542744246364407</v>
      </c>
      <c r="AF8" s="57">
        <v>36.289125055097138</v>
      </c>
      <c r="AG8" s="57">
        <v>32.863598657297686</v>
      </c>
      <c r="AH8" s="57">
        <v>28.543658813407408</v>
      </c>
      <c r="AI8" s="57">
        <v>18.824660793730857</v>
      </c>
      <c r="AJ8" s="57">
        <v>20.35298257628682</v>
      </c>
      <c r="AK8" s="57">
        <v>28.813635520596907</v>
      </c>
      <c r="AL8" s="57">
        <v>18.242554052203719</v>
      </c>
      <c r="AM8" s="57">
        <v>36.485200618852097</v>
      </c>
      <c r="AN8" s="57">
        <v>31.20078140780679</v>
      </c>
      <c r="AO8" s="21">
        <f>AVERAGE(B8:AN8)</f>
        <v>28.543266085922507</v>
      </c>
      <c r="AP8" s="21">
        <f>MIN(B8:AN8)</f>
        <v>15.18777849409498</v>
      </c>
      <c r="AQ8" s="21">
        <f>MAX(B8:AN8)</f>
        <v>43.482259630329871</v>
      </c>
    </row>
    <row r="9" spans="1:43" x14ac:dyDescent="0.25">
      <c r="A9" s="21" t="s">
        <v>861</v>
      </c>
      <c r="B9" s="57">
        <f>B8*(1+$A$3)</f>
        <v>56.322253118977713</v>
      </c>
      <c r="C9" s="57">
        <f t="shared" ref="C9:AN9" si="0">C8*(1+$A$3)</f>
        <v>48.734876069812557</v>
      </c>
      <c r="D9" s="57">
        <f t="shared" si="0"/>
        <v>50.79943776770385</v>
      </c>
      <c r="E9" s="57">
        <f t="shared" si="0"/>
        <v>65.223389445494803</v>
      </c>
      <c r="F9" s="57">
        <f t="shared" si="0"/>
        <v>24.653367065342621</v>
      </c>
      <c r="G9" s="57">
        <f t="shared" si="0"/>
        <v>36.702581964482363</v>
      </c>
      <c r="H9" s="57">
        <f t="shared" si="0"/>
        <v>55.554890919673213</v>
      </c>
      <c r="I9" s="57">
        <f t="shared" si="0"/>
        <v>34.932628380671886</v>
      </c>
      <c r="J9" s="57">
        <f t="shared" si="0"/>
        <v>49.610727942816737</v>
      </c>
      <c r="K9" s="57">
        <f t="shared" si="0"/>
        <v>44.804219403576688</v>
      </c>
      <c r="L9" s="57">
        <f t="shared" si="0"/>
        <v>34.617443816576873</v>
      </c>
      <c r="M9" s="57">
        <f t="shared" si="0"/>
        <v>53.143541254042745</v>
      </c>
      <c r="N9" s="57">
        <f t="shared" si="0"/>
        <v>22.781667741142471</v>
      </c>
      <c r="O9" s="57">
        <f t="shared" si="0"/>
        <v>27.957829859255078</v>
      </c>
      <c r="P9" s="57">
        <f t="shared" si="0"/>
        <v>40.417266728563952</v>
      </c>
      <c r="Q9" s="57">
        <f t="shared" si="0"/>
        <v>35.545899525110968</v>
      </c>
      <c r="R9" s="57">
        <f t="shared" si="0"/>
        <v>50.918338109654989</v>
      </c>
      <c r="S9" s="57">
        <f t="shared" si="0"/>
        <v>47.987067319547918</v>
      </c>
      <c r="T9" s="57">
        <f t="shared" si="0"/>
        <v>33.547109919040608</v>
      </c>
      <c r="U9" s="57">
        <f t="shared" si="0"/>
        <v>30.771387392617179</v>
      </c>
      <c r="V9" s="57">
        <f t="shared" si="0"/>
        <v>30.316426307943821</v>
      </c>
      <c r="W9" s="57">
        <f t="shared" si="0"/>
        <v>30.783607491072644</v>
      </c>
      <c r="X9" s="57">
        <f t="shared" si="0"/>
        <v>39.243600964510705</v>
      </c>
      <c r="Y9" s="57">
        <f t="shared" si="0"/>
        <v>50.187558840891555</v>
      </c>
      <c r="Z9" s="57">
        <f t="shared" si="0"/>
        <v>48.267919695332779</v>
      </c>
      <c r="AA9" s="57">
        <f t="shared" si="0"/>
        <v>43.801308937695339</v>
      </c>
      <c r="AB9" s="57">
        <f t="shared" si="0"/>
        <v>48.929061266021435</v>
      </c>
      <c r="AC9" s="57">
        <f t="shared" si="0"/>
        <v>54.473827549225895</v>
      </c>
      <c r="AD9" s="57">
        <f t="shared" si="0"/>
        <v>48.013418617201651</v>
      </c>
      <c r="AE9" s="57">
        <f t="shared" si="0"/>
        <v>53.31411636954661</v>
      </c>
      <c r="AF9" s="57">
        <f t="shared" si="0"/>
        <v>54.433687582645703</v>
      </c>
      <c r="AG9" s="57">
        <f t="shared" si="0"/>
        <v>49.295397985946529</v>
      </c>
      <c r="AH9" s="57">
        <f t="shared" si="0"/>
        <v>42.815488220111114</v>
      </c>
      <c r="AI9" s="57">
        <f t="shared" si="0"/>
        <v>28.236991190596285</v>
      </c>
      <c r="AJ9" s="57">
        <f t="shared" si="0"/>
        <v>30.52947386443023</v>
      </c>
      <c r="AK9" s="57">
        <f t="shared" si="0"/>
        <v>43.220453280895363</v>
      </c>
      <c r="AL9" s="57">
        <f t="shared" si="0"/>
        <v>27.36383107830558</v>
      </c>
      <c r="AM9" s="57">
        <f t="shared" si="0"/>
        <v>54.727800928278143</v>
      </c>
      <c r="AN9" s="57">
        <f t="shared" si="0"/>
        <v>46.801172111710187</v>
      </c>
    </row>
    <row r="10" spans="1:43" x14ac:dyDescent="0.25">
      <c r="A10" s="21" t="s">
        <v>862</v>
      </c>
      <c r="B10" s="57">
        <f>B8*(1-$A$3)</f>
        <v>18.774084372992572</v>
      </c>
      <c r="C10" s="57">
        <f t="shared" ref="C10:AN10" si="1">C8*(1-$A$3)</f>
        <v>16.244958689937519</v>
      </c>
      <c r="D10" s="57">
        <f t="shared" si="1"/>
        <v>16.933145922567949</v>
      </c>
      <c r="E10" s="57">
        <f t="shared" si="1"/>
        <v>21.741129815164935</v>
      </c>
      <c r="F10" s="57">
        <f t="shared" si="1"/>
        <v>8.2177890217808738</v>
      </c>
      <c r="G10" s="57">
        <f t="shared" si="1"/>
        <v>12.234193988160788</v>
      </c>
      <c r="H10" s="57">
        <f t="shared" si="1"/>
        <v>18.518296973224405</v>
      </c>
      <c r="I10" s="57">
        <f t="shared" si="1"/>
        <v>11.644209460223962</v>
      </c>
      <c r="J10" s="57">
        <f t="shared" si="1"/>
        <v>16.536909314272247</v>
      </c>
      <c r="K10" s="57">
        <f t="shared" si="1"/>
        <v>14.934739801192229</v>
      </c>
      <c r="L10" s="57">
        <f t="shared" si="1"/>
        <v>11.539147938858958</v>
      </c>
      <c r="M10" s="57">
        <f t="shared" si="1"/>
        <v>17.714513751347582</v>
      </c>
      <c r="N10" s="57">
        <f t="shared" si="1"/>
        <v>7.5938892470474899</v>
      </c>
      <c r="O10" s="57">
        <f t="shared" si="1"/>
        <v>9.3192766197516921</v>
      </c>
      <c r="P10" s="57">
        <f t="shared" si="1"/>
        <v>13.47242224285465</v>
      </c>
      <c r="Q10" s="57">
        <f t="shared" si="1"/>
        <v>11.848633175036989</v>
      </c>
      <c r="R10" s="57">
        <f t="shared" si="1"/>
        <v>16.972779369884996</v>
      </c>
      <c r="S10" s="57">
        <f t="shared" si="1"/>
        <v>15.995689106515972</v>
      </c>
      <c r="T10" s="57">
        <f t="shared" si="1"/>
        <v>11.182369973013536</v>
      </c>
      <c r="U10" s="57">
        <f t="shared" si="1"/>
        <v>10.257129130872393</v>
      </c>
      <c r="V10" s="57">
        <f t="shared" si="1"/>
        <v>10.105475435981274</v>
      </c>
      <c r="W10" s="57">
        <f t="shared" si="1"/>
        <v>10.261202497024215</v>
      </c>
      <c r="X10" s="57">
        <f t="shared" si="1"/>
        <v>13.081200321503568</v>
      </c>
      <c r="Y10" s="57">
        <f t="shared" si="1"/>
        <v>16.729186280297185</v>
      </c>
      <c r="Z10" s="57">
        <f t="shared" si="1"/>
        <v>16.089306565110927</v>
      </c>
      <c r="AA10" s="57">
        <f t="shared" si="1"/>
        <v>14.600436312565112</v>
      </c>
      <c r="AB10" s="57">
        <f t="shared" si="1"/>
        <v>16.309687088673812</v>
      </c>
      <c r="AC10" s="57">
        <f t="shared" si="1"/>
        <v>18.157942516408632</v>
      </c>
      <c r="AD10" s="57">
        <f t="shared" si="1"/>
        <v>16.004472872400552</v>
      </c>
      <c r="AE10" s="57">
        <f t="shared" si="1"/>
        <v>17.771372123182203</v>
      </c>
      <c r="AF10" s="57">
        <f t="shared" si="1"/>
        <v>18.144562527548569</v>
      </c>
      <c r="AG10" s="57">
        <f t="shared" si="1"/>
        <v>16.431799328648843</v>
      </c>
      <c r="AH10" s="57">
        <f t="shared" si="1"/>
        <v>14.271829406703704</v>
      </c>
      <c r="AI10" s="57">
        <f t="shared" si="1"/>
        <v>9.4123303968654284</v>
      </c>
      <c r="AJ10" s="57">
        <f t="shared" si="1"/>
        <v>10.17649128814341</v>
      </c>
      <c r="AK10" s="57">
        <f t="shared" si="1"/>
        <v>14.406817760298454</v>
      </c>
      <c r="AL10" s="57">
        <f t="shared" si="1"/>
        <v>9.1212770261018594</v>
      </c>
      <c r="AM10" s="57">
        <f t="shared" si="1"/>
        <v>18.242600309426049</v>
      </c>
      <c r="AN10" s="57">
        <f t="shared" si="1"/>
        <v>15.600390703903395</v>
      </c>
    </row>
    <row r="11" spans="1:43" x14ac:dyDescent="0.25">
      <c r="A11" s="21" t="s">
        <v>104</v>
      </c>
      <c r="B11" s="21">
        <f>VLOOKUP(B8, Parameters!$I$3:$J$8, 2, TRUE)</f>
        <v>4</v>
      </c>
      <c r="C11" s="21">
        <f>VLOOKUP(C8, Parameters!$I$3:$J$8, 2, TRUE)</f>
        <v>4</v>
      </c>
      <c r="D11" s="21">
        <f>VLOOKUP(D8, Parameters!$I$3:$J$8, 2, TRUE)</f>
        <v>4</v>
      </c>
      <c r="E11" s="21">
        <f>VLOOKUP(E8, Parameters!$I$3:$J$8, 2, TRUE)</f>
        <v>8</v>
      </c>
      <c r="F11" s="21">
        <f>VLOOKUP(F8, Parameters!$I$3:$J$8, 2, TRUE)</f>
        <v>0</v>
      </c>
      <c r="G11" s="21">
        <f>VLOOKUP(G8, Parameters!$I$3:$J$8, 2, TRUE)</f>
        <v>1</v>
      </c>
      <c r="H11" s="21">
        <f>VLOOKUP(H8, Parameters!$I$3:$J$8, 2, TRUE)</f>
        <v>4</v>
      </c>
      <c r="I11" s="21">
        <f>VLOOKUP(I8, Parameters!$I$3:$J$8, 2, TRUE)</f>
        <v>1</v>
      </c>
      <c r="J11" s="21">
        <f>VLOOKUP(J8, Parameters!$I$3:$J$8, 2, TRUE)</f>
        <v>4</v>
      </c>
      <c r="K11" s="21">
        <f>VLOOKUP(K8, Parameters!$I$3:$J$8, 2, TRUE)</f>
        <v>2</v>
      </c>
      <c r="L11" s="21">
        <f>VLOOKUP(L8, Parameters!$I$3:$J$8, 2, TRUE)</f>
        <v>1</v>
      </c>
      <c r="M11" s="21">
        <f>VLOOKUP(M8, Parameters!$I$3:$J$8, 2, TRUE)</f>
        <v>4</v>
      </c>
      <c r="N11" s="21">
        <f>VLOOKUP(N8, Parameters!$I$3:$J$8, 2, TRUE)</f>
        <v>0</v>
      </c>
      <c r="O11" s="21">
        <f>VLOOKUP(O8, Parameters!$I$3:$J$8, 2, TRUE)</f>
        <v>0</v>
      </c>
      <c r="P11" s="21">
        <f>VLOOKUP(P8, Parameters!$I$3:$J$8, 2, TRUE)</f>
        <v>2</v>
      </c>
      <c r="Q11" s="21">
        <f>VLOOKUP(Q8, Parameters!$I$3:$J$8, 2, TRUE)</f>
        <v>1</v>
      </c>
      <c r="R11" s="21">
        <f>VLOOKUP(R8, Parameters!$I$3:$J$8, 2, TRUE)</f>
        <v>4</v>
      </c>
      <c r="S11" s="21">
        <f>VLOOKUP(S8, Parameters!$I$3:$J$8, 2, TRUE)</f>
        <v>4</v>
      </c>
      <c r="T11" s="21">
        <f>VLOOKUP(T8, Parameters!$I$3:$J$8, 2, TRUE)</f>
        <v>1</v>
      </c>
      <c r="U11" s="21">
        <f>VLOOKUP(U8, Parameters!$I$3:$J$8, 2, TRUE)</f>
        <v>1</v>
      </c>
      <c r="V11" s="21">
        <f>VLOOKUP(V8, Parameters!$I$3:$J$8, 2, TRUE)</f>
        <v>1</v>
      </c>
      <c r="W11" s="21">
        <f>VLOOKUP(W8, Parameters!$I$3:$J$8, 2, TRUE)</f>
        <v>1</v>
      </c>
      <c r="X11" s="21">
        <f>VLOOKUP(X8, Parameters!$I$3:$J$8, 2, TRUE)</f>
        <v>1</v>
      </c>
      <c r="Y11" s="21">
        <f>VLOOKUP(Y8, Parameters!$I$3:$J$8, 2, TRUE)</f>
        <v>4</v>
      </c>
      <c r="Z11" s="21">
        <f>VLOOKUP(Z8, Parameters!$I$3:$J$8, 2, TRUE)</f>
        <v>4</v>
      </c>
      <c r="AA11" s="21">
        <f>VLOOKUP(AA8, Parameters!$I$3:$J$8, 2, TRUE)</f>
        <v>2</v>
      </c>
      <c r="AB11" s="21">
        <f>VLOOKUP(AB8, Parameters!$I$3:$J$8, 2, TRUE)</f>
        <v>4</v>
      </c>
      <c r="AC11" s="21">
        <f>VLOOKUP(AC8, Parameters!$I$3:$J$8, 2, TRUE)</f>
        <v>4</v>
      </c>
      <c r="AD11" s="21">
        <f>VLOOKUP(AD8, Parameters!$I$3:$J$8, 2, TRUE)</f>
        <v>4</v>
      </c>
      <c r="AE11" s="21">
        <f>VLOOKUP(AE8, Parameters!$I$3:$J$8, 2, TRUE)</f>
        <v>4</v>
      </c>
      <c r="AF11" s="21">
        <f>VLOOKUP(AF8, Parameters!$I$3:$J$8, 2, TRUE)</f>
        <v>4</v>
      </c>
      <c r="AG11" s="21">
        <f>VLOOKUP(AG8, Parameters!$I$3:$J$8, 2, TRUE)</f>
        <v>4</v>
      </c>
      <c r="AH11" s="21">
        <f>VLOOKUP(AH8, Parameters!$I$3:$J$8, 2, TRUE)</f>
        <v>2</v>
      </c>
      <c r="AI11" s="21">
        <f>VLOOKUP(AI8, Parameters!$I$3:$J$8, 2, TRUE)</f>
        <v>0</v>
      </c>
      <c r="AJ11" s="21">
        <f>VLOOKUP(AJ8, Parameters!$I$3:$J$8, 2, TRUE)</f>
        <v>1</v>
      </c>
      <c r="AK11" s="21">
        <f>VLOOKUP(AK8, Parameters!$I$3:$J$8, 2, TRUE)</f>
        <v>2</v>
      </c>
      <c r="AL11" s="21">
        <f>VLOOKUP(AL8, Parameters!$I$3:$J$8, 2, TRUE)</f>
        <v>0</v>
      </c>
      <c r="AM11" s="21">
        <f>VLOOKUP(AM8, Parameters!$I$3:$J$8, 2, TRUE)</f>
        <v>4</v>
      </c>
      <c r="AN11" s="21">
        <f>VLOOKUP(AN8, Parameters!$I$3:$J$8, 2, TRUE)</f>
        <v>2</v>
      </c>
    </row>
    <row r="12" spans="1:43" x14ac:dyDescent="0.25">
      <c r="A12" s="21" t="s">
        <v>103</v>
      </c>
      <c r="B12" s="31">
        <f t="shared" ref="B12:AN12" si="2">B11*0.75</f>
        <v>3</v>
      </c>
      <c r="C12" s="31">
        <f t="shared" si="2"/>
        <v>3</v>
      </c>
      <c r="D12" s="31">
        <f t="shared" si="2"/>
        <v>3</v>
      </c>
      <c r="E12" s="31">
        <f t="shared" si="2"/>
        <v>6</v>
      </c>
      <c r="F12" s="31">
        <f t="shared" si="2"/>
        <v>0</v>
      </c>
      <c r="G12" s="31">
        <f t="shared" si="2"/>
        <v>0.75</v>
      </c>
      <c r="H12" s="31">
        <f t="shared" si="2"/>
        <v>3</v>
      </c>
      <c r="I12" s="31">
        <f t="shared" si="2"/>
        <v>0.75</v>
      </c>
      <c r="J12" s="31">
        <f t="shared" si="2"/>
        <v>3</v>
      </c>
      <c r="K12" s="31">
        <f t="shared" si="2"/>
        <v>1.5</v>
      </c>
      <c r="L12" s="31">
        <f t="shared" si="2"/>
        <v>0.75</v>
      </c>
      <c r="M12" s="31">
        <f t="shared" si="2"/>
        <v>3</v>
      </c>
      <c r="N12" s="31">
        <f t="shared" si="2"/>
        <v>0</v>
      </c>
      <c r="O12" s="31">
        <f t="shared" si="2"/>
        <v>0</v>
      </c>
      <c r="P12" s="31">
        <f t="shared" si="2"/>
        <v>1.5</v>
      </c>
      <c r="Q12" s="31">
        <f t="shared" si="2"/>
        <v>0.75</v>
      </c>
      <c r="R12" s="31">
        <f t="shared" si="2"/>
        <v>3</v>
      </c>
      <c r="S12" s="31">
        <f t="shared" si="2"/>
        <v>3</v>
      </c>
      <c r="T12" s="31">
        <f t="shared" si="2"/>
        <v>0.75</v>
      </c>
      <c r="U12" s="31">
        <f t="shared" si="2"/>
        <v>0.75</v>
      </c>
      <c r="V12" s="31">
        <f t="shared" si="2"/>
        <v>0.75</v>
      </c>
      <c r="W12" s="31">
        <f t="shared" si="2"/>
        <v>0.75</v>
      </c>
      <c r="X12" s="31">
        <f t="shared" si="2"/>
        <v>0.75</v>
      </c>
      <c r="Y12" s="31">
        <f t="shared" si="2"/>
        <v>3</v>
      </c>
      <c r="Z12" s="31">
        <f t="shared" si="2"/>
        <v>3</v>
      </c>
      <c r="AA12" s="31">
        <f t="shared" si="2"/>
        <v>1.5</v>
      </c>
      <c r="AB12" s="31">
        <f t="shared" si="2"/>
        <v>3</v>
      </c>
      <c r="AC12" s="31">
        <f t="shared" si="2"/>
        <v>3</v>
      </c>
      <c r="AD12" s="31">
        <f t="shared" si="2"/>
        <v>3</v>
      </c>
      <c r="AE12" s="31">
        <f t="shared" si="2"/>
        <v>3</v>
      </c>
      <c r="AF12" s="31">
        <f t="shared" si="2"/>
        <v>3</v>
      </c>
      <c r="AG12" s="31">
        <f t="shared" si="2"/>
        <v>3</v>
      </c>
      <c r="AH12" s="31">
        <f t="shared" si="2"/>
        <v>1.5</v>
      </c>
      <c r="AI12" s="31">
        <f t="shared" si="2"/>
        <v>0</v>
      </c>
      <c r="AJ12" s="31">
        <f t="shared" si="2"/>
        <v>0.75</v>
      </c>
      <c r="AK12" s="31">
        <f t="shared" si="2"/>
        <v>1.5</v>
      </c>
      <c r="AL12" s="31">
        <f t="shared" si="2"/>
        <v>0</v>
      </c>
      <c r="AM12" s="31">
        <f t="shared" si="2"/>
        <v>3</v>
      </c>
      <c r="AN12" s="31">
        <f t="shared" si="2"/>
        <v>1.5</v>
      </c>
    </row>
    <row r="13" spans="1:43" x14ac:dyDescent="0.25">
      <c r="A13" s="54" t="s">
        <v>85</v>
      </c>
      <c r="B13" s="21">
        <f>VLOOKUP(B8,Parameters!$L$3:$N$8, 1, TRUE)</f>
        <v>32</v>
      </c>
      <c r="C13" s="21">
        <f>VLOOKUP(C8,Parameters!$L$3:$N$8, 1, TRUE)</f>
        <v>32</v>
      </c>
      <c r="D13" s="21">
        <f>VLOOKUP(D8,Parameters!$L$3:$N$8, 1, TRUE)</f>
        <v>32</v>
      </c>
      <c r="E13" s="21">
        <f>VLOOKUP(E8,Parameters!$L$3:$N$8, 1, TRUE)</f>
        <v>39</v>
      </c>
      <c r="F13" s="21">
        <f>VLOOKUP(F8,Parameters!$L$3:$N$8, 1, TRUE)</f>
        <v>0</v>
      </c>
      <c r="G13" s="21">
        <f>VLOOKUP(G8,Parameters!$L$3:$N$8, 1, TRUE)</f>
        <v>20</v>
      </c>
      <c r="H13" s="21">
        <f>VLOOKUP(H8,Parameters!$L$3:$N$8, 1, TRUE)</f>
        <v>32</v>
      </c>
      <c r="I13" s="21">
        <f>VLOOKUP(I8,Parameters!$L$3:$N$8, 1, TRUE)</f>
        <v>20</v>
      </c>
      <c r="J13" s="21">
        <f>VLOOKUP(J8,Parameters!$L$3:$N$8, 1, TRUE)</f>
        <v>32</v>
      </c>
      <c r="K13" s="21">
        <f>VLOOKUP(K8,Parameters!$L$3:$N$8, 1, TRUE)</f>
        <v>27</v>
      </c>
      <c r="L13" s="21">
        <f>VLOOKUP(L8,Parameters!$L$3:$N$8, 1, TRUE)</f>
        <v>20</v>
      </c>
      <c r="M13" s="21">
        <f>VLOOKUP(M8,Parameters!$L$3:$N$8, 1, TRUE)</f>
        <v>32</v>
      </c>
      <c r="N13" s="21">
        <f>VLOOKUP(N8,Parameters!$L$3:$N$8, 1, TRUE)</f>
        <v>0</v>
      </c>
      <c r="O13" s="21">
        <f>VLOOKUP(O8,Parameters!$L$3:$N$8, 1, TRUE)</f>
        <v>0</v>
      </c>
      <c r="P13" s="21">
        <f>VLOOKUP(P8,Parameters!$L$3:$N$8, 1, TRUE)</f>
        <v>20</v>
      </c>
      <c r="Q13" s="21">
        <f>VLOOKUP(Q8,Parameters!$L$3:$N$8, 1, TRUE)</f>
        <v>20</v>
      </c>
      <c r="R13" s="21">
        <f>VLOOKUP(R8,Parameters!$L$3:$N$8, 1, TRUE)</f>
        <v>32</v>
      </c>
      <c r="S13" s="21">
        <f>VLOOKUP(S8,Parameters!$L$3:$N$8, 1, TRUE)</f>
        <v>27</v>
      </c>
      <c r="T13" s="21">
        <f>VLOOKUP(T8,Parameters!$L$3:$N$8, 1, TRUE)</f>
        <v>20</v>
      </c>
      <c r="U13" s="21">
        <f>VLOOKUP(U8,Parameters!$L$3:$N$8, 1, TRUE)</f>
        <v>20</v>
      </c>
      <c r="V13" s="21">
        <f>VLOOKUP(V8,Parameters!$L$3:$N$8, 1, TRUE)</f>
        <v>20</v>
      </c>
      <c r="W13" s="21">
        <f>VLOOKUP(W8,Parameters!$L$3:$N$8, 1, TRUE)</f>
        <v>20</v>
      </c>
      <c r="X13" s="21">
        <f>VLOOKUP(X8,Parameters!$L$3:$N$8, 1, TRUE)</f>
        <v>20</v>
      </c>
      <c r="Y13" s="21">
        <f>VLOOKUP(Y8,Parameters!$L$3:$N$8, 1, TRUE)</f>
        <v>32</v>
      </c>
      <c r="Z13" s="21">
        <f>VLOOKUP(Z8,Parameters!$L$3:$N$8, 1, TRUE)</f>
        <v>32</v>
      </c>
      <c r="AA13" s="21">
        <f>VLOOKUP(AA8,Parameters!$L$3:$N$8, 1, TRUE)</f>
        <v>27</v>
      </c>
      <c r="AB13" s="21">
        <f>VLOOKUP(AB8,Parameters!$L$3:$N$8, 1, TRUE)</f>
        <v>32</v>
      </c>
      <c r="AC13" s="21">
        <f>VLOOKUP(AC8,Parameters!$L$3:$N$8, 1, TRUE)</f>
        <v>32</v>
      </c>
      <c r="AD13" s="21">
        <f>VLOOKUP(AD8,Parameters!$L$3:$N$8, 1, TRUE)</f>
        <v>32</v>
      </c>
      <c r="AE13" s="21">
        <f>VLOOKUP(AE8,Parameters!$L$3:$N$8, 1, TRUE)</f>
        <v>32</v>
      </c>
      <c r="AF13" s="21">
        <f>VLOOKUP(AF8,Parameters!$L$3:$N$8, 1, TRUE)</f>
        <v>32</v>
      </c>
      <c r="AG13" s="21">
        <f>VLOOKUP(AG8,Parameters!$L$3:$N$8, 1, TRUE)</f>
        <v>32</v>
      </c>
      <c r="AH13" s="21">
        <f>VLOOKUP(AH8,Parameters!$L$3:$N$8, 1, TRUE)</f>
        <v>27</v>
      </c>
      <c r="AI13" s="21">
        <f>VLOOKUP(AI8,Parameters!$L$3:$N$8, 1, TRUE)</f>
        <v>0</v>
      </c>
      <c r="AJ13" s="21">
        <f>VLOOKUP(AJ8,Parameters!$L$3:$N$8, 1, TRUE)</f>
        <v>20</v>
      </c>
      <c r="AK13" s="21">
        <f>VLOOKUP(AK8,Parameters!$L$3:$N$8, 1, TRUE)</f>
        <v>27</v>
      </c>
      <c r="AL13" s="21">
        <f>VLOOKUP(AL8,Parameters!$L$3:$N$8, 1, TRUE)</f>
        <v>0</v>
      </c>
      <c r="AM13" s="21">
        <f>VLOOKUP(AM8,Parameters!$L$3:$N$8, 1, TRUE)</f>
        <v>32</v>
      </c>
      <c r="AN13" s="21">
        <f>VLOOKUP(AN8,Parameters!$L$3:$N$8, 1, TRUE)</f>
        <v>27</v>
      </c>
    </row>
    <row r="14" spans="1:43" x14ac:dyDescent="0.25">
      <c r="A14" s="54" t="s">
        <v>104</v>
      </c>
      <c r="B14" s="21">
        <f>VLOOKUP(B8,Parameters!$L$3:$N$8, 2, TRUE)</f>
        <v>4</v>
      </c>
      <c r="C14" s="21">
        <f>VLOOKUP(C8,Parameters!$L$3:$N$8, 2, TRUE)</f>
        <v>4</v>
      </c>
      <c r="D14" s="21">
        <f>VLOOKUP(D8,Parameters!$L$3:$N$8, 2, TRUE)</f>
        <v>4</v>
      </c>
      <c r="E14" s="21">
        <f>VLOOKUP(E8,Parameters!$L$3:$N$8, 2, TRUE)</f>
        <v>8</v>
      </c>
      <c r="F14" s="21">
        <f>VLOOKUP(F8,Parameters!$L$3:$N$8, 2, TRUE)</f>
        <v>0</v>
      </c>
      <c r="G14" s="21">
        <f>VLOOKUP(G8,Parameters!$L$3:$N$8, 2, TRUE)</f>
        <v>1</v>
      </c>
      <c r="H14" s="21">
        <f>VLOOKUP(H8,Parameters!$L$3:$N$8, 2, TRUE)</f>
        <v>4</v>
      </c>
      <c r="I14" s="21">
        <f>VLOOKUP(I8,Parameters!$L$3:$N$8, 2, TRUE)</f>
        <v>1</v>
      </c>
      <c r="J14" s="21">
        <f>VLOOKUP(J8,Parameters!$L$3:$N$8, 2, TRUE)</f>
        <v>4</v>
      </c>
      <c r="K14" s="21">
        <f>VLOOKUP(K8,Parameters!$L$3:$N$8, 2, TRUE)</f>
        <v>2</v>
      </c>
      <c r="L14" s="21">
        <f>VLOOKUP(L8,Parameters!$L$3:$N$8, 2, TRUE)</f>
        <v>1</v>
      </c>
      <c r="M14" s="21">
        <f>VLOOKUP(M8,Parameters!$L$3:$N$8, 2, TRUE)</f>
        <v>4</v>
      </c>
      <c r="N14" s="21">
        <f>VLOOKUP(N8,Parameters!$L$3:$N$8, 2, TRUE)</f>
        <v>0</v>
      </c>
      <c r="O14" s="21">
        <f>VLOOKUP(O8,Parameters!$L$3:$N$8, 2, TRUE)</f>
        <v>0</v>
      </c>
      <c r="P14" s="21">
        <f>VLOOKUP(P8,Parameters!$L$3:$N$8, 2, TRUE)</f>
        <v>1</v>
      </c>
      <c r="Q14" s="21">
        <f>VLOOKUP(Q8,Parameters!$L$3:$N$8, 2, TRUE)</f>
        <v>1</v>
      </c>
      <c r="R14" s="21">
        <f>VLOOKUP(R8,Parameters!$L$3:$N$8, 2, TRUE)</f>
        <v>4</v>
      </c>
      <c r="S14" s="21">
        <f>VLOOKUP(S8,Parameters!$L$3:$N$8, 2, TRUE)</f>
        <v>2</v>
      </c>
      <c r="T14" s="21">
        <f>VLOOKUP(T8,Parameters!$L$3:$N$8, 2, TRUE)</f>
        <v>1</v>
      </c>
      <c r="U14" s="21">
        <f>VLOOKUP(U8,Parameters!$L$3:$N$8, 2, TRUE)</f>
        <v>1</v>
      </c>
      <c r="V14" s="21">
        <f>VLOOKUP(V8,Parameters!$L$3:$N$8, 2, TRUE)</f>
        <v>1</v>
      </c>
      <c r="W14" s="21">
        <f>VLOOKUP(W8,Parameters!$L$3:$N$8, 2, TRUE)</f>
        <v>1</v>
      </c>
      <c r="X14" s="21">
        <f>VLOOKUP(X8,Parameters!$L$3:$N$8, 2, TRUE)</f>
        <v>1</v>
      </c>
      <c r="Y14" s="21">
        <f>VLOOKUP(Y8,Parameters!$L$3:$N$8, 2, TRUE)</f>
        <v>4</v>
      </c>
      <c r="Z14" s="21">
        <f>VLOOKUP(Z8,Parameters!$L$3:$N$8, 2, TRUE)</f>
        <v>4</v>
      </c>
      <c r="AA14" s="21">
        <f>VLOOKUP(AA8,Parameters!$L$3:$N$8, 2, TRUE)</f>
        <v>2</v>
      </c>
      <c r="AB14" s="21">
        <f>VLOOKUP(AB8,Parameters!$L$3:$N$8, 2, TRUE)</f>
        <v>4</v>
      </c>
      <c r="AC14" s="21">
        <f>VLOOKUP(AC8,Parameters!$L$3:$N$8, 2, TRUE)</f>
        <v>4</v>
      </c>
      <c r="AD14" s="21">
        <f>VLOOKUP(AD8,Parameters!$L$3:$N$8, 2, TRUE)</f>
        <v>4</v>
      </c>
      <c r="AE14" s="21">
        <f>VLOOKUP(AE8,Parameters!$L$3:$N$8, 2, TRUE)</f>
        <v>4</v>
      </c>
      <c r="AF14" s="21">
        <f>VLOOKUP(AF8,Parameters!$L$3:$N$8, 2, TRUE)</f>
        <v>4</v>
      </c>
      <c r="AG14" s="21">
        <f>VLOOKUP(AG8,Parameters!$L$3:$N$8, 2, TRUE)</f>
        <v>4</v>
      </c>
      <c r="AH14" s="21">
        <f>VLOOKUP(AH8,Parameters!$L$3:$N$8, 2, TRUE)</f>
        <v>2</v>
      </c>
      <c r="AI14" s="21">
        <f>VLOOKUP(AI8,Parameters!$L$3:$N$8, 2, TRUE)</f>
        <v>0</v>
      </c>
      <c r="AJ14" s="21">
        <f>VLOOKUP(AJ8,Parameters!$L$3:$N$8, 2, TRUE)</f>
        <v>1</v>
      </c>
      <c r="AK14" s="21">
        <f>VLOOKUP(AK8,Parameters!$L$3:$N$8, 2, TRUE)</f>
        <v>2</v>
      </c>
      <c r="AL14" s="21">
        <f>VLOOKUP(AL8,Parameters!$L$3:$N$8, 2, TRUE)</f>
        <v>0</v>
      </c>
      <c r="AM14" s="21">
        <f>VLOOKUP(AM8,Parameters!$L$3:$N$8, 2, TRUE)</f>
        <v>4</v>
      </c>
      <c r="AN14" s="21">
        <f>VLOOKUP(AN8,Parameters!$L$3:$N$8, 2, TRUE)</f>
        <v>2</v>
      </c>
    </row>
    <row r="15" spans="1:43" x14ac:dyDescent="0.25">
      <c r="A15" s="54" t="s">
        <v>83</v>
      </c>
      <c r="B15" s="157">
        <f>VLOOKUP(B8,Parameters!$L$3:$N$8, 3, TRUE)</f>
        <v>0.5714285714285714</v>
      </c>
      <c r="C15" s="157">
        <f>VLOOKUP(C8,Parameters!$L$3:$N$8, 3, TRUE)</f>
        <v>0.5714285714285714</v>
      </c>
      <c r="D15" s="157">
        <f>VLOOKUP(D8,Parameters!$L$3:$N$8, 3, TRUE)</f>
        <v>0.5714285714285714</v>
      </c>
      <c r="E15" s="157">
        <f>VLOOKUP(E8,Parameters!$L$3:$N$8, 3, TRUE)</f>
        <v>0</v>
      </c>
      <c r="F15" s="157">
        <f>VLOOKUP(F8,Parameters!$L$3:$N$8, 3, TRUE)</f>
        <v>0.05</v>
      </c>
      <c r="G15" s="157">
        <f>VLOOKUP(G8,Parameters!$L$3:$N$8, 3, TRUE)</f>
        <v>0.14285714285714285</v>
      </c>
      <c r="H15" s="157">
        <f>VLOOKUP(H8,Parameters!$L$3:$N$8, 3, TRUE)</f>
        <v>0.5714285714285714</v>
      </c>
      <c r="I15" s="157">
        <f>VLOOKUP(I8,Parameters!$L$3:$N$8, 3, TRUE)</f>
        <v>0.14285714285714285</v>
      </c>
      <c r="J15" s="157">
        <f>VLOOKUP(J8,Parameters!$L$3:$N$8, 3, TRUE)</f>
        <v>0.5714285714285714</v>
      </c>
      <c r="K15" s="157">
        <f>VLOOKUP(K8,Parameters!$L$3:$N$8, 3, TRUE)</f>
        <v>0.4</v>
      </c>
      <c r="L15" s="157">
        <f>VLOOKUP(L8,Parameters!$L$3:$N$8, 3, TRUE)</f>
        <v>0.14285714285714285</v>
      </c>
      <c r="M15" s="157">
        <f>VLOOKUP(M8,Parameters!$L$3:$N$8, 3, TRUE)</f>
        <v>0.5714285714285714</v>
      </c>
      <c r="N15" s="157">
        <f>VLOOKUP(N8,Parameters!$L$3:$N$8, 3, TRUE)</f>
        <v>0.05</v>
      </c>
      <c r="O15" s="157">
        <f>VLOOKUP(O8,Parameters!$L$3:$N$8, 3, TRUE)</f>
        <v>0.05</v>
      </c>
      <c r="P15" s="157">
        <f>VLOOKUP(P8,Parameters!$L$3:$N$8, 3, TRUE)</f>
        <v>0.14285714285714285</v>
      </c>
      <c r="Q15" s="157">
        <f>VLOOKUP(Q8,Parameters!$L$3:$N$8, 3, TRUE)</f>
        <v>0.14285714285714285</v>
      </c>
      <c r="R15" s="157">
        <f>VLOOKUP(R8,Parameters!$L$3:$N$8, 3, TRUE)</f>
        <v>0.5714285714285714</v>
      </c>
      <c r="S15" s="157">
        <f>VLOOKUP(S8,Parameters!$L$3:$N$8, 3, TRUE)</f>
        <v>0.4</v>
      </c>
      <c r="T15" s="157">
        <f>VLOOKUP(T8,Parameters!$L$3:$N$8, 3, TRUE)</f>
        <v>0.14285714285714285</v>
      </c>
      <c r="U15" s="157">
        <f>VLOOKUP(U8,Parameters!$L$3:$N$8, 3, TRUE)</f>
        <v>0.14285714285714285</v>
      </c>
      <c r="V15" s="157">
        <f>VLOOKUP(V8,Parameters!$L$3:$N$8, 3, TRUE)</f>
        <v>0.14285714285714285</v>
      </c>
      <c r="W15" s="157">
        <f>VLOOKUP(W8,Parameters!$L$3:$N$8, 3, TRUE)</f>
        <v>0.14285714285714285</v>
      </c>
      <c r="X15" s="157">
        <f>VLOOKUP(X8,Parameters!$L$3:$N$8, 3, TRUE)</f>
        <v>0.14285714285714285</v>
      </c>
      <c r="Y15" s="157">
        <f>VLOOKUP(Y8,Parameters!$L$3:$N$8, 3, TRUE)</f>
        <v>0.5714285714285714</v>
      </c>
      <c r="Z15" s="157">
        <f>VLOOKUP(Z8,Parameters!$L$3:$N$8, 3, TRUE)</f>
        <v>0.5714285714285714</v>
      </c>
      <c r="AA15" s="157">
        <f>VLOOKUP(AA8,Parameters!$L$3:$N$8, 3, TRUE)</f>
        <v>0.4</v>
      </c>
      <c r="AB15" s="157">
        <f>VLOOKUP(AB8,Parameters!$L$3:$N$8, 3, TRUE)</f>
        <v>0.5714285714285714</v>
      </c>
      <c r="AC15" s="157">
        <f>VLOOKUP(AC8,Parameters!$L$3:$N$8, 3, TRUE)</f>
        <v>0.5714285714285714</v>
      </c>
      <c r="AD15" s="157">
        <f>VLOOKUP(AD8,Parameters!$L$3:$N$8, 3, TRUE)</f>
        <v>0.5714285714285714</v>
      </c>
      <c r="AE15" s="157">
        <f>VLOOKUP(AE8,Parameters!$L$3:$N$8, 3, TRUE)</f>
        <v>0.5714285714285714</v>
      </c>
      <c r="AF15" s="157">
        <f>VLOOKUP(AF8,Parameters!$L$3:$N$8, 3, TRUE)</f>
        <v>0.5714285714285714</v>
      </c>
      <c r="AG15" s="157">
        <f>VLOOKUP(AG8,Parameters!$L$3:$N$8, 3, TRUE)</f>
        <v>0.5714285714285714</v>
      </c>
      <c r="AH15" s="157">
        <f>VLOOKUP(AH8,Parameters!$L$3:$N$8, 3, TRUE)</f>
        <v>0.4</v>
      </c>
      <c r="AI15" s="157">
        <f>VLOOKUP(AI8,Parameters!$L$3:$N$8, 3, TRUE)</f>
        <v>0.05</v>
      </c>
      <c r="AJ15" s="157">
        <f>VLOOKUP(AJ8,Parameters!$L$3:$N$8, 3, TRUE)</f>
        <v>0.14285714285714285</v>
      </c>
      <c r="AK15" s="157">
        <f>VLOOKUP(AK8,Parameters!$L$3:$N$8, 3, TRUE)</f>
        <v>0.4</v>
      </c>
      <c r="AL15" s="157">
        <f>VLOOKUP(AL8,Parameters!$L$3:$N$8, 3, TRUE)</f>
        <v>0.05</v>
      </c>
      <c r="AM15" s="157">
        <f>VLOOKUP(AM8,Parameters!$L$3:$N$8, 3, TRUE)</f>
        <v>0.5714285714285714</v>
      </c>
      <c r="AN15" s="157">
        <f>VLOOKUP(AN8,Parameters!$L$3:$N$8, 3, TRUE)</f>
        <v>0.4</v>
      </c>
    </row>
    <row r="16" spans="1:43" x14ac:dyDescent="0.25">
      <c r="A16" s="56" t="s">
        <v>102</v>
      </c>
      <c r="B16" s="54">
        <f t="shared" ref="B16:AN16" si="3">B14+B15*(B8-B13)</f>
        <v>7.1703821405629391</v>
      </c>
      <c r="C16" s="54">
        <f t="shared" si="3"/>
        <v>4.2799527885000215</v>
      </c>
      <c r="D16" s="54">
        <f t="shared" si="3"/>
        <v>5.0664524829347988</v>
      </c>
      <c r="E16" s="54">
        <f t="shared" si="3"/>
        <v>8</v>
      </c>
      <c r="F16" s="54">
        <f t="shared" si="3"/>
        <v>0.82177890217808747</v>
      </c>
      <c r="G16" s="54">
        <f t="shared" si="3"/>
        <v>1.6383411394745109</v>
      </c>
      <c r="H16" s="54">
        <f t="shared" si="3"/>
        <v>6.8780536836850343</v>
      </c>
      <c r="I16" s="54">
        <f t="shared" si="3"/>
        <v>1.4697741314925605</v>
      </c>
      <c r="J16" s="54">
        <f t="shared" si="3"/>
        <v>4.6136106448825682</v>
      </c>
      <c r="K16" s="54">
        <f t="shared" si="3"/>
        <v>3.1477918409537837</v>
      </c>
      <c r="L16" s="54">
        <f t="shared" si="3"/>
        <v>1.4397565539597024</v>
      </c>
      <c r="M16" s="54">
        <f t="shared" si="3"/>
        <v>5.9594442872543789</v>
      </c>
      <c r="N16" s="54">
        <f t="shared" si="3"/>
        <v>0.75938892470474906</v>
      </c>
      <c r="O16" s="54">
        <f t="shared" si="3"/>
        <v>0.9319276619751693</v>
      </c>
      <c r="P16" s="54">
        <f t="shared" si="3"/>
        <v>1.9921206408156142</v>
      </c>
      <c r="Q16" s="54">
        <f t="shared" si="3"/>
        <v>1.5281809071534254</v>
      </c>
      <c r="R16" s="54">
        <f t="shared" si="3"/>
        <v>5.1117478512971388</v>
      </c>
      <c r="S16" s="54">
        <f t="shared" si="3"/>
        <v>3.9965512852127771</v>
      </c>
      <c r="T16" s="54">
        <f t="shared" si="3"/>
        <v>1.3378199922895817</v>
      </c>
      <c r="U16" s="54">
        <f t="shared" si="3"/>
        <v>1.0734654659635408</v>
      </c>
      <c r="V16" s="54">
        <f t="shared" si="3"/>
        <v>1.0301358388517927</v>
      </c>
      <c r="W16" s="54">
        <f t="shared" si="3"/>
        <v>1.0746292848640613</v>
      </c>
      <c r="X16" s="54">
        <f t="shared" si="3"/>
        <v>1.8803429490010193</v>
      </c>
      <c r="Y16" s="54">
        <f t="shared" si="3"/>
        <v>4.8333557489110683</v>
      </c>
      <c r="Z16" s="54">
        <f t="shared" si="3"/>
        <v>4.1020646458410601</v>
      </c>
      <c r="AA16" s="54">
        <f t="shared" si="3"/>
        <v>2.8803490500520894</v>
      </c>
      <c r="AB16" s="54">
        <f t="shared" si="3"/>
        <v>4.3539281013414994</v>
      </c>
      <c r="AC16" s="54">
        <f t="shared" si="3"/>
        <v>6.4662200187527219</v>
      </c>
      <c r="AD16" s="54">
        <f t="shared" si="3"/>
        <v>4.0051118541720587</v>
      </c>
      <c r="AE16" s="54">
        <f t="shared" si="3"/>
        <v>6.0244252836368037</v>
      </c>
      <c r="AF16" s="54">
        <f t="shared" si="3"/>
        <v>6.4509286029126507</v>
      </c>
      <c r="AG16" s="54">
        <f t="shared" si="3"/>
        <v>4.4934849470272491</v>
      </c>
      <c r="AH16" s="54">
        <f t="shared" si="3"/>
        <v>2.6174635253629632</v>
      </c>
      <c r="AI16" s="54">
        <f t="shared" si="3"/>
        <v>0.94123303968654293</v>
      </c>
      <c r="AJ16" s="54">
        <f t="shared" si="3"/>
        <v>1.0504260823266887</v>
      </c>
      <c r="AK16" s="54">
        <f t="shared" si="3"/>
        <v>2.7254542082387632</v>
      </c>
      <c r="AL16" s="54">
        <f t="shared" si="3"/>
        <v>0.91212770261018594</v>
      </c>
      <c r="AM16" s="54">
        <f t="shared" si="3"/>
        <v>6.562971782201199</v>
      </c>
      <c r="AN16" s="54">
        <f t="shared" si="3"/>
        <v>3.6803125631227163</v>
      </c>
    </row>
    <row r="17" spans="1:42" x14ac:dyDescent="0.25">
      <c r="A17" s="56" t="s">
        <v>101</v>
      </c>
      <c r="B17" s="54">
        <f t="shared" ref="B17:AN17" si="4">B16*0.75</f>
        <v>5.3777866054222043</v>
      </c>
      <c r="C17" s="54">
        <f t="shared" si="4"/>
        <v>3.2099645913750159</v>
      </c>
      <c r="D17" s="54">
        <f t="shared" si="4"/>
        <v>3.7998393622010989</v>
      </c>
      <c r="E17" s="54">
        <f t="shared" si="4"/>
        <v>6</v>
      </c>
      <c r="F17" s="54">
        <f t="shared" si="4"/>
        <v>0.6163341766335656</v>
      </c>
      <c r="G17" s="54">
        <f t="shared" si="4"/>
        <v>1.2287558546058832</v>
      </c>
      <c r="H17" s="54">
        <f t="shared" si="4"/>
        <v>5.1585402627637755</v>
      </c>
      <c r="I17" s="54">
        <f t="shared" si="4"/>
        <v>1.1023305986194205</v>
      </c>
      <c r="J17" s="54">
        <f t="shared" si="4"/>
        <v>3.4602079836619262</v>
      </c>
      <c r="K17" s="54">
        <f t="shared" si="4"/>
        <v>2.360843880715338</v>
      </c>
      <c r="L17" s="54">
        <f t="shared" si="4"/>
        <v>1.0798174154697768</v>
      </c>
      <c r="M17" s="54">
        <f t="shared" si="4"/>
        <v>4.4695832154407844</v>
      </c>
      <c r="N17" s="54">
        <f t="shared" si="4"/>
        <v>0.56954169352856177</v>
      </c>
      <c r="O17" s="54">
        <f t="shared" si="4"/>
        <v>0.69894574648137697</v>
      </c>
      <c r="P17" s="54">
        <f t="shared" si="4"/>
        <v>1.4940904806117108</v>
      </c>
      <c r="Q17" s="54">
        <f t="shared" si="4"/>
        <v>1.1461356803650691</v>
      </c>
      <c r="R17" s="54">
        <f t="shared" si="4"/>
        <v>3.8338108884728541</v>
      </c>
      <c r="S17" s="54">
        <f t="shared" si="4"/>
        <v>2.9974134639095826</v>
      </c>
      <c r="T17" s="54">
        <f t="shared" si="4"/>
        <v>1.0033649942171863</v>
      </c>
      <c r="U17" s="54">
        <f t="shared" si="4"/>
        <v>0.80509909947265557</v>
      </c>
      <c r="V17" s="54">
        <f t="shared" si="4"/>
        <v>0.77260187913884448</v>
      </c>
      <c r="W17" s="54">
        <f t="shared" si="4"/>
        <v>0.80597196364804602</v>
      </c>
      <c r="X17" s="54">
        <f t="shared" si="4"/>
        <v>1.4102572117507646</v>
      </c>
      <c r="Y17" s="54">
        <f t="shared" si="4"/>
        <v>3.6250168116833015</v>
      </c>
      <c r="Z17" s="54">
        <f t="shared" si="4"/>
        <v>3.0765484843807949</v>
      </c>
      <c r="AA17" s="54">
        <f t="shared" si="4"/>
        <v>2.1602617875390671</v>
      </c>
      <c r="AB17" s="54">
        <f t="shared" si="4"/>
        <v>3.2654460760061248</v>
      </c>
      <c r="AC17" s="54">
        <f t="shared" si="4"/>
        <v>4.8496650140645414</v>
      </c>
      <c r="AD17" s="54">
        <f t="shared" si="4"/>
        <v>3.003833890629044</v>
      </c>
      <c r="AE17" s="54">
        <f t="shared" si="4"/>
        <v>4.5183189627276032</v>
      </c>
      <c r="AF17" s="54">
        <f t="shared" si="4"/>
        <v>4.838196452184488</v>
      </c>
      <c r="AG17" s="54">
        <f t="shared" si="4"/>
        <v>3.370113710270437</v>
      </c>
      <c r="AH17" s="54">
        <f t="shared" si="4"/>
        <v>1.9630976440222225</v>
      </c>
      <c r="AI17" s="54">
        <f t="shared" si="4"/>
        <v>0.7059247797649072</v>
      </c>
      <c r="AJ17" s="54">
        <f t="shared" si="4"/>
        <v>0.78781956174501655</v>
      </c>
      <c r="AK17" s="54">
        <f t="shared" si="4"/>
        <v>2.0440906561790726</v>
      </c>
      <c r="AL17" s="54">
        <f t="shared" si="4"/>
        <v>0.68409577695763946</v>
      </c>
      <c r="AM17" s="54">
        <f t="shared" si="4"/>
        <v>4.9222288366508993</v>
      </c>
      <c r="AN17" s="54">
        <f t="shared" si="4"/>
        <v>2.7602344223420374</v>
      </c>
      <c r="AO17" s="54">
        <f>SUMPRODUCT(B17:AN17*'Fertilizer Rate'!$B$84:$AN$84)/'Fertilizer Rate'!$AO$84</f>
        <v>2.4798304411370529</v>
      </c>
    </row>
    <row r="19" spans="1:42" ht="21" x14ac:dyDescent="0.35">
      <c r="A19" s="19" t="s">
        <v>21</v>
      </c>
    </row>
    <row r="20" spans="1:42" x14ac:dyDescent="0.25">
      <c r="A20" s="21" t="s">
        <v>583</v>
      </c>
      <c r="B20" s="21">
        <f ca="1">MAX(B8+'Fertilizer Rate'!B102*Parameters!$C$15*Main!$C$10,0)</f>
        <v>36.445567348033663</v>
      </c>
      <c r="C20" s="21">
        <f ca="1">MAX(C8+'Fertilizer Rate'!C102*Parameters!$C$15*Main!$C$10,0)</f>
        <v>31.428639902060684</v>
      </c>
      <c r="D20" s="21">
        <f ca="1">MAX(D8+'Fertilizer Rate'!D102*Parameters!$C$15*Main!$C$10,0)</f>
        <v>32.786923938471411</v>
      </c>
      <c r="E20" s="21">
        <f ca="1">MAX(E8+'Fertilizer Rate'!E102*Parameters!$C$15*Main!$C$10,0)</f>
        <v>42.343986152622342</v>
      </c>
      <c r="F20" s="21">
        <f ca="1">MAX(F8+'Fertilizer Rate'!F102*Parameters!$C$15*Main!$C$10,0)</f>
        <v>16.113828204603411</v>
      </c>
      <c r="G20" s="21">
        <f ca="1">MAX(G8+'Fertilizer Rate'!G102*Parameters!$C$15*Main!$C$10,0)</f>
        <v>23.424907735375658</v>
      </c>
      <c r="H20" s="21">
        <f ca="1">MAX(H8+'Fertilizer Rate'!H102*Parameters!$C$15*Main!$C$10,0)</f>
        <v>35.914307926656001</v>
      </c>
      <c r="I20" s="21">
        <f ca="1">MAX(I8+'Fertilizer Rate'!I102*Parameters!$C$15*Main!$C$10,0)</f>
        <v>22.732632152047877</v>
      </c>
      <c r="J20" s="21">
        <f ca="1">MAX(J8+'Fertilizer Rate'!J102*Parameters!$C$15*Main!$C$10,0)</f>
        <v>32.085095553726262</v>
      </c>
      <c r="K20" s="21">
        <f ca="1">MAX(K8+'Fertilizer Rate'!K102*Parameters!$C$15*Main!$C$10,0)</f>
        <v>28.981284663508745</v>
      </c>
      <c r="L20" s="21">
        <f ca="1">MAX(L8+'Fertilizer Rate'!L102*Parameters!$C$15*Main!$C$10,0)</f>
        <v>22.220608201590775</v>
      </c>
      <c r="M20" s="21">
        <f ca="1">MAX(M8+'Fertilizer Rate'!M102*Parameters!$C$15*Main!$C$10,0)</f>
        <v>34.321017920756887</v>
      </c>
      <c r="N20" s="21">
        <f ca="1">MAX(N8+'Fertilizer Rate'!N102*Parameters!$C$15*Main!$C$10,0)</f>
        <v>14.772172252580795</v>
      </c>
      <c r="O20" s="21">
        <f ca="1">MAX(O8+'Fertilizer Rate'!O102*Parameters!$C$15*Main!$C$10,0)</f>
        <v>17.948175878555521</v>
      </c>
      <c r="P20" s="21">
        <f ca="1">MAX(P8+'Fertilizer Rate'!P102*Parameters!$C$15*Main!$C$10,0)</f>
        <v>26.180179466376817</v>
      </c>
      <c r="Q20" s="21">
        <f ca="1">MAX(Q8+'Fertilizer Rate'!Q102*Parameters!$C$15*Main!$C$10,0)</f>
        <v>22.92587514994694</v>
      </c>
      <c r="R20" s="21">
        <f ca="1">MAX(R8+'Fertilizer Rate'!R102*Parameters!$C$15*Main!$C$10,0)</f>
        <v>32.877566994868594</v>
      </c>
      <c r="S20" s="21">
        <f ca="1">MAX(S8+'Fertilizer Rate'!S102*Parameters!$C$15*Main!$C$10,0)</f>
        <v>30.929653482740086</v>
      </c>
      <c r="T20" s="21">
        <f ca="1">MAX(T8+'Fertilizer Rate'!T102*Parameters!$C$15*Main!$C$10,0)</f>
        <v>21.281371572696301</v>
      </c>
      <c r="U20" s="21">
        <f ca="1">MAX(U8+'Fertilizer Rate'!U102*Parameters!$C$15*Main!$C$10,0)</f>
        <v>19.582284946621012</v>
      </c>
      <c r="V20" s="21">
        <f ca="1">MAX(V8+'Fertilizer Rate'!V102*Parameters!$C$15*Main!$C$10,0)</f>
        <v>19.867466517322136</v>
      </c>
      <c r="W20" s="21">
        <f ca="1">MAX(W8+'Fertilizer Rate'!W102*Parameters!$C$15*Main!$C$10,0)</f>
        <v>19.927311066177062</v>
      </c>
      <c r="X20" s="21">
        <f ca="1">MAX(X8+'Fertilizer Rate'!X102*Parameters!$C$15*Main!$C$10,0)</f>
        <v>25.253785567996118</v>
      </c>
      <c r="Y20" s="21">
        <f ca="1">MAX(Y8+'Fertilizer Rate'!Y102*Parameters!$C$15*Main!$C$10,0)</f>
        <v>32.391647798801891</v>
      </c>
      <c r="Z20" s="21">
        <f ca="1">MAX(Z8+'Fertilizer Rate'!Z102*Parameters!$C$15*Main!$C$10,0)</f>
        <v>31.16430426305136</v>
      </c>
      <c r="AA20" s="21">
        <f ca="1">MAX(AA8+'Fertilizer Rate'!AA102*Parameters!$C$15*Main!$C$10,0)</f>
        <v>28.25310564265277</v>
      </c>
      <c r="AB20" s="21">
        <f ca="1">MAX(AB8+'Fertilizer Rate'!AB102*Parameters!$C$15*Main!$C$10,0)</f>
        <v>31.575455262106434</v>
      </c>
      <c r="AC20" s="21">
        <f ca="1">MAX(AC8+'Fertilizer Rate'!AC102*Parameters!$C$15*Main!$C$10,0)</f>
        <v>35.185987535119388</v>
      </c>
      <c r="AD20" s="21">
        <f ca="1">MAX(AD8+'Fertilizer Rate'!AD102*Parameters!$C$15*Main!$C$10,0)</f>
        <v>31.029312309352314</v>
      </c>
      <c r="AE20" s="21">
        <f ca="1">MAX(AE8+'Fertilizer Rate'!AE102*Parameters!$C$15*Main!$C$10,0)</f>
        <v>34.482910065463152</v>
      </c>
      <c r="AF20" s="21">
        <f ca="1">MAX(AF8+'Fertilizer Rate'!AF102*Parameters!$C$15*Main!$C$10,0)</f>
        <v>35.193817764012756</v>
      </c>
      <c r="AG20" s="21">
        <f ca="1">MAX(AG8+'Fertilizer Rate'!AG102*Parameters!$C$15*Main!$C$10,0)</f>
        <v>31.785295354335528</v>
      </c>
      <c r="AH20" s="21">
        <f ca="1">MAX(AH8+'Fertilizer Rate'!AH102*Parameters!$C$15*Main!$C$10,0)</f>
        <v>27.664784398104242</v>
      </c>
      <c r="AI20" s="21">
        <f ca="1">MAX(AI8+'Fertilizer Rate'!AI102*Parameters!$C$15*Main!$C$10,0)</f>
        <v>18.30758860740228</v>
      </c>
      <c r="AJ20" s="21">
        <f ca="1">MAX(AJ8+'Fertilizer Rate'!AJ102*Parameters!$C$15*Main!$C$10,0)</f>
        <v>19.759720773193067</v>
      </c>
      <c r="AK20" s="21">
        <f ca="1">MAX(AK8+'Fertilizer Rate'!AK102*Parameters!$C$15*Main!$C$10,0)</f>
        <v>27.984571038410891</v>
      </c>
      <c r="AL20" s="21">
        <f ca="1">MAX(AL8+'Fertilizer Rate'!AL102*Parameters!$C$15*Main!$C$10,0)</f>
        <v>17.631195812786807</v>
      </c>
      <c r="AM20" s="21">
        <f ca="1">MAX(AM8+'Fertilizer Rate'!AM102*Parameters!$C$15*Main!$C$10,0)</f>
        <v>35.423242696797686</v>
      </c>
      <c r="AN20" s="21">
        <f ca="1">MAX(AN8+'Fertilizer Rate'!AN102*Parameters!$C$15*Main!$C$10,0)</f>
        <v>30.202407658134678</v>
      </c>
    </row>
    <row r="21" spans="1:42" x14ac:dyDescent="0.25">
      <c r="A21" s="21" t="s">
        <v>87</v>
      </c>
      <c r="B21" s="21">
        <f ca="1">VLOOKUP(B20, Parameters!$I$3:$J$8, 2, TRUE)</f>
        <v>4</v>
      </c>
      <c r="C21" s="21">
        <f ca="1">VLOOKUP(C20, Parameters!$I$3:$J$8, 2, TRUE)</f>
        <v>2</v>
      </c>
      <c r="D21" s="21">
        <f ca="1">VLOOKUP(D20, Parameters!$I$3:$J$8, 2, TRUE)</f>
        <v>4</v>
      </c>
      <c r="E21" s="21">
        <f ca="1">VLOOKUP(E20, Parameters!$I$3:$J$8, 2, TRUE)</f>
        <v>8</v>
      </c>
      <c r="F21" s="21">
        <f ca="1">VLOOKUP(F20, Parameters!$I$3:$J$8, 2, TRUE)</f>
        <v>0</v>
      </c>
      <c r="G21" s="21">
        <f ca="1">VLOOKUP(G20, Parameters!$I$3:$J$8, 2, TRUE)</f>
        <v>1</v>
      </c>
      <c r="H21" s="21">
        <f ca="1">VLOOKUP(H20, Parameters!$I$3:$J$8, 2, TRUE)</f>
        <v>4</v>
      </c>
      <c r="I21" s="21">
        <f ca="1">VLOOKUP(I20, Parameters!$I$3:$J$8, 2, TRUE)</f>
        <v>1</v>
      </c>
      <c r="J21" s="21">
        <f ca="1">VLOOKUP(J20, Parameters!$I$3:$J$8, 2, TRUE)</f>
        <v>4</v>
      </c>
      <c r="K21" s="21">
        <f ca="1">VLOOKUP(K20, Parameters!$I$3:$J$8, 2, TRUE)</f>
        <v>2</v>
      </c>
      <c r="L21" s="21">
        <f ca="1">VLOOKUP(L20, Parameters!$I$3:$J$8, 2, TRUE)</f>
        <v>1</v>
      </c>
      <c r="M21" s="21">
        <f ca="1">VLOOKUP(M20, Parameters!$I$3:$J$8, 2, TRUE)</f>
        <v>4</v>
      </c>
      <c r="N21" s="21">
        <f ca="1">VLOOKUP(N20, Parameters!$I$3:$J$8, 2, TRUE)</f>
        <v>0</v>
      </c>
      <c r="O21" s="21">
        <f ca="1">VLOOKUP(O20, Parameters!$I$3:$J$8, 2, TRUE)</f>
        <v>0</v>
      </c>
      <c r="P21" s="21">
        <f ca="1">VLOOKUP(P20, Parameters!$I$3:$J$8, 2, TRUE)</f>
        <v>1</v>
      </c>
      <c r="Q21" s="21">
        <f ca="1">VLOOKUP(Q20, Parameters!$I$3:$J$8, 2, TRUE)</f>
        <v>1</v>
      </c>
      <c r="R21" s="21">
        <f ca="1">VLOOKUP(R20, Parameters!$I$3:$J$8, 2, TRUE)</f>
        <v>4</v>
      </c>
      <c r="S21" s="21">
        <f ca="1">VLOOKUP(S20, Parameters!$I$3:$J$8, 2, TRUE)</f>
        <v>2</v>
      </c>
      <c r="T21" s="21">
        <f ca="1">VLOOKUP(T20, Parameters!$I$3:$J$8, 2, TRUE)</f>
        <v>1</v>
      </c>
      <c r="U21" s="21">
        <f ca="1">VLOOKUP(U20, Parameters!$I$3:$J$8, 2, TRUE)</f>
        <v>1</v>
      </c>
      <c r="V21" s="21">
        <f ca="1">VLOOKUP(V20, Parameters!$I$3:$J$8, 2, TRUE)</f>
        <v>1</v>
      </c>
      <c r="W21" s="21">
        <f ca="1">VLOOKUP(W20, Parameters!$I$3:$J$8, 2, TRUE)</f>
        <v>1</v>
      </c>
      <c r="X21" s="21">
        <f ca="1">VLOOKUP(X20, Parameters!$I$3:$J$8, 2, TRUE)</f>
        <v>1</v>
      </c>
      <c r="Y21" s="21">
        <f ca="1">VLOOKUP(Y20, Parameters!$I$3:$J$8, 2, TRUE)</f>
        <v>4</v>
      </c>
      <c r="Z21" s="21">
        <f ca="1">VLOOKUP(Z20, Parameters!$I$3:$J$8, 2, TRUE)</f>
        <v>2</v>
      </c>
      <c r="AA21" s="21">
        <f ca="1">VLOOKUP(AA20, Parameters!$I$3:$J$8, 2, TRUE)</f>
        <v>2</v>
      </c>
      <c r="AB21" s="21">
        <f ca="1">VLOOKUP(AB20, Parameters!$I$3:$J$8, 2, TRUE)</f>
        <v>4</v>
      </c>
      <c r="AC21" s="21">
        <f ca="1">VLOOKUP(AC20, Parameters!$I$3:$J$8, 2, TRUE)</f>
        <v>4</v>
      </c>
      <c r="AD21" s="21">
        <f ca="1">VLOOKUP(AD20, Parameters!$I$3:$J$8, 2, TRUE)</f>
        <v>2</v>
      </c>
      <c r="AE21" s="21">
        <f ca="1">VLOOKUP(AE20, Parameters!$I$3:$J$8, 2, TRUE)</f>
        <v>4</v>
      </c>
      <c r="AF21" s="21">
        <f ca="1">VLOOKUP(AF20, Parameters!$I$3:$J$8, 2, TRUE)</f>
        <v>4</v>
      </c>
      <c r="AG21" s="21">
        <f ca="1">VLOOKUP(AG20, Parameters!$I$3:$J$8, 2, TRUE)</f>
        <v>4</v>
      </c>
      <c r="AH21" s="21">
        <f ca="1">VLOOKUP(AH20, Parameters!$I$3:$J$8, 2, TRUE)</f>
        <v>2</v>
      </c>
      <c r="AI21" s="21">
        <f ca="1">VLOOKUP(AI20, Parameters!$I$3:$J$8, 2, TRUE)</f>
        <v>0</v>
      </c>
      <c r="AJ21" s="21">
        <f ca="1">VLOOKUP(AJ20, Parameters!$I$3:$J$8, 2, TRUE)</f>
        <v>1</v>
      </c>
      <c r="AK21" s="21">
        <f ca="1">VLOOKUP(AK20, Parameters!$I$3:$J$8, 2, TRUE)</f>
        <v>2</v>
      </c>
      <c r="AL21" s="21">
        <f ca="1">VLOOKUP(AL20, Parameters!$I$3:$J$8, 2, TRUE)</f>
        <v>0</v>
      </c>
      <c r="AM21" s="21">
        <f ca="1">VLOOKUP(AM20, Parameters!$I$3:$J$8, 2, TRUE)</f>
        <v>4</v>
      </c>
      <c r="AN21" s="21">
        <f ca="1">VLOOKUP(AN20, Parameters!$I$3:$J$8, 2, TRUE)</f>
        <v>2</v>
      </c>
    </row>
    <row r="22" spans="1:42" x14ac:dyDescent="0.25">
      <c r="A22" s="21" t="s">
        <v>103</v>
      </c>
      <c r="B22" s="31">
        <f t="shared" ref="B22:AN22" ca="1" si="5">B21*0.75</f>
        <v>3</v>
      </c>
      <c r="C22" s="31">
        <f t="shared" ca="1" si="5"/>
        <v>1.5</v>
      </c>
      <c r="D22" s="31">
        <f t="shared" ca="1" si="5"/>
        <v>3</v>
      </c>
      <c r="E22" s="31">
        <f t="shared" ca="1" si="5"/>
        <v>6</v>
      </c>
      <c r="F22" s="31">
        <f t="shared" ca="1" si="5"/>
        <v>0</v>
      </c>
      <c r="G22" s="31">
        <f t="shared" ca="1" si="5"/>
        <v>0.75</v>
      </c>
      <c r="H22" s="31">
        <f t="shared" ca="1" si="5"/>
        <v>3</v>
      </c>
      <c r="I22" s="31">
        <f t="shared" ca="1" si="5"/>
        <v>0.75</v>
      </c>
      <c r="J22" s="31">
        <f t="shared" ca="1" si="5"/>
        <v>3</v>
      </c>
      <c r="K22" s="31">
        <f t="shared" ca="1" si="5"/>
        <v>1.5</v>
      </c>
      <c r="L22" s="31">
        <f t="shared" ca="1" si="5"/>
        <v>0.75</v>
      </c>
      <c r="M22" s="31">
        <f t="shared" ca="1" si="5"/>
        <v>3</v>
      </c>
      <c r="N22" s="31">
        <f t="shared" ca="1" si="5"/>
        <v>0</v>
      </c>
      <c r="O22" s="31">
        <f t="shared" ca="1" si="5"/>
        <v>0</v>
      </c>
      <c r="P22" s="31">
        <f t="shared" ca="1" si="5"/>
        <v>0.75</v>
      </c>
      <c r="Q22" s="31">
        <f t="shared" ca="1" si="5"/>
        <v>0.75</v>
      </c>
      <c r="R22" s="31">
        <f t="shared" ca="1" si="5"/>
        <v>3</v>
      </c>
      <c r="S22" s="31">
        <f t="shared" ca="1" si="5"/>
        <v>1.5</v>
      </c>
      <c r="T22" s="31">
        <f t="shared" ca="1" si="5"/>
        <v>0.75</v>
      </c>
      <c r="U22" s="31">
        <f t="shared" ca="1" si="5"/>
        <v>0.75</v>
      </c>
      <c r="V22" s="31">
        <f t="shared" ca="1" si="5"/>
        <v>0.75</v>
      </c>
      <c r="W22" s="31">
        <f t="shared" ca="1" si="5"/>
        <v>0.75</v>
      </c>
      <c r="X22" s="31">
        <f t="shared" ca="1" si="5"/>
        <v>0.75</v>
      </c>
      <c r="Y22" s="31">
        <f t="shared" ca="1" si="5"/>
        <v>3</v>
      </c>
      <c r="Z22" s="31">
        <f t="shared" ca="1" si="5"/>
        <v>1.5</v>
      </c>
      <c r="AA22" s="31">
        <f t="shared" ca="1" si="5"/>
        <v>1.5</v>
      </c>
      <c r="AB22" s="31">
        <f t="shared" ca="1" si="5"/>
        <v>3</v>
      </c>
      <c r="AC22" s="31">
        <f t="shared" ca="1" si="5"/>
        <v>3</v>
      </c>
      <c r="AD22" s="31">
        <f t="shared" ca="1" si="5"/>
        <v>1.5</v>
      </c>
      <c r="AE22" s="31">
        <f t="shared" ca="1" si="5"/>
        <v>3</v>
      </c>
      <c r="AF22" s="31">
        <f t="shared" ca="1" si="5"/>
        <v>3</v>
      </c>
      <c r="AG22" s="31">
        <f t="shared" ca="1" si="5"/>
        <v>3</v>
      </c>
      <c r="AH22" s="31">
        <f t="shared" ca="1" si="5"/>
        <v>1.5</v>
      </c>
      <c r="AI22" s="31">
        <f t="shared" ca="1" si="5"/>
        <v>0</v>
      </c>
      <c r="AJ22" s="31">
        <f t="shared" ca="1" si="5"/>
        <v>0.75</v>
      </c>
      <c r="AK22" s="31">
        <f t="shared" ca="1" si="5"/>
        <v>1.5</v>
      </c>
      <c r="AL22" s="31">
        <f t="shared" ca="1" si="5"/>
        <v>0</v>
      </c>
      <c r="AM22" s="31">
        <f t="shared" ca="1" si="5"/>
        <v>3</v>
      </c>
      <c r="AN22" s="31">
        <f t="shared" ca="1" si="5"/>
        <v>1.5</v>
      </c>
    </row>
    <row r="23" spans="1:42" x14ac:dyDescent="0.25">
      <c r="A23" s="54" t="s">
        <v>85</v>
      </c>
      <c r="B23" s="21">
        <f ca="1">VLOOKUP(B20,Parameters!$L$3:$N$8, 1, TRUE)</f>
        <v>32</v>
      </c>
      <c r="C23" s="21">
        <f ca="1">VLOOKUP(C20,Parameters!$L$3:$N$8, 1, TRUE)</f>
        <v>27</v>
      </c>
      <c r="D23" s="21">
        <f ca="1">VLOOKUP(D20,Parameters!$L$3:$N$8, 1, TRUE)</f>
        <v>32</v>
      </c>
      <c r="E23" s="21">
        <f ca="1">VLOOKUP(E20,Parameters!$L$3:$N$8, 1, TRUE)</f>
        <v>39</v>
      </c>
      <c r="F23" s="21">
        <f ca="1">VLOOKUP(F20,Parameters!$L$3:$N$8, 1, TRUE)</f>
        <v>0</v>
      </c>
      <c r="G23" s="21">
        <f ca="1">VLOOKUP(G20,Parameters!$L$3:$N$8, 1, TRUE)</f>
        <v>20</v>
      </c>
      <c r="H23" s="21">
        <f ca="1">VLOOKUP(H20,Parameters!$L$3:$N$8, 1, TRUE)</f>
        <v>32</v>
      </c>
      <c r="I23" s="21">
        <f ca="1">VLOOKUP(I20,Parameters!$L$3:$N$8, 1, TRUE)</f>
        <v>20</v>
      </c>
      <c r="J23" s="21">
        <f ca="1">VLOOKUP(J20,Parameters!$L$3:$N$8, 1, TRUE)</f>
        <v>32</v>
      </c>
      <c r="K23" s="21">
        <f ca="1">VLOOKUP(K20,Parameters!$L$3:$N$8, 1, TRUE)</f>
        <v>27</v>
      </c>
      <c r="L23" s="21">
        <f ca="1">VLOOKUP(L20,Parameters!$L$3:$N$8, 1, TRUE)</f>
        <v>20</v>
      </c>
      <c r="M23" s="21">
        <f ca="1">VLOOKUP(M20,Parameters!$L$3:$N$8, 1, TRUE)</f>
        <v>32</v>
      </c>
      <c r="N23" s="21">
        <f ca="1">VLOOKUP(N20,Parameters!$L$3:$N$8, 1, TRUE)</f>
        <v>0</v>
      </c>
      <c r="O23" s="21">
        <f ca="1">VLOOKUP(O20,Parameters!$L$3:$N$8, 1, TRUE)</f>
        <v>0</v>
      </c>
      <c r="P23" s="21">
        <f ca="1">VLOOKUP(P20,Parameters!$L$3:$N$8, 1, TRUE)</f>
        <v>20</v>
      </c>
      <c r="Q23" s="21">
        <f ca="1">VLOOKUP(Q20,Parameters!$L$3:$N$8, 1, TRUE)</f>
        <v>20</v>
      </c>
      <c r="R23" s="21">
        <f ca="1">VLOOKUP(R20,Parameters!$L$3:$N$8, 1, TRUE)</f>
        <v>32</v>
      </c>
      <c r="S23" s="21">
        <f ca="1">VLOOKUP(S20,Parameters!$L$3:$N$8, 1, TRUE)</f>
        <v>27</v>
      </c>
      <c r="T23" s="21">
        <f ca="1">VLOOKUP(T20,Parameters!$L$3:$N$8, 1, TRUE)</f>
        <v>20</v>
      </c>
      <c r="U23" s="21">
        <f ca="1">VLOOKUP(U20,Parameters!$L$3:$N$8, 1, TRUE)</f>
        <v>0</v>
      </c>
      <c r="V23" s="21">
        <f ca="1">VLOOKUP(V20,Parameters!$L$3:$N$8, 1, TRUE)</f>
        <v>0</v>
      </c>
      <c r="W23" s="21">
        <f ca="1">VLOOKUP(W20,Parameters!$L$3:$N$8, 1, TRUE)</f>
        <v>0</v>
      </c>
      <c r="X23" s="21">
        <f ca="1">VLOOKUP(X20,Parameters!$L$3:$N$8, 1, TRUE)</f>
        <v>20</v>
      </c>
      <c r="Y23" s="21">
        <f ca="1">VLOOKUP(Y20,Parameters!$L$3:$N$8, 1, TRUE)</f>
        <v>32</v>
      </c>
      <c r="Z23" s="21">
        <f ca="1">VLOOKUP(Z20,Parameters!$L$3:$N$8, 1, TRUE)</f>
        <v>27</v>
      </c>
      <c r="AA23" s="21">
        <f ca="1">VLOOKUP(AA20,Parameters!$L$3:$N$8, 1, TRUE)</f>
        <v>27</v>
      </c>
      <c r="AB23" s="21">
        <f ca="1">VLOOKUP(AB20,Parameters!$L$3:$N$8, 1, TRUE)</f>
        <v>27</v>
      </c>
      <c r="AC23" s="21">
        <f ca="1">VLOOKUP(AC20,Parameters!$L$3:$N$8, 1, TRUE)</f>
        <v>32</v>
      </c>
      <c r="AD23" s="21">
        <f ca="1">VLOOKUP(AD20,Parameters!$L$3:$N$8, 1, TRUE)</f>
        <v>27</v>
      </c>
      <c r="AE23" s="21">
        <f ca="1">VLOOKUP(AE20,Parameters!$L$3:$N$8, 1, TRUE)</f>
        <v>32</v>
      </c>
      <c r="AF23" s="21">
        <f ca="1">VLOOKUP(AF20,Parameters!$L$3:$N$8, 1, TRUE)</f>
        <v>32</v>
      </c>
      <c r="AG23" s="21">
        <f ca="1">VLOOKUP(AG20,Parameters!$L$3:$N$8, 1, TRUE)</f>
        <v>27</v>
      </c>
      <c r="AH23" s="21">
        <f ca="1">VLOOKUP(AH20,Parameters!$L$3:$N$8, 1, TRUE)</f>
        <v>27</v>
      </c>
      <c r="AI23" s="21">
        <f ca="1">VLOOKUP(AI20,Parameters!$L$3:$N$8, 1, TRUE)</f>
        <v>0</v>
      </c>
      <c r="AJ23" s="21">
        <f ca="1">VLOOKUP(AJ20,Parameters!$L$3:$N$8, 1, TRUE)</f>
        <v>0</v>
      </c>
      <c r="AK23" s="21">
        <f ca="1">VLOOKUP(AK20,Parameters!$L$3:$N$8, 1, TRUE)</f>
        <v>27</v>
      </c>
      <c r="AL23" s="21">
        <f ca="1">VLOOKUP(AL20,Parameters!$L$3:$N$8, 1, TRUE)</f>
        <v>0</v>
      </c>
      <c r="AM23" s="21">
        <f ca="1">VLOOKUP(AM20,Parameters!$L$3:$N$8, 1, TRUE)</f>
        <v>32</v>
      </c>
      <c r="AN23" s="21">
        <f ca="1">VLOOKUP(AN20,Parameters!$L$3:$N$8, 1, TRUE)</f>
        <v>27</v>
      </c>
    </row>
    <row r="24" spans="1:42" x14ac:dyDescent="0.25">
      <c r="A24" s="54" t="s">
        <v>104</v>
      </c>
      <c r="B24" s="21">
        <f ca="1">VLOOKUP(B20,Parameters!$L$3:$N$8, 2, TRUE)</f>
        <v>4</v>
      </c>
      <c r="C24" s="21">
        <f ca="1">VLOOKUP(C20,Parameters!$L$3:$N$8, 2, TRUE)</f>
        <v>2</v>
      </c>
      <c r="D24" s="21">
        <f ca="1">VLOOKUP(D20,Parameters!$L$3:$N$8, 2, TRUE)</f>
        <v>4</v>
      </c>
      <c r="E24" s="21">
        <f ca="1">VLOOKUP(E20,Parameters!$L$3:$N$8, 2, TRUE)</f>
        <v>8</v>
      </c>
      <c r="F24" s="21">
        <f ca="1">VLOOKUP(F20,Parameters!$L$3:$N$8, 2, TRUE)</f>
        <v>0</v>
      </c>
      <c r="G24" s="21">
        <f ca="1">VLOOKUP(G20,Parameters!$L$3:$N$8, 2, TRUE)</f>
        <v>1</v>
      </c>
      <c r="H24" s="21">
        <f ca="1">VLOOKUP(H20,Parameters!$L$3:$N$8, 2, TRUE)</f>
        <v>4</v>
      </c>
      <c r="I24" s="21">
        <f ca="1">VLOOKUP(I20,Parameters!$L$3:$N$8, 2, TRUE)</f>
        <v>1</v>
      </c>
      <c r="J24" s="21">
        <f ca="1">VLOOKUP(J20,Parameters!$L$3:$N$8, 2, TRUE)</f>
        <v>4</v>
      </c>
      <c r="K24" s="21">
        <f ca="1">VLOOKUP(K20,Parameters!$L$3:$N$8, 2, TRUE)</f>
        <v>2</v>
      </c>
      <c r="L24" s="21">
        <f ca="1">VLOOKUP(L20,Parameters!$L$3:$N$8, 2, TRUE)</f>
        <v>1</v>
      </c>
      <c r="M24" s="21">
        <f ca="1">VLOOKUP(M20,Parameters!$L$3:$N$8, 2, TRUE)</f>
        <v>4</v>
      </c>
      <c r="N24" s="21">
        <f ca="1">VLOOKUP(N20,Parameters!$L$3:$N$8, 2, TRUE)</f>
        <v>0</v>
      </c>
      <c r="O24" s="21">
        <f ca="1">VLOOKUP(O20,Parameters!$L$3:$N$8, 2, TRUE)</f>
        <v>0</v>
      </c>
      <c r="P24" s="21">
        <f ca="1">VLOOKUP(P20,Parameters!$L$3:$N$8, 2, TRUE)</f>
        <v>1</v>
      </c>
      <c r="Q24" s="21">
        <f ca="1">VLOOKUP(Q20,Parameters!$L$3:$N$8, 2, TRUE)</f>
        <v>1</v>
      </c>
      <c r="R24" s="21">
        <f ca="1">VLOOKUP(R20,Parameters!$L$3:$N$8, 2, TRUE)</f>
        <v>4</v>
      </c>
      <c r="S24" s="21">
        <f ca="1">VLOOKUP(S20,Parameters!$L$3:$N$8, 2, TRUE)</f>
        <v>2</v>
      </c>
      <c r="T24" s="21">
        <f ca="1">VLOOKUP(T20,Parameters!$L$3:$N$8, 2, TRUE)</f>
        <v>1</v>
      </c>
      <c r="U24" s="21">
        <f ca="1">VLOOKUP(U20,Parameters!$L$3:$N$8, 2, TRUE)</f>
        <v>0</v>
      </c>
      <c r="V24" s="21">
        <f ca="1">VLOOKUP(V20,Parameters!$L$3:$N$8, 2, TRUE)</f>
        <v>0</v>
      </c>
      <c r="W24" s="21">
        <f ca="1">VLOOKUP(W20,Parameters!$L$3:$N$8, 2, TRUE)</f>
        <v>0</v>
      </c>
      <c r="X24" s="21">
        <f ca="1">VLOOKUP(X20,Parameters!$L$3:$N$8, 2, TRUE)</f>
        <v>1</v>
      </c>
      <c r="Y24" s="21">
        <f ca="1">VLOOKUP(Y20,Parameters!$L$3:$N$8, 2, TRUE)</f>
        <v>4</v>
      </c>
      <c r="Z24" s="21">
        <f ca="1">VLOOKUP(Z20,Parameters!$L$3:$N$8, 2, TRUE)</f>
        <v>2</v>
      </c>
      <c r="AA24" s="21">
        <f ca="1">VLOOKUP(AA20,Parameters!$L$3:$N$8, 2, TRUE)</f>
        <v>2</v>
      </c>
      <c r="AB24" s="21">
        <f ca="1">VLOOKUP(AB20,Parameters!$L$3:$N$8, 2, TRUE)</f>
        <v>2</v>
      </c>
      <c r="AC24" s="21">
        <f ca="1">VLOOKUP(AC20,Parameters!$L$3:$N$8, 2, TRUE)</f>
        <v>4</v>
      </c>
      <c r="AD24" s="21">
        <f ca="1">VLOOKUP(AD20,Parameters!$L$3:$N$8, 2, TRUE)</f>
        <v>2</v>
      </c>
      <c r="AE24" s="21">
        <f ca="1">VLOOKUP(AE20,Parameters!$L$3:$N$8, 2, TRUE)</f>
        <v>4</v>
      </c>
      <c r="AF24" s="21">
        <f ca="1">VLOOKUP(AF20,Parameters!$L$3:$N$8, 2, TRUE)</f>
        <v>4</v>
      </c>
      <c r="AG24" s="21">
        <f ca="1">VLOOKUP(AG20,Parameters!$L$3:$N$8, 2, TRUE)</f>
        <v>2</v>
      </c>
      <c r="AH24" s="21">
        <f ca="1">VLOOKUP(AH20,Parameters!$L$3:$N$8, 2, TRUE)</f>
        <v>2</v>
      </c>
      <c r="AI24" s="21">
        <f ca="1">VLOOKUP(AI20,Parameters!$L$3:$N$8, 2, TRUE)</f>
        <v>0</v>
      </c>
      <c r="AJ24" s="21">
        <f ca="1">VLOOKUP(AJ20,Parameters!$L$3:$N$8, 2, TRUE)</f>
        <v>0</v>
      </c>
      <c r="AK24" s="21">
        <f ca="1">VLOOKUP(AK20,Parameters!$L$3:$N$8, 2, TRUE)</f>
        <v>2</v>
      </c>
      <c r="AL24" s="21">
        <f ca="1">VLOOKUP(AL20,Parameters!$L$3:$N$8, 2, TRUE)</f>
        <v>0</v>
      </c>
      <c r="AM24" s="21">
        <f ca="1">VLOOKUP(AM20,Parameters!$L$3:$N$8, 2, TRUE)</f>
        <v>4</v>
      </c>
      <c r="AN24" s="21">
        <f ca="1">VLOOKUP(AN20,Parameters!$L$3:$N$8, 2, TRUE)</f>
        <v>2</v>
      </c>
    </row>
    <row r="25" spans="1:42" x14ac:dyDescent="0.25">
      <c r="A25" s="54" t="s">
        <v>83</v>
      </c>
      <c r="B25" s="157">
        <f ca="1">VLOOKUP(B20,Parameters!$L$3:$N$8, 3, TRUE)</f>
        <v>0.5714285714285714</v>
      </c>
      <c r="C25" s="157">
        <f ca="1">VLOOKUP(C20,Parameters!$L$3:$N$8, 3, TRUE)</f>
        <v>0.4</v>
      </c>
      <c r="D25" s="157">
        <f ca="1">VLOOKUP(D20,Parameters!$L$3:$N$8, 3, TRUE)</f>
        <v>0.5714285714285714</v>
      </c>
      <c r="E25" s="157">
        <f ca="1">VLOOKUP(E20,Parameters!$L$3:$N$8, 3, TRUE)</f>
        <v>0</v>
      </c>
      <c r="F25" s="157">
        <f ca="1">VLOOKUP(F20,Parameters!$L$3:$N$8, 3, TRUE)</f>
        <v>0.05</v>
      </c>
      <c r="G25" s="157">
        <f ca="1">VLOOKUP(G20,Parameters!$L$3:$N$8, 3, TRUE)</f>
        <v>0.14285714285714285</v>
      </c>
      <c r="H25" s="157">
        <f ca="1">VLOOKUP(H20,Parameters!$L$3:$N$8, 3, TRUE)</f>
        <v>0.5714285714285714</v>
      </c>
      <c r="I25" s="157">
        <f ca="1">VLOOKUP(I20,Parameters!$L$3:$N$8, 3, TRUE)</f>
        <v>0.14285714285714285</v>
      </c>
      <c r="J25" s="157">
        <f ca="1">VLOOKUP(J20,Parameters!$L$3:$N$8, 3, TRUE)</f>
        <v>0.5714285714285714</v>
      </c>
      <c r="K25" s="157">
        <f ca="1">VLOOKUP(K20,Parameters!$L$3:$N$8, 3, TRUE)</f>
        <v>0.4</v>
      </c>
      <c r="L25" s="157">
        <f ca="1">VLOOKUP(L20,Parameters!$L$3:$N$8, 3, TRUE)</f>
        <v>0.14285714285714285</v>
      </c>
      <c r="M25" s="157">
        <f ca="1">VLOOKUP(M20,Parameters!$L$3:$N$8, 3, TRUE)</f>
        <v>0.5714285714285714</v>
      </c>
      <c r="N25" s="157">
        <f ca="1">VLOOKUP(N20,Parameters!$L$3:$N$8, 3, TRUE)</f>
        <v>0.05</v>
      </c>
      <c r="O25" s="157">
        <f ca="1">VLOOKUP(O20,Parameters!$L$3:$N$8, 3, TRUE)</f>
        <v>0.05</v>
      </c>
      <c r="P25" s="157">
        <f ca="1">VLOOKUP(P20,Parameters!$L$3:$N$8, 3, TRUE)</f>
        <v>0.14285714285714285</v>
      </c>
      <c r="Q25" s="157">
        <f ca="1">VLOOKUP(Q20,Parameters!$L$3:$N$8, 3, TRUE)</f>
        <v>0.14285714285714285</v>
      </c>
      <c r="R25" s="157">
        <f ca="1">VLOOKUP(R20,Parameters!$L$3:$N$8, 3, TRUE)</f>
        <v>0.5714285714285714</v>
      </c>
      <c r="S25" s="157">
        <f ca="1">VLOOKUP(S20,Parameters!$L$3:$N$8, 3, TRUE)</f>
        <v>0.4</v>
      </c>
      <c r="T25" s="157">
        <f ca="1">VLOOKUP(T20,Parameters!$L$3:$N$8, 3, TRUE)</f>
        <v>0.14285714285714285</v>
      </c>
      <c r="U25" s="157">
        <f ca="1">VLOOKUP(U20,Parameters!$L$3:$N$8, 3, TRUE)</f>
        <v>0.05</v>
      </c>
      <c r="V25" s="157">
        <f ca="1">VLOOKUP(V20,Parameters!$L$3:$N$8, 3, TRUE)</f>
        <v>0.05</v>
      </c>
      <c r="W25" s="157">
        <f ca="1">VLOOKUP(W20,Parameters!$L$3:$N$8, 3, TRUE)</f>
        <v>0.05</v>
      </c>
      <c r="X25" s="157">
        <f ca="1">VLOOKUP(X20,Parameters!$L$3:$N$8, 3, TRUE)</f>
        <v>0.14285714285714285</v>
      </c>
      <c r="Y25" s="157">
        <f ca="1">VLOOKUP(Y20,Parameters!$L$3:$N$8, 3, TRUE)</f>
        <v>0.5714285714285714</v>
      </c>
      <c r="Z25" s="157">
        <f ca="1">VLOOKUP(Z20,Parameters!$L$3:$N$8, 3, TRUE)</f>
        <v>0.4</v>
      </c>
      <c r="AA25" s="157">
        <f ca="1">VLOOKUP(AA20,Parameters!$L$3:$N$8, 3, TRUE)</f>
        <v>0.4</v>
      </c>
      <c r="AB25" s="157">
        <f ca="1">VLOOKUP(AB20,Parameters!$L$3:$N$8, 3, TRUE)</f>
        <v>0.4</v>
      </c>
      <c r="AC25" s="157">
        <f ca="1">VLOOKUP(AC20,Parameters!$L$3:$N$8, 3, TRUE)</f>
        <v>0.5714285714285714</v>
      </c>
      <c r="AD25" s="157">
        <f ca="1">VLOOKUP(AD20,Parameters!$L$3:$N$8, 3, TRUE)</f>
        <v>0.4</v>
      </c>
      <c r="AE25" s="157">
        <f ca="1">VLOOKUP(AE20,Parameters!$L$3:$N$8, 3, TRUE)</f>
        <v>0.5714285714285714</v>
      </c>
      <c r="AF25" s="157">
        <f ca="1">VLOOKUP(AF20,Parameters!$L$3:$N$8, 3, TRUE)</f>
        <v>0.5714285714285714</v>
      </c>
      <c r="AG25" s="157">
        <f ca="1">VLOOKUP(AG20,Parameters!$L$3:$N$8, 3, TRUE)</f>
        <v>0.4</v>
      </c>
      <c r="AH25" s="157">
        <f ca="1">VLOOKUP(AH20,Parameters!$L$3:$N$8, 3, TRUE)</f>
        <v>0.4</v>
      </c>
      <c r="AI25" s="157">
        <f ca="1">VLOOKUP(AI20,Parameters!$L$3:$N$8, 3, TRUE)</f>
        <v>0.05</v>
      </c>
      <c r="AJ25" s="157">
        <f ca="1">VLOOKUP(AJ20,Parameters!$L$3:$N$8, 3, TRUE)</f>
        <v>0.05</v>
      </c>
      <c r="AK25" s="157">
        <f ca="1">VLOOKUP(AK20,Parameters!$L$3:$N$8, 3, TRUE)</f>
        <v>0.4</v>
      </c>
      <c r="AL25" s="157">
        <f ca="1">VLOOKUP(AL20,Parameters!$L$3:$N$8, 3, TRUE)</f>
        <v>0.05</v>
      </c>
      <c r="AM25" s="157">
        <f ca="1">VLOOKUP(AM20,Parameters!$L$3:$N$8, 3, TRUE)</f>
        <v>0.5714285714285714</v>
      </c>
      <c r="AN25" s="157">
        <f ca="1">VLOOKUP(AN20,Parameters!$L$3:$N$8, 3, TRUE)</f>
        <v>0.4</v>
      </c>
    </row>
    <row r="26" spans="1:42" x14ac:dyDescent="0.25">
      <c r="A26" s="56" t="s">
        <v>387</v>
      </c>
      <c r="B26" s="54">
        <f t="shared" ref="B26:AN26" ca="1" si="6">B24+B25*(B20-B23)</f>
        <v>6.5403241988763785</v>
      </c>
      <c r="C26" s="54">
        <f t="shared" ca="1" si="6"/>
        <v>3.7714559608242739</v>
      </c>
      <c r="D26" s="54">
        <f t="shared" ca="1" si="6"/>
        <v>4.4496708219836636</v>
      </c>
      <c r="E26" s="54">
        <f t="shared" ca="1" si="6"/>
        <v>8</v>
      </c>
      <c r="F26" s="54">
        <f t="shared" ca="1" si="6"/>
        <v>0.80569141023017066</v>
      </c>
      <c r="G26" s="54">
        <f t="shared" ca="1" si="6"/>
        <v>1.489272533625094</v>
      </c>
      <c r="H26" s="54">
        <f t="shared" ca="1" si="6"/>
        <v>6.2367473866605714</v>
      </c>
      <c r="I26" s="54">
        <f t="shared" ca="1" si="6"/>
        <v>1.3903760217211252</v>
      </c>
      <c r="J26" s="54">
        <f t="shared" ca="1" si="6"/>
        <v>4.0486260307007216</v>
      </c>
      <c r="K26" s="54">
        <f t="shared" ca="1" si="6"/>
        <v>2.7925138654034982</v>
      </c>
      <c r="L26" s="54">
        <f t="shared" ca="1" si="6"/>
        <v>1.3172297430843964</v>
      </c>
      <c r="M26" s="54">
        <f t="shared" ca="1" si="6"/>
        <v>5.3262959547182209</v>
      </c>
      <c r="N26" s="54">
        <f t="shared" ca="1" si="6"/>
        <v>0.73860861262903976</v>
      </c>
      <c r="O26" s="54">
        <f t="shared" ca="1" si="6"/>
        <v>0.89740879392777606</v>
      </c>
      <c r="P26" s="54">
        <f t="shared" ca="1" si="6"/>
        <v>1.8828827809109738</v>
      </c>
      <c r="Q26" s="54">
        <f t="shared" ca="1" si="6"/>
        <v>1.4179821642781343</v>
      </c>
      <c r="R26" s="54">
        <f t="shared" ca="1" si="6"/>
        <v>4.5014668542106255</v>
      </c>
      <c r="S26" s="54">
        <f t="shared" ca="1" si="6"/>
        <v>3.5718613930960346</v>
      </c>
      <c r="T26" s="54">
        <f t="shared" ca="1" si="6"/>
        <v>1.1830530818137572</v>
      </c>
      <c r="U26" s="54">
        <f t="shared" ca="1" si="6"/>
        <v>0.97911424733105068</v>
      </c>
      <c r="V26" s="54">
        <f t="shared" ca="1" si="6"/>
        <v>0.99337332586610683</v>
      </c>
      <c r="W26" s="54">
        <f t="shared" ca="1" si="6"/>
        <v>0.99636555330885312</v>
      </c>
      <c r="X26" s="54">
        <f t="shared" ca="1" si="6"/>
        <v>1.7505407954280168</v>
      </c>
      <c r="Y26" s="54">
        <f t="shared" ca="1" si="6"/>
        <v>4.2237987421725096</v>
      </c>
      <c r="Z26" s="54">
        <f t="shared" ca="1" si="6"/>
        <v>3.6657217052205437</v>
      </c>
      <c r="AA26" s="54">
        <f t="shared" ca="1" si="6"/>
        <v>2.5012422570611079</v>
      </c>
      <c r="AB26" s="54">
        <f t="shared" ca="1" si="6"/>
        <v>3.8301821048425735</v>
      </c>
      <c r="AC26" s="54">
        <f t="shared" ca="1" si="6"/>
        <v>5.8205643057825069</v>
      </c>
      <c r="AD26" s="54">
        <f t="shared" ca="1" si="6"/>
        <v>3.6117249237409252</v>
      </c>
      <c r="AE26" s="54">
        <f t="shared" ca="1" si="6"/>
        <v>5.4188057516932293</v>
      </c>
      <c r="AF26" s="54">
        <f t="shared" ca="1" si="6"/>
        <v>5.8250387222930033</v>
      </c>
      <c r="AG26" s="54">
        <f t="shared" ca="1" si="6"/>
        <v>3.9141181417342112</v>
      </c>
      <c r="AH26" s="54">
        <f t="shared" ca="1" si="6"/>
        <v>2.2659137592416969</v>
      </c>
      <c r="AI26" s="54">
        <f t="shared" ca="1" si="6"/>
        <v>0.91537943037011404</v>
      </c>
      <c r="AJ26" s="54">
        <f t="shared" ca="1" si="6"/>
        <v>0.9879860386596534</v>
      </c>
      <c r="AK26" s="54">
        <f t="shared" ca="1" si="6"/>
        <v>2.3938284153643563</v>
      </c>
      <c r="AL26" s="54">
        <f t="shared" ca="1" si="6"/>
        <v>0.88155979063934042</v>
      </c>
      <c r="AM26" s="54">
        <f t="shared" ca="1" si="6"/>
        <v>5.9561386838843919</v>
      </c>
      <c r="AN26" s="54">
        <f t="shared" ca="1" si="6"/>
        <v>3.2809630632538713</v>
      </c>
    </row>
    <row r="27" spans="1:42" x14ac:dyDescent="0.25">
      <c r="A27" s="56" t="s">
        <v>386</v>
      </c>
      <c r="B27" s="54">
        <f t="shared" ref="B27:AN27" ca="1" si="7">B26*0.75</f>
        <v>4.9052431491572843</v>
      </c>
      <c r="C27" s="54">
        <f t="shared" ca="1" si="7"/>
        <v>2.8285919706182057</v>
      </c>
      <c r="D27" s="54">
        <f t="shared" ca="1" si="7"/>
        <v>3.3372531164877479</v>
      </c>
      <c r="E27" s="54">
        <f t="shared" ca="1" si="7"/>
        <v>6</v>
      </c>
      <c r="F27" s="54">
        <f t="shared" ca="1" si="7"/>
        <v>0.60426855767262799</v>
      </c>
      <c r="G27" s="54">
        <f t="shared" ca="1" si="7"/>
        <v>1.1169544002188205</v>
      </c>
      <c r="H27" s="54">
        <f t="shared" ca="1" si="7"/>
        <v>4.6775605399954285</v>
      </c>
      <c r="I27" s="54">
        <f t="shared" ca="1" si="7"/>
        <v>1.0427820162908439</v>
      </c>
      <c r="J27" s="54">
        <f t="shared" ca="1" si="7"/>
        <v>3.0364695230255414</v>
      </c>
      <c r="K27" s="54">
        <f t="shared" ca="1" si="7"/>
        <v>2.0943853990526238</v>
      </c>
      <c r="L27" s="54">
        <f t="shared" ca="1" si="7"/>
        <v>0.98792230731329733</v>
      </c>
      <c r="M27" s="54">
        <f t="shared" ca="1" si="7"/>
        <v>3.9947219660386657</v>
      </c>
      <c r="N27" s="54">
        <f t="shared" ca="1" si="7"/>
        <v>0.55395645947177985</v>
      </c>
      <c r="O27" s="54">
        <f t="shared" ca="1" si="7"/>
        <v>0.67305659544583207</v>
      </c>
      <c r="P27" s="54">
        <f t="shared" ca="1" si="7"/>
        <v>1.4121620856832304</v>
      </c>
      <c r="Q27" s="54">
        <f t="shared" ca="1" si="7"/>
        <v>1.0634866232086007</v>
      </c>
      <c r="R27" s="54">
        <f t="shared" ca="1" si="7"/>
        <v>3.3761001406579689</v>
      </c>
      <c r="S27" s="54">
        <f t="shared" ca="1" si="7"/>
        <v>2.678896044822026</v>
      </c>
      <c r="T27" s="54">
        <f t="shared" ca="1" si="7"/>
        <v>0.88728981136031793</v>
      </c>
      <c r="U27" s="54">
        <f t="shared" ca="1" si="7"/>
        <v>0.73433568549828798</v>
      </c>
      <c r="V27" s="54">
        <f t="shared" ca="1" si="7"/>
        <v>0.74502999439958018</v>
      </c>
      <c r="W27" s="54">
        <f t="shared" ca="1" si="7"/>
        <v>0.7472741649816399</v>
      </c>
      <c r="X27" s="54">
        <f t="shared" ca="1" si="7"/>
        <v>1.3129055965710126</v>
      </c>
      <c r="Y27" s="54">
        <f t="shared" ca="1" si="7"/>
        <v>3.1678490566293824</v>
      </c>
      <c r="Z27" s="54">
        <f t="shared" ca="1" si="7"/>
        <v>2.7492912789154076</v>
      </c>
      <c r="AA27" s="54">
        <f t="shared" ca="1" si="7"/>
        <v>1.8759316927958309</v>
      </c>
      <c r="AB27" s="54">
        <f t="shared" ca="1" si="7"/>
        <v>2.8726365786319299</v>
      </c>
      <c r="AC27" s="54">
        <f t="shared" ca="1" si="7"/>
        <v>4.36542322933688</v>
      </c>
      <c r="AD27" s="54">
        <f t="shared" ca="1" si="7"/>
        <v>2.7087936928056937</v>
      </c>
      <c r="AE27" s="54">
        <f t="shared" ca="1" si="7"/>
        <v>4.0641043137699224</v>
      </c>
      <c r="AF27" s="54">
        <f t="shared" ca="1" si="7"/>
        <v>4.368779041719753</v>
      </c>
      <c r="AG27" s="54">
        <f t="shared" ca="1" si="7"/>
        <v>2.9355886063006587</v>
      </c>
      <c r="AH27" s="54">
        <f t="shared" ca="1" si="7"/>
        <v>1.6994353194312728</v>
      </c>
      <c r="AI27" s="54">
        <f t="shared" ca="1" si="7"/>
        <v>0.68653457277758556</v>
      </c>
      <c r="AJ27" s="54">
        <f t="shared" ca="1" si="7"/>
        <v>0.74098952899474002</v>
      </c>
      <c r="AK27" s="54">
        <f t="shared" ca="1" si="7"/>
        <v>1.7953713115232672</v>
      </c>
      <c r="AL27" s="54">
        <f t="shared" ca="1" si="7"/>
        <v>0.66116984297950532</v>
      </c>
      <c r="AM27" s="54">
        <f t="shared" ca="1" si="7"/>
        <v>4.4671040129132944</v>
      </c>
      <c r="AN27" s="54">
        <f t="shared" ca="1" si="7"/>
        <v>2.4607222974404035</v>
      </c>
      <c r="AO27" s="54">
        <f ca="1">SUMPRODUCT(B27:AN27*'Fertilizer Rate'!$B$84:$AN$84)/'Fertilizer Rate'!$AO$84</f>
        <v>2.2491404843109337</v>
      </c>
      <c r="AP27" s="54">
        <f ca="1">AO27-AO17</f>
        <v>-0.23068995682611915</v>
      </c>
    </row>
  </sheetData>
  <sheetProtection algorithmName="SHA-512" hashValue="oXq2UKJFgiolFU5yYNdVJsunuXLhElbqVl788MaSO2Gni1HK0/hildIt5iQd5EGS2lKngmRneHT/LDuwXoVKlg==" saltValue="iDgk5dVdd/ibjbmZdBJs/g==" spinCount="100000" sheet="1" objects="1" scenarios="1"/>
  <pageMargins left="0.7" right="0.7" top="0.75" bottom="0.75" header="0.3" footer="0.3"/>
  <drawing r:id="rId1"/>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tabColor theme="5" tint="0.39997558519241921"/>
  </sheetPr>
  <dimension ref="A1:BB136"/>
  <sheetViews>
    <sheetView workbookViewId="0"/>
  </sheetViews>
  <sheetFormatPr defaultColWidth="9.140625" defaultRowHeight="12.75" x14ac:dyDescent="0.2"/>
  <cols>
    <col min="1" max="1" width="9.140625" style="61"/>
    <col min="2" max="2" width="14.5703125" style="61" customWidth="1"/>
    <col min="3" max="3" width="9.140625" style="61"/>
    <col min="4" max="4" width="12.85546875" style="61" customWidth="1"/>
    <col min="5" max="7" width="9.140625" style="61"/>
    <col min="8" max="8" width="12.42578125" style="61" customWidth="1"/>
    <col min="9" max="9" width="9.140625" style="61"/>
    <col min="10" max="10" width="14.28515625" style="61" customWidth="1"/>
    <col min="11" max="12" width="9.140625" style="61"/>
    <col min="13" max="14" width="12.85546875" style="61" customWidth="1"/>
    <col min="15" max="16384" width="9.140625" style="61"/>
  </cols>
  <sheetData>
    <row r="1" spans="1:9" ht="13.5" thickBot="1" x14ac:dyDescent="0.25">
      <c r="A1" s="80"/>
      <c r="B1" s="80"/>
      <c r="C1" s="80"/>
      <c r="D1" s="82"/>
      <c r="E1" s="81" t="s">
        <v>208</v>
      </c>
      <c r="F1" s="81" t="s">
        <v>207</v>
      </c>
      <c r="G1" s="80"/>
      <c r="H1" s="80"/>
    </row>
    <row r="2" spans="1:9" ht="13.5" thickTop="1" x14ac:dyDescent="0.2">
      <c r="D2" s="75"/>
      <c r="E2" s="74"/>
      <c r="G2" s="64" t="s">
        <v>206</v>
      </c>
      <c r="H2" s="64" t="s">
        <v>205</v>
      </c>
      <c r="I2" s="64" t="s">
        <v>204</v>
      </c>
    </row>
    <row r="3" spans="1:9" x14ac:dyDescent="0.2">
      <c r="A3" s="79" t="s">
        <v>203</v>
      </c>
      <c r="B3" s="61" t="s">
        <v>193</v>
      </c>
      <c r="C3" s="61" t="s">
        <v>185</v>
      </c>
      <c r="D3" s="75" t="s">
        <v>184</v>
      </c>
      <c r="E3" s="77">
        <v>0.27</v>
      </c>
      <c r="F3" s="77">
        <v>0.11</v>
      </c>
      <c r="G3" s="78" t="s">
        <v>130</v>
      </c>
    </row>
    <row r="4" spans="1:9" x14ac:dyDescent="0.2">
      <c r="A4" s="79" t="s">
        <v>203</v>
      </c>
      <c r="B4" s="61" t="s">
        <v>201</v>
      </c>
      <c r="C4" s="61" t="s">
        <v>185</v>
      </c>
      <c r="D4" s="75" t="s">
        <v>184</v>
      </c>
      <c r="E4" s="77">
        <v>0.38</v>
      </c>
      <c r="F4" s="77">
        <v>0.15</v>
      </c>
      <c r="G4" s="78"/>
    </row>
    <row r="5" spans="1:9" x14ac:dyDescent="0.2">
      <c r="A5" s="79" t="s">
        <v>203</v>
      </c>
      <c r="B5" s="61" t="s">
        <v>184</v>
      </c>
      <c r="C5" s="61" t="s">
        <v>185</v>
      </c>
      <c r="D5" s="75" t="s">
        <v>200</v>
      </c>
      <c r="E5" s="77">
        <v>0.23</v>
      </c>
      <c r="F5" s="77">
        <v>7.0000000000000007E-2</v>
      </c>
      <c r="G5" s="78" t="s">
        <v>129</v>
      </c>
    </row>
    <row r="6" spans="1:9" x14ac:dyDescent="0.2">
      <c r="A6" s="79" t="s">
        <v>203</v>
      </c>
      <c r="B6" s="61" t="s">
        <v>190</v>
      </c>
      <c r="C6" s="61" t="s">
        <v>185</v>
      </c>
      <c r="D6" s="75" t="s">
        <v>199</v>
      </c>
      <c r="E6" s="77">
        <v>0.37</v>
      </c>
      <c r="F6" s="77">
        <v>0.15</v>
      </c>
      <c r="G6" s="78"/>
    </row>
    <row r="7" spans="1:9" x14ac:dyDescent="0.2">
      <c r="A7" s="79" t="s">
        <v>203</v>
      </c>
      <c r="B7" s="61" t="s">
        <v>193</v>
      </c>
      <c r="C7" s="61" t="s">
        <v>185</v>
      </c>
      <c r="D7" s="75" t="s">
        <v>200</v>
      </c>
      <c r="E7" s="77">
        <v>0.19</v>
      </c>
      <c r="F7" s="77">
        <v>0.06</v>
      </c>
      <c r="G7" s="78" t="s">
        <v>131</v>
      </c>
    </row>
    <row r="8" spans="1:9" x14ac:dyDescent="0.2">
      <c r="A8" s="79" t="s">
        <v>203</v>
      </c>
      <c r="B8" s="61" t="s">
        <v>193</v>
      </c>
      <c r="C8" s="61" t="s">
        <v>185</v>
      </c>
      <c r="D8" s="75" t="s">
        <v>194</v>
      </c>
      <c r="E8" s="77">
        <v>0.14000000000000001</v>
      </c>
      <c r="F8" s="77">
        <v>4.8000000000000001E-2</v>
      </c>
      <c r="G8" s="78" t="s">
        <v>117</v>
      </c>
      <c r="H8" s="61" t="s">
        <v>126</v>
      </c>
    </row>
    <row r="9" spans="1:9" x14ac:dyDescent="0.2">
      <c r="A9" s="79" t="s">
        <v>203</v>
      </c>
      <c r="B9" s="61" t="s">
        <v>199</v>
      </c>
      <c r="C9" s="61" t="s">
        <v>185</v>
      </c>
      <c r="D9" s="75" t="s">
        <v>194</v>
      </c>
      <c r="E9" s="77">
        <v>0.19</v>
      </c>
      <c r="F9" s="77">
        <v>7.0000000000000007E-2</v>
      </c>
      <c r="G9" s="78"/>
      <c r="H9" s="61" t="s">
        <v>125</v>
      </c>
    </row>
    <row r="10" spans="1:9" x14ac:dyDescent="0.2">
      <c r="A10" s="79" t="s">
        <v>203</v>
      </c>
      <c r="B10" s="61" t="s">
        <v>197</v>
      </c>
      <c r="C10" s="61" t="s">
        <v>189</v>
      </c>
      <c r="D10" s="75" t="s">
        <v>199</v>
      </c>
      <c r="E10" s="77">
        <v>0.37</v>
      </c>
      <c r="F10" s="77">
        <v>0.08</v>
      </c>
      <c r="G10" s="78"/>
    </row>
    <row r="11" spans="1:9" x14ac:dyDescent="0.2">
      <c r="A11" s="79" t="s">
        <v>203</v>
      </c>
      <c r="B11" s="61" t="s">
        <v>194</v>
      </c>
      <c r="C11" s="61" t="s">
        <v>189</v>
      </c>
      <c r="D11" s="75" t="s">
        <v>184</v>
      </c>
      <c r="E11" s="77">
        <v>3.0000000000000001E-3</v>
      </c>
      <c r="F11" s="77">
        <v>3.0000000000000001E-3</v>
      </c>
      <c r="G11" s="78" t="s">
        <v>119</v>
      </c>
      <c r="I11" s="61" t="s">
        <v>123</v>
      </c>
    </row>
    <row r="12" spans="1:9" x14ac:dyDescent="0.2">
      <c r="A12" s="79" t="s">
        <v>203</v>
      </c>
      <c r="B12" s="61" t="s">
        <v>186</v>
      </c>
      <c r="C12" s="61" t="s">
        <v>189</v>
      </c>
      <c r="D12" s="75" t="s">
        <v>186</v>
      </c>
      <c r="E12" s="77">
        <v>0.06</v>
      </c>
      <c r="F12" s="77">
        <v>1.4999999999999999E-2</v>
      </c>
      <c r="G12" s="78" t="s">
        <v>124</v>
      </c>
      <c r="I12" s="61" t="s">
        <v>122</v>
      </c>
    </row>
    <row r="13" spans="1:9" x14ac:dyDescent="0.2">
      <c r="A13" s="79" t="s">
        <v>203</v>
      </c>
      <c r="B13" s="61" t="s">
        <v>194</v>
      </c>
      <c r="C13" s="61" t="s">
        <v>189</v>
      </c>
      <c r="D13" s="75" t="s">
        <v>194</v>
      </c>
      <c r="E13" s="77">
        <v>1E-3</v>
      </c>
      <c r="F13" s="77">
        <v>1E-3</v>
      </c>
      <c r="G13" s="78" t="s">
        <v>118</v>
      </c>
      <c r="I13" s="61" t="s">
        <v>121</v>
      </c>
    </row>
    <row r="14" spans="1:9" x14ac:dyDescent="0.2">
      <c r="A14" s="79" t="s">
        <v>203</v>
      </c>
      <c r="B14" s="61" t="s">
        <v>186</v>
      </c>
      <c r="C14" s="61" t="s">
        <v>189</v>
      </c>
      <c r="D14" s="75" t="s">
        <v>184</v>
      </c>
      <c r="E14" s="77">
        <v>0.08</v>
      </c>
      <c r="F14" s="77">
        <v>2.1999999999999999E-2</v>
      </c>
      <c r="G14" s="78" t="s">
        <v>128</v>
      </c>
      <c r="I14" s="61" t="s">
        <v>120</v>
      </c>
    </row>
    <row r="15" spans="1:9" x14ac:dyDescent="0.2">
      <c r="A15" s="79" t="s">
        <v>203</v>
      </c>
      <c r="B15" s="61" t="s">
        <v>186</v>
      </c>
      <c r="C15" s="61" t="s">
        <v>189</v>
      </c>
      <c r="D15" s="75" t="s">
        <v>198</v>
      </c>
      <c r="E15" s="77">
        <v>7.0000000000000007E-2</v>
      </c>
      <c r="F15" s="77">
        <v>0.01</v>
      </c>
      <c r="G15" s="78"/>
    </row>
    <row r="16" spans="1:9" x14ac:dyDescent="0.2">
      <c r="A16" s="79" t="s">
        <v>203</v>
      </c>
      <c r="B16" s="61" t="s">
        <v>184</v>
      </c>
      <c r="C16" s="61" t="s">
        <v>189</v>
      </c>
      <c r="D16" s="75" t="s">
        <v>186</v>
      </c>
      <c r="E16" s="77">
        <v>0.22</v>
      </c>
      <c r="F16" s="77">
        <v>0.05</v>
      </c>
      <c r="G16" s="78" t="s">
        <v>127</v>
      </c>
    </row>
    <row r="17" spans="1:8" x14ac:dyDescent="0.2">
      <c r="A17" s="79" t="s">
        <v>203</v>
      </c>
      <c r="B17" s="61" t="s">
        <v>195</v>
      </c>
      <c r="C17" s="61" t="s">
        <v>189</v>
      </c>
      <c r="D17" s="75" t="s">
        <v>184</v>
      </c>
      <c r="E17" s="77">
        <v>0.36</v>
      </c>
      <c r="F17" s="77">
        <v>0.15</v>
      </c>
      <c r="G17" s="78"/>
    </row>
    <row r="18" spans="1:8" x14ac:dyDescent="0.2">
      <c r="A18" s="79" t="s">
        <v>203</v>
      </c>
      <c r="B18" s="61" t="s">
        <v>188</v>
      </c>
      <c r="C18" s="61" t="s">
        <v>189</v>
      </c>
      <c r="D18" s="75" t="s">
        <v>186</v>
      </c>
      <c r="E18" s="77">
        <v>0.22</v>
      </c>
      <c r="F18" s="77">
        <v>0.05</v>
      </c>
      <c r="G18" s="78"/>
      <c r="H18" s="61" t="s">
        <v>116</v>
      </c>
    </row>
    <row r="19" spans="1:8" x14ac:dyDescent="0.2">
      <c r="A19" s="79" t="s">
        <v>203</v>
      </c>
      <c r="B19" s="61" t="s">
        <v>196</v>
      </c>
      <c r="C19" s="61" t="s">
        <v>189</v>
      </c>
      <c r="D19" s="75" t="s">
        <v>186</v>
      </c>
      <c r="E19" s="77">
        <v>4.0000000000000001E-3</v>
      </c>
      <c r="F19" s="77">
        <v>4.0000000000000001E-3</v>
      </c>
      <c r="G19" s="78"/>
    </row>
    <row r="20" spans="1:8" x14ac:dyDescent="0.2">
      <c r="A20" s="79" t="s">
        <v>203</v>
      </c>
      <c r="B20" s="61" t="s">
        <v>195</v>
      </c>
      <c r="C20" s="61" t="s">
        <v>189</v>
      </c>
      <c r="D20" s="75" t="s">
        <v>194</v>
      </c>
      <c r="E20" s="77">
        <v>0.26</v>
      </c>
      <c r="F20" s="77">
        <v>7.0000000000000007E-2</v>
      </c>
      <c r="G20" s="78"/>
    </row>
    <row r="21" spans="1:8" x14ac:dyDescent="0.2">
      <c r="A21" s="79" t="s">
        <v>203</v>
      </c>
      <c r="B21" s="61" t="s">
        <v>184</v>
      </c>
      <c r="C21" s="61" t="s">
        <v>189</v>
      </c>
      <c r="D21" s="75" t="s">
        <v>188</v>
      </c>
      <c r="E21" s="77">
        <v>0.24</v>
      </c>
      <c r="F21" s="77">
        <v>7.0000000000000007E-2</v>
      </c>
      <c r="G21" s="78"/>
    </row>
    <row r="22" spans="1:8" x14ac:dyDescent="0.2">
      <c r="A22" s="79" t="s">
        <v>203</v>
      </c>
      <c r="B22" s="61" t="s">
        <v>202</v>
      </c>
      <c r="C22" s="61" t="s">
        <v>189</v>
      </c>
      <c r="D22" s="75" t="s">
        <v>188</v>
      </c>
      <c r="E22" s="77">
        <v>0.08</v>
      </c>
      <c r="F22" s="77">
        <v>1.4E-2</v>
      </c>
      <c r="G22" s="78"/>
    </row>
    <row r="23" spans="1:8" x14ac:dyDescent="0.2">
      <c r="A23" s="76" t="s">
        <v>187</v>
      </c>
      <c r="B23" s="61" t="s">
        <v>193</v>
      </c>
      <c r="C23" s="61" t="s">
        <v>185</v>
      </c>
      <c r="D23" s="75" t="s">
        <v>184</v>
      </c>
      <c r="E23" s="77">
        <v>0.26</v>
      </c>
      <c r="F23" s="77">
        <v>0.12</v>
      </c>
      <c r="G23" s="73" t="s">
        <v>130</v>
      </c>
    </row>
    <row r="24" spans="1:8" x14ac:dyDescent="0.2">
      <c r="A24" s="76" t="s">
        <v>187</v>
      </c>
      <c r="B24" s="61" t="s">
        <v>201</v>
      </c>
      <c r="C24" s="61" t="s">
        <v>185</v>
      </c>
      <c r="D24" s="75" t="s">
        <v>184</v>
      </c>
      <c r="E24" s="77">
        <v>0.28999999999999998</v>
      </c>
      <c r="F24" s="77">
        <v>0.12</v>
      </c>
      <c r="G24" s="73"/>
    </row>
    <row r="25" spans="1:8" x14ac:dyDescent="0.2">
      <c r="A25" s="76" t="s">
        <v>187</v>
      </c>
      <c r="B25" s="61" t="s">
        <v>184</v>
      </c>
      <c r="C25" s="61" t="s">
        <v>185</v>
      </c>
      <c r="D25" s="75" t="s">
        <v>200</v>
      </c>
      <c r="E25" s="77">
        <v>0.19</v>
      </c>
      <c r="F25" s="77">
        <v>0.06</v>
      </c>
      <c r="G25" s="73" t="s">
        <v>129</v>
      </c>
    </row>
    <row r="26" spans="1:8" x14ac:dyDescent="0.2">
      <c r="A26" s="76" t="s">
        <v>187</v>
      </c>
      <c r="B26" s="61" t="s">
        <v>190</v>
      </c>
      <c r="C26" s="61" t="s">
        <v>185</v>
      </c>
      <c r="D26" s="75" t="s">
        <v>199</v>
      </c>
      <c r="E26" s="77">
        <v>0.28999999999999998</v>
      </c>
      <c r="F26" s="77">
        <v>0.08</v>
      </c>
      <c r="G26" s="73"/>
    </row>
    <row r="27" spans="1:8" x14ac:dyDescent="0.2">
      <c r="A27" s="76" t="s">
        <v>187</v>
      </c>
      <c r="B27" s="61" t="s">
        <v>193</v>
      </c>
      <c r="C27" s="61" t="s">
        <v>185</v>
      </c>
      <c r="D27" s="75" t="s">
        <v>186</v>
      </c>
      <c r="E27" s="77">
        <v>0.24</v>
      </c>
      <c r="F27" s="77">
        <v>0.08</v>
      </c>
      <c r="G27" s="73" t="s">
        <v>125</v>
      </c>
    </row>
    <row r="28" spans="1:8" x14ac:dyDescent="0.2">
      <c r="A28" s="76" t="s">
        <v>187</v>
      </c>
      <c r="B28" s="61" t="s">
        <v>193</v>
      </c>
      <c r="C28" s="61" t="s">
        <v>185</v>
      </c>
      <c r="D28" s="75" t="s">
        <v>194</v>
      </c>
      <c r="E28" s="77">
        <v>0.11</v>
      </c>
      <c r="F28" s="77">
        <v>0.04</v>
      </c>
      <c r="G28" s="73" t="s">
        <v>117</v>
      </c>
      <c r="H28" s="61" t="s">
        <v>126</v>
      </c>
    </row>
    <row r="29" spans="1:8" x14ac:dyDescent="0.2">
      <c r="A29" s="76" t="s">
        <v>187</v>
      </c>
      <c r="B29" s="61" t="s">
        <v>199</v>
      </c>
      <c r="C29" s="61" t="s">
        <v>185</v>
      </c>
      <c r="D29" s="75" t="s">
        <v>194</v>
      </c>
      <c r="E29" s="77">
        <v>0.15</v>
      </c>
      <c r="F29" s="77">
        <v>0.05</v>
      </c>
      <c r="G29" s="73"/>
    </row>
    <row r="30" spans="1:8" x14ac:dyDescent="0.2">
      <c r="A30" s="76" t="s">
        <v>187</v>
      </c>
      <c r="B30" s="61" t="s">
        <v>197</v>
      </c>
      <c r="C30" s="61" t="s">
        <v>189</v>
      </c>
      <c r="D30" s="75" t="s">
        <v>186</v>
      </c>
      <c r="E30" s="77">
        <v>0.28000000000000003</v>
      </c>
      <c r="F30" s="77">
        <v>0.09</v>
      </c>
      <c r="G30" s="73"/>
      <c r="H30" s="61" t="s">
        <v>124</v>
      </c>
    </row>
    <row r="31" spans="1:8" x14ac:dyDescent="0.2">
      <c r="A31" s="76" t="s">
        <v>187</v>
      </c>
      <c r="B31" s="61" t="s">
        <v>194</v>
      </c>
      <c r="C31" s="61" t="s">
        <v>189</v>
      </c>
      <c r="D31" s="75" t="s">
        <v>184</v>
      </c>
      <c r="E31" s="77">
        <v>3.0000000000000001E-3</v>
      </c>
      <c r="F31" s="77">
        <v>3.0000000000000001E-3</v>
      </c>
      <c r="G31" s="73" t="s">
        <v>119</v>
      </c>
      <c r="H31" s="61" t="s">
        <v>123</v>
      </c>
    </row>
    <row r="32" spans="1:8" x14ac:dyDescent="0.2">
      <c r="A32" s="76" t="s">
        <v>187</v>
      </c>
      <c r="B32" s="61" t="s">
        <v>193</v>
      </c>
      <c r="C32" s="61" t="s">
        <v>189</v>
      </c>
      <c r="D32" s="75" t="s">
        <v>193</v>
      </c>
      <c r="E32" s="77">
        <v>0.17</v>
      </c>
      <c r="F32" s="77">
        <v>0.06</v>
      </c>
      <c r="G32" s="73" t="s">
        <v>131</v>
      </c>
      <c r="H32" s="61" t="s">
        <v>122</v>
      </c>
    </row>
    <row r="33" spans="1:8" x14ac:dyDescent="0.2">
      <c r="A33" s="76" t="s">
        <v>187</v>
      </c>
      <c r="B33" s="61" t="s">
        <v>194</v>
      </c>
      <c r="C33" s="61" t="s">
        <v>189</v>
      </c>
      <c r="D33" s="75" t="s">
        <v>194</v>
      </c>
      <c r="E33" s="77">
        <v>5.0000000000000001E-3</v>
      </c>
      <c r="F33" s="77">
        <v>5.0000000000000001E-3</v>
      </c>
      <c r="G33" s="73" t="s">
        <v>118</v>
      </c>
      <c r="H33" s="61" t="s">
        <v>121</v>
      </c>
    </row>
    <row r="34" spans="1:8" x14ac:dyDescent="0.2">
      <c r="A34" s="76" t="s">
        <v>187</v>
      </c>
      <c r="B34" s="61" t="s">
        <v>186</v>
      </c>
      <c r="C34" s="61" t="s">
        <v>189</v>
      </c>
      <c r="D34" s="75" t="s">
        <v>188</v>
      </c>
      <c r="E34" s="77">
        <v>0.08</v>
      </c>
      <c r="F34" s="77">
        <v>1.4E-2</v>
      </c>
      <c r="G34" s="73"/>
      <c r="H34" s="61" t="s">
        <v>120</v>
      </c>
    </row>
    <row r="35" spans="1:8" x14ac:dyDescent="0.2">
      <c r="A35" s="76" t="s">
        <v>187</v>
      </c>
      <c r="B35" s="61" t="s">
        <v>186</v>
      </c>
      <c r="C35" s="61" t="s">
        <v>189</v>
      </c>
      <c r="D35" s="75" t="s">
        <v>198</v>
      </c>
      <c r="E35" s="74"/>
      <c r="G35" s="73"/>
    </row>
    <row r="36" spans="1:8" x14ac:dyDescent="0.2">
      <c r="A36" s="76" t="s">
        <v>187</v>
      </c>
      <c r="B36" s="61" t="s">
        <v>184</v>
      </c>
      <c r="C36" s="61" t="s">
        <v>189</v>
      </c>
      <c r="D36" s="75" t="s">
        <v>186</v>
      </c>
      <c r="E36" s="74">
        <v>0.3</v>
      </c>
      <c r="F36" s="61">
        <v>0.09</v>
      </c>
      <c r="G36" s="73" t="s">
        <v>127</v>
      </c>
    </row>
    <row r="37" spans="1:8" x14ac:dyDescent="0.2">
      <c r="A37" s="76" t="s">
        <v>187</v>
      </c>
      <c r="B37" s="61" t="s">
        <v>195</v>
      </c>
      <c r="C37" s="61" t="s">
        <v>189</v>
      </c>
      <c r="D37" s="75" t="s">
        <v>184</v>
      </c>
      <c r="E37" s="74"/>
      <c r="G37" s="73"/>
    </row>
    <row r="38" spans="1:8" x14ac:dyDescent="0.2">
      <c r="A38" s="76" t="s">
        <v>187</v>
      </c>
      <c r="B38" s="61" t="s">
        <v>191</v>
      </c>
      <c r="C38" s="61" t="s">
        <v>189</v>
      </c>
      <c r="D38" s="75" t="s">
        <v>197</v>
      </c>
      <c r="E38" s="74">
        <v>0.17</v>
      </c>
      <c r="F38" s="61">
        <v>0.05</v>
      </c>
      <c r="G38" s="73"/>
      <c r="H38" s="61" t="s">
        <v>116</v>
      </c>
    </row>
    <row r="39" spans="1:8" x14ac:dyDescent="0.2">
      <c r="A39" s="76" t="s">
        <v>187</v>
      </c>
      <c r="B39" s="61" t="s">
        <v>196</v>
      </c>
      <c r="C39" s="61" t="s">
        <v>189</v>
      </c>
      <c r="D39" s="75" t="s">
        <v>186</v>
      </c>
      <c r="E39" s="74">
        <v>3.0000000000000001E-3</v>
      </c>
      <c r="F39" s="61">
        <v>3.0000000000000001E-3</v>
      </c>
      <c r="G39" s="73"/>
    </row>
    <row r="40" spans="1:8" x14ac:dyDescent="0.2">
      <c r="A40" s="76" t="s">
        <v>187</v>
      </c>
      <c r="B40" s="61" t="s">
        <v>195</v>
      </c>
      <c r="C40" s="61" t="s">
        <v>189</v>
      </c>
      <c r="D40" s="75" t="s">
        <v>194</v>
      </c>
      <c r="E40" s="74"/>
      <c r="G40" s="73"/>
    </row>
    <row r="41" spans="1:8" x14ac:dyDescent="0.2">
      <c r="A41" s="76" t="s">
        <v>187</v>
      </c>
      <c r="B41" s="61" t="s">
        <v>192</v>
      </c>
      <c r="C41" s="61" t="s">
        <v>189</v>
      </c>
      <c r="D41" s="75" t="s">
        <v>193</v>
      </c>
      <c r="E41" s="74">
        <v>0.2</v>
      </c>
      <c r="F41" s="61">
        <v>7.0000000000000007E-2</v>
      </c>
      <c r="G41" s="73"/>
    </row>
    <row r="42" spans="1:8" x14ac:dyDescent="0.2">
      <c r="A42" s="76" t="s">
        <v>187</v>
      </c>
      <c r="B42" s="61" t="s">
        <v>192</v>
      </c>
      <c r="C42" s="61" t="s">
        <v>189</v>
      </c>
      <c r="D42" s="75" t="s">
        <v>191</v>
      </c>
      <c r="E42" s="74">
        <v>0.32</v>
      </c>
      <c r="F42" s="61">
        <v>0.19</v>
      </c>
      <c r="G42" s="73"/>
    </row>
    <row r="43" spans="1:8" x14ac:dyDescent="0.2">
      <c r="A43" s="76" t="s">
        <v>187</v>
      </c>
      <c r="B43" s="61" t="s">
        <v>190</v>
      </c>
      <c r="C43" s="61" t="s">
        <v>189</v>
      </c>
      <c r="D43" s="75" t="s">
        <v>188</v>
      </c>
      <c r="E43" s="74">
        <v>0.24</v>
      </c>
      <c r="F43" s="61">
        <v>7.0000000000000001E-3</v>
      </c>
      <c r="G43" s="73"/>
    </row>
    <row r="44" spans="1:8" x14ac:dyDescent="0.2">
      <c r="A44" s="76" t="s">
        <v>187</v>
      </c>
      <c r="B44" s="61" t="s">
        <v>186</v>
      </c>
      <c r="C44" s="61" t="s">
        <v>185</v>
      </c>
      <c r="D44" s="75" t="s">
        <v>184</v>
      </c>
      <c r="E44" s="74">
        <v>0.09</v>
      </c>
      <c r="F44" s="61">
        <v>2.5000000000000001E-2</v>
      </c>
      <c r="G44" s="73" t="s">
        <v>128</v>
      </c>
    </row>
    <row r="51" spans="10:52" x14ac:dyDescent="0.2">
      <c r="J51" s="72" t="s">
        <v>183</v>
      </c>
      <c r="L51" s="61" t="s">
        <v>182</v>
      </c>
      <c r="N51" s="61">
        <v>1</v>
      </c>
      <c r="O51" s="61">
        <v>2</v>
      </c>
      <c r="P51" s="61">
        <v>3</v>
      </c>
      <c r="Q51" s="61">
        <v>4</v>
      </c>
      <c r="R51" s="61">
        <v>5</v>
      </c>
      <c r="S51" s="61">
        <v>6</v>
      </c>
      <c r="T51" s="61">
        <v>7</v>
      </c>
      <c r="U51" s="61">
        <v>8</v>
      </c>
      <c r="V51" s="61">
        <v>9</v>
      </c>
      <c r="W51" s="61">
        <v>10</v>
      </c>
      <c r="X51" s="61">
        <v>11</v>
      </c>
      <c r="Y51" s="61">
        <v>12</v>
      </c>
      <c r="Z51" s="61">
        <v>13</v>
      </c>
      <c r="AA51" s="61">
        <v>14</v>
      </c>
      <c r="AB51" s="61">
        <v>15</v>
      </c>
      <c r="AC51" s="61">
        <v>16</v>
      </c>
      <c r="AD51" s="61">
        <v>17</v>
      </c>
      <c r="AE51" s="61">
        <v>18</v>
      </c>
      <c r="AF51" s="61">
        <v>19</v>
      </c>
      <c r="AG51" s="61">
        <v>20</v>
      </c>
      <c r="AH51" s="61">
        <v>21</v>
      </c>
      <c r="AI51" s="61">
        <v>22</v>
      </c>
      <c r="AJ51" s="61">
        <v>23</v>
      </c>
      <c r="AK51" s="61">
        <v>24</v>
      </c>
      <c r="AL51" s="61">
        <v>25</v>
      </c>
      <c r="AM51" s="61">
        <v>26</v>
      </c>
      <c r="AN51" s="61">
        <v>27</v>
      </c>
      <c r="AO51" s="61">
        <v>28</v>
      </c>
      <c r="AP51" s="61">
        <v>29</v>
      </c>
      <c r="AQ51" s="61">
        <v>30</v>
      </c>
      <c r="AR51" s="61">
        <v>31</v>
      </c>
      <c r="AS51" s="61">
        <v>32</v>
      </c>
      <c r="AT51" s="61">
        <v>33</v>
      </c>
      <c r="AU51" s="61">
        <v>34</v>
      </c>
      <c r="AV51" s="61">
        <v>35</v>
      </c>
      <c r="AW51" s="61">
        <v>36</v>
      </c>
      <c r="AX51" s="61">
        <v>37</v>
      </c>
      <c r="AY51" s="61">
        <v>38</v>
      </c>
      <c r="AZ51" s="61">
        <v>39</v>
      </c>
    </row>
    <row r="52" spans="10:52" x14ac:dyDescent="0.2">
      <c r="J52" s="72"/>
      <c r="L52" s="61" t="s">
        <v>181</v>
      </c>
      <c r="N52" s="61" t="s">
        <v>60</v>
      </c>
      <c r="O52" s="61" t="s">
        <v>59</v>
      </c>
      <c r="P52" s="61" t="s">
        <v>58</v>
      </c>
      <c r="Q52" s="61" t="s">
        <v>57</v>
      </c>
      <c r="R52" s="61" t="s">
        <v>56</v>
      </c>
      <c r="S52" s="61" t="s">
        <v>55</v>
      </c>
      <c r="T52" s="61" t="s">
        <v>54</v>
      </c>
      <c r="U52" s="61" t="s">
        <v>53</v>
      </c>
      <c r="V52" s="61" t="s">
        <v>52</v>
      </c>
      <c r="W52" s="61" t="s">
        <v>51</v>
      </c>
      <c r="X52" s="61" t="s">
        <v>50</v>
      </c>
      <c r="Y52" s="61" t="s">
        <v>49</v>
      </c>
      <c r="Z52" s="61" t="s">
        <v>48</v>
      </c>
      <c r="AA52" s="61" t="s">
        <v>47</v>
      </c>
      <c r="AB52" s="61" t="s">
        <v>46</v>
      </c>
      <c r="AC52" s="61" t="s">
        <v>45</v>
      </c>
      <c r="AD52" s="61" t="s">
        <v>44</v>
      </c>
      <c r="AE52" s="61" t="s">
        <v>43</v>
      </c>
      <c r="AF52" s="61" t="s">
        <v>42</v>
      </c>
      <c r="AG52" s="61" t="s">
        <v>41</v>
      </c>
      <c r="AH52" s="61" t="s">
        <v>40</v>
      </c>
      <c r="AI52" s="61" t="s">
        <v>39</v>
      </c>
      <c r="AJ52" s="61" t="s">
        <v>38</v>
      </c>
      <c r="AK52" s="61" t="s">
        <v>37</v>
      </c>
      <c r="AL52" s="61" t="s">
        <v>36</v>
      </c>
      <c r="AM52" s="61" t="s">
        <v>35</v>
      </c>
      <c r="AN52" s="61" t="s">
        <v>34</v>
      </c>
      <c r="AO52" s="61" t="s">
        <v>33</v>
      </c>
      <c r="AP52" s="61" t="s">
        <v>32</v>
      </c>
      <c r="AQ52" s="61" t="s">
        <v>31</v>
      </c>
      <c r="AR52" s="61" t="s">
        <v>30</v>
      </c>
      <c r="AS52" s="61" t="s">
        <v>29</v>
      </c>
      <c r="AT52" s="61" t="s">
        <v>28</v>
      </c>
      <c r="AU52" s="61" t="s">
        <v>27</v>
      </c>
      <c r="AV52" s="61" t="s">
        <v>26</v>
      </c>
      <c r="AW52" s="61" t="s">
        <v>25</v>
      </c>
      <c r="AX52" s="61" t="s">
        <v>24</v>
      </c>
      <c r="AY52" s="61" t="s">
        <v>23</v>
      </c>
      <c r="AZ52" s="61" t="s">
        <v>22</v>
      </c>
    </row>
    <row r="53" spans="10:52" ht="15" x14ac:dyDescent="0.25">
      <c r="J53" s="71" t="s">
        <v>180</v>
      </c>
      <c r="K53" s="64" t="s">
        <v>179</v>
      </c>
      <c r="L53" s="61" t="s">
        <v>178</v>
      </c>
      <c r="N53" s="66">
        <v>18.246067047099999</v>
      </c>
      <c r="O53" s="66">
        <v>10.9267416</v>
      </c>
      <c r="P53" s="66">
        <v>44.551399230999998</v>
      </c>
      <c r="Q53" s="66">
        <v>11.994144439699999</v>
      </c>
      <c r="R53" s="66">
        <v>40.703445434599999</v>
      </c>
      <c r="S53" s="66">
        <v>0</v>
      </c>
      <c r="T53" s="66">
        <v>7.4808659553499997</v>
      </c>
      <c r="U53" s="66">
        <v>44.767772674600003</v>
      </c>
      <c r="V53" s="66">
        <v>56.734874725300003</v>
      </c>
      <c r="W53" s="66">
        <v>15.463913917499999</v>
      </c>
      <c r="X53" s="66">
        <v>0</v>
      </c>
      <c r="Y53" s="66">
        <v>2.6791062354999999</v>
      </c>
      <c r="Z53" s="66">
        <v>54.1796417236</v>
      </c>
      <c r="AA53" s="66">
        <v>9.6050939559900002</v>
      </c>
      <c r="AB53" s="66">
        <v>38.294788360600002</v>
      </c>
      <c r="AC53" s="66">
        <v>4.57893610001</v>
      </c>
      <c r="AD53" s="66">
        <v>0</v>
      </c>
      <c r="AE53" s="66">
        <v>1.9979823827700001</v>
      </c>
      <c r="AF53" s="66">
        <v>0</v>
      </c>
      <c r="AG53" s="66">
        <v>0.55610948801000004</v>
      </c>
      <c r="AH53" s="66">
        <v>52.295745849600003</v>
      </c>
      <c r="AI53" s="66">
        <v>25.3356590271</v>
      </c>
      <c r="AJ53" s="66">
        <v>0.202662229538</v>
      </c>
      <c r="AK53" s="66">
        <v>38.339694976799997</v>
      </c>
      <c r="AL53" s="66">
        <v>40.556503295900001</v>
      </c>
      <c r="AM53" s="66">
        <v>1.0605189800299999</v>
      </c>
      <c r="AN53" s="66">
        <v>22.3945198059</v>
      </c>
      <c r="AO53" s="66">
        <v>2.6333937645000001</v>
      </c>
      <c r="AP53" s="66">
        <v>41.686889648399998</v>
      </c>
      <c r="AQ53" s="66">
        <v>39.2614631653</v>
      </c>
      <c r="AR53" s="66">
        <v>29.473192215000001</v>
      </c>
      <c r="AS53" s="66">
        <v>41.855407714800002</v>
      </c>
      <c r="AT53" s="66">
        <v>41.779865264900003</v>
      </c>
      <c r="AU53" s="66">
        <v>40.5098838806</v>
      </c>
      <c r="AV53" s="66">
        <v>14.650550842299999</v>
      </c>
      <c r="AW53" s="66">
        <v>36.777263641399998</v>
      </c>
      <c r="AX53" s="66">
        <v>7.6017251014699996</v>
      </c>
      <c r="AY53" s="66">
        <v>48.383659362800003</v>
      </c>
      <c r="AZ53" s="66">
        <v>44.786972045900001</v>
      </c>
    </row>
    <row r="54" spans="10:52" ht="15" x14ac:dyDescent="0.25">
      <c r="J54" s="71"/>
      <c r="K54" s="70" t="s">
        <v>131</v>
      </c>
      <c r="L54" s="61" t="s">
        <v>177</v>
      </c>
      <c r="N54" s="66">
        <v>127478.712736</v>
      </c>
      <c r="O54" s="66">
        <v>5822.6270504399999</v>
      </c>
      <c r="P54" s="66">
        <v>23261.417538999998</v>
      </c>
      <c r="Q54" s="66">
        <v>42984.967601800003</v>
      </c>
      <c r="R54" s="66">
        <v>37483.407299999999</v>
      </c>
      <c r="S54" s="66">
        <v>0</v>
      </c>
      <c r="T54" s="66">
        <v>63373.658393999998</v>
      </c>
      <c r="U54" s="66">
        <v>56985.510616300002</v>
      </c>
      <c r="V54" s="66">
        <v>21369.709860200001</v>
      </c>
      <c r="W54" s="66">
        <v>3969.44802583</v>
      </c>
      <c r="X54" s="66">
        <v>0</v>
      </c>
      <c r="Y54" s="66">
        <v>633.231831962</v>
      </c>
      <c r="Z54" s="66">
        <v>25615.321836800002</v>
      </c>
      <c r="AA54" s="66">
        <v>0</v>
      </c>
      <c r="AB54" s="66">
        <v>20526.172702299998</v>
      </c>
      <c r="AC54" s="66">
        <v>0</v>
      </c>
      <c r="AD54" s="66">
        <v>0</v>
      </c>
      <c r="AE54" s="66">
        <v>294.70283635700002</v>
      </c>
      <c r="AF54" s="66">
        <v>0</v>
      </c>
      <c r="AG54" s="66">
        <v>0</v>
      </c>
      <c r="AH54" s="66">
        <v>2871.50398709</v>
      </c>
      <c r="AI54" s="66">
        <v>146.65261148100001</v>
      </c>
      <c r="AJ54" s="66">
        <v>0</v>
      </c>
      <c r="AK54" s="66">
        <v>45327.490437400003</v>
      </c>
      <c r="AL54" s="66">
        <v>113781.52471699999</v>
      </c>
      <c r="AM54" s="66">
        <v>684.19506677100003</v>
      </c>
      <c r="AN54" s="66">
        <v>75938.742139499998</v>
      </c>
      <c r="AO54" s="66">
        <v>811.57669502900001</v>
      </c>
      <c r="AP54" s="66">
        <v>5056.3520956000002</v>
      </c>
      <c r="AQ54" s="66">
        <v>3824.2851678799998</v>
      </c>
      <c r="AR54" s="66">
        <v>13964.529177599999</v>
      </c>
      <c r="AS54" s="66">
        <v>1549.58277666</v>
      </c>
      <c r="AT54" s="66">
        <v>47587.843198199997</v>
      </c>
      <c r="AU54" s="66">
        <v>3380.1489726999998</v>
      </c>
      <c r="AV54" s="66">
        <v>0</v>
      </c>
      <c r="AW54" s="66">
        <v>39835.4112542</v>
      </c>
      <c r="AX54" s="66">
        <v>2035.5050960999999</v>
      </c>
      <c r="AY54" s="66">
        <v>55342.471769700001</v>
      </c>
      <c r="AZ54" s="66">
        <v>77580.364668299997</v>
      </c>
    </row>
    <row r="55" spans="10:52" ht="15" x14ac:dyDescent="0.25">
      <c r="J55" s="67"/>
      <c r="K55" s="61" t="s">
        <v>130</v>
      </c>
      <c r="L55" s="61" t="s">
        <v>176</v>
      </c>
      <c r="N55" s="66">
        <v>216716.64221200001</v>
      </c>
      <c r="O55" s="66">
        <v>24257.683618300001</v>
      </c>
      <c r="P55" s="66">
        <v>93376.453059399995</v>
      </c>
      <c r="Q55" s="66">
        <v>91329.162602600001</v>
      </c>
      <c r="R55" s="66">
        <v>464602.25034000003</v>
      </c>
      <c r="S55" s="66">
        <v>0</v>
      </c>
      <c r="T55" s="66">
        <v>32726.452945699999</v>
      </c>
      <c r="U55" s="66">
        <v>677012.21371100005</v>
      </c>
      <c r="V55" s="66">
        <v>162810.802203</v>
      </c>
      <c r="W55" s="66">
        <v>100967.198544</v>
      </c>
      <c r="X55" s="66">
        <v>1.7455370372400001</v>
      </c>
      <c r="Y55" s="66">
        <v>749.44849611300003</v>
      </c>
      <c r="Z55" s="66">
        <v>348076.54322799999</v>
      </c>
      <c r="AA55" s="66">
        <v>14687.096791399999</v>
      </c>
      <c r="AB55" s="66">
        <v>98443.334573400003</v>
      </c>
      <c r="AC55" s="66">
        <v>7008.4961632200002</v>
      </c>
      <c r="AD55" s="66">
        <v>0</v>
      </c>
      <c r="AE55" s="66">
        <v>1301.6184033899999</v>
      </c>
      <c r="AF55" s="66">
        <v>0</v>
      </c>
      <c r="AG55" s="66">
        <v>104.471556445</v>
      </c>
      <c r="AH55" s="66">
        <v>29073.568007900001</v>
      </c>
      <c r="AI55" s="66">
        <v>85141.952759799999</v>
      </c>
      <c r="AJ55" s="66">
        <v>32.543613547699998</v>
      </c>
      <c r="AK55" s="66">
        <v>168260.346257</v>
      </c>
      <c r="AL55" s="66">
        <v>735395.74987399997</v>
      </c>
      <c r="AM55" s="66">
        <v>1443.87503302</v>
      </c>
      <c r="AN55" s="66">
        <v>259485.23362899999</v>
      </c>
      <c r="AO55" s="66">
        <v>477.30257259400003</v>
      </c>
      <c r="AP55" s="66">
        <v>28014.941566699999</v>
      </c>
      <c r="AQ55" s="66">
        <v>26923.170206700001</v>
      </c>
      <c r="AR55" s="66">
        <v>42426.8936168</v>
      </c>
      <c r="AS55" s="66">
        <v>6330.5885545600004</v>
      </c>
      <c r="AT55" s="66">
        <v>486682.63549399999</v>
      </c>
      <c r="AU55" s="66">
        <v>46478.678309499999</v>
      </c>
      <c r="AV55" s="66">
        <v>14886.43291</v>
      </c>
      <c r="AW55" s="66">
        <v>200889.661766</v>
      </c>
      <c r="AX55" s="66">
        <v>47369.992372200002</v>
      </c>
      <c r="AY55" s="66">
        <v>356189.20995699998</v>
      </c>
      <c r="AZ55" s="66">
        <v>399607.68206899997</v>
      </c>
    </row>
    <row r="56" spans="10:52" ht="15" x14ac:dyDescent="0.25">
      <c r="J56" s="67" t="s">
        <v>175</v>
      </c>
      <c r="K56" s="61" t="s">
        <v>129</v>
      </c>
      <c r="L56" s="61" t="s">
        <v>174</v>
      </c>
      <c r="N56" s="66">
        <v>216912.51489799999</v>
      </c>
      <c r="O56" s="66">
        <v>24257.683618300001</v>
      </c>
      <c r="P56" s="66">
        <v>93376.453059399995</v>
      </c>
      <c r="Q56" s="66">
        <v>91329.162602600001</v>
      </c>
      <c r="R56" s="66">
        <v>485501.44205000001</v>
      </c>
      <c r="S56" s="66">
        <v>0</v>
      </c>
      <c r="T56" s="66">
        <v>32726.452945699999</v>
      </c>
      <c r="U56" s="66">
        <v>796568.61351599998</v>
      </c>
      <c r="V56" s="66">
        <v>163909.957994</v>
      </c>
      <c r="W56" s="66">
        <v>101476.30630500001</v>
      </c>
      <c r="X56" s="66">
        <v>1.7455370372400001</v>
      </c>
      <c r="Y56" s="66">
        <v>749.44849611300003</v>
      </c>
      <c r="Z56" s="66">
        <v>348076.54322799999</v>
      </c>
      <c r="AA56" s="66">
        <v>14687.096791399999</v>
      </c>
      <c r="AB56" s="66">
        <v>98443.334573400003</v>
      </c>
      <c r="AC56" s="66">
        <v>7008.4961632200002</v>
      </c>
      <c r="AD56" s="66">
        <v>0</v>
      </c>
      <c r="AE56" s="66">
        <v>1301.6184033899999</v>
      </c>
      <c r="AF56" s="66">
        <v>0</v>
      </c>
      <c r="AG56" s="66">
        <v>104.471556445</v>
      </c>
      <c r="AH56" s="66">
        <v>29073.568007900001</v>
      </c>
      <c r="AI56" s="66">
        <v>85699.120283900003</v>
      </c>
      <c r="AJ56" s="66">
        <v>32.543613547699998</v>
      </c>
      <c r="AK56" s="66">
        <v>168260.346257</v>
      </c>
      <c r="AL56" s="66">
        <v>735395.74987399997</v>
      </c>
      <c r="AM56" s="66">
        <v>1443.87503302</v>
      </c>
      <c r="AN56" s="66">
        <v>259485.23362899999</v>
      </c>
      <c r="AO56" s="66">
        <v>477.30257259400003</v>
      </c>
      <c r="AP56" s="66">
        <v>28014.941566699999</v>
      </c>
      <c r="AQ56" s="66">
        <v>29397.8938877</v>
      </c>
      <c r="AR56" s="66">
        <v>42426.8936168</v>
      </c>
      <c r="AS56" s="66">
        <v>6330.5885545600004</v>
      </c>
      <c r="AT56" s="66">
        <v>489614.17079200002</v>
      </c>
      <c r="AU56" s="66">
        <v>60302.494738499998</v>
      </c>
      <c r="AV56" s="66">
        <v>14886.43291</v>
      </c>
      <c r="AW56" s="66">
        <v>200889.661766</v>
      </c>
      <c r="AX56" s="66">
        <v>47369.992372200002</v>
      </c>
      <c r="AY56" s="66">
        <v>356189.20995699998</v>
      </c>
      <c r="AZ56" s="66">
        <v>399607.68206899997</v>
      </c>
    </row>
    <row r="57" spans="10:52" ht="15" x14ac:dyDescent="0.25">
      <c r="J57" s="67"/>
      <c r="K57" s="61" t="s">
        <v>128</v>
      </c>
      <c r="L57" s="61" t="s">
        <v>173</v>
      </c>
      <c r="N57" s="66">
        <v>16873.311630200002</v>
      </c>
      <c r="O57" s="66">
        <v>0</v>
      </c>
      <c r="P57" s="66">
        <v>0</v>
      </c>
      <c r="Q57" s="66">
        <v>11236.159322400001</v>
      </c>
      <c r="R57" s="66">
        <v>16353.588448300001</v>
      </c>
      <c r="S57" s="66">
        <v>0</v>
      </c>
      <c r="T57" s="66">
        <v>6220.76283857</v>
      </c>
      <c r="U57" s="66">
        <v>24838.166488999999</v>
      </c>
      <c r="V57" s="66">
        <v>17153.789084700002</v>
      </c>
      <c r="W57" s="66">
        <v>93139.911304099995</v>
      </c>
      <c r="X57" s="66">
        <v>1.4445823101899999</v>
      </c>
      <c r="Y57" s="66">
        <v>1233.2257957300001</v>
      </c>
      <c r="Z57" s="66">
        <v>2013.56344554</v>
      </c>
      <c r="AA57" s="66">
        <v>195983.23162400001</v>
      </c>
      <c r="AB57" s="66">
        <v>0</v>
      </c>
      <c r="AC57" s="66">
        <v>38012.849780500001</v>
      </c>
      <c r="AD57" s="66">
        <v>0</v>
      </c>
      <c r="AE57" s="66">
        <v>2319.9624770099999</v>
      </c>
      <c r="AF57" s="66">
        <v>0</v>
      </c>
      <c r="AG57" s="66">
        <v>334.60329496000003</v>
      </c>
      <c r="AH57" s="66">
        <v>0</v>
      </c>
      <c r="AI57" s="66">
        <v>89406.366713399999</v>
      </c>
      <c r="AJ57" s="66">
        <v>2333.2463244300002</v>
      </c>
      <c r="AK57" s="66">
        <v>0</v>
      </c>
      <c r="AL57" s="66">
        <v>0.49980369372099998</v>
      </c>
      <c r="AM57" s="66">
        <v>3921.0708726900002</v>
      </c>
      <c r="AN57" s="66">
        <v>54182.070992499997</v>
      </c>
      <c r="AO57" s="66">
        <v>17.413947276999998</v>
      </c>
      <c r="AP57" s="66">
        <v>0</v>
      </c>
      <c r="AQ57" s="66">
        <v>255.69636101</v>
      </c>
      <c r="AR57" s="66">
        <v>0</v>
      </c>
      <c r="AS57" s="66">
        <v>0</v>
      </c>
      <c r="AT57" s="66">
        <v>29638.2336612</v>
      </c>
      <c r="AU57" s="66">
        <v>4096.8227938500004</v>
      </c>
      <c r="AV57" s="66">
        <v>112725.159312</v>
      </c>
      <c r="AW57" s="66">
        <v>0</v>
      </c>
      <c r="AX57" s="66">
        <v>246556.13479899999</v>
      </c>
      <c r="AY57" s="66">
        <v>157.671474652</v>
      </c>
      <c r="AZ57" s="66">
        <v>0</v>
      </c>
    </row>
    <row r="58" spans="10:52" ht="15" x14ac:dyDescent="0.25">
      <c r="J58" s="67"/>
      <c r="K58" s="61" t="s">
        <v>127</v>
      </c>
      <c r="L58" s="61" t="s">
        <v>172</v>
      </c>
      <c r="N58" s="66">
        <v>17101.567161899999</v>
      </c>
      <c r="O58" s="66">
        <v>0</v>
      </c>
      <c r="P58" s="66">
        <v>0</v>
      </c>
      <c r="Q58" s="66">
        <v>11236.159322400001</v>
      </c>
      <c r="R58" s="66">
        <v>16398.747962400001</v>
      </c>
      <c r="S58" s="66">
        <v>0</v>
      </c>
      <c r="T58" s="66">
        <v>6220.76283857</v>
      </c>
      <c r="U58" s="66">
        <v>27274.262629199999</v>
      </c>
      <c r="V58" s="66">
        <v>19908.120007599999</v>
      </c>
      <c r="W58" s="66">
        <v>103029.609553</v>
      </c>
      <c r="X58" s="66">
        <v>1.4445823101899999</v>
      </c>
      <c r="Y58" s="66">
        <v>1250.97329171</v>
      </c>
      <c r="Z58" s="66">
        <v>2013.56344554</v>
      </c>
      <c r="AA58" s="66">
        <v>199616.81585399999</v>
      </c>
      <c r="AB58" s="66">
        <v>0</v>
      </c>
      <c r="AC58" s="66">
        <v>39520.532303699998</v>
      </c>
      <c r="AD58" s="66">
        <v>0</v>
      </c>
      <c r="AE58" s="66">
        <v>2331.7329039599999</v>
      </c>
      <c r="AF58" s="66">
        <v>0</v>
      </c>
      <c r="AG58" s="66">
        <v>334.60329496000003</v>
      </c>
      <c r="AH58" s="66">
        <v>0</v>
      </c>
      <c r="AI58" s="66">
        <v>93236.415167700005</v>
      </c>
      <c r="AJ58" s="66">
        <v>2305.5084236799999</v>
      </c>
      <c r="AK58" s="66">
        <v>0</v>
      </c>
      <c r="AL58" s="66">
        <v>0.49980369372099998</v>
      </c>
      <c r="AM58" s="66">
        <v>3921.0708726900002</v>
      </c>
      <c r="AN58" s="66">
        <v>55773.184132599999</v>
      </c>
      <c r="AO58" s="66">
        <v>17.413947276999998</v>
      </c>
      <c r="AP58" s="66">
        <v>0</v>
      </c>
      <c r="AQ58" s="66">
        <v>267.41452447500001</v>
      </c>
      <c r="AR58" s="66">
        <v>0</v>
      </c>
      <c r="AS58" s="66">
        <v>0</v>
      </c>
      <c r="AT58" s="66">
        <v>34583.310997799999</v>
      </c>
      <c r="AU58" s="66">
        <v>4675.4091673499997</v>
      </c>
      <c r="AV58" s="66">
        <v>116496.890551</v>
      </c>
      <c r="AW58" s="66">
        <v>0</v>
      </c>
      <c r="AX58" s="66">
        <v>246831.40194099999</v>
      </c>
      <c r="AY58" s="66">
        <v>157.671474652</v>
      </c>
      <c r="AZ58" s="66">
        <v>0</v>
      </c>
    </row>
    <row r="59" spans="10:52" ht="15" x14ac:dyDescent="0.25">
      <c r="J59" s="67"/>
      <c r="K59" s="61" t="s">
        <v>126</v>
      </c>
      <c r="L59" s="61" t="s">
        <v>171</v>
      </c>
      <c r="N59" s="66">
        <v>1200.4776221899999</v>
      </c>
      <c r="O59" s="66">
        <v>2301.2349030099999</v>
      </c>
      <c r="P59" s="66">
        <v>0</v>
      </c>
      <c r="Q59" s="66">
        <v>0</v>
      </c>
      <c r="R59" s="66">
        <v>0</v>
      </c>
      <c r="S59" s="66">
        <v>0</v>
      </c>
      <c r="T59" s="66">
        <v>0</v>
      </c>
      <c r="U59" s="66">
        <v>0</v>
      </c>
      <c r="V59" s="66">
        <v>0</v>
      </c>
      <c r="W59" s="66">
        <v>0</v>
      </c>
      <c r="X59" s="66">
        <v>0</v>
      </c>
      <c r="Y59" s="66">
        <v>186.198333886</v>
      </c>
      <c r="Z59" s="66">
        <v>0</v>
      </c>
      <c r="AA59" s="66">
        <v>30.3539145419</v>
      </c>
      <c r="AB59" s="66">
        <v>0</v>
      </c>
      <c r="AC59" s="66">
        <v>0</v>
      </c>
      <c r="AD59" s="66">
        <v>0</v>
      </c>
      <c r="AE59" s="66">
        <v>660.24740269400002</v>
      </c>
      <c r="AF59" s="66">
        <v>0</v>
      </c>
      <c r="AG59" s="66">
        <v>1345.74442454</v>
      </c>
      <c r="AH59" s="66">
        <v>0</v>
      </c>
      <c r="AI59" s="66">
        <v>0</v>
      </c>
      <c r="AJ59" s="66">
        <v>2836.4105132099999</v>
      </c>
      <c r="AK59" s="66">
        <v>0</v>
      </c>
      <c r="AL59" s="66">
        <v>0</v>
      </c>
      <c r="AM59" s="66">
        <v>46.638866918600002</v>
      </c>
      <c r="AN59" s="66">
        <v>0</v>
      </c>
      <c r="AO59" s="66">
        <v>0</v>
      </c>
      <c r="AP59" s="66">
        <v>0</v>
      </c>
      <c r="AQ59" s="66">
        <v>0</v>
      </c>
      <c r="AR59" s="66">
        <v>0</v>
      </c>
      <c r="AS59" s="66">
        <v>0</v>
      </c>
      <c r="AT59" s="66">
        <v>0</v>
      </c>
      <c r="AU59" s="66">
        <v>0</v>
      </c>
      <c r="AV59" s="66">
        <v>0</v>
      </c>
      <c r="AW59" s="66">
        <v>0</v>
      </c>
      <c r="AX59" s="66">
        <v>256.85398657500002</v>
      </c>
      <c r="AY59" s="66">
        <v>0</v>
      </c>
      <c r="AZ59" s="66">
        <v>0</v>
      </c>
    </row>
    <row r="60" spans="10:52" ht="15" x14ac:dyDescent="0.25">
      <c r="J60" s="67"/>
      <c r="K60" s="61" t="s">
        <v>125</v>
      </c>
      <c r="L60" s="61" t="s">
        <v>170</v>
      </c>
      <c r="N60" s="66">
        <v>1200.4776221899999</v>
      </c>
      <c r="O60" s="66">
        <v>2301.2349030099999</v>
      </c>
      <c r="P60" s="66">
        <v>0</v>
      </c>
      <c r="Q60" s="66">
        <v>0</v>
      </c>
      <c r="R60" s="66">
        <v>0</v>
      </c>
      <c r="S60" s="66">
        <v>0</v>
      </c>
      <c r="T60" s="66">
        <v>0</v>
      </c>
      <c r="U60" s="66">
        <v>0</v>
      </c>
      <c r="V60" s="66">
        <v>0</v>
      </c>
      <c r="W60" s="66">
        <v>0</v>
      </c>
      <c r="X60" s="66">
        <v>0</v>
      </c>
      <c r="Y60" s="66">
        <v>186.198333886</v>
      </c>
      <c r="Z60" s="66">
        <v>0</v>
      </c>
      <c r="AA60" s="66">
        <v>30.3539145419</v>
      </c>
      <c r="AB60" s="66">
        <v>0</v>
      </c>
      <c r="AC60" s="66">
        <v>0</v>
      </c>
      <c r="AD60" s="66">
        <v>0</v>
      </c>
      <c r="AE60" s="66">
        <v>660.24740269400002</v>
      </c>
      <c r="AF60" s="66">
        <v>0</v>
      </c>
      <c r="AG60" s="66">
        <v>1345.74442454</v>
      </c>
      <c r="AH60" s="66">
        <v>0</v>
      </c>
      <c r="AI60" s="66">
        <v>0</v>
      </c>
      <c r="AJ60" s="66">
        <v>2836.4105132099999</v>
      </c>
      <c r="AK60" s="66">
        <v>0</v>
      </c>
      <c r="AL60" s="66">
        <v>0</v>
      </c>
      <c r="AM60" s="66">
        <v>46.638866918600002</v>
      </c>
      <c r="AN60" s="66">
        <v>0</v>
      </c>
      <c r="AO60" s="66">
        <v>0</v>
      </c>
      <c r="AP60" s="66">
        <v>0</v>
      </c>
      <c r="AQ60" s="66">
        <v>0</v>
      </c>
      <c r="AR60" s="66">
        <v>0</v>
      </c>
      <c r="AS60" s="66">
        <v>0</v>
      </c>
      <c r="AT60" s="66">
        <v>0</v>
      </c>
      <c r="AU60" s="66">
        <v>0</v>
      </c>
      <c r="AV60" s="66">
        <v>0</v>
      </c>
      <c r="AW60" s="66">
        <v>0</v>
      </c>
      <c r="AX60" s="66">
        <v>256.85398657500002</v>
      </c>
      <c r="AY60" s="66">
        <v>0</v>
      </c>
      <c r="AZ60" s="66">
        <v>0</v>
      </c>
    </row>
    <row r="61" spans="10:52" ht="15" x14ac:dyDescent="0.25">
      <c r="J61" s="67" t="s">
        <v>166</v>
      </c>
      <c r="K61" s="61" t="s">
        <v>124</v>
      </c>
      <c r="L61" s="61" t="s">
        <v>169</v>
      </c>
      <c r="N61" s="66">
        <v>1145.2980164200001</v>
      </c>
      <c r="O61" s="66">
        <v>0</v>
      </c>
      <c r="P61" s="66">
        <v>0</v>
      </c>
      <c r="Q61" s="66">
        <v>300.07931735099999</v>
      </c>
      <c r="R61" s="66">
        <v>0</v>
      </c>
      <c r="S61" s="66">
        <v>0</v>
      </c>
      <c r="T61" s="66">
        <v>37.705747236900002</v>
      </c>
      <c r="U61" s="66">
        <v>2.9664931406699999</v>
      </c>
      <c r="V61" s="66">
        <v>4251.7092413500004</v>
      </c>
      <c r="W61" s="66">
        <v>21203.355463600001</v>
      </c>
      <c r="X61" s="66">
        <v>0</v>
      </c>
      <c r="Y61" s="66">
        <v>4.8195824780500001</v>
      </c>
      <c r="Z61" s="66">
        <v>0</v>
      </c>
      <c r="AA61" s="66">
        <v>64354.323242600003</v>
      </c>
      <c r="AB61" s="66">
        <v>0</v>
      </c>
      <c r="AC61" s="66">
        <v>4097.8411044900004</v>
      </c>
      <c r="AD61" s="66">
        <v>0</v>
      </c>
      <c r="AE61" s="66">
        <v>0</v>
      </c>
      <c r="AF61" s="66">
        <v>0</v>
      </c>
      <c r="AG61" s="66">
        <v>109.08653410399999</v>
      </c>
      <c r="AH61" s="66">
        <v>0</v>
      </c>
      <c r="AI61" s="66">
        <v>2365.2433835900001</v>
      </c>
      <c r="AJ61" s="66">
        <v>184.91242183400001</v>
      </c>
      <c r="AK61" s="66">
        <v>0</v>
      </c>
      <c r="AL61" s="66">
        <v>1119.98277674</v>
      </c>
      <c r="AM61" s="66">
        <v>1222.0479761199999</v>
      </c>
      <c r="AN61" s="66">
        <v>8029.8963202799996</v>
      </c>
      <c r="AO61" s="66">
        <v>0</v>
      </c>
      <c r="AP61" s="66">
        <v>0</v>
      </c>
      <c r="AQ61" s="66">
        <v>0</v>
      </c>
      <c r="AR61" s="66">
        <v>0</v>
      </c>
      <c r="AS61" s="66">
        <v>0</v>
      </c>
      <c r="AT61" s="66">
        <v>3985.57750906</v>
      </c>
      <c r="AU61" s="66">
        <v>629.58252805699999</v>
      </c>
      <c r="AV61" s="66">
        <v>51111.862767099999</v>
      </c>
      <c r="AW61" s="66">
        <v>0</v>
      </c>
      <c r="AX61" s="66">
        <v>76280.201960399994</v>
      </c>
      <c r="AY61" s="66">
        <v>0</v>
      </c>
      <c r="AZ61" s="66">
        <v>223.403192907</v>
      </c>
    </row>
    <row r="62" spans="10:52" ht="15" x14ac:dyDescent="0.25">
      <c r="J62" s="67" t="s">
        <v>166</v>
      </c>
      <c r="K62" s="61" t="s">
        <v>123</v>
      </c>
      <c r="L62" s="61" t="s">
        <v>168</v>
      </c>
      <c r="N62" s="66">
        <v>2324.7652570800001</v>
      </c>
      <c r="O62" s="66">
        <v>0</v>
      </c>
      <c r="P62" s="66">
        <v>0</v>
      </c>
      <c r="Q62" s="66">
        <v>300.07931735099999</v>
      </c>
      <c r="R62" s="66">
        <v>0</v>
      </c>
      <c r="S62" s="66">
        <v>0</v>
      </c>
      <c r="T62" s="66">
        <v>347.327299418</v>
      </c>
      <c r="U62" s="66">
        <v>2.9664931406699999</v>
      </c>
      <c r="V62" s="66">
        <v>4251.7092413500004</v>
      </c>
      <c r="W62" s="66">
        <v>30342.0338089</v>
      </c>
      <c r="X62" s="66">
        <v>0</v>
      </c>
      <c r="Y62" s="66">
        <v>132.19441537700001</v>
      </c>
      <c r="Z62" s="66">
        <v>0</v>
      </c>
      <c r="AA62" s="66">
        <v>70456.965028000006</v>
      </c>
      <c r="AB62" s="66">
        <v>0</v>
      </c>
      <c r="AC62" s="66">
        <v>9482.8415394299991</v>
      </c>
      <c r="AD62" s="66">
        <v>0</v>
      </c>
      <c r="AE62" s="66">
        <v>246.70182699</v>
      </c>
      <c r="AF62" s="66">
        <v>0</v>
      </c>
      <c r="AG62" s="66">
        <v>108.6761999</v>
      </c>
      <c r="AH62" s="66">
        <v>0</v>
      </c>
      <c r="AI62" s="66">
        <v>10262.6139699</v>
      </c>
      <c r="AJ62" s="66">
        <v>189.544187099</v>
      </c>
      <c r="AK62" s="66">
        <v>0</v>
      </c>
      <c r="AL62" s="66">
        <v>1120.0464988399999</v>
      </c>
      <c r="AM62" s="66">
        <v>1312.1257206099999</v>
      </c>
      <c r="AN62" s="66">
        <v>12570.3948454</v>
      </c>
      <c r="AO62" s="66">
        <v>0</v>
      </c>
      <c r="AP62" s="66">
        <v>0</v>
      </c>
      <c r="AQ62" s="66">
        <v>0</v>
      </c>
      <c r="AR62" s="66">
        <v>0</v>
      </c>
      <c r="AS62" s="66">
        <v>0</v>
      </c>
      <c r="AT62" s="66">
        <v>4497.9532535400003</v>
      </c>
      <c r="AU62" s="66">
        <v>629.58252805699999</v>
      </c>
      <c r="AV62" s="66">
        <v>56459.847120600003</v>
      </c>
      <c r="AW62" s="66">
        <v>0</v>
      </c>
      <c r="AX62" s="66">
        <v>80543.775801900003</v>
      </c>
      <c r="AY62" s="66">
        <v>0</v>
      </c>
      <c r="AZ62" s="66">
        <v>223.403192907</v>
      </c>
    </row>
    <row r="63" spans="10:52" ht="15" x14ac:dyDescent="0.25">
      <c r="J63" s="67" t="s">
        <v>166</v>
      </c>
      <c r="K63" s="61" t="s">
        <v>122</v>
      </c>
      <c r="L63" s="61" t="s">
        <v>167</v>
      </c>
      <c r="N63" s="66">
        <v>2324.7652570800001</v>
      </c>
      <c r="O63" s="66">
        <v>0</v>
      </c>
      <c r="P63" s="66">
        <v>0</v>
      </c>
      <c r="Q63" s="66">
        <v>300.07931735099999</v>
      </c>
      <c r="R63" s="66">
        <v>0</v>
      </c>
      <c r="S63" s="66">
        <v>0</v>
      </c>
      <c r="T63" s="66">
        <v>347.327299418</v>
      </c>
      <c r="U63" s="66">
        <v>2.9664931406699999</v>
      </c>
      <c r="V63" s="66">
        <v>4251.7092413500004</v>
      </c>
      <c r="W63" s="66">
        <v>30342.0338089</v>
      </c>
      <c r="X63" s="66">
        <v>0</v>
      </c>
      <c r="Y63" s="66">
        <v>132.19441537700001</v>
      </c>
      <c r="Z63" s="66">
        <v>0</v>
      </c>
      <c r="AA63" s="66">
        <v>70456.965028000006</v>
      </c>
      <c r="AB63" s="66">
        <v>0</v>
      </c>
      <c r="AC63" s="66">
        <v>9482.8415394299991</v>
      </c>
      <c r="AD63" s="66">
        <v>0</v>
      </c>
      <c r="AE63" s="66">
        <v>246.70182699</v>
      </c>
      <c r="AF63" s="66">
        <v>0</v>
      </c>
      <c r="AG63" s="66">
        <v>108.6761999</v>
      </c>
      <c r="AH63" s="66">
        <v>0</v>
      </c>
      <c r="AI63" s="66">
        <v>10262.6139699</v>
      </c>
      <c r="AJ63" s="66">
        <v>189.544187099</v>
      </c>
      <c r="AK63" s="66">
        <v>0</v>
      </c>
      <c r="AL63" s="66">
        <v>1120.0464988399999</v>
      </c>
      <c r="AM63" s="66">
        <v>1312.1257206099999</v>
      </c>
      <c r="AN63" s="66">
        <v>12570.3948454</v>
      </c>
      <c r="AO63" s="66">
        <v>0</v>
      </c>
      <c r="AP63" s="66">
        <v>0</v>
      </c>
      <c r="AQ63" s="66">
        <v>0</v>
      </c>
      <c r="AR63" s="66">
        <v>0</v>
      </c>
      <c r="AS63" s="66">
        <v>0</v>
      </c>
      <c r="AT63" s="66">
        <v>4497.9532535400003</v>
      </c>
      <c r="AU63" s="66">
        <v>629.58252805699999</v>
      </c>
      <c r="AV63" s="66">
        <v>56459.847120600003</v>
      </c>
      <c r="AW63" s="66">
        <v>0</v>
      </c>
      <c r="AX63" s="66">
        <v>80543.775801900003</v>
      </c>
      <c r="AY63" s="66">
        <v>0</v>
      </c>
      <c r="AZ63" s="66">
        <v>223.403192907</v>
      </c>
    </row>
    <row r="64" spans="10:52" ht="15" x14ac:dyDescent="0.25">
      <c r="J64" s="67" t="s">
        <v>166</v>
      </c>
      <c r="K64" s="61" t="s">
        <v>128</v>
      </c>
      <c r="L64" s="61" t="s">
        <v>165</v>
      </c>
      <c r="N64" s="66">
        <v>2324.7652570800001</v>
      </c>
      <c r="O64" s="66">
        <v>0</v>
      </c>
      <c r="P64" s="66">
        <v>0</v>
      </c>
      <c r="Q64" s="66">
        <v>300.07931735099999</v>
      </c>
      <c r="R64" s="66">
        <v>0</v>
      </c>
      <c r="S64" s="66">
        <v>0</v>
      </c>
      <c r="T64" s="66">
        <v>347.327299418</v>
      </c>
      <c r="U64" s="66">
        <v>2.9664931406699999</v>
      </c>
      <c r="V64" s="66">
        <v>4251.7092413500004</v>
      </c>
      <c r="W64" s="66">
        <v>30342.0338089</v>
      </c>
      <c r="X64" s="66">
        <v>0</v>
      </c>
      <c r="Y64" s="66">
        <v>132.19441537700001</v>
      </c>
      <c r="Z64" s="66">
        <v>0</v>
      </c>
      <c r="AA64" s="66">
        <v>72161.094986299999</v>
      </c>
      <c r="AB64" s="66">
        <v>0</v>
      </c>
      <c r="AC64" s="66">
        <v>9482.8415394299991</v>
      </c>
      <c r="AD64" s="66">
        <v>0</v>
      </c>
      <c r="AE64" s="66">
        <v>246.70182699</v>
      </c>
      <c r="AF64" s="66">
        <v>0</v>
      </c>
      <c r="AG64" s="66">
        <v>115.992942738</v>
      </c>
      <c r="AH64" s="66">
        <v>0</v>
      </c>
      <c r="AI64" s="66">
        <v>10262.6139699</v>
      </c>
      <c r="AJ64" s="66">
        <v>191.32503996099999</v>
      </c>
      <c r="AK64" s="66">
        <v>0</v>
      </c>
      <c r="AL64" s="66">
        <v>1120.05194876</v>
      </c>
      <c r="AM64" s="66">
        <v>1366.6064681600001</v>
      </c>
      <c r="AN64" s="66">
        <v>12570.3948454</v>
      </c>
      <c r="AO64" s="66">
        <v>0</v>
      </c>
      <c r="AP64" s="66">
        <v>0</v>
      </c>
      <c r="AQ64" s="66">
        <v>0</v>
      </c>
      <c r="AR64" s="66">
        <v>0</v>
      </c>
      <c r="AS64" s="66">
        <v>0</v>
      </c>
      <c r="AT64" s="66">
        <v>4497.9532535400003</v>
      </c>
      <c r="AU64" s="66">
        <v>629.58252805699999</v>
      </c>
      <c r="AV64" s="66">
        <v>57710.118058699998</v>
      </c>
      <c r="AW64" s="66">
        <v>0</v>
      </c>
      <c r="AX64" s="66">
        <v>83963.191191000005</v>
      </c>
      <c r="AY64" s="66">
        <v>0</v>
      </c>
      <c r="AZ64" s="66">
        <v>223.403192907</v>
      </c>
    </row>
    <row r="65" spans="10:52" ht="15" x14ac:dyDescent="0.25">
      <c r="J65" s="67" t="s">
        <v>161</v>
      </c>
      <c r="K65" s="61" t="s">
        <v>128</v>
      </c>
      <c r="L65" s="61" t="s">
        <v>164</v>
      </c>
      <c r="N65" s="66">
        <v>659.17235827000002</v>
      </c>
      <c r="O65" s="66">
        <v>0</v>
      </c>
      <c r="P65" s="66">
        <v>0</v>
      </c>
      <c r="Q65" s="66">
        <v>19.772487035499999</v>
      </c>
      <c r="R65" s="66">
        <v>180.40775524700001</v>
      </c>
      <c r="S65" s="66">
        <v>0</v>
      </c>
      <c r="T65" s="66">
        <v>0</v>
      </c>
      <c r="U65" s="66">
        <v>2743.3835948300002</v>
      </c>
      <c r="V65" s="66">
        <v>0.62291523943100002</v>
      </c>
      <c r="W65" s="66">
        <v>9055.2239353000004</v>
      </c>
      <c r="X65" s="66">
        <v>0</v>
      </c>
      <c r="Y65" s="66">
        <v>0</v>
      </c>
      <c r="Z65" s="66">
        <v>0</v>
      </c>
      <c r="AA65" s="66">
        <v>16494.1078825</v>
      </c>
      <c r="AB65" s="66">
        <v>0</v>
      </c>
      <c r="AC65" s="66">
        <v>89.320443019099997</v>
      </c>
      <c r="AD65" s="66">
        <v>0</v>
      </c>
      <c r="AE65" s="66">
        <v>0</v>
      </c>
      <c r="AF65" s="66">
        <v>0</v>
      </c>
      <c r="AG65" s="66">
        <v>0</v>
      </c>
      <c r="AH65" s="66">
        <v>0</v>
      </c>
      <c r="AI65" s="66">
        <v>32921.790564000003</v>
      </c>
      <c r="AJ65" s="66">
        <v>0</v>
      </c>
      <c r="AK65" s="66">
        <v>0</v>
      </c>
      <c r="AL65" s="66">
        <v>646.90104897900005</v>
      </c>
      <c r="AM65" s="66">
        <v>0</v>
      </c>
      <c r="AN65" s="66">
        <v>4663.5979889600003</v>
      </c>
      <c r="AO65" s="66">
        <v>0</v>
      </c>
      <c r="AP65" s="66">
        <v>0</v>
      </c>
      <c r="AQ65" s="66">
        <v>283.63626319600002</v>
      </c>
      <c r="AR65" s="66">
        <v>8.2781911452800006E-3</v>
      </c>
      <c r="AS65" s="66">
        <v>0</v>
      </c>
      <c r="AT65" s="66">
        <v>10787.8616127</v>
      </c>
      <c r="AU65" s="66">
        <v>138.15895032200001</v>
      </c>
      <c r="AV65" s="66">
        <v>9894.3292964499997</v>
      </c>
      <c r="AW65" s="66">
        <v>0</v>
      </c>
      <c r="AX65" s="66">
        <v>13897.5721696</v>
      </c>
      <c r="AY65" s="66">
        <v>206.44944988099999</v>
      </c>
      <c r="AZ65" s="66">
        <v>2768.4737432500001</v>
      </c>
    </row>
    <row r="66" spans="10:52" ht="15" x14ac:dyDescent="0.25">
      <c r="J66" s="67" t="s">
        <v>161</v>
      </c>
      <c r="K66" s="61" t="s">
        <v>125</v>
      </c>
      <c r="L66" s="61" t="s">
        <v>163</v>
      </c>
      <c r="N66" s="66">
        <v>659.17235827000002</v>
      </c>
      <c r="O66" s="66">
        <v>0</v>
      </c>
      <c r="P66" s="66">
        <v>0</v>
      </c>
      <c r="Q66" s="66">
        <v>19.772487035499999</v>
      </c>
      <c r="R66" s="66">
        <v>180.40775524700001</v>
      </c>
      <c r="S66" s="66">
        <v>0</v>
      </c>
      <c r="T66" s="66">
        <v>0</v>
      </c>
      <c r="U66" s="66">
        <v>2743.3835948300002</v>
      </c>
      <c r="V66" s="66">
        <v>0.62291523943100002</v>
      </c>
      <c r="W66" s="66">
        <v>8643.2218099300007</v>
      </c>
      <c r="X66" s="66">
        <v>0</v>
      </c>
      <c r="Y66" s="66">
        <v>0</v>
      </c>
      <c r="Z66" s="66">
        <v>0</v>
      </c>
      <c r="AA66" s="66">
        <v>15089.494607799999</v>
      </c>
      <c r="AB66" s="66">
        <v>0</v>
      </c>
      <c r="AC66" s="66">
        <v>89.320443019099997</v>
      </c>
      <c r="AD66" s="66">
        <v>0</v>
      </c>
      <c r="AE66" s="66">
        <v>0</v>
      </c>
      <c r="AF66" s="66">
        <v>0</v>
      </c>
      <c r="AG66" s="66">
        <v>0</v>
      </c>
      <c r="AH66" s="66">
        <v>0</v>
      </c>
      <c r="AI66" s="66">
        <v>27835.2053304</v>
      </c>
      <c r="AJ66" s="66">
        <v>0</v>
      </c>
      <c r="AK66" s="66">
        <v>0</v>
      </c>
      <c r="AL66" s="66">
        <v>646.90104897900005</v>
      </c>
      <c r="AM66" s="66">
        <v>0</v>
      </c>
      <c r="AN66" s="66">
        <v>4655.6449526400002</v>
      </c>
      <c r="AO66" s="66">
        <v>0</v>
      </c>
      <c r="AP66" s="66">
        <v>0</v>
      </c>
      <c r="AQ66" s="66">
        <v>283.63626319600002</v>
      </c>
      <c r="AR66" s="66">
        <v>8.2781911452800006E-3</v>
      </c>
      <c r="AS66" s="66">
        <v>0</v>
      </c>
      <c r="AT66" s="66">
        <v>10787.8616127</v>
      </c>
      <c r="AU66" s="66">
        <v>138.15895032200001</v>
      </c>
      <c r="AV66" s="66">
        <v>9275.5752005600007</v>
      </c>
      <c r="AW66" s="66">
        <v>0</v>
      </c>
      <c r="AX66" s="66">
        <v>12973.8422405</v>
      </c>
      <c r="AY66" s="66">
        <v>206.44944988099999</v>
      </c>
      <c r="AZ66" s="66">
        <v>2768.4737432500001</v>
      </c>
    </row>
    <row r="67" spans="10:52" ht="15" x14ac:dyDescent="0.25">
      <c r="J67" s="67" t="s">
        <v>161</v>
      </c>
      <c r="K67" s="61" t="s">
        <v>121</v>
      </c>
      <c r="L67" s="61" t="s">
        <v>162</v>
      </c>
      <c r="N67" s="66">
        <v>659.17235827000002</v>
      </c>
      <c r="O67" s="66">
        <v>0</v>
      </c>
      <c r="P67" s="66">
        <v>0</v>
      </c>
      <c r="Q67" s="66">
        <v>19.772487035499999</v>
      </c>
      <c r="R67" s="66">
        <v>180.40775524700001</v>
      </c>
      <c r="S67" s="66">
        <v>0</v>
      </c>
      <c r="T67" s="66">
        <v>0</v>
      </c>
      <c r="U67" s="66">
        <v>2743.3835948300002</v>
      </c>
      <c r="V67" s="66">
        <v>0.62291523943100002</v>
      </c>
      <c r="W67" s="66">
        <v>8922.4677102599999</v>
      </c>
      <c r="X67" s="66">
        <v>0</v>
      </c>
      <c r="Y67" s="66">
        <v>0</v>
      </c>
      <c r="Z67" s="66">
        <v>0</v>
      </c>
      <c r="AA67" s="66">
        <v>16041.510894200001</v>
      </c>
      <c r="AB67" s="66">
        <v>0</v>
      </c>
      <c r="AC67" s="66">
        <v>89.320443019099997</v>
      </c>
      <c r="AD67" s="66">
        <v>0</v>
      </c>
      <c r="AE67" s="66">
        <v>0</v>
      </c>
      <c r="AF67" s="66">
        <v>0</v>
      </c>
      <c r="AG67" s="66">
        <v>0</v>
      </c>
      <c r="AH67" s="66">
        <v>0</v>
      </c>
      <c r="AI67" s="66">
        <v>31282.7809657</v>
      </c>
      <c r="AJ67" s="66">
        <v>0</v>
      </c>
      <c r="AK67" s="66">
        <v>0</v>
      </c>
      <c r="AL67" s="66">
        <v>646.90104897900005</v>
      </c>
      <c r="AM67" s="66">
        <v>0</v>
      </c>
      <c r="AN67" s="66">
        <v>4661.0354360700003</v>
      </c>
      <c r="AO67" s="66">
        <v>0</v>
      </c>
      <c r="AP67" s="66">
        <v>0</v>
      </c>
      <c r="AQ67" s="66">
        <v>283.63626319600002</v>
      </c>
      <c r="AR67" s="66">
        <v>8.2781911452800006E-3</v>
      </c>
      <c r="AS67" s="66">
        <v>0</v>
      </c>
      <c r="AT67" s="66">
        <v>10787.8616127</v>
      </c>
      <c r="AU67" s="66">
        <v>138.15895032200001</v>
      </c>
      <c r="AV67" s="66">
        <v>9694.9533006500005</v>
      </c>
      <c r="AW67" s="66">
        <v>0</v>
      </c>
      <c r="AX67" s="66">
        <v>13599.925506699999</v>
      </c>
      <c r="AY67" s="66">
        <v>206.44944988099999</v>
      </c>
      <c r="AZ67" s="66">
        <v>2768.4737432500001</v>
      </c>
    </row>
    <row r="68" spans="10:52" ht="15" x14ac:dyDescent="0.25">
      <c r="J68" s="67" t="s">
        <v>161</v>
      </c>
      <c r="K68" s="61" t="s">
        <v>122</v>
      </c>
      <c r="L68" s="61" t="s">
        <v>160</v>
      </c>
      <c r="N68" s="66">
        <v>659.17235827000002</v>
      </c>
      <c r="O68" s="66">
        <v>0</v>
      </c>
      <c r="P68" s="66">
        <v>0</v>
      </c>
      <c r="Q68" s="66">
        <v>19.772487035499999</v>
      </c>
      <c r="R68" s="66">
        <v>180.40775524700001</v>
      </c>
      <c r="S68" s="66">
        <v>0</v>
      </c>
      <c r="T68" s="66">
        <v>0</v>
      </c>
      <c r="U68" s="66">
        <v>2743.3835948300002</v>
      </c>
      <c r="V68" s="66">
        <v>0.62291523943100002</v>
      </c>
      <c r="W68" s="66">
        <v>8922.4677102599999</v>
      </c>
      <c r="X68" s="66">
        <v>0</v>
      </c>
      <c r="Y68" s="66">
        <v>0</v>
      </c>
      <c r="Z68" s="66">
        <v>0</v>
      </c>
      <c r="AA68" s="66">
        <v>16041.510894200001</v>
      </c>
      <c r="AB68" s="66">
        <v>0</v>
      </c>
      <c r="AC68" s="66">
        <v>89.320443019099997</v>
      </c>
      <c r="AD68" s="66">
        <v>0</v>
      </c>
      <c r="AE68" s="66">
        <v>0</v>
      </c>
      <c r="AF68" s="66">
        <v>0</v>
      </c>
      <c r="AG68" s="66">
        <v>0</v>
      </c>
      <c r="AH68" s="66">
        <v>0</v>
      </c>
      <c r="AI68" s="66">
        <v>31282.7809657</v>
      </c>
      <c r="AJ68" s="66">
        <v>0</v>
      </c>
      <c r="AK68" s="66">
        <v>0</v>
      </c>
      <c r="AL68" s="66">
        <v>646.90104897900005</v>
      </c>
      <c r="AM68" s="66">
        <v>0</v>
      </c>
      <c r="AN68" s="66">
        <v>4661.0354360700003</v>
      </c>
      <c r="AO68" s="66">
        <v>0</v>
      </c>
      <c r="AP68" s="66">
        <v>0</v>
      </c>
      <c r="AQ68" s="66">
        <v>283.63626319600002</v>
      </c>
      <c r="AR68" s="66">
        <v>8.2781911452800006E-3</v>
      </c>
      <c r="AS68" s="66">
        <v>0</v>
      </c>
      <c r="AT68" s="66">
        <v>10787.8616127</v>
      </c>
      <c r="AU68" s="66">
        <v>138.15895032200001</v>
      </c>
      <c r="AV68" s="66">
        <v>9694.9533006500005</v>
      </c>
      <c r="AW68" s="66">
        <v>0</v>
      </c>
      <c r="AX68" s="66">
        <v>13599.925506699999</v>
      </c>
      <c r="AY68" s="66">
        <v>206.44944988099999</v>
      </c>
      <c r="AZ68" s="66">
        <v>2768.4737432500001</v>
      </c>
    </row>
    <row r="69" spans="10:52" ht="15" x14ac:dyDescent="0.25">
      <c r="J69" s="67" t="s">
        <v>157</v>
      </c>
      <c r="K69" s="61" t="s">
        <v>129</v>
      </c>
      <c r="L69" s="61" t="s">
        <v>159</v>
      </c>
      <c r="N69" s="66">
        <v>344.551519326</v>
      </c>
      <c r="O69" s="66">
        <v>0</v>
      </c>
      <c r="P69" s="66">
        <v>0</v>
      </c>
      <c r="Q69" s="66">
        <v>15.9631913846</v>
      </c>
      <c r="R69" s="66">
        <v>0</v>
      </c>
      <c r="S69" s="66">
        <v>0</v>
      </c>
      <c r="T69" s="66">
        <v>124.231301161</v>
      </c>
      <c r="U69" s="66">
        <v>0</v>
      </c>
      <c r="V69" s="66">
        <v>12.9969162563</v>
      </c>
      <c r="W69" s="66">
        <v>993.30386645700003</v>
      </c>
      <c r="X69" s="66">
        <v>0</v>
      </c>
      <c r="Y69" s="66">
        <v>16.300429203299998</v>
      </c>
      <c r="Z69" s="66">
        <v>0</v>
      </c>
      <c r="AA69" s="66">
        <v>0</v>
      </c>
      <c r="AB69" s="66">
        <v>0</v>
      </c>
      <c r="AC69" s="66">
        <v>0</v>
      </c>
      <c r="AD69" s="66">
        <v>0</v>
      </c>
      <c r="AE69" s="66">
        <v>37.916972954999999</v>
      </c>
      <c r="AF69" s="66">
        <v>0</v>
      </c>
      <c r="AG69" s="66">
        <v>0</v>
      </c>
      <c r="AH69" s="66">
        <v>0</v>
      </c>
      <c r="AI69" s="66">
        <v>109.98945861</v>
      </c>
      <c r="AJ69" s="66">
        <v>0</v>
      </c>
      <c r="AK69" s="66">
        <v>0</v>
      </c>
      <c r="AL69" s="66">
        <v>3151.28528254</v>
      </c>
      <c r="AM69" s="66">
        <v>0</v>
      </c>
      <c r="AN69" s="66">
        <v>2116.40447679</v>
      </c>
      <c r="AO69" s="66">
        <v>0</v>
      </c>
      <c r="AP69" s="66">
        <v>0</v>
      </c>
      <c r="AQ69" s="66">
        <v>938.29207761299995</v>
      </c>
      <c r="AR69" s="66">
        <v>0</v>
      </c>
      <c r="AS69" s="66">
        <v>0</v>
      </c>
      <c r="AT69" s="66">
        <v>24585.574944</v>
      </c>
      <c r="AU69" s="66">
        <v>0</v>
      </c>
      <c r="AV69" s="66">
        <v>0</v>
      </c>
      <c r="AW69" s="66">
        <v>0</v>
      </c>
      <c r="AX69" s="66">
        <v>51.392565860099999</v>
      </c>
      <c r="AY69" s="66">
        <v>0</v>
      </c>
      <c r="AZ69" s="66">
        <v>842.25604822699995</v>
      </c>
    </row>
    <row r="70" spans="10:52" ht="15" x14ac:dyDescent="0.25">
      <c r="J70" s="67" t="s">
        <v>157</v>
      </c>
      <c r="K70" s="61" t="s">
        <v>130</v>
      </c>
      <c r="L70" s="61" t="s">
        <v>158</v>
      </c>
      <c r="N70" s="66">
        <v>344.551519326</v>
      </c>
      <c r="O70" s="66">
        <v>0</v>
      </c>
      <c r="P70" s="66">
        <v>0</v>
      </c>
      <c r="Q70" s="66">
        <v>15.9631913846</v>
      </c>
      <c r="R70" s="66">
        <v>0</v>
      </c>
      <c r="S70" s="66">
        <v>0</v>
      </c>
      <c r="T70" s="66">
        <v>124.231301161</v>
      </c>
      <c r="U70" s="66">
        <v>0</v>
      </c>
      <c r="V70" s="66">
        <v>12.9969162563</v>
      </c>
      <c r="W70" s="66">
        <v>993.30386645700003</v>
      </c>
      <c r="X70" s="66">
        <v>0</v>
      </c>
      <c r="Y70" s="66">
        <v>16.300429203299998</v>
      </c>
      <c r="Z70" s="66">
        <v>0</v>
      </c>
      <c r="AA70" s="66">
        <v>0</v>
      </c>
      <c r="AB70" s="66">
        <v>0</v>
      </c>
      <c r="AC70" s="66">
        <v>0</v>
      </c>
      <c r="AD70" s="66">
        <v>0</v>
      </c>
      <c r="AE70" s="66">
        <v>37.916972954999999</v>
      </c>
      <c r="AF70" s="66">
        <v>0</v>
      </c>
      <c r="AG70" s="66">
        <v>0</v>
      </c>
      <c r="AH70" s="66">
        <v>0</v>
      </c>
      <c r="AI70" s="66">
        <v>109.98945861</v>
      </c>
      <c r="AJ70" s="66">
        <v>0</v>
      </c>
      <c r="AK70" s="66">
        <v>0</v>
      </c>
      <c r="AL70" s="66">
        <v>3151.28528254</v>
      </c>
      <c r="AM70" s="66">
        <v>0</v>
      </c>
      <c r="AN70" s="66">
        <v>2116.40447679</v>
      </c>
      <c r="AO70" s="66">
        <v>0</v>
      </c>
      <c r="AP70" s="66">
        <v>0</v>
      </c>
      <c r="AQ70" s="66">
        <v>938.29207761299995</v>
      </c>
      <c r="AR70" s="66">
        <v>0</v>
      </c>
      <c r="AS70" s="66">
        <v>0</v>
      </c>
      <c r="AT70" s="66">
        <v>24585.574944</v>
      </c>
      <c r="AU70" s="66">
        <v>0</v>
      </c>
      <c r="AV70" s="66">
        <v>0</v>
      </c>
      <c r="AW70" s="66">
        <v>0</v>
      </c>
      <c r="AX70" s="66">
        <v>51.392565860099999</v>
      </c>
      <c r="AY70" s="66">
        <v>0</v>
      </c>
      <c r="AZ70" s="66">
        <v>842.25604822699995</v>
      </c>
    </row>
    <row r="71" spans="10:52" ht="15" x14ac:dyDescent="0.25">
      <c r="J71" s="67" t="s">
        <v>157</v>
      </c>
      <c r="K71" s="61" t="s">
        <v>121</v>
      </c>
      <c r="L71" s="61" t="s">
        <v>156</v>
      </c>
      <c r="N71" s="66">
        <v>344.551519326</v>
      </c>
      <c r="O71" s="66">
        <v>0</v>
      </c>
      <c r="P71" s="66">
        <v>0</v>
      </c>
      <c r="Q71" s="66">
        <v>15.9631913846</v>
      </c>
      <c r="R71" s="66">
        <v>0</v>
      </c>
      <c r="S71" s="66">
        <v>0</v>
      </c>
      <c r="T71" s="66">
        <v>124.231301161</v>
      </c>
      <c r="U71" s="66">
        <v>0</v>
      </c>
      <c r="V71" s="66">
        <v>12.9969162563</v>
      </c>
      <c r="W71" s="66">
        <v>993.30386645700003</v>
      </c>
      <c r="X71" s="66">
        <v>0</v>
      </c>
      <c r="Y71" s="66">
        <v>16.300429203299998</v>
      </c>
      <c r="Z71" s="66">
        <v>0</v>
      </c>
      <c r="AA71" s="66">
        <v>0</v>
      </c>
      <c r="AB71" s="66">
        <v>0</v>
      </c>
      <c r="AC71" s="66">
        <v>0</v>
      </c>
      <c r="AD71" s="66">
        <v>0</v>
      </c>
      <c r="AE71" s="66">
        <v>37.916972954999999</v>
      </c>
      <c r="AF71" s="66">
        <v>0</v>
      </c>
      <c r="AG71" s="66">
        <v>0</v>
      </c>
      <c r="AH71" s="66">
        <v>0</v>
      </c>
      <c r="AI71" s="66">
        <v>109.98945861</v>
      </c>
      <c r="AJ71" s="66">
        <v>0</v>
      </c>
      <c r="AK71" s="66">
        <v>0</v>
      </c>
      <c r="AL71" s="66">
        <v>3151.28528254</v>
      </c>
      <c r="AM71" s="66">
        <v>0</v>
      </c>
      <c r="AN71" s="66">
        <v>2116.40447679</v>
      </c>
      <c r="AO71" s="66">
        <v>0</v>
      </c>
      <c r="AP71" s="66">
        <v>0</v>
      </c>
      <c r="AQ71" s="66">
        <v>938.29207761299995</v>
      </c>
      <c r="AR71" s="66">
        <v>0</v>
      </c>
      <c r="AS71" s="66">
        <v>0</v>
      </c>
      <c r="AT71" s="66">
        <v>24585.574944</v>
      </c>
      <c r="AU71" s="66">
        <v>0</v>
      </c>
      <c r="AV71" s="66">
        <v>0</v>
      </c>
      <c r="AW71" s="66">
        <v>0</v>
      </c>
      <c r="AX71" s="66">
        <v>51.392565860099999</v>
      </c>
      <c r="AY71" s="66">
        <v>0</v>
      </c>
      <c r="AZ71" s="66">
        <v>842.25604822699995</v>
      </c>
    </row>
    <row r="72" spans="10:52" ht="15" x14ac:dyDescent="0.25">
      <c r="J72" s="67" t="s">
        <v>155</v>
      </c>
      <c r="K72" s="61" t="s">
        <v>120</v>
      </c>
      <c r="L72" s="61" t="s">
        <v>154</v>
      </c>
      <c r="N72" s="66">
        <v>344.551519326</v>
      </c>
      <c r="O72" s="66">
        <v>0</v>
      </c>
      <c r="P72" s="66">
        <v>0</v>
      </c>
      <c r="Q72" s="66">
        <v>15.9631913846</v>
      </c>
      <c r="R72" s="66">
        <v>0</v>
      </c>
      <c r="S72" s="66">
        <v>0</v>
      </c>
      <c r="T72" s="66">
        <v>124.231301161</v>
      </c>
      <c r="U72" s="66">
        <v>0</v>
      </c>
      <c r="V72" s="66">
        <v>12.9969162563</v>
      </c>
      <c r="W72" s="66">
        <v>993.30386645700003</v>
      </c>
      <c r="X72" s="66">
        <v>0</v>
      </c>
      <c r="Y72" s="66">
        <v>16.300429203299998</v>
      </c>
      <c r="Z72" s="66">
        <v>0</v>
      </c>
      <c r="AA72" s="66">
        <v>0</v>
      </c>
      <c r="AB72" s="66">
        <v>0</v>
      </c>
      <c r="AC72" s="66">
        <v>0</v>
      </c>
      <c r="AD72" s="66">
        <v>0</v>
      </c>
      <c r="AE72" s="66">
        <v>37.916972954999999</v>
      </c>
      <c r="AF72" s="66">
        <v>0</v>
      </c>
      <c r="AG72" s="66">
        <v>0</v>
      </c>
      <c r="AH72" s="66">
        <v>0</v>
      </c>
      <c r="AI72" s="66">
        <v>109.98945861</v>
      </c>
      <c r="AJ72" s="66">
        <v>0</v>
      </c>
      <c r="AK72" s="66">
        <v>0</v>
      </c>
      <c r="AL72" s="66">
        <v>3151.28528254</v>
      </c>
      <c r="AM72" s="66">
        <v>0</v>
      </c>
      <c r="AN72" s="66">
        <v>2116.40447679</v>
      </c>
      <c r="AO72" s="66">
        <v>0</v>
      </c>
      <c r="AP72" s="66">
        <v>0</v>
      </c>
      <c r="AQ72" s="66">
        <v>938.29207761299995</v>
      </c>
      <c r="AR72" s="66">
        <v>0</v>
      </c>
      <c r="AS72" s="66">
        <v>0</v>
      </c>
      <c r="AT72" s="66">
        <v>24585.574944</v>
      </c>
      <c r="AU72" s="66">
        <v>0</v>
      </c>
      <c r="AV72" s="66">
        <v>0</v>
      </c>
      <c r="AW72" s="66">
        <v>0</v>
      </c>
      <c r="AX72" s="66">
        <v>51.392565860099999</v>
      </c>
      <c r="AY72" s="66">
        <v>0</v>
      </c>
      <c r="AZ72" s="66">
        <v>842.25604822699995</v>
      </c>
    </row>
    <row r="73" spans="10:52" ht="15" x14ac:dyDescent="0.25">
      <c r="J73" s="67" t="s">
        <v>150</v>
      </c>
      <c r="K73" s="61" t="s">
        <v>119</v>
      </c>
      <c r="L73" s="61" t="s">
        <v>153</v>
      </c>
      <c r="N73" s="66">
        <v>2368.66928951</v>
      </c>
      <c r="O73" s="66">
        <v>0</v>
      </c>
      <c r="P73" s="66">
        <v>0</v>
      </c>
      <c r="Q73" s="66">
        <v>0</v>
      </c>
      <c r="R73" s="66">
        <v>0</v>
      </c>
      <c r="S73" s="66">
        <v>0</v>
      </c>
      <c r="T73" s="66">
        <v>629.67978352299997</v>
      </c>
      <c r="U73" s="66">
        <v>0</v>
      </c>
      <c r="V73" s="66">
        <v>0</v>
      </c>
      <c r="W73" s="66">
        <v>6698.7391002000004</v>
      </c>
      <c r="X73" s="66">
        <v>0</v>
      </c>
      <c r="Y73" s="66">
        <v>188.04915365400001</v>
      </c>
      <c r="Z73" s="66">
        <v>0</v>
      </c>
      <c r="AA73" s="66">
        <v>0</v>
      </c>
      <c r="AB73" s="66">
        <v>0</v>
      </c>
      <c r="AC73" s="66">
        <v>5305.9532167999996</v>
      </c>
      <c r="AD73" s="66">
        <v>0</v>
      </c>
      <c r="AE73" s="66">
        <v>454.88433492199999</v>
      </c>
      <c r="AF73" s="66">
        <v>0</v>
      </c>
      <c r="AG73" s="66">
        <v>0</v>
      </c>
      <c r="AH73" s="66">
        <v>0</v>
      </c>
      <c r="AI73" s="66">
        <v>0</v>
      </c>
      <c r="AJ73" s="66">
        <v>0</v>
      </c>
      <c r="AK73" s="66">
        <v>0</v>
      </c>
      <c r="AL73" s="66">
        <v>0</v>
      </c>
      <c r="AM73" s="66">
        <v>0</v>
      </c>
      <c r="AN73" s="66">
        <v>5042.8584084599997</v>
      </c>
      <c r="AO73" s="66">
        <v>0</v>
      </c>
      <c r="AP73" s="66">
        <v>0</v>
      </c>
      <c r="AQ73" s="66">
        <v>0</v>
      </c>
      <c r="AR73" s="66">
        <v>0</v>
      </c>
      <c r="AS73" s="66">
        <v>0</v>
      </c>
      <c r="AT73" s="66">
        <v>0</v>
      </c>
      <c r="AU73" s="66">
        <v>0</v>
      </c>
      <c r="AV73" s="66">
        <v>0</v>
      </c>
      <c r="AW73" s="66">
        <v>0</v>
      </c>
      <c r="AX73" s="66">
        <v>0</v>
      </c>
      <c r="AY73" s="66">
        <v>0</v>
      </c>
      <c r="AZ73" s="66">
        <v>0</v>
      </c>
    </row>
    <row r="74" spans="10:52" ht="15" x14ac:dyDescent="0.25">
      <c r="J74" s="67" t="s">
        <v>150</v>
      </c>
      <c r="K74" s="61" t="s">
        <v>118</v>
      </c>
      <c r="L74" s="61" t="s">
        <v>152</v>
      </c>
      <c r="N74" s="66">
        <v>2368.66928951</v>
      </c>
      <c r="O74" s="66">
        <v>0</v>
      </c>
      <c r="P74" s="66">
        <v>0</v>
      </c>
      <c r="Q74" s="66">
        <v>0</v>
      </c>
      <c r="R74" s="66">
        <v>0</v>
      </c>
      <c r="S74" s="66">
        <v>0</v>
      </c>
      <c r="T74" s="66">
        <v>629.67978352299997</v>
      </c>
      <c r="U74" s="66">
        <v>0</v>
      </c>
      <c r="V74" s="66">
        <v>0</v>
      </c>
      <c r="W74" s="66">
        <v>6698.7391002000004</v>
      </c>
      <c r="X74" s="66">
        <v>0</v>
      </c>
      <c r="Y74" s="66">
        <v>188.04915365400001</v>
      </c>
      <c r="Z74" s="66">
        <v>0</v>
      </c>
      <c r="AA74" s="66">
        <v>0</v>
      </c>
      <c r="AB74" s="66">
        <v>0</v>
      </c>
      <c r="AC74" s="66">
        <v>5305.9532167999996</v>
      </c>
      <c r="AD74" s="66">
        <v>0</v>
      </c>
      <c r="AE74" s="66">
        <v>454.88433492199999</v>
      </c>
      <c r="AF74" s="66">
        <v>0</v>
      </c>
      <c r="AG74" s="66">
        <v>0</v>
      </c>
      <c r="AH74" s="66">
        <v>0</v>
      </c>
      <c r="AI74" s="66">
        <v>0</v>
      </c>
      <c r="AJ74" s="66">
        <v>0</v>
      </c>
      <c r="AK74" s="66">
        <v>0</v>
      </c>
      <c r="AL74" s="66">
        <v>0</v>
      </c>
      <c r="AM74" s="66">
        <v>0</v>
      </c>
      <c r="AN74" s="66">
        <v>5042.8584084599997</v>
      </c>
      <c r="AO74" s="66">
        <v>0</v>
      </c>
      <c r="AP74" s="66">
        <v>0</v>
      </c>
      <c r="AQ74" s="66">
        <v>0</v>
      </c>
      <c r="AR74" s="66">
        <v>0</v>
      </c>
      <c r="AS74" s="66">
        <v>0</v>
      </c>
      <c r="AT74" s="66">
        <v>0</v>
      </c>
      <c r="AU74" s="66">
        <v>0</v>
      </c>
      <c r="AV74" s="66">
        <v>0</v>
      </c>
      <c r="AW74" s="66">
        <v>0</v>
      </c>
      <c r="AX74" s="66">
        <v>0</v>
      </c>
      <c r="AY74" s="66">
        <v>0</v>
      </c>
      <c r="AZ74" s="66">
        <v>0</v>
      </c>
    </row>
    <row r="75" spans="10:52" ht="15" x14ac:dyDescent="0.25">
      <c r="J75" s="67" t="s">
        <v>150</v>
      </c>
      <c r="K75" s="61" t="s">
        <v>117</v>
      </c>
      <c r="L75" s="61" t="s">
        <v>151</v>
      </c>
      <c r="N75" s="66">
        <v>2368.66928951</v>
      </c>
      <c r="O75" s="66">
        <v>0</v>
      </c>
      <c r="P75" s="66">
        <v>0</v>
      </c>
      <c r="Q75" s="66">
        <v>0</v>
      </c>
      <c r="R75" s="66">
        <v>0</v>
      </c>
      <c r="S75" s="66">
        <v>0</v>
      </c>
      <c r="T75" s="66">
        <v>629.67978352299997</v>
      </c>
      <c r="U75" s="66">
        <v>0</v>
      </c>
      <c r="V75" s="66">
        <v>0</v>
      </c>
      <c r="W75" s="66">
        <v>6698.7391002000004</v>
      </c>
      <c r="X75" s="66">
        <v>0</v>
      </c>
      <c r="Y75" s="66">
        <v>188.04915365400001</v>
      </c>
      <c r="Z75" s="66">
        <v>0</v>
      </c>
      <c r="AA75" s="66">
        <v>0</v>
      </c>
      <c r="AB75" s="66">
        <v>0</v>
      </c>
      <c r="AC75" s="66">
        <v>5305.9532167999996</v>
      </c>
      <c r="AD75" s="66">
        <v>0</v>
      </c>
      <c r="AE75" s="66">
        <v>454.88433492199999</v>
      </c>
      <c r="AF75" s="66">
        <v>0</v>
      </c>
      <c r="AG75" s="66">
        <v>0</v>
      </c>
      <c r="AH75" s="66">
        <v>0</v>
      </c>
      <c r="AI75" s="66">
        <v>0</v>
      </c>
      <c r="AJ75" s="66">
        <v>0</v>
      </c>
      <c r="AK75" s="66">
        <v>0</v>
      </c>
      <c r="AL75" s="66">
        <v>0</v>
      </c>
      <c r="AM75" s="66">
        <v>0</v>
      </c>
      <c r="AN75" s="66">
        <v>5042.8584084599997</v>
      </c>
      <c r="AO75" s="66">
        <v>0</v>
      </c>
      <c r="AP75" s="66">
        <v>0</v>
      </c>
      <c r="AQ75" s="66">
        <v>0</v>
      </c>
      <c r="AR75" s="66">
        <v>0</v>
      </c>
      <c r="AS75" s="66">
        <v>0</v>
      </c>
      <c r="AT75" s="66">
        <v>0</v>
      </c>
      <c r="AU75" s="66">
        <v>0</v>
      </c>
      <c r="AV75" s="66">
        <v>0</v>
      </c>
      <c r="AW75" s="66">
        <v>0</v>
      </c>
      <c r="AX75" s="66">
        <v>0</v>
      </c>
      <c r="AY75" s="66">
        <v>0</v>
      </c>
      <c r="AZ75" s="66">
        <v>0</v>
      </c>
    </row>
    <row r="76" spans="10:52" ht="15" x14ac:dyDescent="0.25">
      <c r="J76" s="67" t="s">
        <v>150</v>
      </c>
      <c r="K76" s="61" t="s">
        <v>129</v>
      </c>
      <c r="L76" s="61" t="s">
        <v>149</v>
      </c>
      <c r="N76" s="66">
        <v>2368.66928951</v>
      </c>
      <c r="O76" s="66">
        <v>0</v>
      </c>
      <c r="P76" s="66">
        <v>0</v>
      </c>
      <c r="Q76" s="66">
        <v>0</v>
      </c>
      <c r="R76" s="66">
        <v>0</v>
      </c>
      <c r="S76" s="66">
        <v>0</v>
      </c>
      <c r="T76" s="66">
        <v>629.67978352299997</v>
      </c>
      <c r="U76" s="66">
        <v>0</v>
      </c>
      <c r="V76" s="66">
        <v>0</v>
      </c>
      <c r="W76" s="66">
        <v>6698.7391002000004</v>
      </c>
      <c r="X76" s="66">
        <v>0</v>
      </c>
      <c r="Y76" s="66">
        <v>188.04915365400001</v>
      </c>
      <c r="Z76" s="66">
        <v>0</v>
      </c>
      <c r="AA76" s="66">
        <v>0</v>
      </c>
      <c r="AB76" s="66">
        <v>0</v>
      </c>
      <c r="AC76" s="66">
        <v>5305.9532167999996</v>
      </c>
      <c r="AD76" s="66">
        <v>0</v>
      </c>
      <c r="AE76" s="66">
        <v>454.88433492199999</v>
      </c>
      <c r="AF76" s="66">
        <v>0</v>
      </c>
      <c r="AG76" s="66">
        <v>0</v>
      </c>
      <c r="AH76" s="66">
        <v>0</v>
      </c>
      <c r="AI76" s="66">
        <v>0</v>
      </c>
      <c r="AJ76" s="66">
        <v>0</v>
      </c>
      <c r="AK76" s="66">
        <v>0</v>
      </c>
      <c r="AL76" s="66">
        <v>0</v>
      </c>
      <c r="AM76" s="66">
        <v>0</v>
      </c>
      <c r="AN76" s="66">
        <v>5042.8584084599997</v>
      </c>
      <c r="AO76" s="66">
        <v>0</v>
      </c>
      <c r="AP76" s="66">
        <v>0</v>
      </c>
      <c r="AQ76" s="66">
        <v>0</v>
      </c>
      <c r="AR76" s="66">
        <v>0</v>
      </c>
      <c r="AS76" s="66">
        <v>0</v>
      </c>
      <c r="AT76" s="66">
        <v>0</v>
      </c>
      <c r="AU76" s="66">
        <v>0</v>
      </c>
      <c r="AV76" s="66">
        <v>0</v>
      </c>
      <c r="AW76" s="66">
        <v>0</v>
      </c>
      <c r="AX76" s="66">
        <v>0</v>
      </c>
      <c r="AY76" s="66">
        <v>0</v>
      </c>
      <c r="AZ76" s="66">
        <v>0</v>
      </c>
    </row>
    <row r="77" spans="10:52" ht="15" x14ac:dyDescent="0.25">
      <c r="J77" s="67" t="s">
        <v>145</v>
      </c>
      <c r="K77" s="61" t="s">
        <v>116</v>
      </c>
      <c r="L77" s="61" t="s">
        <v>148</v>
      </c>
      <c r="N77" s="66">
        <v>80038.049842299995</v>
      </c>
      <c r="O77" s="66">
        <v>6387.6540948000002</v>
      </c>
      <c r="P77" s="66">
        <v>82453.997473299998</v>
      </c>
      <c r="Q77" s="66">
        <v>78338.792390000002</v>
      </c>
      <c r="R77" s="66">
        <v>0</v>
      </c>
      <c r="S77" s="66">
        <v>0</v>
      </c>
      <c r="T77" s="66">
        <v>24950.209238899999</v>
      </c>
      <c r="U77" s="66">
        <v>0</v>
      </c>
      <c r="V77" s="66">
        <v>0</v>
      </c>
      <c r="W77" s="66">
        <v>2630.4212533800001</v>
      </c>
      <c r="X77" s="66">
        <v>622.70531583499996</v>
      </c>
      <c r="Y77" s="66">
        <v>2697.5766294499999</v>
      </c>
      <c r="Z77" s="66">
        <v>0</v>
      </c>
      <c r="AA77" s="66">
        <v>4192.4030801999997</v>
      </c>
      <c r="AB77" s="66">
        <v>2842.0771120600002</v>
      </c>
      <c r="AC77" s="66">
        <v>0</v>
      </c>
      <c r="AD77" s="66">
        <v>0</v>
      </c>
      <c r="AE77" s="66">
        <v>3546.8311702300002</v>
      </c>
      <c r="AF77" s="66">
        <v>4.9945844519299998</v>
      </c>
      <c r="AG77" s="66">
        <v>15.2160699363</v>
      </c>
      <c r="AH77" s="66">
        <v>0</v>
      </c>
      <c r="AI77" s="66">
        <v>0</v>
      </c>
      <c r="AJ77" s="66">
        <v>886.29717532300003</v>
      </c>
      <c r="AK77" s="66">
        <v>110323.30044799999</v>
      </c>
      <c r="AL77" s="66">
        <v>17669.667168600001</v>
      </c>
      <c r="AM77" s="66">
        <v>10311.353926100001</v>
      </c>
      <c r="AN77" s="66">
        <v>5345.8310478599997</v>
      </c>
      <c r="AO77" s="66">
        <v>778.38257997200003</v>
      </c>
      <c r="AP77" s="66">
        <v>0</v>
      </c>
      <c r="AQ77" s="66">
        <v>0</v>
      </c>
      <c r="AR77" s="66">
        <v>511.60124656199997</v>
      </c>
      <c r="AS77" s="66">
        <v>5063.41229337</v>
      </c>
      <c r="AT77" s="66">
        <v>10970.7038428</v>
      </c>
      <c r="AU77" s="66">
        <v>0</v>
      </c>
      <c r="AV77" s="66">
        <v>3085.7164925400002</v>
      </c>
      <c r="AW77" s="66">
        <v>33755.4349047</v>
      </c>
      <c r="AX77" s="66">
        <v>5751.8919634000003</v>
      </c>
      <c r="AY77" s="66">
        <v>0</v>
      </c>
      <c r="AZ77" s="66">
        <v>0</v>
      </c>
    </row>
    <row r="78" spans="10:52" ht="15" x14ac:dyDescent="0.25">
      <c r="J78" s="67" t="s">
        <v>145</v>
      </c>
      <c r="K78" s="61" t="s">
        <v>118</v>
      </c>
      <c r="L78" s="61" t="s">
        <v>147</v>
      </c>
      <c r="N78" s="66">
        <v>80038.049842299995</v>
      </c>
      <c r="O78" s="66">
        <v>6387.6540948000002</v>
      </c>
      <c r="P78" s="66">
        <v>82453.997473299998</v>
      </c>
      <c r="Q78" s="66">
        <v>78338.792390000002</v>
      </c>
      <c r="R78" s="66">
        <v>0</v>
      </c>
      <c r="S78" s="66">
        <v>0</v>
      </c>
      <c r="T78" s="66">
        <v>24950.209238899999</v>
      </c>
      <c r="U78" s="66">
        <v>0</v>
      </c>
      <c r="V78" s="66">
        <v>0</v>
      </c>
      <c r="W78" s="66">
        <v>2630.4212533800001</v>
      </c>
      <c r="X78" s="66">
        <v>622.70531583499996</v>
      </c>
      <c r="Y78" s="66">
        <v>2697.5766294499999</v>
      </c>
      <c r="Z78" s="66">
        <v>0</v>
      </c>
      <c r="AA78" s="66">
        <v>4192.4030801999997</v>
      </c>
      <c r="AB78" s="66">
        <v>2842.0771120600002</v>
      </c>
      <c r="AC78" s="66">
        <v>0</v>
      </c>
      <c r="AD78" s="66">
        <v>0</v>
      </c>
      <c r="AE78" s="66">
        <v>3546.8311702300002</v>
      </c>
      <c r="AF78" s="66">
        <v>4.9945844519299998</v>
      </c>
      <c r="AG78" s="66">
        <v>15.2160699363</v>
      </c>
      <c r="AH78" s="66">
        <v>0</v>
      </c>
      <c r="AI78" s="66">
        <v>0</v>
      </c>
      <c r="AJ78" s="66">
        <v>886.29717532300003</v>
      </c>
      <c r="AK78" s="66">
        <v>110323.30044799999</v>
      </c>
      <c r="AL78" s="66">
        <v>17669.667168600001</v>
      </c>
      <c r="AM78" s="66">
        <v>10311.353926100001</v>
      </c>
      <c r="AN78" s="66">
        <v>5345.8310478599997</v>
      </c>
      <c r="AO78" s="66">
        <v>778.38257997200003</v>
      </c>
      <c r="AP78" s="66">
        <v>0</v>
      </c>
      <c r="AQ78" s="66">
        <v>0</v>
      </c>
      <c r="AR78" s="66">
        <v>511.60124656199997</v>
      </c>
      <c r="AS78" s="66">
        <v>5063.41229337</v>
      </c>
      <c r="AT78" s="66">
        <v>10970.7038428</v>
      </c>
      <c r="AU78" s="66">
        <v>0</v>
      </c>
      <c r="AV78" s="66">
        <v>3085.7164925400002</v>
      </c>
      <c r="AW78" s="66">
        <v>33755.4349047</v>
      </c>
      <c r="AX78" s="66">
        <v>5751.8919634000003</v>
      </c>
      <c r="AY78" s="66">
        <v>0</v>
      </c>
      <c r="AZ78" s="66">
        <v>0</v>
      </c>
    </row>
    <row r="79" spans="10:52" ht="15" x14ac:dyDescent="0.25">
      <c r="J79" s="67" t="s">
        <v>145</v>
      </c>
      <c r="K79" s="61" t="s">
        <v>118</v>
      </c>
      <c r="L79" s="61" t="s">
        <v>146</v>
      </c>
      <c r="N79" s="66">
        <v>60088.898749699998</v>
      </c>
      <c r="O79" s="66">
        <v>4438.17680079</v>
      </c>
      <c r="P79" s="66">
        <v>0</v>
      </c>
      <c r="Q79" s="66">
        <v>78204.143013099994</v>
      </c>
      <c r="R79" s="66">
        <v>0</v>
      </c>
      <c r="S79" s="66">
        <v>0</v>
      </c>
      <c r="T79" s="66">
        <v>24950.209238899999</v>
      </c>
      <c r="U79" s="66">
        <v>0</v>
      </c>
      <c r="V79" s="66">
        <v>0</v>
      </c>
      <c r="W79" s="66">
        <v>2630.4212533800001</v>
      </c>
      <c r="X79" s="66">
        <v>622.70531583499996</v>
      </c>
      <c r="Y79" s="66">
        <v>2697.5766294499999</v>
      </c>
      <c r="Z79" s="66">
        <v>0</v>
      </c>
      <c r="AA79" s="66">
        <v>4192.4030801999997</v>
      </c>
      <c r="AB79" s="66">
        <v>0</v>
      </c>
      <c r="AC79" s="66">
        <v>0</v>
      </c>
      <c r="AD79" s="66">
        <v>0</v>
      </c>
      <c r="AE79" s="66">
        <v>3546.8311702300002</v>
      </c>
      <c r="AF79" s="66">
        <v>4.9945844519299998</v>
      </c>
      <c r="AG79" s="66">
        <v>15.2160699363</v>
      </c>
      <c r="AH79" s="66">
        <v>0</v>
      </c>
      <c r="AI79" s="66">
        <v>0</v>
      </c>
      <c r="AJ79" s="66">
        <v>886.29717532300003</v>
      </c>
      <c r="AK79" s="66">
        <v>0</v>
      </c>
      <c r="AL79" s="66">
        <v>5.5060184865600003E-3</v>
      </c>
      <c r="AM79" s="66">
        <v>10311.353926100001</v>
      </c>
      <c r="AN79" s="66">
        <v>1162.5899218300001</v>
      </c>
      <c r="AO79" s="66">
        <v>778.38257997200003</v>
      </c>
      <c r="AP79" s="66">
        <v>0</v>
      </c>
      <c r="AQ79" s="66">
        <v>0</v>
      </c>
      <c r="AR79" s="66">
        <v>0</v>
      </c>
      <c r="AS79" s="66">
        <v>0</v>
      </c>
      <c r="AT79" s="66">
        <v>0</v>
      </c>
      <c r="AU79" s="66">
        <v>0</v>
      </c>
      <c r="AV79" s="66">
        <v>3085.7164925400002</v>
      </c>
      <c r="AW79" s="66">
        <v>0</v>
      </c>
      <c r="AX79" s="66">
        <v>5751.8919634000003</v>
      </c>
      <c r="AY79" s="66">
        <v>0</v>
      </c>
      <c r="AZ79" s="66">
        <v>0</v>
      </c>
    </row>
    <row r="80" spans="10:52" ht="15" x14ac:dyDescent="0.25">
      <c r="J80" s="67" t="s">
        <v>145</v>
      </c>
      <c r="K80" s="61" t="s">
        <v>117</v>
      </c>
      <c r="L80" s="61" t="s">
        <v>144</v>
      </c>
      <c r="N80" s="66">
        <v>80038.049842299995</v>
      </c>
      <c r="O80" s="66">
        <v>6387.6540948000002</v>
      </c>
      <c r="P80" s="66">
        <v>82453.997473299998</v>
      </c>
      <c r="Q80" s="66">
        <v>78338.792390000002</v>
      </c>
      <c r="R80" s="66">
        <v>0</v>
      </c>
      <c r="S80" s="66">
        <v>0</v>
      </c>
      <c r="T80" s="66">
        <v>24950.209238899999</v>
      </c>
      <c r="U80" s="66">
        <v>0</v>
      </c>
      <c r="V80" s="66">
        <v>0</v>
      </c>
      <c r="W80" s="66">
        <v>2630.4212533800001</v>
      </c>
      <c r="X80" s="66">
        <v>622.70531583499996</v>
      </c>
      <c r="Y80" s="66">
        <v>2697.5766294499999</v>
      </c>
      <c r="Z80" s="66">
        <v>0</v>
      </c>
      <c r="AA80" s="66">
        <v>4192.4030801999997</v>
      </c>
      <c r="AB80" s="66">
        <v>2842.0771120600002</v>
      </c>
      <c r="AC80" s="66">
        <v>0</v>
      </c>
      <c r="AD80" s="66">
        <v>0</v>
      </c>
      <c r="AE80" s="66">
        <v>3546.8311702300002</v>
      </c>
      <c r="AF80" s="66">
        <v>4.9945844519299998</v>
      </c>
      <c r="AG80" s="66">
        <v>15.2160699363</v>
      </c>
      <c r="AH80" s="66">
        <v>0</v>
      </c>
      <c r="AI80" s="66">
        <v>0</v>
      </c>
      <c r="AJ80" s="66">
        <v>886.29717532300003</v>
      </c>
      <c r="AK80" s="66">
        <v>110323.30044799999</v>
      </c>
      <c r="AL80" s="66">
        <v>17669.667168600001</v>
      </c>
      <c r="AM80" s="66">
        <v>10311.353926100001</v>
      </c>
      <c r="AN80" s="66">
        <v>5345.8310478599997</v>
      </c>
      <c r="AO80" s="66">
        <v>778.38257997200003</v>
      </c>
      <c r="AP80" s="66">
        <v>0</v>
      </c>
      <c r="AQ80" s="66">
        <v>0</v>
      </c>
      <c r="AR80" s="66">
        <v>511.60124656199997</v>
      </c>
      <c r="AS80" s="66">
        <v>5063.41229337</v>
      </c>
      <c r="AT80" s="66">
        <v>10970.7038428</v>
      </c>
      <c r="AU80" s="66">
        <v>0</v>
      </c>
      <c r="AV80" s="66">
        <v>3085.7164925400002</v>
      </c>
      <c r="AW80" s="66">
        <v>33755.4349047</v>
      </c>
      <c r="AX80" s="66">
        <v>5751.8919634000003</v>
      </c>
      <c r="AY80" s="66">
        <v>0</v>
      </c>
      <c r="AZ80" s="66">
        <v>0</v>
      </c>
    </row>
    <row r="81" spans="10:52" ht="15" x14ac:dyDescent="0.25">
      <c r="J81" s="67" t="s">
        <v>143</v>
      </c>
      <c r="L81" s="61" t="s">
        <v>142</v>
      </c>
      <c r="N81" s="66">
        <v>6016.3996869800003</v>
      </c>
      <c r="O81" s="66">
        <v>0</v>
      </c>
      <c r="P81" s="66">
        <v>0</v>
      </c>
      <c r="Q81" s="66">
        <v>278.741886378</v>
      </c>
      <c r="R81" s="66">
        <v>0</v>
      </c>
      <c r="S81" s="66">
        <v>0</v>
      </c>
      <c r="T81" s="66">
        <v>2169.2697850300001</v>
      </c>
      <c r="U81" s="66">
        <v>0</v>
      </c>
      <c r="V81" s="66">
        <v>157.78448179</v>
      </c>
      <c r="W81" s="66">
        <v>17344.615242700002</v>
      </c>
      <c r="X81" s="66">
        <v>1489.04315898</v>
      </c>
      <c r="Y81" s="66">
        <v>284.630601705</v>
      </c>
      <c r="Z81" s="66">
        <v>0</v>
      </c>
      <c r="AA81" s="66">
        <v>3401.62299338</v>
      </c>
      <c r="AB81" s="66">
        <v>0</v>
      </c>
      <c r="AC81" s="66">
        <v>0</v>
      </c>
      <c r="AD81" s="66">
        <v>0</v>
      </c>
      <c r="AE81" s="66">
        <v>662.08874781999998</v>
      </c>
      <c r="AF81" s="66">
        <v>0</v>
      </c>
      <c r="AG81" s="66">
        <v>3663.2781517200001</v>
      </c>
      <c r="AH81" s="66">
        <v>0</v>
      </c>
      <c r="AI81" s="66">
        <v>1920.5852153000001</v>
      </c>
      <c r="AJ81" s="66">
        <v>0</v>
      </c>
      <c r="AK81" s="66">
        <v>0</v>
      </c>
      <c r="AL81" s="66">
        <v>0</v>
      </c>
      <c r="AM81" s="66">
        <v>22327.938644999998</v>
      </c>
      <c r="AN81" s="66">
        <v>36955.682368000002</v>
      </c>
      <c r="AO81" s="66">
        <v>0</v>
      </c>
      <c r="AP81" s="66">
        <v>0</v>
      </c>
      <c r="AQ81" s="66">
        <v>0</v>
      </c>
      <c r="AR81" s="66">
        <v>0</v>
      </c>
      <c r="AS81" s="66">
        <v>0</v>
      </c>
      <c r="AT81" s="66">
        <v>0</v>
      </c>
      <c r="AU81" s="66">
        <v>0</v>
      </c>
      <c r="AV81" s="66">
        <v>0</v>
      </c>
      <c r="AW81" s="66">
        <v>0</v>
      </c>
      <c r="AX81" s="66">
        <v>1267.2054662999999</v>
      </c>
      <c r="AY81" s="66">
        <v>0</v>
      </c>
      <c r="AZ81" s="66">
        <v>0</v>
      </c>
    </row>
    <row r="82" spans="10:52" ht="15" x14ac:dyDescent="0.25">
      <c r="J82" s="67" t="s">
        <v>141</v>
      </c>
      <c r="L82" s="61" t="s">
        <v>140</v>
      </c>
      <c r="N82" s="66">
        <v>0</v>
      </c>
      <c r="O82" s="66">
        <v>0</v>
      </c>
      <c r="P82" s="66">
        <v>0</v>
      </c>
      <c r="Q82" s="66">
        <v>0</v>
      </c>
      <c r="R82" s="66">
        <v>0</v>
      </c>
      <c r="S82" s="66">
        <v>0</v>
      </c>
      <c r="T82" s="66">
        <v>0</v>
      </c>
      <c r="U82" s="66">
        <v>0</v>
      </c>
      <c r="V82" s="66">
        <v>0</v>
      </c>
      <c r="W82" s="66">
        <v>0</v>
      </c>
      <c r="X82" s="66">
        <v>9.9315032950899997</v>
      </c>
      <c r="Y82" s="66">
        <v>0</v>
      </c>
      <c r="Z82" s="66">
        <v>0</v>
      </c>
      <c r="AA82" s="66">
        <v>2467.1111543100001</v>
      </c>
      <c r="AB82" s="66">
        <v>0</v>
      </c>
      <c r="AC82" s="66">
        <v>0</v>
      </c>
      <c r="AD82" s="66">
        <v>0</v>
      </c>
      <c r="AE82" s="66">
        <v>0</v>
      </c>
      <c r="AF82" s="66">
        <v>0</v>
      </c>
      <c r="AG82" s="66">
        <v>594.40711089299998</v>
      </c>
      <c r="AH82" s="66">
        <v>0</v>
      </c>
      <c r="AI82" s="66">
        <v>0</v>
      </c>
      <c r="AJ82" s="66">
        <v>0</v>
      </c>
      <c r="AK82" s="66">
        <v>0</v>
      </c>
      <c r="AL82" s="66">
        <v>0</v>
      </c>
      <c r="AM82" s="66">
        <v>8215.1509056600007</v>
      </c>
      <c r="AN82" s="66">
        <v>0</v>
      </c>
      <c r="AO82" s="66">
        <v>0</v>
      </c>
      <c r="AP82" s="66">
        <v>0</v>
      </c>
      <c r="AQ82" s="66">
        <v>0</v>
      </c>
      <c r="AR82" s="66">
        <v>0</v>
      </c>
      <c r="AS82" s="66">
        <v>0</v>
      </c>
      <c r="AT82" s="66">
        <v>0</v>
      </c>
      <c r="AU82" s="66">
        <v>0</v>
      </c>
      <c r="AV82" s="66">
        <v>0</v>
      </c>
      <c r="AW82" s="66">
        <v>0</v>
      </c>
      <c r="AX82" s="66">
        <v>268.21540891400002</v>
      </c>
      <c r="AY82" s="66">
        <v>0</v>
      </c>
      <c r="AZ82" s="66">
        <v>0</v>
      </c>
    </row>
    <row r="83" spans="10:52" ht="15" x14ac:dyDescent="0.25">
      <c r="L83" s="61" t="s">
        <v>139</v>
      </c>
      <c r="N83" s="66">
        <v>1831272.09592</v>
      </c>
      <c r="O83" s="66">
        <v>88093.854007600006</v>
      </c>
      <c r="P83" s="66">
        <v>25.690746785399998</v>
      </c>
      <c r="Q83" s="66">
        <v>179505.96259800001</v>
      </c>
      <c r="R83" s="66">
        <v>89374.628920400006</v>
      </c>
      <c r="S83" s="66">
        <v>1767.8316558500001</v>
      </c>
      <c r="T83" s="66">
        <v>549087.28270500002</v>
      </c>
      <c r="U83" s="66">
        <v>86994.156458199999</v>
      </c>
      <c r="V83" s="66">
        <v>21783.507186399998</v>
      </c>
      <c r="W83" s="66">
        <v>167477.659625</v>
      </c>
      <c r="X83" s="66">
        <v>201971.62666499999</v>
      </c>
      <c r="Y83" s="66">
        <v>90167.736764600006</v>
      </c>
      <c r="Z83" s="66">
        <v>78011.959132699994</v>
      </c>
      <c r="AA83" s="66">
        <v>94464.450913799999</v>
      </c>
      <c r="AB83" s="66">
        <v>15133.0559775</v>
      </c>
      <c r="AC83" s="66">
        <v>28638.2850421</v>
      </c>
      <c r="AD83" s="66">
        <v>1431.62904901</v>
      </c>
      <c r="AE83" s="66">
        <v>247896.55134199999</v>
      </c>
      <c r="AF83" s="66">
        <v>1933.1263732100001</v>
      </c>
      <c r="AG83" s="66">
        <v>68341.4139631</v>
      </c>
      <c r="AH83" s="66">
        <v>2103.7879336999999</v>
      </c>
      <c r="AI83" s="66">
        <v>25586.896390999998</v>
      </c>
      <c r="AJ83" s="66">
        <v>92054.905709700004</v>
      </c>
      <c r="AK83" s="66">
        <v>991.69225047899999</v>
      </c>
      <c r="AL83" s="66">
        <v>203056.88464199999</v>
      </c>
      <c r="AM83" s="66">
        <v>1731630.8057899999</v>
      </c>
      <c r="AN83" s="66">
        <v>291590.12362299999</v>
      </c>
      <c r="AO83" s="66">
        <v>15661.3913873</v>
      </c>
      <c r="AP83" s="66">
        <v>1396.5774205099999</v>
      </c>
      <c r="AQ83" s="66">
        <v>4474.9734448700001</v>
      </c>
      <c r="AR83" s="66">
        <v>39232.518251300004</v>
      </c>
      <c r="AS83" s="66">
        <v>0.22605724101499999</v>
      </c>
      <c r="AT83" s="66">
        <v>73639.876257299999</v>
      </c>
      <c r="AU83" s="66">
        <v>8316.1216415899999</v>
      </c>
      <c r="AV83" s="66">
        <v>47802.926147500002</v>
      </c>
      <c r="AW83" s="66">
        <v>17836.180942399998</v>
      </c>
      <c r="AX83" s="66">
        <v>125051.682699</v>
      </c>
      <c r="AY83" s="66">
        <v>25266.710700200001</v>
      </c>
      <c r="AZ83" s="66">
        <v>35651.603691600001</v>
      </c>
    </row>
    <row r="84" spans="10:52" x14ac:dyDescent="0.2">
      <c r="J84" s="67" t="s">
        <v>138</v>
      </c>
      <c r="N84" s="65">
        <f t="shared" ref="N84:AZ84" si="0">SUM(N53:N83)</f>
        <v>2756602.6602891916</v>
      </c>
      <c r="O84" s="65">
        <f t="shared" si="0"/>
        <v>170646.38392745002</v>
      </c>
      <c r="P84" s="65">
        <f t="shared" si="0"/>
        <v>457446.55822371633</v>
      </c>
      <c r="Q84" s="65">
        <f t="shared" si="0"/>
        <v>742476.09024680196</v>
      </c>
      <c r="R84" s="65">
        <f t="shared" si="0"/>
        <v>1110476.3994875224</v>
      </c>
      <c r="S84" s="65">
        <f t="shared" si="0"/>
        <v>1767.8316558500001</v>
      </c>
      <c r="T84" s="65">
        <f t="shared" si="0"/>
        <v>796428.29225835216</v>
      </c>
      <c r="U84" s="65">
        <f t="shared" si="0"/>
        <v>1680703.0915442575</v>
      </c>
      <c r="V84" s="65">
        <f t="shared" si="0"/>
        <v>424211.72198379826</v>
      </c>
      <c r="W84" s="65">
        <f t="shared" si="0"/>
        <v>776482.90744974534</v>
      </c>
      <c r="X84" s="65">
        <f t="shared" si="0"/>
        <v>205967.80282930995</v>
      </c>
      <c r="Y84" s="65">
        <f t="shared" si="0"/>
        <v>107452.87872977875</v>
      </c>
      <c r="Z84" s="65">
        <f t="shared" si="0"/>
        <v>803861.67395830364</v>
      </c>
      <c r="AA84" s="65">
        <f t="shared" si="0"/>
        <v>883243.32392972976</v>
      </c>
      <c r="AB84" s="65">
        <f t="shared" si="0"/>
        <v>241110.42395114066</v>
      </c>
      <c r="AC84" s="65">
        <f t="shared" si="0"/>
        <v>174320.69875089638</v>
      </c>
      <c r="AD84" s="65">
        <f t="shared" si="0"/>
        <v>1431.62904901</v>
      </c>
      <c r="AE84" s="65">
        <f t="shared" si="0"/>
        <v>274329.40329509578</v>
      </c>
      <c r="AF84" s="65">
        <f t="shared" si="0"/>
        <v>1953.1047110177201</v>
      </c>
      <c r="AG84" s="65">
        <f t="shared" si="0"/>
        <v>76672.590043478209</v>
      </c>
      <c r="AH84" s="65">
        <f t="shared" si="0"/>
        <v>63174.723682439602</v>
      </c>
      <c r="AI84" s="65">
        <f t="shared" si="0"/>
        <v>538078.92575513816</v>
      </c>
      <c r="AJ84" s="65">
        <f t="shared" si="0"/>
        <v>106732.28591083994</v>
      </c>
      <c r="AK84" s="65">
        <f t="shared" si="0"/>
        <v>713848.11624085577</v>
      </c>
      <c r="AL84" s="65">
        <f t="shared" si="0"/>
        <v>1860353.3452787574</v>
      </c>
      <c r="AM84" s="65">
        <f t="shared" si="0"/>
        <v>1820140.6420615681</v>
      </c>
      <c r="AN84" s="65">
        <f t="shared" si="0"/>
        <v>1143652.194310036</v>
      </c>
      <c r="AO84" s="65">
        <f t="shared" si="0"/>
        <v>20578.5648357235</v>
      </c>
      <c r="AP84" s="65">
        <f t="shared" si="0"/>
        <v>62524.499539158402</v>
      </c>
      <c r="AQ84" s="65">
        <f t="shared" si="0"/>
        <v>70070.408419036306</v>
      </c>
      <c r="AR84" s="65">
        <f t="shared" si="0"/>
        <v>139615.1447071656</v>
      </c>
      <c r="AS84" s="65">
        <f t="shared" si="0"/>
        <v>29443.078230845815</v>
      </c>
      <c r="AT84" s="65">
        <f t="shared" si="0"/>
        <v>1353673.1452906448</v>
      </c>
      <c r="AU84" s="65">
        <f t="shared" si="0"/>
        <v>130361.1514208866</v>
      </c>
      <c r="AV84" s="65">
        <f t="shared" si="0"/>
        <v>579456.84451681224</v>
      </c>
      <c r="AW84" s="65">
        <f t="shared" si="0"/>
        <v>560753.99770634144</v>
      </c>
      <c r="AX84" s="65">
        <f t="shared" si="0"/>
        <v>1115886.7881487054</v>
      </c>
      <c r="AY84" s="65">
        <f t="shared" si="0"/>
        <v>794177.12679209083</v>
      </c>
      <c r="AZ84" s="65">
        <f t="shared" si="0"/>
        <v>927828.65140748175</v>
      </c>
    </row>
    <row r="85" spans="10:52" x14ac:dyDescent="0.2">
      <c r="M85" s="61" t="s">
        <v>137</v>
      </c>
      <c r="N85" s="65">
        <v>86</v>
      </c>
      <c r="O85" s="61">
        <v>100</v>
      </c>
      <c r="P85" s="61">
        <v>100</v>
      </c>
      <c r="Q85" s="61">
        <v>86</v>
      </c>
      <c r="R85" s="61">
        <v>100</v>
      </c>
      <c r="S85" s="61">
        <v>86</v>
      </c>
      <c r="T85" s="61">
        <v>86</v>
      </c>
      <c r="U85" s="61">
        <v>100</v>
      </c>
      <c r="V85" s="61">
        <v>86</v>
      </c>
      <c r="W85" s="61">
        <v>86</v>
      </c>
      <c r="X85" s="61">
        <v>86</v>
      </c>
      <c r="Y85" s="61">
        <v>86</v>
      </c>
      <c r="Z85" s="61">
        <v>100</v>
      </c>
      <c r="AA85" s="61">
        <v>86</v>
      </c>
      <c r="AB85" s="61">
        <v>100</v>
      </c>
      <c r="AC85" s="61">
        <v>86</v>
      </c>
      <c r="AD85" s="61">
        <v>86</v>
      </c>
      <c r="AE85" s="61">
        <v>86</v>
      </c>
      <c r="AF85" s="61">
        <v>86</v>
      </c>
      <c r="AG85" s="61">
        <v>86</v>
      </c>
      <c r="AH85" s="61">
        <v>100</v>
      </c>
      <c r="AI85" s="61">
        <v>86</v>
      </c>
      <c r="AJ85" s="61">
        <v>86</v>
      </c>
      <c r="AK85" s="61">
        <v>100</v>
      </c>
      <c r="AL85" s="61">
        <v>100</v>
      </c>
      <c r="AM85" s="61">
        <v>86</v>
      </c>
      <c r="AN85" s="61">
        <v>86</v>
      </c>
      <c r="AO85" s="61">
        <v>86</v>
      </c>
      <c r="AP85" s="61">
        <v>100</v>
      </c>
      <c r="AQ85" s="61">
        <v>100</v>
      </c>
      <c r="AR85" s="61">
        <v>100</v>
      </c>
      <c r="AS85" s="61">
        <v>100</v>
      </c>
      <c r="AT85" s="61">
        <v>100</v>
      </c>
      <c r="AU85" s="61">
        <v>100</v>
      </c>
      <c r="AV85" s="61">
        <v>86</v>
      </c>
      <c r="AW85" s="61">
        <v>100</v>
      </c>
      <c r="AX85" s="61">
        <v>86</v>
      </c>
      <c r="AY85" s="61">
        <v>100</v>
      </c>
      <c r="AZ85" s="61">
        <v>100</v>
      </c>
    </row>
    <row r="87" spans="10:52" ht="15" x14ac:dyDescent="0.25">
      <c r="K87" s="61" t="s">
        <v>131</v>
      </c>
      <c r="N87" s="66">
        <f t="shared" ref="N87:W96" si="1">SUMIF($K$54:$K$80,$K87,N$54:N$84)</f>
        <v>127478.712736</v>
      </c>
      <c r="O87" s="66">
        <f t="shared" si="1"/>
        <v>5822.6270504399999</v>
      </c>
      <c r="P87" s="66">
        <f t="shared" si="1"/>
        <v>23261.417538999998</v>
      </c>
      <c r="Q87" s="66">
        <f t="shared" si="1"/>
        <v>42984.967601800003</v>
      </c>
      <c r="R87" s="66">
        <f t="shared" si="1"/>
        <v>37483.407299999999</v>
      </c>
      <c r="S87" s="66">
        <f t="shared" si="1"/>
        <v>0</v>
      </c>
      <c r="T87" s="66">
        <f t="shared" si="1"/>
        <v>63373.658393999998</v>
      </c>
      <c r="U87" s="66">
        <f t="shared" si="1"/>
        <v>56985.510616300002</v>
      </c>
      <c r="V87" s="66">
        <f t="shared" si="1"/>
        <v>21369.709860200001</v>
      </c>
      <c r="W87" s="66">
        <f t="shared" si="1"/>
        <v>3969.44802583</v>
      </c>
      <c r="X87" s="66">
        <f t="shared" ref="X87:AG96" si="2">SUMIF($K$54:$K$80,$K87,X$54:X$84)</f>
        <v>0</v>
      </c>
      <c r="Y87" s="66">
        <f t="shared" si="2"/>
        <v>633.231831962</v>
      </c>
      <c r="Z87" s="66">
        <f t="shared" si="2"/>
        <v>25615.321836800002</v>
      </c>
      <c r="AA87" s="66">
        <f t="shared" si="2"/>
        <v>0</v>
      </c>
      <c r="AB87" s="66">
        <f t="shared" si="2"/>
        <v>20526.172702299998</v>
      </c>
      <c r="AC87" s="66">
        <f t="shared" si="2"/>
        <v>0</v>
      </c>
      <c r="AD87" s="66">
        <f t="shared" si="2"/>
        <v>0</v>
      </c>
      <c r="AE87" s="66">
        <f t="shared" si="2"/>
        <v>294.70283635700002</v>
      </c>
      <c r="AF87" s="66">
        <f t="shared" si="2"/>
        <v>0</v>
      </c>
      <c r="AG87" s="66">
        <f t="shared" si="2"/>
        <v>0</v>
      </c>
      <c r="AH87" s="66">
        <f t="shared" ref="AH87:AQ96" si="3">SUMIF($K$54:$K$80,$K87,AH$54:AH$84)</f>
        <v>2871.50398709</v>
      </c>
      <c r="AI87" s="66">
        <f t="shared" si="3"/>
        <v>146.65261148100001</v>
      </c>
      <c r="AJ87" s="66">
        <f t="shared" si="3"/>
        <v>0</v>
      </c>
      <c r="AK87" s="66">
        <f t="shared" si="3"/>
        <v>45327.490437400003</v>
      </c>
      <c r="AL87" s="66">
        <f t="shared" si="3"/>
        <v>113781.52471699999</v>
      </c>
      <c r="AM87" s="66">
        <f t="shared" si="3"/>
        <v>684.19506677100003</v>
      </c>
      <c r="AN87" s="66">
        <f t="shared" si="3"/>
        <v>75938.742139499998</v>
      </c>
      <c r="AO87" s="66">
        <f t="shared" si="3"/>
        <v>811.57669502900001</v>
      </c>
      <c r="AP87" s="66">
        <f t="shared" si="3"/>
        <v>5056.3520956000002</v>
      </c>
      <c r="AQ87" s="66">
        <f t="shared" si="3"/>
        <v>3824.2851678799998</v>
      </c>
      <c r="AR87" s="66">
        <f t="shared" ref="AR87:AZ96" si="4">SUMIF($K$54:$K$80,$K87,AR$54:AR$84)</f>
        <v>13964.529177599999</v>
      </c>
      <c r="AS87" s="66">
        <f t="shared" si="4"/>
        <v>1549.58277666</v>
      </c>
      <c r="AT87" s="66">
        <f t="shared" si="4"/>
        <v>47587.843198199997</v>
      </c>
      <c r="AU87" s="66">
        <f t="shared" si="4"/>
        <v>3380.1489726999998</v>
      </c>
      <c r="AV87" s="66">
        <f t="shared" si="4"/>
        <v>0</v>
      </c>
      <c r="AW87" s="66">
        <f t="shared" si="4"/>
        <v>39835.4112542</v>
      </c>
      <c r="AX87" s="66">
        <f t="shared" si="4"/>
        <v>2035.5050960999999</v>
      </c>
      <c r="AY87" s="66">
        <f t="shared" si="4"/>
        <v>55342.471769700001</v>
      </c>
      <c r="AZ87" s="66">
        <f t="shared" si="4"/>
        <v>77580.364668299997</v>
      </c>
    </row>
    <row r="88" spans="10:52" ht="15" x14ac:dyDescent="0.25">
      <c r="J88" s="64"/>
      <c r="K88" s="61" t="s">
        <v>130</v>
      </c>
      <c r="N88" s="66">
        <f t="shared" si="1"/>
        <v>217061.193731326</v>
      </c>
      <c r="O88" s="66">
        <f t="shared" si="1"/>
        <v>24257.683618300001</v>
      </c>
      <c r="P88" s="66">
        <f t="shared" si="1"/>
        <v>93376.453059399995</v>
      </c>
      <c r="Q88" s="66">
        <f t="shared" si="1"/>
        <v>91345.125793984596</v>
      </c>
      <c r="R88" s="66">
        <f t="shared" si="1"/>
        <v>464602.25034000003</v>
      </c>
      <c r="S88" s="66">
        <f t="shared" si="1"/>
        <v>0</v>
      </c>
      <c r="T88" s="66">
        <f t="shared" si="1"/>
        <v>32850.684246860998</v>
      </c>
      <c r="U88" s="66">
        <f t="shared" si="1"/>
        <v>677012.21371100005</v>
      </c>
      <c r="V88" s="66">
        <f t="shared" si="1"/>
        <v>162823.79911925629</v>
      </c>
      <c r="W88" s="66">
        <f t="shared" si="1"/>
        <v>101960.502410457</v>
      </c>
      <c r="X88" s="66">
        <f t="shared" si="2"/>
        <v>1.7455370372400001</v>
      </c>
      <c r="Y88" s="66">
        <f t="shared" si="2"/>
        <v>765.74892531630007</v>
      </c>
      <c r="Z88" s="66">
        <f t="shared" si="2"/>
        <v>348076.54322799999</v>
      </c>
      <c r="AA88" s="66">
        <f t="shared" si="2"/>
        <v>14687.096791399999</v>
      </c>
      <c r="AB88" s="66">
        <f t="shared" si="2"/>
        <v>98443.334573400003</v>
      </c>
      <c r="AC88" s="66">
        <f t="shared" si="2"/>
        <v>7008.4961632200002</v>
      </c>
      <c r="AD88" s="66">
        <f t="shared" si="2"/>
        <v>0</v>
      </c>
      <c r="AE88" s="66">
        <f t="shared" si="2"/>
        <v>1339.5353763449998</v>
      </c>
      <c r="AF88" s="66">
        <f t="shared" si="2"/>
        <v>0</v>
      </c>
      <c r="AG88" s="66">
        <f t="shared" si="2"/>
        <v>104.471556445</v>
      </c>
      <c r="AH88" s="66">
        <f t="shared" si="3"/>
        <v>29073.568007900001</v>
      </c>
      <c r="AI88" s="66">
        <f t="shared" si="3"/>
        <v>85251.942218409997</v>
      </c>
      <c r="AJ88" s="66">
        <f t="shared" si="3"/>
        <v>32.543613547699998</v>
      </c>
      <c r="AK88" s="66">
        <f t="shared" si="3"/>
        <v>168260.346257</v>
      </c>
      <c r="AL88" s="66">
        <f t="shared" si="3"/>
        <v>738547.03515653999</v>
      </c>
      <c r="AM88" s="66">
        <f t="shared" si="3"/>
        <v>1443.87503302</v>
      </c>
      <c r="AN88" s="66">
        <f t="shared" si="3"/>
        <v>261601.63810578999</v>
      </c>
      <c r="AO88" s="66">
        <f t="shared" si="3"/>
        <v>477.30257259400003</v>
      </c>
      <c r="AP88" s="66">
        <f t="shared" si="3"/>
        <v>28014.941566699999</v>
      </c>
      <c r="AQ88" s="66">
        <f t="shared" si="3"/>
        <v>27861.462284313002</v>
      </c>
      <c r="AR88" s="66">
        <f t="shared" si="4"/>
        <v>42426.8936168</v>
      </c>
      <c r="AS88" s="66">
        <f t="shared" si="4"/>
        <v>6330.5885545600004</v>
      </c>
      <c r="AT88" s="66">
        <f t="shared" si="4"/>
        <v>511268.21043799998</v>
      </c>
      <c r="AU88" s="66">
        <f t="shared" si="4"/>
        <v>46478.678309499999</v>
      </c>
      <c r="AV88" s="66">
        <f t="shared" si="4"/>
        <v>14886.43291</v>
      </c>
      <c r="AW88" s="66">
        <f t="shared" si="4"/>
        <v>200889.661766</v>
      </c>
      <c r="AX88" s="66">
        <f t="shared" si="4"/>
        <v>47421.384938060102</v>
      </c>
      <c r="AY88" s="66">
        <f t="shared" si="4"/>
        <v>356189.20995699998</v>
      </c>
      <c r="AZ88" s="66">
        <f t="shared" si="4"/>
        <v>400449.93811722699</v>
      </c>
    </row>
    <row r="89" spans="10:52" ht="15" x14ac:dyDescent="0.25">
      <c r="K89" s="61" t="s">
        <v>129</v>
      </c>
      <c r="N89" s="66">
        <f t="shared" si="1"/>
        <v>219625.73570683599</v>
      </c>
      <c r="O89" s="66">
        <f t="shared" si="1"/>
        <v>24257.683618300001</v>
      </c>
      <c r="P89" s="66">
        <f t="shared" si="1"/>
        <v>93376.453059399995</v>
      </c>
      <c r="Q89" s="66">
        <f t="shared" si="1"/>
        <v>91345.125793984596</v>
      </c>
      <c r="R89" s="66">
        <f t="shared" si="1"/>
        <v>485501.44205000001</v>
      </c>
      <c r="S89" s="66">
        <f t="shared" si="1"/>
        <v>0</v>
      </c>
      <c r="T89" s="66">
        <f t="shared" si="1"/>
        <v>33480.364030384</v>
      </c>
      <c r="U89" s="66">
        <f t="shared" si="1"/>
        <v>796568.61351599998</v>
      </c>
      <c r="V89" s="66">
        <f t="shared" si="1"/>
        <v>163922.95491025629</v>
      </c>
      <c r="W89" s="66">
        <f t="shared" si="1"/>
        <v>109168.349271657</v>
      </c>
      <c r="X89" s="66">
        <f t="shared" si="2"/>
        <v>1.7455370372400001</v>
      </c>
      <c r="Y89" s="66">
        <f t="shared" si="2"/>
        <v>953.79807897030014</v>
      </c>
      <c r="Z89" s="66">
        <f t="shared" si="2"/>
        <v>348076.54322799999</v>
      </c>
      <c r="AA89" s="66">
        <f t="shared" si="2"/>
        <v>14687.096791399999</v>
      </c>
      <c r="AB89" s="66">
        <f t="shared" si="2"/>
        <v>98443.334573400003</v>
      </c>
      <c r="AC89" s="66">
        <f t="shared" si="2"/>
        <v>12314.44938002</v>
      </c>
      <c r="AD89" s="66">
        <f t="shared" si="2"/>
        <v>0</v>
      </c>
      <c r="AE89" s="66">
        <f t="shared" si="2"/>
        <v>1794.4197112669999</v>
      </c>
      <c r="AF89" s="66">
        <f t="shared" si="2"/>
        <v>0</v>
      </c>
      <c r="AG89" s="66">
        <f t="shared" si="2"/>
        <v>104.471556445</v>
      </c>
      <c r="AH89" s="66">
        <f t="shared" si="3"/>
        <v>29073.568007900001</v>
      </c>
      <c r="AI89" s="66">
        <f t="shared" si="3"/>
        <v>85809.109742510002</v>
      </c>
      <c r="AJ89" s="66">
        <f t="shared" si="3"/>
        <v>32.543613547699998</v>
      </c>
      <c r="AK89" s="66">
        <f t="shared" si="3"/>
        <v>168260.346257</v>
      </c>
      <c r="AL89" s="66">
        <f t="shared" si="3"/>
        <v>738547.03515653999</v>
      </c>
      <c r="AM89" s="66">
        <f t="shared" si="3"/>
        <v>1443.87503302</v>
      </c>
      <c r="AN89" s="66">
        <f t="shared" si="3"/>
        <v>266644.49651425</v>
      </c>
      <c r="AO89" s="66">
        <f t="shared" si="3"/>
        <v>477.30257259400003</v>
      </c>
      <c r="AP89" s="66">
        <f t="shared" si="3"/>
        <v>28014.941566699999</v>
      </c>
      <c r="AQ89" s="66">
        <f t="shared" si="3"/>
        <v>30336.185965313001</v>
      </c>
      <c r="AR89" s="66">
        <f t="shared" si="4"/>
        <v>42426.8936168</v>
      </c>
      <c r="AS89" s="66">
        <f t="shared" si="4"/>
        <v>6330.5885545600004</v>
      </c>
      <c r="AT89" s="66">
        <f t="shared" si="4"/>
        <v>514199.74573600001</v>
      </c>
      <c r="AU89" s="66">
        <f t="shared" si="4"/>
        <v>60302.494738499998</v>
      </c>
      <c r="AV89" s="66">
        <f t="shared" si="4"/>
        <v>14886.43291</v>
      </c>
      <c r="AW89" s="66">
        <f t="shared" si="4"/>
        <v>200889.661766</v>
      </c>
      <c r="AX89" s="66">
        <f t="shared" si="4"/>
        <v>47421.384938060102</v>
      </c>
      <c r="AY89" s="66">
        <f t="shared" si="4"/>
        <v>356189.20995699998</v>
      </c>
      <c r="AZ89" s="66">
        <f t="shared" si="4"/>
        <v>400449.93811722699</v>
      </c>
    </row>
    <row r="90" spans="10:52" ht="15" x14ac:dyDescent="0.25">
      <c r="K90" s="61" t="s">
        <v>128</v>
      </c>
      <c r="N90" s="66">
        <f t="shared" si="1"/>
        <v>19857.249245550003</v>
      </c>
      <c r="O90" s="66">
        <f t="shared" si="1"/>
        <v>0</v>
      </c>
      <c r="P90" s="66">
        <f t="shared" si="1"/>
        <v>0</v>
      </c>
      <c r="Q90" s="66">
        <f t="shared" si="1"/>
        <v>11556.0111267865</v>
      </c>
      <c r="R90" s="66">
        <f t="shared" si="1"/>
        <v>16533.996203547002</v>
      </c>
      <c r="S90" s="66">
        <f t="shared" si="1"/>
        <v>0</v>
      </c>
      <c r="T90" s="66">
        <f t="shared" si="1"/>
        <v>6568.0901379879997</v>
      </c>
      <c r="U90" s="66">
        <f t="shared" si="1"/>
        <v>27584.516576970669</v>
      </c>
      <c r="V90" s="66">
        <f t="shared" si="1"/>
        <v>21406.121241289431</v>
      </c>
      <c r="W90" s="66">
        <f t="shared" si="1"/>
        <v>132537.16904829998</v>
      </c>
      <c r="X90" s="66">
        <f t="shared" si="2"/>
        <v>1.4445823101899999</v>
      </c>
      <c r="Y90" s="66">
        <f t="shared" si="2"/>
        <v>1365.4202111070001</v>
      </c>
      <c r="Z90" s="66">
        <f t="shared" si="2"/>
        <v>2013.56344554</v>
      </c>
      <c r="AA90" s="66">
        <f t="shared" si="2"/>
        <v>284638.43449279998</v>
      </c>
      <c r="AB90" s="66">
        <f t="shared" si="2"/>
        <v>0</v>
      </c>
      <c r="AC90" s="66">
        <f t="shared" si="2"/>
        <v>47585.011762949107</v>
      </c>
      <c r="AD90" s="66">
        <f t="shared" si="2"/>
        <v>0</v>
      </c>
      <c r="AE90" s="66">
        <f t="shared" si="2"/>
        <v>2566.6643039999999</v>
      </c>
      <c r="AF90" s="66">
        <f t="shared" si="2"/>
        <v>0</v>
      </c>
      <c r="AG90" s="66">
        <f t="shared" si="2"/>
        <v>450.59623769800004</v>
      </c>
      <c r="AH90" s="66">
        <f t="shared" si="3"/>
        <v>0</v>
      </c>
      <c r="AI90" s="66">
        <f t="shared" si="3"/>
        <v>132590.7712473</v>
      </c>
      <c r="AJ90" s="66">
        <f t="shared" si="3"/>
        <v>2524.5713643910003</v>
      </c>
      <c r="AK90" s="66">
        <f t="shared" si="3"/>
        <v>0</v>
      </c>
      <c r="AL90" s="66">
        <f t="shared" si="3"/>
        <v>1767.4528014327211</v>
      </c>
      <c r="AM90" s="66">
        <f t="shared" si="3"/>
        <v>5287.6773408500003</v>
      </c>
      <c r="AN90" s="66">
        <f t="shared" si="3"/>
        <v>71416.063826860001</v>
      </c>
      <c r="AO90" s="66">
        <f t="shared" si="3"/>
        <v>17.413947276999998</v>
      </c>
      <c r="AP90" s="66">
        <f t="shared" si="3"/>
        <v>0</v>
      </c>
      <c r="AQ90" s="66">
        <f t="shared" si="3"/>
        <v>539.33262420599999</v>
      </c>
      <c r="AR90" s="66">
        <f t="shared" si="4"/>
        <v>8.2781911452800006E-3</v>
      </c>
      <c r="AS90" s="66">
        <f t="shared" si="4"/>
        <v>0</v>
      </c>
      <c r="AT90" s="66">
        <f t="shared" si="4"/>
        <v>44924.048527439998</v>
      </c>
      <c r="AU90" s="66">
        <f t="shared" si="4"/>
        <v>4864.5642722290004</v>
      </c>
      <c r="AV90" s="66">
        <f t="shared" si="4"/>
        <v>180329.60666714999</v>
      </c>
      <c r="AW90" s="66">
        <f t="shared" si="4"/>
        <v>0</v>
      </c>
      <c r="AX90" s="66">
        <f t="shared" si="4"/>
        <v>344416.89815959998</v>
      </c>
      <c r="AY90" s="66">
        <f t="shared" si="4"/>
        <v>364.12092453299999</v>
      </c>
      <c r="AZ90" s="66">
        <f t="shared" si="4"/>
        <v>2991.8769361570003</v>
      </c>
    </row>
    <row r="91" spans="10:52" ht="15" x14ac:dyDescent="0.25">
      <c r="K91" s="61" t="s">
        <v>127</v>
      </c>
      <c r="N91" s="66">
        <f t="shared" si="1"/>
        <v>17101.567161899999</v>
      </c>
      <c r="O91" s="66">
        <f t="shared" si="1"/>
        <v>0</v>
      </c>
      <c r="P91" s="66">
        <f t="shared" si="1"/>
        <v>0</v>
      </c>
      <c r="Q91" s="66">
        <f t="shared" si="1"/>
        <v>11236.159322400001</v>
      </c>
      <c r="R91" s="66">
        <f t="shared" si="1"/>
        <v>16398.747962400001</v>
      </c>
      <c r="S91" s="66">
        <f t="shared" si="1"/>
        <v>0</v>
      </c>
      <c r="T91" s="66">
        <f t="shared" si="1"/>
        <v>6220.76283857</v>
      </c>
      <c r="U91" s="66">
        <f t="shared" si="1"/>
        <v>27274.262629199999</v>
      </c>
      <c r="V91" s="66">
        <f t="shared" si="1"/>
        <v>19908.120007599999</v>
      </c>
      <c r="W91" s="66">
        <f t="shared" si="1"/>
        <v>103029.609553</v>
      </c>
      <c r="X91" s="66">
        <f t="shared" si="2"/>
        <v>1.4445823101899999</v>
      </c>
      <c r="Y91" s="66">
        <f t="shared" si="2"/>
        <v>1250.97329171</v>
      </c>
      <c r="Z91" s="66">
        <f t="shared" si="2"/>
        <v>2013.56344554</v>
      </c>
      <c r="AA91" s="66">
        <f t="shared" si="2"/>
        <v>199616.81585399999</v>
      </c>
      <c r="AB91" s="66">
        <f t="shared" si="2"/>
        <v>0</v>
      </c>
      <c r="AC91" s="66">
        <f t="shared" si="2"/>
        <v>39520.532303699998</v>
      </c>
      <c r="AD91" s="66">
        <f t="shared" si="2"/>
        <v>0</v>
      </c>
      <c r="AE91" s="66">
        <f t="shared" si="2"/>
        <v>2331.7329039599999</v>
      </c>
      <c r="AF91" s="66">
        <f t="shared" si="2"/>
        <v>0</v>
      </c>
      <c r="AG91" s="66">
        <f t="shared" si="2"/>
        <v>334.60329496000003</v>
      </c>
      <c r="AH91" s="66">
        <f t="shared" si="3"/>
        <v>0</v>
      </c>
      <c r="AI91" s="66">
        <f t="shared" si="3"/>
        <v>93236.415167700005</v>
      </c>
      <c r="AJ91" s="66">
        <f t="shared" si="3"/>
        <v>2305.5084236799999</v>
      </c>
      <c r="AK91" s="66">
        <f t="shared" si="3"/>
        <v>0</v>
      </c>
      <c r="AL91" s="66">
        <f t="shared" si="3"/>
        <v>0.49980369372099998</v>
      </c>
      <c r="AM91" s="66">
        <f t="shared" si="3"/>
        <v>3921.0708726900002</v>
      </c>
      <c r="AN91" s="66">
        <f t="shared" si="3"/>
        <v>55773.184132599999</v>
      </c>
      <c r="AO91" s="66">
        <f t="shared" si="3"/>
        <v>17.413947276999998</v>
      </c>
      <c r="AP91" s="66">
        <f t="shared" si="3"/>
        <v>0</v>
      </c>
      <c r="AQ91" s="66">
        <f t="shared" si="3"/>
        <v>267.41452447500001</v>
      </c>
      <c r="AR91" s="66">
        <f t="shared" si="4"/>
        <v>0</v>
      </c>
      <c r="AS91" s="66">
        <f t="shared" si="4"/>
        <v>0</v>
      </c>
      <c r="AT91" s="66">
        <f t="shared" si="4"/>
        <v>34583.310997799999</v>
      </c>
      <c r="AU91" s="66">
        <f t="shared" si="4"/>
        <v>4675.4091673499997</v>
      </c>
      <c r="AV91" s="66">
        <f t="shared" si="4"/>
        <v>116496.890551</v>
      </c>
      <c r="AW91" s="66">
        <f t="shared" si="4"/>
        <v>0</v>
      </c>
      <c r="AX91" s="66">
        <f t="shared" si="4"/>
        <v>246831.40194099999</v>
      </c>
      <c r="AY91" s="66">
        <f t="shared" si="4"/>
        <v>157.671474652</v>
      </c>
      <c r="AZ91" s="66">
        <f t="shared" si="4"/>
        <v>0</v>
      </c>
    </row>
    <row r="92" spans="10:52" ht="15" x14ac:dyDescent="0.25">
      <c r="K92" s="61" t="s">
        <v>126</v>
      </c>
      <c r="N92" s="66">
        <f t="shared" si="1"/>
        <v>1200.4776221899999</v>
      </c>
      <c r="O92" s="66">
        <f t="shared" si="1"/>
        <v>2301.2349030099999</v>
      </c>
      <c r="P92" s="66">
        <f t="shared" si="1"/>
        <v>0</v>
      </c>
      <c r="Q92" s="66">
        <f t="shared" si="1"/>
        <v>0</v>
      </c>
      <c r="R92" s="66">
        <f t="shared" si="1"/>
        <v>0</v>
      </c>
      <c r="S92" s="66">
        <f t="shared" si="1"/>
        <v>0</v>
      </c>
      <c r="T92" s="66">
        <f t="shared" si="1"/>
        <v>0</v>
      </c>
      <c r="U92" s="66">
        <f t="shared" si="1"/>
        <v>0</v>
      </c>
      <c r="V92" s="66">
        <f t="shared" si="1"/>
        <v>0</v>
      </c>
      <c r="W92" s="66">
        <f t="shared" si="1"/>
        <v>0</v>
      </c>
      <c r="X92" s="66">
        <f t="shared" si="2"/>
        <v>0</v>
      </c>
      <c r="Y92" s="66">
        <f t="shared" si="2"/>
        <v>186.198333886</v>
      </c>
      <c r="Z92" s="66">
        <f t="shared" si="2"/>
        <v>0</v>
      </c>
      <c r="AA92" s="66">
        <f t="shared" si="2"/>
        <v>30.3539145419</v>
      </c>
      <c r="AB92" s="66">
        <f t="shared" si="2"/>
        <v>0</v>
      </c>
      <c r="AC92" s="66">
        <f t="shared" si="2"/>
        <v>0</v>
      </c>
      <c r="AD92" s="66">
        <f t="shared" si="2"/>
        <v>0</v>
      </c>
      <c r="AE92" s="66">
        <f t="shared" si="2"/>
        <v>660.24740269400002</v>
      </c>
      <c r="AF92" s="66">
        <f t="shared" si="2"/>
        <v>0</v>
      </c>
      <c r="AG92" s="66">
        <f t="shared" si="2"/>
        <v>1345.74442454</v>
      </c>
      <c r="AH92" s="66">
        <f t="shared" si="3"/>
        <v>0</v>
      </c>
      <c r="AI92" s="66">
        <f t="shared" si="3"/>
        <v>0</v>
      </c>
      <c r="AJ92" s="66">
        <f t="shared" si="3"/>
        <v>2836.4105132099999</v>
      </c>
      <c r="AK92" s="66">
        <f t="shared" si="3"/>
        <v>0</v>
      </c>
      <c r="AL92" s="66">
        <f t="shared" si="3"/>
        <v>0</v>
      </c>
      <c r="AM92" s="66">
        <f t="shared" si="3"/>
        <v>46.638866918600002</v>
      </c>
      <c r="AN92" s="66">
        <f t="shared" si="3"/>
        <v>0</v>
      </c>
      <c r="AO92" s="66">
        <f t="shared" si="3"/>
        <v>0</v>
      </c>
      <c r="AP92" s="66">
        <f t="shared" si="3"/>
        <v>0</v>
      </c>
      <c r="AQ92" s="66">
        <f t="shared" si="3"/>
        <v>0</v>
      </c>
      <c r="AR92" s="66">
        <f t="shared" si="4"/>
        <v>0</v>
      </c>
      <c r="AS92" s="66">
        <f t="shared" si="4"/>
        <v>0</v>
      </c>
      <c r="AT92" s="66">
        <f t="shared" si="4"/>
        <v>0</v>
      </c>
      <c r="AU92" s="66">
        <f t="shared" si="4"/>
        <v>0</v>
      </c>
      <c r="AV92" s="66">
        <f t="shared" si="4"/>
        <v>0</v>
      </c>
      <c r="AW92" s="66">
        <f t="shared" si="4"/>
        <v>0</v>
      </c>
      <c r="AX92" s="66">
        <f t="shared" si="4"/>
        <v>256.85398657500002</v>
      </c>
      <c r="AY92" s="66">
        <f t="shared" si="4"/>
        <v>0</v>
      </c>
      <c r="AZ92" s="66">
        <f t="shared" si="4"/>
        <v>0</v>
      </c>
    </row>
    <row r="93" spans="10:52" ht="15" x14ac:dyDescent="0.25">
      <c r="J93" s="67"/>
      <c r="K93" s="61" t="s">
        <v>125</v>
      </c>
      <c r="N93" s="66">
        <f t="shared" si="1"/>
        <v>1859.6499804599998</v>
      </c>
      <c r="O93" s="66">
        <f t="shared" si="1"/>
        <v>2301.2349030099999</v>
      </c>
      <c r="P93" s="66">
        <f t="shared" si="1"/>
        <v>0</v>
      </c>
      <c r="Q93" s="66">
        <f t="shared" si="1"/>
        <v>19.772487035499999</v>
      </c>
      <c r="R93" s="66">
        <f t="shared" si="1"/>
        <v>180.40775524700001</v>
      </c>
      <c r="S93" s="66">
        <f t="shared" si="1"/>
        <v>0</v>
      </c>
      <c r="T93" s="66">
        <f t="shared" si="1"/>
        <v>0</v>
      </c>
      <c r="U93" s="66">
        <f t="shared" si="1"/>
        <v>2743.3835948300002</v>
      </c>
      <c r="V93" s="66">
        <f t="shared" si="1"/>
        <v>0.62291523943100002</v>
      </c>
      <c r="W93" s="66">
        <f t="shared" si="1"/>
        <v>8643.2218099300007</v>
      </c>
      <c r="X93" s="66">
        <f t="shared" si="2"/>
        <v>0</v>
      </c>
      <c r="Y93" s="66">
        <f t="shared" si="2"/>
        <v>186.198333886</v>
      </c>
      <c r="Z93" s="66">
        <f t="shared" si="2"/>
        <v>0</v>
      </c>
      <c r="AA93" s="66">
        <f t="shared" si="2"/>
        <v>15119.848522341899</v>
      </c>
      <c r="AB93" s="66">
        <f t="shared" si="2"/>
        <v>0</v>
      </c>
      <c r="AC93" s="66">
        <f t="shared" si="2"/>
        <v>89.320443019099997</v>
      </c>
      <c r="AD93" s="66">
        <f t="shared" si="2"/>
        <v>0</v>
      </c>
      <c r="AE93" s="66">
        <f t="shared" si="2"/>
        <v>660.24740269400002</v>
      </c>
      <c r="AF93" s="66">
        <f t="shared" si="2"/>
        <v>0</v>
      </c>
      <c r="AG93" s="66">
        <f t="shared" si="2"/>
        <v>1345.74442454</v>
      </c>
      <c r="AH93" s="66">
        <f t="shared" si="3"/>
        <v>0</v>
      </c>
      <c r="AI93" s="66">
        <f t="shared" si="3"/>
        <v>27835.2053304</v>
      </c>
      <c r="AJ93" s="66">
        <f t="shared" si="3"/>
        <v>2836.4105132099999</v>
      </c>
      <c r="AK93" s="66">
        <f t="shared" si="3"/>
        <v>0</v>
      </c>
      <c r="AL93" s="66">
        <f t="shared" si="3"/>
        <v>646.90104897900005</v>
      </c>
      <c r="AM93" s="66">
        <f t="shared" si="3"/>
        <v>46.638866918600002</v>
      </c>
      <c r="AN93" s="66">
        <f t="shared" si="3"/>
        <v>4655.6449526400002</v>
      </c>
      <c r="AO93" s="66">
        <f t="shared" si="3"/>
        <v>0</v>
      </c>
      <c r="AP93" s="66">
        <f t="shared" si="3"/>
        <v>0</v>
      </c>
      <c r="AQ93" s="66">
        <f t="shared" si="3"/>
        <v>283.63626319600002</v>
      </c>
      <c r="AR93" s="66">
        <f t="shared" si="4"/>
        <v>8.2781911452800006E-3</v>
      </c>
      <c r="AS93" s="66">
        <f t="shared" si="4"/>
        <v>0</v>
      </c>
      <c r="AT93" s="66">
        <f t="shared" si="4"/>
        <v>10787.8616127</v>
      </c>
      <c r="AU93" s="66">
        <f t="shared" si="4"/>
        <v>138.15895032200001</v>
      </c>
      <c r="AV93" s="66">
        <f t="shared" si="4"/>
        <v>9275.5752005600007</v>
      </c>
      <c r="AW93" s="66">
        <f t="shared" si="4"/>
        <v>0</v>
      </c>
      <c r="AX93" s="66">
        <f t="shared" si="4"/>
        <v>13230.696227075001</v>
      </c>
      <c r="AY93" s="66">
        <f t="shared" si="4"/>
        <v>206.44944988099999</v>
      </c>
      <c r="AZ93" s="66">
        <f t="shared" si="4"/>
        <v>2768.4737432500001</v>
      </c>
    </row>
    <row r="94" spans="10:52" ht="15" x14ac:dyDescent="0.25">
      <c r="K94" s="61" t="s">
        <v>124</v>
      </c>
      <c r="N94" s="66">
        <f t="shared" si="1"/>
        <v>1145.2980164200001</v>
      </c>
      <c r="O94" s="66">
        <f t="shared" si="1"/>
        <v>0</v>
      </c>
      <c r="P94" s="66">
        <f t="shared" si="1"/>
        <v>0</v>
      </c>
      <c r="Q94" s="66">
        <f t="shared" si="1"/>
        <v>300.07931735099999</v>
      </c>
      <c r="R94" s="66">
        <f t="shared" si="1"/>
        <v>0</v>
      </c>
      <c r="S94" s="66">
        <f t="shared" si="1"/>
        <v>0</v>
      </c>
      <c r="T94" s="66">
        <f t="shared" si="1"/>
        <v>37.705747236900002</v>
      </c>
      <c r="U94" s="66">
        <f t="shared" si="1"/>
        <v>2.9664931406699999</v>
      </c>
      <c r="V94" s="66">
        <f t="shared" si="1"/>
        <v>4251.7092413500004</v>
      </c>
      <c r="W94" s="66">
        <f t="shared" si="1"/>
        <v>21203.355463600001</v>
      </c>
      <c r="X94" s="66">
        <f t="shared" si="2"/>
        <v>0</v>
      </c>
      <c r="Y94" s="66">
        <f t="shared" si="2"/>
        <v>4.8195824780500001</v>
      </c>
      <c r="Z94" s="66">
        <f t="shared" si="2"/>
        <v>0</v>
      </c>
      <c r="AA94" s="66">
        <f t="shared" si="2"/>
        <v>64354.323242600003</v>
      </c>
      <c r="AB94" s="66">
        <f t="shared" si="2"/>
        <v>0</v>
      </c>
      <c r="AC94" s="66">
        <f t="shared" si="2"/>
        <v>4097.8411044900004</v>
      </c>
      <c r="AD94" s="66">
        <f t="shared" si="2"/>
        <v>0</v>
      </c>
      <c r="AE94" s="66">
        <f t="shared" si="2"/>
        <v>0</v>
      </c>
      <c r="AF94" s="66">
        <f t="shared" si="2"/>
        <v>0</v>
      </c>
      <c r="AG94" s="66">
        <f t="shared" si="2"/>
        <v>109.08653410399999</v>
      </c>
      <c r="AH94" s="66">
        <f t="shared" si="3"/>
        <v>0</v>
      </c>
      <c r="AI94" s="66">
        <f t="shared" si="3"/>
        <v>2365.2433835900001</v>
      </c>
      <c r="AJ94" s="66">
        <f t="shared" si="3"/>
        <v>184.91242183400001</v>
      </c>
      <c r="AK94" s="66">
        <f t="shared" si="3"/>
        <v>0</v>
      </c>
      <c r="AL94" s="66">
        <f t="shared" si="3"/>
        <v>1119.98277674</v>
      </c>
      <c r="AM94" s="66">
        <f t="shared" si="3"/>
        <v>1222.0479761199999</v>
      </c>
      <c r="AN94" s="66">
        <f t="shared" si="3"/>
        <v>8029.8963202799996</v>
      </c>
      <c r="AO94" s="66">
        <f t="shared" si="3"/>
        <v>0</v>
      </c>
      <c r="AP94" s="66">
        <f t="shared" si="3"/>
        <v>0</v>
      </c>
      <c r="AQ94" s="66">
        <f t="shared" si="3"/>
        <v>0</v>
      </c>
      <c r="AR94" s="66">
        <f t="shared" si="4"/>
        <v>0</v>
      </c>
      <c r="AS94" s="66">
        <f t="shared" si="4"/>
        <v>0</v>
      </c>
      <c r="AT94" s="66">
        <f t="shared" si="4"/>
        <v>3985.57750906</v>
      </c>
      <c r="AU94" s="66">
        <f t="shared" si="4"/>
        <v>629.58252805699999</v>
      </c>
      <c r="AV94" s="66">
        <f t="shared" si="4"/>
        <v>51111.862767099999</v>
      </c>
      <c r="AW94" s="66">
        <f t="shared" si="4"/>
        <v>0</v>
      </c>
      <c r="AX94" s="66">
        <f t="shared" si="4"/>
        <v>76280.201960399994</v>
      </c>
      <c r="AY94" s="66">
        <f t="shared" si="4"/>
        <v>0</v>
      </c>
      <c r="AZ94" s="66">
        <f t="shared" si="4"/>
        <v>223.403192907</v>
      </c>
    </row>
    <row r="95" spans="10:52" ht="15" x14ac:dyDescent="0.25">
      <c r="K95" s="61" t="s">
        <v>123</v>
      </c>
      <c r="N95" s="66">
        <f t="shared" si="1"/>
        <v>2324.7652570800001</v>
      </c>
      <c r="O95" s="66">
        <f t="shared" si="1"/>
        <v>0</v>
      </c>
      <c r="P95" s="66">
        <f t="shared" si="1"/>
        <v>0</v>
      </c>
      <c r="Q95" s="66">
        <f t="shared" si="1"/>
        <v>300.07931735099999</v>
      </c>
      <c r="R95" s="66">
        <f t="shared" si="1"/>
        <v>0</v>
      </c>
      <c r="S95" s="66">
        <f t="shared" si="1"/>
        <v>0</v>
      </c>
      <c r="T95" s="66">
        <f t="shared" si="1"/>
        <v>347.327299418</v>
      </c>
      <c r="U95" s="66">
        <f t="shared" si="1"/>
        <v>2.9664931406699999</v>
      </c>
      <c r="V95" s="66">
        <f t="shared" si="1"/>
        <v>4251.7092413500004</v>
      </c>
      <c r="W95" s="66">
        <f t="shared" si="1"/>
        <v>30342.0338089</v>
      </c>
      <c r="X95" s="66">
        <f t="shared" si="2"/>
        <v>0</v>
      </c>
      <c r="Y95" s="66">
        <f t="shared" si="2"/>
        <v>132.19441537700001</v>
      </c>
      <c r="Z95" s="66">
        <f t="shared" si="2"/>
        <v>0</v>
      </c>
      <c r="AA95" s="66">
        <f t="shared" si="2"/>
        <v>70456.965028000006</v>
      </c>
      <c r="AB95" s="66">
        <f t="shared" si="2"/>
        <v>0</v>
      </c>
      <c r="AC95" s="66">
        <f t="shared" si="2"/>
        <v>9482.8415394299991</v>
      </c>
      <c r="AD95" s="66">
        <f t="shared" si="2"/>
        <v>0</v>
      </c>
      <c r="AE95" s="66">
        <f t="shared" si="2"/>
        <v>246.70182699</v>
      </c>
      <c r="AF95" s="66">
        <f t="shared" si="2"/>
        <v>0</v>
      </c>
      <c r="AG95" s="66">
        <f t="shared" si="2"/>
        <v>108.6761999</v>
      </c>
      <c r="AH95" s="66">
        <f t="shared" si="3"/>
        <v>0</v>
      </c>
      <c r="AI95" s="66">
        <f t="shared" si="3"/>
        <v>10262.6139699</v>
      </c>
      <c r="AJ95" s="66">
        <f t="shared" si="3"/>
        <v>189.544187099</v>
      </c>
      <c r="AK95" s="66">
        <f t="shared" si="3"/>
        <v>0</v>
      </c>
      <c r="AL95" s="66">
        <f t="shared" si="3"/>
        <v>1120.0464988399999</v>
      </c>
      <c r="AM95" s="66">
        <f t="shared" si="3"/>
        <v>1312.1257206099999</v>
      </c>
      <c r="AN95" s="66">
        <f t="shared" si="3"/>
        <v>12570.3948454</v>
      </c>
      <c r="AO95" s="66">
        <f t="shared" si="3"/>
        <v>0</v>
      </c>
      <c r="AP95" s="66">
        <f t="shared" si="3"/>
        <v>0</v>
      </c>
      <c r="AQ95" s="66">
        <f t="shared" si="3"/>
        <v>0</v>
      </c>
      <c r="AR95" s="66">
        <f t="shared" si="4"/>
        <v>0</v>
      </c>
      <c r="AS95" s="66">
        <f t="shared" si="4"/>
        <v>0</v>
      </c>
      <c r="AT95" s="66">
        <f t="shared" si="4"/>
        <v>4497.9532535400003</v>
      </c>
      <c r="AU95" s="66">
        <f t="shared" si="4"/>
        <v>629.58252805699999</v>
      </c>
      <c r="AV95" s="66">
        <f t="shared" si="4"/>
        <v>56459.847120600003</v>
      </c>
      <c r="AW95" s="66">
        <f t="shared" si="4"/>
        <v>0</v>
      </c>
      <c r="AX95" s="66">
        <f t="shared" si="4"/>
        <v>80543.775801900003</v>
      </c>
      <c r="AY95" s="66">
        <f t="shared" si="4"/>
        <v>0</v>
      </c>
      <c r="AZ95" s="66">
        <f t="shared" si="4"/>
        <v>223.403192907</v>
      </c>
    </row>
    <row r="96" spans="10:52" ht="15" x14ac:dyDescent="0.25">
      <c r="K96" s="61" t="s">
        <v>122</v>
      </c>
      <c r="N96" s="66">
        <f t="shared" si="1"/>
        <v>2983.9376153500002</v>
      </c>
      <c r="O96" s="66">
        <f t="shared" si="1"/>
        <v>0</v>
      </c>
      <c r="P96" s="66">
        <f t="shared" si="1"/>
        <v>0</v>
      </c>
      <c r="Q96" s="66">
        <f t="shared" si="1"/>
        <v>319.85180438649996</v>
      </c>
      <c r="R96" s="66">
        <f t="shared" si="1"/>
        <v>180.40775524700001</v>
      </c>
      <c r="S96" s="66">
        <f t="shared" si="1"/>
        <v>0</v>
      </c>
      <c r="T96" s="66">
        <f t="shared" si="1"/>
        <v>347.327299418</v>
      </c>
      <c r="U96" s="66">
        <f t="shared" si="1"/>
        <v>2746.3500879706703</v>
      </c>
      <c r="V96" s="66">
        <f t="shared" si="1"/>
        <v>4252.3321565894312</v>
      </c>
      <c r="W96" s="66">
        <f t="shared" si="1"/>
        <v>39264.501519159996</v>
      </c>
      <c r="X96" s="66">
        <f t="shared" si="2"/>
        <v>0</v>
      </c>
      <c r="Y96" s="66">
        <f t="shared" si="2"/>
        <v>132.19441537700001</v>
      </c>
      <c r="Z96" s="66">
        <f t="shared" si="2"/>
        <v>0</v>
      </c>
      <c r="AA96" s="66">
        <f t="shared" si="2"/>
        <v>86498.475922200014</v>
      </c>
      <c r="AB96" s="66">
        <f t="shared" si="2"/>
        <v>0</v>
      </c>
      <c r="AC96" s="66">
        <f t="shared" si="2"/>
        <v>9572.161982449099</v>
      </c>
      <c r="AD96" s="66">
        <f t="shared" si="2"/>
        <v>0</v>
      </c>
      <c r="AE96" s="66">
        <f t="shared" si="2"/>
        <v>246.70182699</v>
      </c>
      <c r="AF96" s="66">
        <f t="shared" si="2"/>
        <v>0</v>
      </c>
      <c r="AG96" s="66">
        <f t="shared" si="2"/>
        <v>108.6761999</v>
      </c>
      <c r="AH96" s="66">
        <f t="shared" si="3"/>
        <v>0</v>
      </c>
      <c r="AI96" s="66">
        <f t="shared" si="3"/>
        <v>41545.394935600001</v>
      </c>
      <c r="AJ96" s="66">
        <f t="shared" si="3"/>
        <v>189.544187099</v>
      </c>
      <c r="AK96" s="66">
        <f t="shared" si="3"/>
        <v>0</v>
      </c>
      <c r="AL96" s="66">
        <f t="shared" si="3"/>
        <v>1766.947547819</v>
      </c>
      <c r="AM96" s="66">
        <f t="shared" si="3"/>
        <v>1312.1257206099999</v>
      </c>
      <c r="AN96" s="66">
        <f t="shared" si="3"/>
        <v>17231.430281469999</v>
      </c>
      <c r="AO96" s="66">
        <f t="shared" si="3"/>
        <v>0</v>
      </c>
      <c r="AP96" s="66">
        <f t="shared" si="3"/>
        <v>0</v>
      </c>
      <c r="AQ96" s="66">
        <f t="shared" si="3"/>
        <v>283.63626319600002</v>
      </c>
      <c r="AR96" s="66">
        <f t="shared" si="4"/>
        <v>8.2781911452800006E-3</v>
      </c>
      <c r="AS96" s="66">
        <f t="shared" si="4"/>
        <v>0</v>
      </c>
      <c r="AT96" s="66">
        <f t="shared" si="4"/>
        <v>15285.814866240002</v>
      </c>
      <c r="AU96" s="66">
        <f t="shared" si="4"/>
        <v>767.741478379</v>
      </c>
      <c r="AV96" s="66">
        <f t="shared" si="4"/>
        <v>66154.800421250009</v>
      </c>
      <c r="AW96" s="66">
        <f t="shared" si="4"/>
        <v>0</v>
      </c>
      <c r="AX96" s="66">
        <f t="shared" si="4"/>
        <v>94143.701308600008</v>
      </c>
      <c r="AY96" s="66">
        <f t="shared" si="4"/>
        <v>206.44944988099999</v>
      </c>
      <c r="AZ96" s="66">
        <f t="shared" si="4"/>
        <v>2991.8769361570003</v>
      </c>
    </row>
    <row r="97" spans="10:54" ht="15" x14ac:dyDescent="0.25">
      <c r="K97" s="61" t="s">
        <v>121</v>
      </c>
      <c r="N97" s="66">
        <f t="shared" ref="N97:W102" si="5">SUMIF($K$54:$K$80,$K97,N$54:N$84)</f>
        <v>1003.723877596</v>
      </c>
      <c r="O97" s="66">
        <f t="shared" si="5"/>
        <v>0</v>
      </c>
      <c r="P97" s="66">
        <f t="shared" si="5"/>
        <v>0</v>
      </c>
      <c r="Q97" s="66">
        <f t="shared" si="5"/>
        <v>35.735678420100001</v>
      </c>
      <c r="R97" s="66">
        <f t="shared" si="5"/>
        <v>180.40775524700001</v>
      </c>
      <c r="S97" s="66">
        <f t="shared" si="5"/>
        <v>0</v>
      </c>
      <c r="T97" s="66">
        <f t="shared" si="5"/>
        <v>124.231301161</v>
      </c>
      <c r="U97" s="66">
        <f t="shared" si="5"/>
        <v>2743.3835948300002</v>
      </c>
      <c r="V97" s="66">
        <f t="shared" si="5"/>
        <v>13.619831495731001</v>
      </c>
      <c r="W97" s="66">
        <f t="shared" si="5"/>
        <v>9915.7715767169993</v>
      </c>
      <c r="X97" s="66">
        <f t="shared" ref="X97:AG102" si="6">SUMIF($K$54:$K$80,$K97,X$54:X$84)</f>
        <v>0</v>
      </c>
      <c r="Y97" s="66">
        <f t="shared" si="6"/>
        <v>16.300429203299998</v>
      </c>
      <c r="Z97" s="66">
        <f t="shared" si="6"/>
        <v>0</v>
      </c>
      <c r="AA97" s="66">
        <f t="shared" si="6"/>
        <v>16041.510894200001</v>
      </c>
      <c r="AB97" s="66">
        <f t="shared" si="6"/>
        <v>0</v>
      </c>
      <c r="AC97" s="66">
        <f t="shared" si="6"/>
        <v>89.320443019099997</v>
      </c>
      <c r="AD97" s="66">
        <f t="shared" si="6"/>
        <v>0</v>
      </c>
      <c r="AE97" s="66">
        <f t="shared" si="6"/>
        <v>37.916972954999999</v>
      </c>
      <c r="AF97" s="66">
        <f t="shared" si="6"/>
        <v>0</v>
      </c>
      <c r="AG97" s="66">
        <f t="shared" si="6"/>
        <v>0</v>
      </c>
      <c r="AH97" s="66">
        <f t="shared" ref="AH97:AQ102" si="7">SUMIF($K$54:$K$80,$K97,AH$54:AH$84)</f>
        <v>0</v>
      </c>
      <c r="AI97" s="66">
        <f t="shared" si="7"/>
        <v>31392.770424310002</v>
      </c>
      <c r="AJ97" s="66">
        <f t="shared" si="7"/>
        <v>0</v>
      </c>
      <c r="AK97" s="66">
        <f t="shared" si="7"/>
        <v>0</v>
      </c>
      <c r="AL97" s="66">
        <f t="shared" si="7"/>
        <v>3798.1863315190003</v>
      </c>
      <c r="AM97" s="66">
        <f t="shared" si="7"/>
        <v>0</v>
      </c>
      <c r="AN97" s="66">
        <f t="shared" si="7"/>
        <v>6777.4399128599998</v>
      </c>
      <c r="AO97" s="66">
        <f t="shared" si="7"/>
        <v>0</v>
      </c>
      <c r="AP97" s="66">
        <f t="shared" si="7"/>
        <v>0</v>
      </c>
      <c r="AQ97" s="66">
        <f t="shared" si="7"/>
        <v>1221.928340809</v>
      </c>
      <c r="AR97" s="66">
        <f t="shared" ref="AR97:AZ102" si="8">SUMIF($K$54:$K$80,$K97,AR$54:AR$84)</f>
        <v>8.2781911452800006E-3</v>
      </c>
      <c r="AS97" s="66">
        <f t="shared" si="8"/>
        <v>0</v>
      </c>
      <c r="AT97" s="66">
        <f t="shared" si="8"/>
        <v>35373.436556699999</v>
      </c>
      <c r="AU97" s="66">
        <f t="shared" si="8"/>
        <v>138.15895032200001</v>
      </c>
      <c r="AV97" s="66">
        <f t="shared" si="8"/>
        <v>9694.9533006500005</v>
      </c>
      <c r="AW97" s="66">
        <f t="shared" si="8"/>
        <v>0</v>
      </c>
      <c r="AX97" s="66">
        <f t="shared" si="8"/>
        <v>13651.3180725601</v>
      </c>
      <c r="AY97" s="66">
        <f t="shared" si="8"/>
        <v>206.44944988099999</v>
      </c>
      <c r="AZ97" s="66">
        <f t="shared" si="8"/>
        <v>3610.7297914770002</v>
      </c>
    </row>
    <row r="98" spans="10:54" ht="15" x14ac:dyDescent="0.25">
      <c r="J98" s="67"/>
      <c r="K98" s="61" t="s">
        <v>120</v>
      </c>
      <c r="N98" s="66">
        <f t="shared" si="5"/>
        <v>344.551519326</v>
      </c>
      <c r="O98" s="66">
        <f t="shared" si="5"/>
        <v>0</v>
      </c>
      <c r="P98" s="66">
        <f t="shared" si="5"/>
        <v>0</v>
      </c>
      <c r="Q98" s="66">
        <f t="shared" si="5"/>
        <v>15.9631913846</v>
      </c>
      <c r="R98" s="66">
        <f t="shared" si="5"/>
        <v>0</v>
      </c>
      <c r="S98" s="66">
        <f t="shared" si="5"/>
        <v>0</v>
      </c>
      <c r="T98" s="66">
        <f t="shared" si="5"/>
        <v>124.231301161</v>
      </c>
      <c r="U98" s="66">
        <f t="shared" si="5"/>
        <v>0</v>
      </c>
      <c r="V98" s="66">
        <f t="shared" si="5"/>
        <v>12.9969162563</v>
      </c>
      <c r="W98" s="66">
        <f t="shared" si="5"/>
        <v>993.30386645700003</v>
      </c>
      <c r="X98" s="66">
        <f t="shared" si="6"/>
        <v>0</v>
      </c>
      <c r="Y98" s="66">
        <f t="shared" si="6"/>
        <v>16.300429203299998</v>
      </c>
      <c r="Z98" s="66">
        <f t="shared" si="6"/>
        <v>0</v>
      </c>
      <c r="AA98" s="66">
        <f t="shared" si="6"/>
        <v>0</v>
      </c>
      <c r="AB98" s="66">
        <f t="shared" si="6"/>
        <v>0</v>
      </c>
      <c r="AC98" s="66">
        <f t="shared" si="6"/>
        <v>0</v>
      </c>
      <c r="AD98" s="66">
        <f t="shared" si="6"/>
        <v>0</v>
      </c>
      <c r="AE98" s="66">
        <f t="shared" si="6"/>
        <v>37.916972954999999</v>
      </c>
      <c r="AF98" s="66">
        <f t="shared" si="6"/>
        <v>0</v>
      </c>
      <c r="AG98" s="66">
        <f t="shared" si="6"/>
        <v>0</v>
      </c>
      <c r="AH98" s="66">
        <f t="shared" si="7"/>
        <v>0</v>
      </c>
      <c r="AI98" s="66">
        <f t="shared" si="7"/>
        <v>109.98945861</v>
      </c>
      <c r="AJ98" s="66">
        <f t="shared" si="7"/>
        <v>0</v>
      </c>
      <c r="AK98" s="66">
        <f t="shared" si="7"/>
        <v>0</v>
      </c>
      <c r="AL98" s="66">
        <f t="shared" si="7"/>
        <v>3151.28528254</v>
      </c>
      <c r="AM98" s="66">
        <f t="shared" si="7"/>
        <v>0</v>
      </c>
      <c r="AN98" s="66">
        <f t="shared" si="7"/>
        <v>2116.40447679</v>
      </c>
      <c r="AO98" s="66">
        <f t="shared" si="7"/>
        <v>0</v>
      </c>
      <c r="AP98" s="66">
        <f t="shared" si="7"/>
        <v>0</v>
      </c>
      <c r="AQ98" s="66">
        <f t="shared" si="7"/>
        <v>938.29207761299995</v>
      </c>
      <c r="AR98" s="66">
        <f t="shared" si="8"/>
        <v>0</v>
      </c>
      <c r="AS98" s="66">
        <f t="shared" si="8"/>
        <v>0</v>
      </c>
      <c r="AT98" s="66">
        <f t="shared" si="8"/>
        <v>24585.574944</v>
      </c>
      <c r="AU98" s="66">
        <f t="shared" si="8"/>
        <v>0</v>
      </c>
      <c r="AV98" s="66">
        <f t="shared" si="8"/>
        <v>0</v>
      </c>
      <c r="AW98" s="66">
        <f t="shared" si="8"/>
        <v>0</v>
      </c>
      <c r="AX98" s="66">
        <f t="shared" si="8"/>
        <v>51.392565860099999</v>
      </c>
      <c r="AY98" s="66">
        <f t="shared" si="8"/>
        <v>0</v>
      </c>
      <c r="AZ98" s="66">
        <f t="shared" si="8"/>
        <v>842.25604822699995</v>
      </c>
    </row>
    <row r="99" spans="10:54" ht="15" x14ac:dyDescent="0.25">
      <c r="J99" s="67"/>
      <c r="K99" s="61" t="s">
        <v>119</v>
      </c>
      <c r="N99" s="66">
        <f t="shared" si="5"/>
        <v>2368.66928951</v>
      </c>
      <c r="O99" s="66">
        <f t="shared" si="5"/>
        <v>0</v>
      </c>
      <c r="P99" s="66">
        <f t="shared" si="5"/>
        <v>0</v>
      </c>
      <c r="Q99" s="66">
        <f t="shared" si="5"/>
        <v>0</v>
      </c>
      <c r="R99" s="66">
        <f t="shared" si="5"/>
        <v>0</v>
      </c>
      <c r="S99" s="66">
        <f t="shared" si="5"/>
        <v>0</v>
      </c>
      <c r="T99" s="66">
        <f t="shared" si="5"/>
        <v>629.67978352299997</v>
      </c>
      <c r="U99" s="66">
        <f t="shared" si="5"/>
        <v>0</v>
      </c>
      <c r="V99" s="66">
        <f t="shared" si="5"/>
        <v>0</v>
      </c>
      <c r="W99" s="66">
        <f t="shared" si="5"/>
        <v>6698.7391002000004</v>
      </c>
      <c r="X99" s="66">
        <f t="shared" si="6"/>
        <v>0</v>
      </c>
      <c r="Y99" s="66">
        <f t="shared" si="6"/>
        <v>188.04915365400001</v>
      </c>
      <c r="Z99" s="66">
        <f t="shared" si="6"/>
        <v>0</v>
      </c>
      <c r="AA99" s="66">
        <f t="shared" si="6"/>
        <v>0</v>
      </c>
      <c r="AB99" s="66">
        <f t="shared" si="6"/>
        <v>0</v>
      </c>
      <c r="AC99" s="66">
        <f t="shared" si="6"/>
        <v>5305.9532167999996</v>
      </c>
      <c r="AD99" s="66">
        <f t="shared" si="6"/>
        <v>0</v>
      </c>
      <c r="AE99" s="66">
        <f t="shared" si="6"/>
        <v>454.88433492199999</v>
      </c>
      <c r="AF99" s="66">
        <f t="shared" si="6"/>
        <v>0</v>
      </c>
      <c r="AG99" s="66">
        <f t="shared" si="6"/>
        <v>0</v>
      </c>
      <c r="AH99" s="66">
        <f t="shared" si="7"/>
        <v>0</v>
      </c>
      <c r="AI99" s="66">
        <f t="shared" si="7"/>
        <v>0</v>
      </c>
      <c r="AJ99" s="66">
        <f t="shared" si="7"/>
        <v>0</v>
      </c>
      <c r="AK99" s="66">
        <f t="shared" si="7"/>
        <v>0</v>
      </c>
      <c r="AL99" s="66">
        <f t="shared" si="7"/>
        <v>0</v>
      </c>
      <c r="AM99" s="66">
        <f t="shared" si="7"/>
        <v>0</v>
      </c>
      <c r="AN99" s="66">
        <f t="shared" si="7"/>
        <v>5042.8584084599997</v>
      </c>
      <c r="AO99" s="66">
        <f t="shared" si="7"/>
        <v>0</v>
      </c>
      <c r="AP99" s="66">
        <f t="shared" si="7"/>
        <v>0</v>
      </c>
      <c r="AQ99" s="66">
        <f t="shared" si="7"/>
        <v>0</v>
      </c>
      <c r="AR99" s="66">
        <f t="shared" si="8"/>
        <v>0</v>
      </c>
      <c r="AS99" s="66">
        <f t="shared" si="8"/>
        <v>0</v>
      </c>
      <c r="AT99" s="66">
        <f t="shared" si="8"/>
        <v>0</v>
      </c>
      <c r="AU99" s="66">
        <f t="shared" si="8"/>
        <v>0</v>
      </c>
      <c r="AV99" s="66">
        <f t="shared" si="8"/>
        <v>0</v>
      </c>
      <c r="AW99" s="66">
        <f t="shared" si="8"/>
        <v>0</v>
      </c>
      <c r="AX99" s="66">
        <f t="shared" si="8"/>
        <v>0</v>
      </c>
      <c r="AY99" s="66">
        <f t="shared" si="8"/>
        <v>0</v>
      </c>
      <c r="AZ99" s="66">
        <f t="shared" si="8"/>
        <v>0</v>
      </c>
    </row>
    <row r="100" spans="10:54" ht="15" x14ac:dyDescent="0.25">
      <c r="J100" s="67"/>
      <c r="K100" s="61" t="s">
        <v>118</v>
      </c>
      <c r="N100" s="66">
        <f t="shared" si="5"/>
        <v>142495.61788151</v>
      </c>
      <c r="O100" s="66">
        <f t="shared" si="5"/>
        <v>10825.830895589999</v>
      </c>
      <c r="P100" s="66">
        <f t="shared" si="5"/>
        <v>82453.997473299998</v>
      </c>
      <c r="Q100" s="66">
        <f t="shared" si="5"/>
        <v>156542.93540309998</v>
      </c>
      <c r="R100" s="66">
        <f t="shared" si="5"/>
        <v>0</v>
      </c>
      <c r="S100" s="66">
        <f t="shared" si="5"/>
        <v>0</v>
      </c>
      <c r="T100" s="66">
        <f t="shared" si="5"/>
        <v>50530.098261323001</v>
      </c>
      <c r="U100" s="66">
        <f t="shared" si="5"/>
        <v>0</v>
      </c>
      <c r="V100" s="66">
        <f t="shared" si="5"/>
        <v>0</v>
      </c>
      <c r="W100" s="66">
        <f t="shared" si="5"/>
        <v>11959.58160696</v>
      </c>
      <c r="X100" s="66">
        <f t="shared" si="6"/>
        <v>1245.4106316699999</v>
      </c>
      <c r="Y100" s="66">
        <f t="shared" si="6"/>
        <v>5583.2024125539992</v>
      </c>
      <c r="Z100" s="66">
        <f t="shared" si="6"/>
        <v>0</v>
      </c>
      <c r="AA100" s="66">
        <f t="shared" si="6"/>
        <v>8384.8061603999995</v>
      </c>
      <c r="AB100" s="66">
        <f t="shared" si="6"/>
        <v>2842.0771120600002</v>
      </c>
      <c r="AC100" s="66">
        <f t="shared" si="6"/>
        <v>5305.9532167999996</v>
      </c>
      <c r="AD100" s="66">
        <f t="shared" si="6"/>
        <v>0</v>
      </c>
      <c r="AE100" s="66">
        <f t="shared" si="6"/>
        <v>7548.5466753820001</v>
      </c>
      <c r="AF100" s="66">
        <f t="shared" si="6"/>
        <v>9.9891689038599996</v>
      </c>
      <c r="AG100" s="66">
        <f t="shared" si="6"/>
        <v>30.432139872600001</v>
      </c>
      <c r="AH100" s="66">
        <f t="shared" si="7"/>
        <v>0</v>
      </c>
      <c r="AI100" s="66">
        <f t="shared" si="7"/>
        <v>0</v>
      </c>
      <c r="AJ100" s="66">
        <f t="shared" si="7"/>
        <v>1772.5943506460001</v>
      </c>
      <c r="AK100" s="66">
        <f t="shared" si="7"/>
        <v>110323.30044799999</v>
      </c>
      <c r="AL100" s="66">
        <f t="shared" si="7"/>
        <v>17669.672674618487</v>
      </c>
      <c r="AM100" s="66">
        <f t="shared" si="7"/>
        <v>20622.707852200001</v>
      </c>
      <c r="AN100" s="66">
        <f t="shared" si="7"/>
        <v>11551.27937815</v>
      </c>
      <c r="AO100" s="66">
        <f t="shared" si="7"/>
        <v>1556.7651599440001</v>
      </c>
      <c r="AP100" s="66">
        <f t="shared" si="7"/>
        <v>0</v>
      </c>
      <c r="AQ100" s="66">
        <f t="shared" si="7"/>
        <v>0</v>
      </c>
      <c r="AR100" s="66">
        <f t="shared" si="8"/>
        <v>511.60124656199997</v>
      </c>
      <c r="AS100" s="66">
        <f t="shared" si="8"/>
        <v>5063.41229337</v>
      </c>
      <c r="AT100" s="66">
        <f t="shared" si="8"/>
        <v>10970.7038428</v>
      </c>
      <c r="AU100" s="66">
        <f t="shared" si="8"/>
        <v>0</v>
      </c>
      <c r="AV100" s="66">
        <f t="shared" si="8"/>
        <v>6171.4329850800004</v>
      </c>
      <c r="AW100" s="66">
        <f t="shared" si="8"/>
        <v>33755.4349047</v>
      </c>
      <c r="AX100" s="66">
        <f t="shared" si="8"/>
        <v>11503.783926800001</v>
      </c>
      <c r="AY100" s="66">
        <f t="shared" si="8"/>
        <v>0</v>
      </c>
      <c r="AZ100" s="66">
        <f t="shared" si="8"/>
        <v>0</v>
      </c>
    </row>
    <row r="101" spans="10:54" ht="15" x14ac:dyDescent="0.25">
      <c r="J101" s="67"/>
      <c r="K101" s="61" t="s">
        <v>117</v>
      </c>
      <c r="N101" s="66">
        <f t="shared" si="5"/>
        <v>82406.719131809994</v>
      </c>
      <c r="O101" s="66">
        <f t="shared" si="5"/>
        <v>6387.6540948000002</v>
      </c>
      <c r="P101" s="66">
        <f t="shared" si="5"/>
        <v>82453.997473299998</v>
      </c>
      <c r="Q101" s="66">
        <f t="shared" si="5"/>
        <v>78338.792390000002</v>
      </c>
      <c r="R101" s="66">
        <f t="shared" si="5"/>
        <v>0</v>
      </c>
      <c r="S101" s="66">
        <f t="shared" si="5"/>
        <v>0</v>
      </c>
      <c r="T101" s="66">
        <f t="shared" si="5"/>
        <v>25579.889022422998</v>
      </c>
      <c r="U101" s="66">
        <f t="shared" si="5"/>
        <v>0</v>
      </c>
      <c r="V101" s="66">
        <f t="shared" si="5"/>
        <v>0</v>
      </c>
      <c r="W101" s="66">
        <f t="shared" si="5"/>
        <v>9329.1603535800004</v>
      </c>
      <c r="X101" s="66">
        <f t="shared" si="6"/>
        <v>622.70531583499996</v>
      </c>
      <c r="Y101" s="66">
        <f t="shared" si="6"/>
        <v>2885.6257831039998</v>
      </c>
      <c r="Z101" s="66">
        <f t="shared" si="6"/>
        <v>0</v>
      </c>
      <c r="AA101" s="66">
        <f t="shared" si="6"/>
        <v>4192.4030801999997</v>
      </c>
      <c r="AB101" s="66">
        <f t="shared" si="6"/>
        <v>2842.0771120600002</v>
      </c>
      <c r="AC101" s="66">
        <f t="shared" si="6"/>
        <v>5305.9532167999996</v>
      </c>
      <c r="AD101" s="66">
        <f t="shared" si="6"/>
        <v>0</v>
      </c>
      <c r="AE101" s="66">
        <f t="shared" si="6"/>
        <v>4001.7155051520003</v>
      </c>
      <c r="AF101" s="66">
        <f t="shared" si="6"/>
        <v>4.9945844519299998</v>
      </c>
      <c r="AG101" s="66">
        <f t="shared" si="6"/>
        <v>15.2160699363</v>
      </c>
      <c r="AH101" s="66">
        <f t="shared" si="7"/>
        <v>0</v>
      </c>
      <c r="AI101" s="66">
        <f t="shared" si="7"/>
        <v>0</v>
      </c>
      <c r="AJ101" s="66">
        <f t="shared" si="7"/>
        <v>886.29717532300003</v>
      </c>
      <c r="AK101" s="66">
        <f t="shared" si="7"/>
        <v>110323.30044799999</v>
      </c>
      <c r="AL101" s="66">
        <f t="shared" si="7"/>
        <v>17669.667168600001</v>
      </c>
      <c r="AM101" s="66">
        <f t="shared" si="7"/>
        <v>10311.353926100001</v>
      </c>
      <c r="AN101" s="66">
        <f t="shared" si="7"/>
        <v>10388.68945632</v>
      </c>
      <c r="AO101" s="66">
        <f t="shared" si="7"/>
        <v>778.38257997200003</v>
      </c>
      <c r="AP101" s="66">
        <f t="shared" si="7"/>
        <v>0</v>
      </c>
      <c r="AQ101" s="66">
        <f t="shared" si="7"/>
        <v>0</v>
      </c>
      <c r="AR101" s="66">
        <f t="shared" si="8"/>
        <v>511.60124656199997</v>
      </c>
      <c r="AS101" s="66">
        <f t="shared" si="8"/>
        <v>5063.41229337</v>
      </c>
      <c r="AT101" s="66">
        <f t="shared" si="8"/>
        <v>10970.7038428</v>
      </c>
      <c r="AU101" s="66">
        <f t="shared" si="8"/>
        <v>0</v>
      </c>
      <c r="AV101" s="66">
        <f t="shared" si="8"/>
        <v>3085.7164925400002</v>
      </c>
      <c r="AW101" s="66">
        <f t="shared" si="8"/>
        <v>33755.4349047</v>
      </c>
      <c r="AX101" s="66">
        <f t="shared" si="8"/>
        <v>5751.8919634000003</v>
      </c>
      <c r="AY101" s="66">
        <f t="shared" si="8"/>
        <v>0</v>
      </c>
      <c r="AZ101" s="66">
        <f t="shared" si="8"/>
        <v>0</v>
      </c>
    </row>
    <row r="102" spans="10:54" ht="15" x14ac:dyDescent="0.25">
      <c r="J102" s="67"/>
      <c r="K102" s="61" t="s">
        <v>116</v>
      </c>
      <c r="N102" s="66">
        <f t="shared" si="5"/>
        <v>80038.049842299995</v>
      </c>
      <c r="O102" s="66">
        <f t="shared" si="5"/>
        <v>6387.6540948000002</v>
      </c>
      <c r="P102" s="66">
        <f t="shared" si="5"/>
        <v>82453.997473299998</v>
      </c>
      <c r="Q102" s="66">
        <f t="shared" si="5"/>
        <v>78338.792390000002</v>
      </c>
      <c r="R102" s="66">
        <f t="shared" si="5"/>
        <v>0</v>
      </c>
      <c r="S102" s="66">
        <f t="shared" si="5"/>
        <v>0</v>
      </c>
      <c r="T102" s="66">
        <f t="shared" si="5"/>
        <v>24950.209238899999</v>
      </c>
      <c r="U102" s="66">
        <f t="shared" si="5"/>
        <v>0</v>
      </c>
      <c r="V102" s="66">
        <f t="shared" si="5"/>
        <v>0</v>
      </c>
      <c r="W102" s="66">
        <f t="shared" si="5"/>
        <v>2630.4212533800001</v>
      </c>
      <c r="X102" s="66">
        <f t="shared" si="6"/>
        <v>622.70531583499996</v>
      </c>
      <c r="Y102" s="66">
        <f t="shared" si="6"/>
        <v>2697.5766294499999</v>
      </c>
      <c r="Z102" s="66">
        <f t="shared" si="6"/>
        <v>0</v>
      </c>
      <c r="AA102" s="66">
        <f t="shared" si="6"/>
        <v>4192.4030801999997</v>
      </c>
      <c r="AB102" s="66">
        <f t="shared" si="6"/>
        <v>2842.0771120600002</v>
      </c>
      <c r="AC102" s="66">
        <f t="shared" si="6"/>
        <v>0</v>
      </c>
      <c r="AD102" s="66">
        <f t="shared" si="6"/>
        <v>0</v>
      </c>
      <c r="AE102" s="66">
        <f t="shared" si="6"/>
        <v>3546.8311702300002</v>
      </c>
      <c r="AF102" s="66">
        <f t="shared" si="6"/>
        <v>4.9945844519299998</v>
      </c>
      <c r="AG102" s="66">
        <f t="shared" si="6"/>
        <v>15.2160699363</v>
      </c>
      <c r="AH102" s="66">
        <f t="shared" si="7"/>
        <v>0</v>
      </c>
      <c r="AI102" s="66">
        <f t="shared" si="7"/>
        <v>0</v>
      </c>
      <c r="AJ102" s="66">
        <f t="shared" si="7"/>
        <v>886.29717532300003</v>
      </c>
      <c r="AK102" s="66">
        <f t="shared" si="7"/>
        <v>110323.30044799999</v>
      </c>
      <c r="AL102" s="66">
        <f t="shared" si="7"/>
        <v>17669.667168600001</v>
      </c>
      <c r="AM102" s="66">
        <f t="shared" si="7"/>
        <v>10311.353926100001</v>
      </c>
      <c r="AN102" s="66">
        <f t="shared" si="7"/>
        <v>5345.8310478599997</v>
      </c>
      <c r="AO102" s="66">
        <f t="shared" si="7"/>
        <v>778.38257997200003</v>
      </c>
      <c r="AP102" s="66">
        <f t="shared" si="7"/>
        <v>0</v>
      </c>
      <c r="AQ102" s="66">
        <f t="shared" si="7"/>
        <v>0</v>
      </c>
      <c r="AR102" s="66">
        <f t="shared" si="8"/>
        <v>511.60124656199997</v>
      </c>
      <c r="AS102" s="66">
        <f t="shared" si="8"/>
        <v>5063.41229337</v>
      </c>
      <c r="AT102" s="66">
        <f t="shared" si="8"/>
        <v>10970.7038428</v>
      </c>
      <c r="AU102" s="66">
        <f t="shared" si="8"/>
        <v>0</v>
      </c>
      <c r="AV102" s="66">
        <f t="shared" si="8"/>
        <v>3085.7164925400002</v>
      </c>
      <c r="AW102" s="66">
        <f t="shared" si="8"/>
        <v>33755.4349047</v>
      </c>
      <c r="AX102" s="66">
        <f t="shared" si="8"/>
        <v>5751.8919634000003</v>
      </c>
      <c r="AY102" s="66">
        <f t="shared" si="8"/>
        <v>0</v>
      </c>
      <c r="AZ102" s="66">
        <f t="shared" si="8"/>
        <v>0</v>
      </c>
    </row>
    <row r="103" spans="10:54" x14ac:dyDescent="0.2">
      <c r="J103" s="67"/>
      <c r="K103" s="64" t="s">
        <v>97</v>
      </c>
      <c r="L103" s="64" t="s">
        <v>136</v>
      </c>
      <c r="N103" s="65">
        <f t="shared" ref="N103:AZ103" si="9">SUM(N87:N102)</f>
        <v>919295.918615164</v>
      </c>
      <c r="O103" s="65">
        <f t="shared" si="9"/>
        <v>82541.603178250007</v>
      </c>
      <c r="P103" s="65">
        <f t="shared" si="9"/>
        <v>457376.31607769988</v>
      </c>
      <c r="Q103" s="65">
        <f t="shared" si="9"/>
        <v>562679.39161798439</v>
      </c>
      <c r="R103" s="65">
        <f t="shared" si="9"/>
        <v>1021061.0671216879</v>
      </c>
      <c r="S103" s="65">
        <f t="shared" si="9"/>
        <v>0</v>
      </c>
      <c r="T103" s="65">
        <f t="shared" si="9"/>
        <v>245164.25890236686</v>
      </c>
      <c r="U103" s="65">
        <f t="shared" si="9"/>
        <v>1593664.167313383</v>
      </c>
      <c r="V103" s="65">
        <f t="shared" si="9"/>
        <v>402213.69544088293</v>
      </c>
      <c r="W103" s="65">
        <f t="shared" si="9"/>
        <v>591645.16866812808</v>
      </c>
      <c r="X103" s="65">
        <f t="shared" si="9"/>
        <v>2497.2015020348599</v>
      </c>
      <c r="Y103" s="65">
        <f t="shared" si="9"/>
        <v>16997.832257238249</v>
      </c>
      <c r="Z103" s="65">
        <f t="shared" si="9"/>
        <v>725795.53518388001</v>
      </c>
      <c r="AA103" s="65">
        <f t="shared" si="9"/>
        <v>782900.5337742836</v>
      </c>
      <c r="AB103" s="65">
        <f t="shared" si="9"/>
        <v>225939.07318528005</v>
      </c>
      <c r="AC103" s="65">
        <f t="shared" si="9"/>
        <v>145677.8347726964</v>
      </c>
      <c r="AD103" s="65">
        <f t="shared" si="9"/>
        <v>0</v>
      </c>
      <c r="AE103" s="65">
        <f t="shared" si="9"/>
        <v>25768.765222892998</v>
      </c>
      <c r="AF103" s="65">
        <f t="shared" si="9"/>
        <v>19.978337807719999</v>
      </c>
      <c r="AG103" s="65">
        <f t="shared" si="9"/>
        <v>4072.9347082771997</v>
      </c>
      <c r="AH103" s="65">
        <f t="shared" si="9"/>
        <v>61018.640002890003</v>
      </c>
      <c r="AI103" s="65">
        <f t="shared" si="9"/>
        <v>510546.10848981107</v>
      </c>
      <c r="AJ103" s="65">
        <f t="shared" si="9"/>
        <v>14677.177538910399</v>
      </c>
      <c r="AK103" s="65">
        <f t="shared" si="9"/>
        <v>712818.08429539995</v>
      </c>
      <c r="AL103" s="65">
        <f t="shared" si="9"/>
        <v>1657255.9041334619</v>
      </c>
      <c r="AM103" s="65">
        <f t="shared" si="9"/>
        <v>57965.686201928198</v>
      </c>
      <c r="AN103" s="65">
        <f t="shared" si="9"/>
        <v>815083.9937992302</v>
      </c>
      <c r="AO103" s="65">
        <f t="shared" si="9"/>
        <v>4914.5400546589999</v>
      </c>
      <c r="AP103" s="65">
        <f t="shared" si="9"/>
        <v>61086.235228999998</v>
      </c>
      <c r="AQ103" s="65">
        <f t="shared" si="9"/>
        <v>65556.173511001005</v>
      </c>
      <c r="AR103" s="65">
        <f t="shared" si="9"/>
        <v>100353.1532636506</v>
      </c>
      <c r="AS103" s="65">
        <f t="shared" si="9"/>
        <v>29400.996765889999</v>
      </c>
      <c r="AT103" s="65">
        <f t="shared" si="9"/>
        <v>1279991.48916808</v>
      </c>
      <c r="AU103" s="65">
        <f t="shared" si="9"/>
        <v>122004.519895416</v>
      </c>
      <c r="AV103" s="65">
        <f t="shared" si="9"/>
        <v>531639.2678184699</v>
      </c>
      <c r="AW103" s="65">
        <f t="shared" si="9"/>
        <v>542881.03950030007</v>
      </c>
      <c r="AX103" s="65">
        <f t="shared" si="9"/>
        <v>989292.08284939022</v>
      </c>
      <c r="AY103" s="65">
        <f t="shared" si="9"/>
        <v>768862.03243252798</v>
      </c>
      <c r="AZ103" s="65">
        <f t="shared" si="9"/>
        <v>892132.26074383594</v>
      </c>
      <c r="BB103" s="65">
        <f>SUM(N103:AZ103)</f>
        <v>17022790.661573786</v>
      </c>
    </row>
    <row r="104" spans="10:54" x14ac:dyDescent="0.2">
      <c r="J104" s="67"/>
      <c r="N104" s="65">
        <f t="shared" ref="N104:AZ104" si="10">N84-N103</f>
        <v>1837306.7416740276</v>
      </c>
      <c r="O104" s="65">
        <f t="shared" si="10"/>
        <v>88104.780749200014</v>
      </c>
      <c r="P104" s="65">
        <f t="shared" si="10"/>
        <v>70.242146016447805</v>
      </c>
      <c r="Q104" s="65">
        <f t="shared" si="10"/>
        <v>179796.69862881757</v>
      </c>
      <c r="R104" s="65">
        <f t="shared" si="10"/>
        <v>89415.332365834503</v>
      </c>
      <c r="S104" s="65">
        <f t="shared" si="10"/>
        <v>1767.8316558500001</v>
      </c>
      <c r="T104" s="65">
        <f t="shared" si="10"/>
        <v>551264.0333559853</v>
      </c>
      <c r="U104" s="65">
        <f t="shared" si="10"/>
        <v>87038.924230874516</v>
      </c>
      <c r="V104" s="65">
        <f t="shared" si="10"/>
        <v>21998.026542915322</v>
      </c>
      <c r="W104" s="65">
        <f t="shared" si="10"/>
        <v>184837.73878161726</v>
      </c>
      <c r="X104" s="65">
        <f t="shared" si="10"/>
        <v>203470.6013272751</v>
      </c>
      <c r="Y104" s="65">
        <f t="shared" si="10"/>
        <v>90455.046472540504</v>
      </c>
      <c r="Z104" s="65">
        <f t="shared" si="10"/>
        <v>78066.138774423627</v>
      </c>
      <c r="AA104" s="65">
        <f t="shared" si="10"/>
        <v>100342.79015544616</v>
      </c>
      <c r="AB104" s="65">
        <f t="shared" si="10"/>
        <v>15171.35076586061</v>
      </c>
      <c r="AC104" s="65">
        <f t="shared" si="10"/>
        <v>28642.863978199981</v>
      </c>
      <c r="AD104" s="65">
        <f t="shared" si="10"/>
        <v>1431.62904901</v>
      </c>
      <c r="AE104" s="65">
        <f t="shared" si="10"/>
        <v>248560.63807220277</v>
      </c>
      <c r="AF104" s="65">
        <f t="shared" si="10"/>
        <v>1933.1263732100001</v>
      </c>
      <c r="AG104" s="65">
        <f t="shared" si="10"/>
        <v>72599.655335201009</v>
      </c>
      <c r="AH104" s="65">
        <f t="shared" si="10"/>
        <v>2156.0836795495998</v>
      </c>
      <c r="AI104" s="65">
        <f t="shared" si="10"/>
        <v>27532.817265327089</v>
      </c>
      <c r="AJ104" s="65">
        <f t="shared" si="10"/>
        <v>92055.108371929542</v>
      </c>
      <c r="AK104" s="65">
        <f t="shared" si="10"/>
        <v>1030.0319454558194</v>
      </c>
      <c r="AL104" s="65">
        <f t="shared" si="10"/>
        <v>203097.44114529551</v>
      </c>
      <c r="AM104" s="65">
        <f t="shared" si="10"/>
        <v>1762174.9558596399</v>
      </c>
      <c r="AN104" s="65">
        <f t="shared" si="10"/>
        <v>328568.20051080582</v>
      </c>
      <c r="AO104" s="65">
        <f t="shared" si="10"/>
        <v>15664.024781064501</v>
      </c>
      <c r="AP104" s="65">
        <f t="shared" si="10"/>
        <v>1438.2643101584035</v>
      </c>
      <c r="AQ104" s="65">
        <f t="shared" si="10"/>
        <v>4514.2349080353015</v>
      </c>
      <c r="AR104" s="65">
        <f t="shared" si="10"/>
        <v>39261.991443514999</v>
      </c>
      <c r="AS104" s="65">
        <f t="shared" si="10"/>
        <v>42.081464955816045</v>
      </c>
      <c r="AT104" s="65">
        <f t="shared" si="10"/>
        <v>73681.656122564804</v>
      </c>
      <c r="AU104" s="65">
        <f t="shared" si="10"/>
        <v>8356.6315254705987</v>
      </c>
      <c r="AV104" s="65">
        <f t="shared" si="10"/>
        <v>47817.576698342338</v>
      </c>
      <c r="AW104" s="65">
        <f t="shared" si="10"/>
        <v>17872.958206041367</v>
      </c>
      <c r="AX104" s="65">
        <f t="shared" si="10"/>
        <v>126594.70529931516</v>
      </c>
      <c r="AY104" s="65">
        <f t="shared" si="10"/>
        <v>25315.094359562849</v>
      </c>
      <c r="AZ104" s="65">
        <f t="shared" si="10"/>
        <v>35696.390663645812</v>
      </c>
      <c r="BB104" s="65"/>
    </row>
    <row r="105" spans="10:54" x14ac:dyDescent="0.2">
      <c r="J105" s="67"/>
      <c r="N105" s="65"/>
      <c r="O105" s="65"/>
      <c r="P105" s="65"/>
      <c r="Q105" s="65"/>
      <c r="R105" s="65"/>
      <c r="S105" s="65"/>
      <c r="T105" s="65"/>
      <c r="U105" s="65"/>
      <c r="V105" s="65"/>
      <c r="W105" s="65"/>
      <c r="X105" s="65"/>
      <c r="Y105" s="65"/>
      <c r="Z105" s="65"/>
      <c r="AA105" s="65"/>
      <c r="AB105" s="65"/>
      <c r="AC105" s="65"/>
      <c r="AD105" s="65"/>
      <c r="AE105" s="65"/>
      <c r="AF105" s="65"/>
      <c r="AG105" s="65"/>
      <c r="AH105" s="65"/>
      <c r="AI105" s="65"/>
      <c r="AJ105" s="65"/>
      <c r="AK105" s="65"/>
      <c r="AL105" s="65"/>
      <c r="AM105" s="65"/>
      <c r="AN105" s="65"/>
      <c r="AO105" s="65"/>
      <c r="AP105" s="65"/>
      <c r="AQ105" s="65"/>
      <c r="AR105" s="65"/>
      <c r="AS105" s="65"/>
      <c r="AT105" s="65"/>
      <c r="AU105" s="65"/>
      <c r="AV105" s="65"/>
      <c r="AW105" s="65"/>
      <c r="AX105" s="65"/>
      <c r="AY105" s="65"/>
      <c r="AZ105" s="65"/>
      <c r="BB105" s="65"/>
    </row>
    <row r="106" spans="10:54" x14ac:dyDescent="0.2">
      <c r="J106" s="69" t="s">
        <v>135</v>
      </c>
      <c r="K106" s="61" t="s">
        <v>134</v>
      </c>
      <c r="N106" s="65">
        <f t="shared" ref="N106:AZ106" si="11">N87+N88+N93+N98+N101</f>
        <v>429150.82709892199</v>
      </c>
      <c r="O106" s="65">
        <f t="shared" si="11"/>
        <v>38769.199666550005</v>
      </c>
      <c r="P106" s="65">
        <f t="shared" si="11"/>
        <v>199091.86807169998</v>
      </c>
      <c r="Q106" s="65">
        <f t="shared" si="11"/>
        <v>212704.62146420468</v>
      </c>
      <c r="R106" s="65">
        <f t="shared" si="11"/>
        <v>502266.06539524707</v>
      </c>
      <c r="S106" s="65">
        <f t="shared" si="11"/>
        <v>0</v>
      </c>
      <c r="T106" s="65">
        <f t="shared" si="11"/>
        <v>121928.46296444499</v>
      </c>
      <c r="U106" s="65">
        <f t="shared" si="11"/>
        <v>736741.10792213015</v>
      </c>
      <c r="V106" s="65">
        <f t="shared" si="11"/>
        <v>184207.12881095201</v>
      </c>
      <c r="W106" s="65">
        <f t="shared" si="11"/>
        <v>124895.636466254</v>
      </c>
      <c r="X106" s="65">
        <f t="shared" si="11"/>
        <v>624.45085287223992</v>
      </c>
      <c r="Y106" s="65">
        <f t="shared" si="11"/>
        <v>4487.1053034715997</v>
      </c>
      <c r="Z106" s="65">
        <f t="shared" si="11"/>
        <v>373691.86506480002</v>
      </c>
      <c r="AA106" s="65">
        <f t="shared" si="11"/>
        <v>33999.348393941895</v>
      </c>
      <c r="AB106" s="65">
        <f t="shared" si="11"/>
        <v>121811.58438776</v>
      </c>
      <c r="AC106" s="65">
        <f t="shared" si="11"/>
        <v>12403.7698230391</v>
      </c>
      <c r="AD106" s="65">
        <f t="shared" si="11"/>
        <v>0</v>
      </c>
      <c r="AE106" s="65">
        <f t="shared" si="11"/>
        <v>6334.1180935030006</v>
      </c>
      <c r="AF106" s="65">
        <f t="shared" si="11"/>
        <v>4.9945844519299998</v>
      </c>
      <c r="AG106" s="65">
        <f t="shared" si="11"/>
        <v>1465.4320509213001</v>
      </c>
      <c r="AH106" s="65">
        <f t="shared" si="11"/>
        <v>31945.071994990001</v>
      </c>
      <c r="AI106" s="65">
        <f t="shared" si="11"/>
        <v>113343.78961890099</v>
      </c>
      <c r="AJ106" s="65">
        <f t="shared" si="11"/>
        <v>3755.2513020806996</v>
      </c>
      <c r="AK106" s="65">
        <f t="shared" si="11"/>
        <v>323911.13714240002</v>
      </c>
      <c r="AL106" s="65">
        <f t="shared" si="11"/>
        <v>873796.41337365902</v>
      </c>
      <c r="AM106" s="65">
        <f t="shared" si="11"/>
        <v>12486.062892809601</v>
      </c>
      <c r="AN106" s="65">
        <f t="shared" si="11"/>
        <v>354701.11913104</v>
      </c>
      <c r="AO106" s="65">
        <f t="shared" si="11"/>
        <v>2067.2618475950003</v>
      </c>
      <c r="AP106" s="65">
        <f t="shared" si="11"/>
        <v>33071.293662299999</v>
      </c>
      <c r="AQ106" s="65">
        <f t="shared" si="11"/>
        <v>32907.675793002003</v>
      </c>
      <c r="AR106" s="65">
        <f t="shared" si="11"/>
        <v>56903.03231915315</v>
      </c>
      <c r="AS106" s="65">
        <f t="shared" si="11"/>
        <v>12943.583624590001</v>
      </c>
      <c r="AT106" s="65">
        <f t="shared" si="11"/>
        <v>605200.19403570006</v>
      </c>
      <c r="AU106" s="65">
        <f t="shared" si="11"/>
        <v>49996.986232522002</v>
      </c>
      <c r="AV106" s="65">
        <f t="shared" si="11"/>
        <v>27247.7246031</v>
      </c>
      <c r="AW106" s="65">
        <f t="shared" si="11"/>
        <v>274480.50792490004</v>
      </c>
      <c r="AX106" s="65">
        <f t="shared" si="11"/>
        <v>68490.870790495203</v>
      </c>
      <c r="AY106" s="65">
        <f t="shared" si="11"/>
        <v>411738.13117658097</v>
      </c>
      <c r="AZ106" s="65">
        <f t="shared" si="11"/>
        <v>481641.03257700399</v>
      </c>
      <c r="BB106" s="65"/>
    </row>
    <row r="107" spans="10:54" x14ac:dyDescent="0.2">
      <c r="J107" s="67"/>
      <c r="K107" s="61" t="s">
        <v>91</v>
      </c>
      <c r="N107" s="65">
        <f t="shared" ref="N107:AZ107" si="12">N89+N91+N96</f>
        <v>239711.24048408598</v>
      </c>
      <c r="O107" s="65">
        <f t="shared" si="12"/>
        <v>24257.683618300001</v>
      </c>
      <c r="P107" s="65">
        <f t="shared" si="12"/>
        <v>93376.453059399995</v>
      </c>
      <c r="Q107" s="65">
        <f t="shared" si="12"/>
        <v>102901.1369207711</v>
      </c>
      <c r="R107" s="65">
        <f t="shared" si="12"/>
        <v>502080.59776764706</v>
      </c>
      <c r="S107" s="65">
        <f t="shared" si="12"/>
        <v>0</v>
      </c>
      <c r="T107" s="65">
        <f t="shared" si="12"/>
        <v>40048.454168372002</v>
      </c>
      <c r="U107" s="65">
        <f t="shared" si="12"/>
        <v>826589.22623317072</v>
      </c>
      <c r="V107" s="65">
        <f t="shared" si="12"/>
        <v>188083.40707444571</v>
      </c>
      <c r="W107" s="65">
        <f t="shared" si="12"/>
        <v>251462.46034381702</v>
      </c>
      <c r="X107" s="65">
        <f t="shared" si="12"/>
        <v>3.19011934743</v>
      </c>
      <c r="Y107" s="65">
        <f t="shared" si="12"/>
        <v>2336.9657860573002</v>
      </c>
      <c r="Z107" s="65">
        <f t="shared" si="12"/>
        <v>350090.10667354002</v>
      </c>
      <c r="AA107" s="65">
        <f t="shared" si="12"/>
        <v>300802.38856759999</v>
      </c>
      <c r="AB107" s="65">
        <f t="shared" si="12"/>
        <v>98443.334573400003</v>
      </c>
      <c r="AC107" s="65">
        <f t="shared" si="12"/>
        <v>61407.143666169097</v>
      </c>
      <c r="AD107" s="65">
        <f t="shared" si="12"/>
        <v>0</v>
      </c>
      <c r="AE107" s="65">
        <f t="shared" si="12"/>
        <v>4372.8544422169998</v>
      </c>
      <c r="AF107" s="65">
        <f t="shared" si="12"/>
        <v>0</v>
      </c>
      <c r="AG107" s="65">
        <f t="shared" si="12"/>
        <v>547.75105130500003</v>
      </c>
      <c r="AH107" s="65">
        <f t="shared" si="12"/>
        <v>29073.568007900001</v>
      </c>
      <c r="AI107" s="65">
        <f t="shared" si="12"/>
        <v>220590.91984580999</v>
      </c>
      <c r="AJ107" s="65">
        <f t="shared" si="12"/>
        <v>2527.5962243266995</v>
      </c>
      <c r="AK107" s="65">
        <f t="shared" si="12"/>
        <v>168260.346257</v>
      </c>
      <c r="AL107" s="65">
        <f t="shared" si="12"/>
        <v>740314.48250805272</v>
      </c>
      <c r="AM107" s="65">
        <f t="shared" si="12"/>
        <v>6677.0716263200002</v>
      </c>
      <c r="AN107" s="65">
        <f t="shared" si="12"/>
        <v>339649.11092832003</v>
      </c>
      <c r="AO107" s="65">
        <f t="shared" si="12"/>
        <v>494.716519871</v>
      </c>
      <c r="AP107" s="65">
        <f t="shared" si="12"/>
        <v>28014.941566699999</v>
      </c>
      <c r="AQ107" s="65">
        <f t="shared" si="12"/>
        <v>30887.236752984001</v>
      </c>
      <c r="AR107" s="65">
        <f t="shared" si="12"/>
        <v>42426.901894991148</v>
      </c>
      <c r="AS107" s="65">
        <f t="shared" si="12"/>
        <v>6330.5885545600004</v>
      </c>
      <c r="AT107" s="65">
        <f t="shared" si="12"/>
        <v>564068.87160004</v>
      </c>
      <c r="AU107" s="65">
        <f t="shared" si="12"/>
        <v>65745.645384228992</v>
      </c>
      <c r="AV107" s="65">
        <f t="shared" si="12"/>
        <v>197538.12388224999</v>
      </c>
      <c r="AW107" s="65">
        <f t="shared" si="12"/>
        <v>200889.661766</v>
      </c>
      <c r="AX107" s="65">
        <f t="shared" si="12"/>
        <v>388396.48818766011</v>
      </c>
      <c r="AY107" s="65">
        <f t="shared" si="12"/>
        <v>356553.33088153298</v>
      </c>
      <c r="AZ107" s="65">
        <f t="shared" si="12"/>
        <v>403441.81505338399</v>
      </c>
      <c r="BB107" s="65"/>
    </row>
    <row r="108" spans="10:54" x14ac:dyDescent="0.2">
      <c r="J108" s="67"/>
      <c r="K108" s="61" t="s">
        <v>90</v>
      </c>
      <c r="N108" s="65">
        <f t="shared" ref="N108:AZ108" si="13">N103-N106-N107</f>
        <v>250433.85103215603</v>
      </c>
      <c r="O108" s="65">
        <f t="shared" si="13"/>
        <v>19514.719893400001</v>
      </c>
      <c r="P108" s="65">
        <f t="shared" si="13"/>
        <v>164907.99494659991</v>
      </c>
      <c r="Q108" s="65">
        <f t="shared" si="13"/>
        <v>247073.63323300862</v>
      </c>
      <c r="R108" s="65">
        <f t="shared" si="13"/>
        <v>16714.403958793788</v>
      </c>
      <c r="S108" s="65">
        <f t="shared" si="13"/>
        <v>0</v>
      </c>
      <c r="T108" s="65">
        <f t="shared" si="13"/>
        <v>83187.341769549865</v>
      </c>
      <c r="U108" s="65">
        <f t="shared" si="13"/>
        <v>30333.833158082096</v>
      </c>
      <c r="V108" s="65">
        <f t="shared" si="13"/>
        <v>29923.15955548521</v>
      </c>
      <c r="W108" s="65">
        <f t="shared" si="13"/>
        <v>215287.07185805705</v>
      </c>
      <c r="X108" s="65">
        <f t="shared" si="13"/>
        <v>1869.56052981519</v>
      </c>
      <c r="Y108" s="65">
        <f t="shared" si="13"/>
        <v>10173.76116770935</v>
      </c>
      <c r="Z108" s="65">
        <f t="shared" si="13"/>
        <v>2013.5634455399704</v>
      </c>
      <c r="AA108" s="65">
        <f t="shared" si="13"/>
        <v>448098.79681274173</v>
      </c>
      <c r="AB108" s="65">
        <f t="shared" si="13"/>
        <v>5684.1542241200514</v>
      </c>
      <c r="AC108" s="65">
        <f t="shared" si="13"/>
        <v>71866.921283488206</v>
      </c>
      <c r="AD108" s="65">
        <f t="shared" si="13"/>
        <v>0</v>
      </c>
      <c r="AE108" s="65">
        <f t="shared" si="13"/>
        <v>15061.792687172996</v>
      </c>
      <c r="AF108" s="65">
        <f t="shared" si="13"/>
        <v>14.98375335579</v>
      </c>
      <c r="AG108" s="65">
        <f t="shared" si="13"/>
        <v>2059.7516060508997</v>
      </c>
      <c r="AH108" s="65">
        <f t="shared" si="13"/>
        <v>0</v>
      </c>
      <c r="AI108" s="65">
        <f t="shared" si="13"/>
        <v>176611.39902510011</v>
      </c>
      <c r="AJ108" s="65">
        <f t="shared" si="13"/>
        <v>8394.330012503</v>
      </c>
      <c r="AK108" s="65">
        <f t="shared" si="13"/>
        <v>220646.60089599993</v>
      </c>
      <c r="AL108" s="65">
        <f t="shared" si="13"/>
        <v>43145.008251750143</v>
      </c>
      <c r="AM108" s="65">
        <f t="shared" si="13"/>
        <v>38802.551682798599</v>
      </c>
      <c r="AN108" s="65">
        <f t="shared" si="13"/>
        <v>120733.76373987016</v>
      </c>
      <c r="AO108" s="65">
        <f t="shared" si="13"/>
        <v>2352.5616871929997</v>
      </c>
      <c r="AP108" s="65">
        <f t="shared" si="13"/>
        <v>0</v>
      </c>
      <c r="AQ108" s="65">
        <f t="shared" si="13"/>
        <v>1761.2609650150007</v>
      </c>
      <c r="AR108" s="65">
        <f t="shared" si="13"/>
        <v>1023.2190495063041</v>
      </c>
      <c r="AS108" s="65">
        <f t="shared" si="13"/>
        <v>10126.82458674</v>
      </c>
      <c r="AT108" s="65">
        <f t="shared" si="13"/>
        <v>110722.42353233998</v>
      </c>
      <c r="AU108" s="65">
        <f t="shared" si="13"/>
        <v>6261.8882786650065</v>
      </c>
      <c r="AV108" s="65">
        <f t="shared" si="13"/>
        <v>306853.41933311993</v>
      </c>
      <c r="AW108" s="65">
        <f t="shared" si="13"/>
        <v>67510.869809400028</v>
      </c>
      <c r="AX108" s="65">
        <f t="shared" si="13"/>
        <v>532404.72387123492</v>
      </c>
      <c r="AY108" s="65">
        <f t="shared" si="13"/>
        <v>570.57037441403372</v>
      </c>
      <c r="AZ108" s="65">
        <f t="shared" si="13"/>
        <v>7049.4131134479539</v>
      </c>
      <c r="BB108" s="65"/>
    </row>
    <row r="109" spans="10:54" x14ac:dyDescent="0.2">
      <c r="J109" s="67"/>
      <c r="K109" s="61" t="s">
        <v>97</v>
      </c>
      <c r="N109" s="65">
        <f t="shared" ref="N109:AZ109" si="14">SUM(N106:N108)</f>
        <v>919295.918615164</v>
      </c>
      <c r="O109" s="65">
        <f t="shared" si="14"/>
        <v>82541.603178250007</v>
      </c>
      <c r="P109" s="65">
        <f t="shared" si="14"/>
        <v>457376.31607769988</v>
      </c>
      <c r="Q109" s="65">
        <f t="shared" si="14"/>
        <v>562679.39161798439</v>
      </c>
      <c r="R109" s="65">
        <f t="shared" si="14"/>
        <v>1021061.0671216878</v>
      </c>
      <c r="S109" s="65">
        <f t="shared" si="14"/>
        <v>0</v>
      </c>
      <c r="T109" s="65">
        <f t="shared" si="14"/>
        <v>245164.25890236686</v>
      </c>
      <c r="U109" s="65">
        <f t="shared" si="14"/>
        <v>1593664.167313383</v>
      </c>
      <c r="V109" s="65">
        <f t="shared" si="14"/>
        <v>402213.69544088293</v>
      </c>
      <c r="W109" s="65">
        <f t="shared" si="14"/>
        <v>591645.16866812808</v>
      </c>
      <c r="X109" s="65">
        <f t="shared" si="14"/>
        <v>2497.2015020348599</v>
      </c>
      <c r="Y109" s="65">
        <f t="shared" si="14"/>
        <v>16997.832257238249</v>
      </c>
      <c r="Z109" s="65">
        <f t="shared" si="14"/>
        <v>725795.53518388001</v>
      </c>
      <c r="AA109" s="65">
        <f t="shared" si="14"/>
        <v>782900.5337742836</v>
      </c>
      <c r="AB109" s="65">
        <f t="shared" si="14"/>
        <v>225939.07318528005</v>
      </c>
      <c r="AC109" s="65">
        <f t="shared" si="14"/>
        <v>145677.8347726964</v>
      </c>
      <c r="AD109" s="65">
        <f t="shared" si="14"/>
        <v>0</v>
      </c>
      <c r="AE109" s="65">
        <f t="shared" si="14"/>
        <v>25768.765222892995</v>
      </c>
      <c r="AF109" s="65">
        <f t="shared" si="14"/>
        <v>19.978337807719999</v>
      </c>
      <c r="AG109" s="65">
        <f t="shared" si="14"/>
        <v>4072.9347082771997</v>
      </c>
      <c r="AH109" s="65">
        <f t="shared" si="14"/>
        <v>61018.640002890003</v>
      </c>
      <c r="AI109" s="65">
        <f t="shared" si="14"/>
        <v>510546.10848981107</v>
      </c>
      <c r="AJ109" s="65">
        <f t="shared" si="14"/>
        <v>14677.177538910399</v>
      </c>
      <c r="AK109" s="65">
        <f t="shared" si="14"/>
        <v>712818.08429539995</v>
      </c>
      <c r="AL109" s="65">
        <f t="shared" si="14"/>
        <v>1657255.9041334619</v>
      </c>
      <c r="AM109" s="65">
        <f t="shared" si="14"/>
        <v>57965.686201928198</v>
      </c>
      <c r="AN109" s="65">
        <f t="shared" si="14"/>
        <v>815083.9937992302</v>
      </c>
      <c r="AO109" s="65">
        <f t="shared" si="14"/>
        <v>4914.5400546589999</v>
      </c>
      <c r="AP109" s="65">
        <f t="shared" si="14"/>
        <v>61086.235228999998</v>
      </c>
      <c r="AQ109" s="65">
        <f t="shared" si="14"/>
        <v>65556.173511001005</v>
      </c>
      <c r="AR109" s="65">
        <f t="shared" si="14"/>
        <v>100353.1532636506</v>
      </c>
      <c r="AS109" s="65">
        <f t="shared" si="14"/>
        <v>29400.996765890002</v>
      </c>
      <c r="AT109" s="65">
        <f t="shared" si="14"/>
        <v>1279991.48916808</v>
      </c>
      <c r="AU109" s="65">
        <f t="shared" si="14"/>
        <v>122004.519895416</v>
      </c>
      <c r="AV109" s="65">
        <f t="shared" si="14"/>
        <v>531639.2678184699</v>
      </c>
      <c r="AW109" s="65">
        <f t="shared" si="14"/>
        <v>542881.03950030007</v>
      </c>
      <c r="AX109" s="65">
        <f t="shared" si="14"/>
        <v>989292.08284939022</v>
      </c>
      <c r="AY109" s="65">
        <f t="shared" si="14"/>
        <v>768862.03243252798</v>
      </c>
      <c r="AZ109" s="65">
        <f t="shared" si="14"/>
        <v>892132.26074383594</v>
      </c>
      <c r="BB109" s="65"/>
    </row>
    <row r="110" spans="10:54" x14ac:dyDescent="0.2">
      <c r="J110" s="67"/>
      <c r="N110" s="65"/>
      <c r="O110" s="65"/>
      <c r="P110" s="65"/>
      <c r="Q110" s="65"/>
      <c r="R110" s="65"/>
      <c r="S110" s="65"/>
      <c r="T110" s="65"/>
      <c r="U110" s="65"/>
      <c r="V110" s="65"/>
      <c r="W110" s="65"/>
      <c r="X110" s="65"/>
      <c r="Y110" s="65"/>
      <c r="Z110" s="65"/>
      <c r="AA110" s="65"/>
      <c r="AB110" s="65"/>
      <c r="AC110" s="65"/>
      <c r="AD110" s="65"/>
      <c r="AE110" s="65"/>
      <c r="AF110" s="65"/>
      <c r="AG110" s="65"/>
      <c r="AH110" s="65"/>
      <c r="AI110" s="65"/>
      <c r="AJ110" s="65"/>
      <c r="AK110" s="65"/>
      <c r="AL110" s="65"/>
      <c r="AM110" s="65"/>
      <c r="AN110" s="65"/>
      <c r="AO110" s="65"/>
      <c r="AP110" s="65"/>
      <c r="AQ110" s="65"/>
      <c r="AR110" s="65"/>
      <c r="AS110" s="65"/>
      <c r="AT110" s="65"/>
      <c r="AU110" s="65"/>
      <c r="AV110" s="65"/>
      <c r="AW110" s="65"/>
      <c r="AX110" s="65"/>
      <c r="AY110" s="65"/>
      <c r="AZ110" s="65"/>
      <c r="BB110" s="65"/>
    </row>
    <row r="111" spans="10:54" ht="25.5" x14ac:dyDescent="0.2">
      <c r="J111" s="67"/>
      <c r="L111" s="68" t="s">
        <v>133</v>
      </c>
      <c r="M111" s="64" t="s">
        <v>132</v>
      </c>
    </row>
    <row r="112" spans="10:54" x14ac:dyDescent="0.2">
      <c r="J112" s="67"/>
      <c r="K112" s="61" t="s">
        <v>131</v>
      </c>
      <c r="L112" s="61">
        <f>IFERROR(INDEX(Crop_codes!$E$3:$E$22,MATCH($K112,Crop_codes!$G$3:$G$22,0)),0)</f>
        <v>0.19</v>
      </c>
      <c r="M112" s="61">
        <f>IFERROR(INDEX(Crop_codes!$E$23:$E$44,MATCH($K112,Crop_codes!$G$23:$G$44,0)),0)</f>
        <v>0.17</v>
      </c>
      <c r="N112" s="65">
        <f t="shared" ref="N112:AZ112" si="15">IF(N$85=86,$L112*N87,IF(N$85=100,$M112*N87,-99))</f>
        <v>24220.95541984</v>
      </c>
      <c r="O112" s="65">
        <f t="shared" si="15"/>
        <v>989.84659857480005</v>
      </c>
      <c r="P112" s="65">
        <f t="shared" si="15"/>
        <v>3954.4409816299999</v>
      </c>
      <c r="Q112" s="65">
        <f t="shared" si="15"/>
        <v>8167.1438443420002</v>
      </c>
      <c r="R112" s="65">
        <f t="shared" si="15"/>
        <v>6372.1792410000007</v>
      </c>
      <c r="S112" s="65">
        <f t="shared" si="15"/>
        <v>0</v>
      </c>
      <c r="T112" s="65">
        <f t="shared" si="15"/>
        <v>12040.99509486</v>
      </c>
      <c r="U112" s="65">
        <f t="shared" si="15"/>
        <v>9687.5368047710017</v>
      </c>
      <c r="V112" s="65">
        <f t="shared" si="15"/>
        <v>4060.244873438</v>
      </c>
      <c r="W112" s="65">
        <f t="shared" si="15"/>
        <v>754.19512490770001</v>
      </c>
      <c r="X112" s="65">
        <f t="shared" si="15"/>
        <v>0</v>
      </c>
      <c r="Y112" s="65">
        <f t="shared" si="15"/>
        <v>120.31404807278</v>
      </c>
      <c r="Z112" s="65">
        <f t="shared" si="15"/>
        <v>4354.6047122560003</v>
      </c>
      <c r="AA112" s="65">
        <f t="shared" si="15"/>
        <v>0</v>
      </c>
      <c r="AB112" s="65">
        <f t="shared" si="15"/>
        <v>3489.4493593910001</v>
      </c>
      <c r="AC112" s="65">
        <f t="shared" si="15"/>
        <v>0</v>
      </c>
      <c r="AD112" s="65">
        <f t="shared" si="15"/>
        <v>0</v>
      </c>
      <c r="AE112" s="65">
        <f t="shared" si="15"/>
        <v>55.993538907830008</v>
      </c>
      <c r="AF112" s="65">
        <f t="shared" si="15"/>
        <v>0</v>
      </c>
      <c r="AG112" s="65">
        <f t="shared" si="15"/>
        <v>0</v>
      </c>
      <c r="AH112" s="65">
        <f t="shared" si="15"/>
        <v>488.15567780530006</v>
      </c>
      <c r="AI112" s="65">
        <f t="shared" si="15"/>
        <v>27.86399618139</v>
      </c>
      <c r="AJ112" s="65">
        <f t="shared" si="15"/>
        <v>0</v>
      </c>
      <c r="AK112" s="65">
        <f t="shared" si="15"/>
        <v>7705.6733743580007</v>
      </c>
      <c r="AL112" s="65">
        <f t="shared" si="15"/>
        <v>19342.859201890002</v>
      </c>
      <c r="AM112" s="65">
        <f t="shared" si="15"/>
        <v>129.99706268649001</v>
      </c>
      <c r="AN112" s="65">
        <f t="shared" si="15"/>
        <v>14428.361006505</v>
      </c>
      <c r="AO112" s="65">
        <f t="shared" si="15"/>
        <v>154.19957205551</v>
      </c>
      <c r="AP112" s="65">
        <f t="shared" si="15"/>
        <v>859.57985625200013</v>
      </c>
      <c r="AQ112" s="65">
        <f t="shared" si="15"/>
        <v>650.1284785396</v>
      </c>
      <c r="AR112" s="65">
        <f t="shared" si="15"/>
        <v>2373.9699601920001</v>
      </c>
      <c r="AS112" s="65">
        <f t="shared" si="15"/>
        <v>263.4290720322</v>
      </c>
      <c r="AT112" s="65">
        <f t="shared" si="15"/>
        <v>8089.9333436939996</v>
      </c>
      <c r="AU112" s="65">
        <f t="shared" si="15"/>
        <v>574.62532535900004</v>
      </c>
      <c r="AV112" s="65">
        <f t="shared" si="15"/>
        <v>0</v>
      </c>
      <c r="AW112" s="65">
        <f t="shared" si="15"/>
        <v>6772.0199132140006</v>
      </c>
      <c r="AX112" s="65">
        <f t="shared" si="15"/>
        <v>386.74596825899999</v>
      </c>
      <c r="AY112" s="65">
        <f t="shared" si="15"/>
        <v>9408.2202008490003</v>
      </c>
      <c r="AZ112" s="65">
        <f t="shared" si="15"/>
        <v>13188.661993611</v>
      </c>
    </row>
    <row r="113" spans="10:52" x14ac:dyDescent="0.2">
      <c r="J113" s="67"/>
      <c r="K113" s="61" t="s">
        <v>130</v>
      </c>
      <c r="L113" s="61">
        <f>IFERROR(INDEX(Crop_codes!$E$3:$E$22,MATCH($K113,Crop_codes!$G$3:$G$22,0)),0)</f>
        <v>0.27</v>
      </c>
      <c r="M113" s="61">
        <f>IFERROR(INDEX(Crop_codes!$E$23:$E$44,MATCH($K113,Crop_codes!$G$23:$G$44,0)),0)</f>
        <v>0.26</v>
      </c>
      <c r="N113" s="65">
        <f t="shared" ref="N113:AZ113" si="16">IF(N$85=86,$L113*N88,IF(N$85=100,$M113*N88,-99))</f>
        <v>58606.522307458021</v>
      </c>
      <c r="O113" s="65">
        <f t="shared" si="16"/>
        <v>6306.9977407580009</v>
      </c>
      <c r="P113" s="65">
        <f t="shared" si="16"/>
        <v>24277.877795444001</v>
      </c>
      <c r="Q113" s="65">
        <f t="shared" si="16"/>
        <v>24663.183964375843</v>
      </c>
      <c r="R113" s="65">
        <f t="shared" si="16"/>
        <v>120796.58508840001</v>
      </c>
      <c r="S113" s="65">
        <f t="shared" si="16"/>
        <v>0</v>
      </c>
      <c r="T113" s="65">
        <f t="shared" si="16"/>
        <v>8869.6847466524705</v>
      </c>
      <c r="U113" s="65">
        <f t="shared" si="16"/>
        <v>176023.17556486002</v>
      </c>
      <c r="V113" s="65">
        <f t="shared" si="16"/>
        <v>43962.4257621992</v>
      </c>
      <c r="W113" s="65">
        <f t="shared" si="16"/>
        <v>27529.335650823392</v>
      </c>
      <c r="X113" s="65">
        <f t="shared" si="16"/>
        <v>0.47129500005480007</v>
      </c>
      <c r="Y113" s="65">
        <f t="shared" si="16"/>
        <v>206.75220983540103</v>
      </c>
      <c r="Z113" s="65">
        <f t="shared" si="16"/>
        <v>90499.901239280007</v>
      </c>
      <c r="AA113" s="65">
        <f t="shared" si="16"/>
        <v>3965.5161336780002</v>
      </c>
      <c r="AB113" s="65">
        <f t="shared" si="16"/>
        <v>25595.266989084001</v>
      </c>
      <c r="AC113" s="65">
        <f t="shared" si="16"/>
        <v>1892.2939640694001</v>
      </c>
      <c r="AD113" s="65">
        <f t="shared" si="16"/>
        <v>0</v>
      </c>
      <c r="AE113" s="65">
        <f t="shared" si="16"/>
        <v>361.67455161314996</v>
      </c>
      <c r="AF113" s="65">
        <f t="shared" si="16"/>
        <v>0</v>
      </c>
      <c r="AG113" s="65">
        <f t="shared" si="16"/>
        <v>28.207320240150004</v>
      </c>
      <c r="AH113" s="65">
        <f t="shared" si="16"/>
        <v>7559.1276820540006</v>
      </c>
      <c r="AI113" s="65">
        <f t="shared" si="16"/>
        <v>23018.024398970701</v>
      </c>
      <c r="AJ113" s="65">
        <f t="shared" si="16"/>
        <v>8.7867756578789997</v>
      </c>
      <c r="AK113" s="65">
        <f t="shared" si="16"/>
        <v>43747.690026820004</v>
      </c>
      <c r="AL113" s="65">
        <f t="shared" si="16"/>
        <v>192022.22914070039</v>
      </c>
      <c r="AM113" s="65">
        <f t="shared" si="16"/>
        <v>389.84625891540003</v>
      </c>
      <c r="AN113" s="65">
        <f t="shared" si="16"/>
        <v>70632.442288563296</v>
      </c>
      <c r="AO113" s="65">
        <f t="shared" si="16"/>
        <v>128.87169460038001</v>
      </c>
      <c r="AP113" s="65">
        <f t="shared" si="16"/>
        <v>7283.8848073420004</v>
      </c>
      <c r="AQ113" s="65">
        <f t="shared" si="16"/>
        <v>7243.9801939213803</v>
      </c>
      <c r="AR113" s="65">
        <f t="shared" si="16"/>
        <v>11030.992340368</v>
      </c>
      <c r="AS113" s="65">
        <f t="shared" si="16"/>
        <v>1645.9530241856</v>
      </c>
      <c r="AT113" s="65">
        <f t="shared" si="16"/>
        <v>132929.73471388</v>
      </c>
      <c r="AU113" s="65">
        <f t="shared" si="16"/>
        <v>12084.45636047</v>
      </c>
      <c r="AV113" s="65">
        <f t="shared" si="16"/>
        <v>4019.3368857</v>
      </c>
      <c r="AW113" s="65">
        <f t="shared" si="16"/>
        <v>52231.312059160002</v>
      </c>
      <c r="AX113" s="65">
        <f t="shared" si="16"/>
        <v>12803.773933276228</v>
      </c>
      <c r="AY113" s="65">
        <f t="shared" si="16"/>
        <v>92609.194588819999</v>
      </c>
      <c r="AZ113" s="65">
        <f t="shared" si="16"/>
        <v>104116.98391047902</v>
      </c>
    </row>
    <row r="114" spans="10:52" x14ac:dyDescent="0.2">
      <c r="J114" s="67"/>
      <c r="K114" s="61" t="s">
        <v>129</v>
      </c>
      <c r="L114" s="61">
        <f>IFERROR(INDEX(Crop_codes!$E$3:$E$22,MATCH($K114,Crop_codes!$G$3:$G$22,0)),0)</f>
        <v>0.23</v>
      </c>
      <c r="M114" s="61">
        <f>IFERROR(INDEX(Crop_codes!$E$23:$E$44,MATCH($K114,Crop_codes!$G$23:$G$44,0)),0)</f>
        <v>0.19</v>
      </c>
      <c r="N114" s="65">
        <f t="shared" ref="N114:AZ114" si="17">IF(N$85=86,$L114*N89,IF(N$85=100,$M114*N89,-99))</f>
        <v>50513.919212572277</v>
      </c>
      <c r="O114" s="65">
        <f t="shared" si="17"/>
        <v>4608.9598874769999</v>
      </c>
      <c r="P114" s="65">
        <f t="shared" si="17"/>
        <v>17741.526081286</v>
      </c>
      <c r="Q114" s="65">
        <f t="shared" si="17"/>
        <v>21009.378932616459</v>
      </c>
      <c r="R114" s="65">
        <f t="shared" si="17"/>
        <v>92245.273989499998</v>
      </c>
      <c r="S114" s="65">
        <f t="shared" si="17"/>
        <v>0</v>
      </c>
      <c r="T114" s="65">
        <f t="shared" si="17"/>
        <v>7700.4837269883201</v>
      </c>
      <c r="U114" s="65">
        <f t="shared" si="17"/>
        <v>151348.03656804</v>
      </c>
      <c r="V114" s="65">
        <f t="shared" si="17"/>
        <v>37702.279629358949</v>
      </c>
      <c r="W114" s="65">
        <f t="shared" si="17"/>
        <v>25108.720332481113</v>
      </c>
      <c r="X114" s="65">
        <f t="shared" si="17"/>
        <v>0.40147351856520003</v>
      </c>
      <c r="Y114" s="65">
        <f t="shared" si="17"/>
        <v>219.37355816316904</v>
      </c>
      <c r="Z114" s="65">
        <f t="shared" si="17"/>
        <v>66134.543213319994</v>
      </c>
      <c r="AA114" s="65">
        <f t="shared" si="17"/>
        <v>3378.0322620219999</v>
      </c>
      <c r="AB114" s="65">
        <f t="shared" si="17"/>
        <v>18704.233568946001</v>
      </c>
      <c r="AC114" s="65">
        <f t="shared" si="17"/>
        <v>2832.3233574046003</v>
      </c>
      <c r="AD114" s="65">
        <f t="shared" si="17"/>
        <v>0</v>
      </c>
      <c r="AE114" s="65">
        <f t="shared" si="17"/>
        <v>412.71653359140998</v>
      </c>
      <c r="AF114" s="65">
        <f t="shared" si="17"/>
        <v>0</v>
      </c>
      <c r="AG114" s="65">
        <f t="shared" si="17"/>
        <v>24.028457982350002</v>
      </c>
      <c r="AH114" s="65">
        <f t="shared" si="17"/>
        <v>5523.9779215010003</v>
      </c>
      <c r="AI114" s="65">
        <f t="shared" si="17"/>
        <v>19736.0952407773</v>
      </c>
      <c r="AJ114" s="65">
        <f t="shared" si="17"/>
        <v>7.4850311159710001</v>
      </c>
      <c r="AK114" s="65">
        <f t="shared" si="17"/>
        <v>31969.465788829999</v>
      </c>
      <c r="AL114" s="65">
        <f t="shared" si="17"/>
        <v>140323.93667974259</v>
      </c>
      <c r="AM114" s="65">
        <f t="shared" si="17"/>
        <v>332.09125759460005</v>
      </c>
      <c r="AN114" s="65">
        <f t="shared" si="17"/>
        <v>61328.234198277503</v>
      </c>
      <c r="AO114" s="65">
        <f t="shared" si="17"/>
        <v>109.77959169662002</v>
      </c>
      <c r="AP114" s="65">
        <f t="shared" si="17"/>
        <v>5322.8388976730002</v>
      </c>
      <c r="AQ114" s="65">
        <f t="shared" si="17"/>
        <v>5763.8753334094699</v>
      </c>
      <c r="AR114" s="65">
        <f t="shared" si="17"/>
        <v>8061.1097871920001</v>
      </c>
      <c r="AS114" s="65">
        <f t="shared" si="17"/>
        <v>1202.8118253664002</v>
      </c>
      <c r="AT114" s="65">
        <f t="shared" si="17"/>
        <v>97697.951689840003</v>
      </c>
      <c r="AU114" s="65">
        <f t="shared" si="17"/>
        <v>11457.474000315</v>
      </c>
      <c r="AV114" s="65">
        <f t="shared" si="17"/>
        <v>3423.8795693000002</v>
      </c>
      <c r="AW114" s="65">
        <f t="shared" si="17"/>
        <v>38169.035735540005</v>
      </c>
      <c r="AX114" s="65">
        <f t="shared" si="17"/>
        <v>10906.918535753824</v>
      </c>
      <c r="AY114" s="65">
        <f t="shared" si="17"/>
        <v>67675.949891829994</v>
      </c>
      <c r="AZ114" s="65">
        <f t="shared" si="17"/>
        <v>76085.488242273132</v>
      </c>
    </row>
    <row r="115" spans="10:52" x14ac:dyDescent="0.2">
      <c r="J115" s="67"/>
      <c r="K115" s="61" t="s">
        <v>128</v>
      </c>
      <c r="L115" s="61">
        <f>IFERROR(INDEX(Crop_codes!$E$3:$E$22,MATCH($K115,Crop_codes!$G$3:$G$22,0)),0)</f>
        <v>0.08</v>
      </c>
      <c r="M115" s="61">
        <f>IFERROR(INDEX(Crop_codes!$E$23:$E$44,MATCH($K115,Crop_codes!$G$23:$G$44,0)),0)</f>
        <v>0.09</v>
      </c>
      <c r="N115" s="65">
        <f t="shared" ref="N115:AZ115" si="18">IF(N$85=86,$L115*N90,IF(N$85=100,$M115*N90,-99))</f>
        <v>1588.5799396440002</v>
      </c>
      <c r="O115" s="65">
        <f t="shared" si="18"/>
        <v>0</v>
      </c>
      <c r="P115" s="65">
        <f t="shared" si="18"/>
        <v>0</v>
      </c>
      <c r="Q115" s="65">
        <f t="shared" si="18"/>
        <v>924.48089014291998</v>
      </c>
      <c r="R115" s="65">
        <f t="shared" si="18"/>
        <v>1488.05965831923</v>
      </c>
      <c r="S115" s="65">
        <f t="shared" si="18"/>
        <v>0</v>
      </c>
      <c r="T115" s="65">
        <f t="shared" si="18"/>
        <v>525.44721103903998</v>
      </c>
      <c r="U115" s="65">
        <f t="shared" si="18"/>
        <v>2482.6064919273599</v>
      </c>
      <c r="V115" s="65">
        <f t="shared" si="18"/>
        <v>1712.4896993031546</v>
      </c>
      <c r="W115" s="65">
        <f t="shared" si="18"/>
        <v>10602.973523863999</v>
      </c>
      <c r="X115" s="65">
        <f t="shared" si="18"/>
        <v>0.11556658481519999</v>
      </c>
      <c r="Y115" s="65">
        <f t="shared" si="18"/>
        <v>109.23361688856001</v>
      </c>
      <c r="Z115" s="65">
        <f t="shared" si="18"/>
        <v>181.22071009859999</v>
      </c>
      <c r="AA115" s="65">
        <f t="shared" si="18"/>
        <v>22771.074759423998</v>
      </c>
      <c r="AB115" s="65">
        <f t="shared" si="18"/>
        <v>0</v>
      </c>
      <c r="AC115" s="65">
        <f t="shared" si="18"/>
        <v>3806.8009410359286</v>
      </c>
      <c r="AD115" s="65">
        <f t="shared" si="18"/>
        <v>0</v>
      </c>
      <c r="AE115" s="65">
        <f t="shared" si="18"/>
        <v>205.33314432</v>
      </c>
      <c r="AF115" s="65">
        <f t="shared" si="18"/>
        <v>0</v>
      </c>
      <c r="AG115" s="65">
        <f t="shared" si="18"/>
        <v>36.047699015840003</v>
      </c>
      <c r="AH115" s="65">
        <f t="shared" si="18"/>
        <v>0</v>
      </c>
      <c r="AI115" s="65">
        <f t="shared" si="18"/>
        <v>10607.261699784</v>
      </c>
      <c r="AJ115" s="65">
        <f t="shared" si="18"/>
        <v>201.96570915128004</v>
      </c>
      <c r="AK115" s="65">
        <f t="shared" si="18"/>
        <v>0</v>
      </c>
      <c r="AL115" s="65">
        <f t="shared" si="18"/>
        <v>159.07075212894489</v>
      </c>
      <c r="AM115" s="65">
        <f t="shared" si="18"/>
        <v>423.01418726800006</v>
      </c>
      <c r="AN115" s="65">
        <f t="shared" si="18"/>
        <v>5713.2851061488</v>
      </c>
      <c r="AO115" s="65">
        <f t="shared" si="18"/>
        <v>1.39311578216</v>
      </c>
      <c r="AP115" s="65">
        <f t="shared" si="18"/>
        <v>0</v>
      </c>
      <c r="AQ115" s="65">
        <f t="shared" si="18"/>
        <v>48.539936178539996</v>
      </c>
      <c r="AR115" s="65">
        <f t="shared" si="18"/>
        <v>7.4503720307520004E-4</v>
      </c>
      <c r="AS115" s="65">
        <f t="shared" si="18"/>
        <v>0</v>
      </c>
      <c r="AT115" s="65">
        <f t="shared" si="18"/>
        <v>4043.1643674695997</v>
      </c>
      <c r="AU115" s="65">
        <f t="shared" si="18"/>
        <v>437.81078450061</v>
      </c>
      <c r="AV115" s="65">
        <f t="shared" si="18"/>
        <v>14426.368533371999</v>
      </c>
      <c r="AW115" s="65">
        <f t="shared" si="18"/>
        <v>0</v>
      </c>
      <c r="AX115" s="65">
        <f t="shared" si="18"/>
        <v>27553.351852767999</v>
      </c>
      <c r="AY115" s="65">
        <f t="shared" si="18"/>
        <v>32.770883207970002</v>
      </c>
      <c r="AZ115" s="65">
        <f t="shared" si="18"/>
        <v>269.26892425413001</v>
      </c>
    </row>
    <row r="116" spans="10:52" x14ac:dyDescent="0.2">
      <c r="J116" s="67"/>
      <c r="K116" s="61" t="s">
        <v>127</v>
      </c>
      <c r="L116" s="61">
        <f>IFERROR(INDEX(Crop_codes!$E$3:$E$22,MATCH($K116,Crop_codes!$G$3:$G$22,0)),0)</f>
        <v>0.22</v>
      </c>
      <c r="M116" s="61">
        <f>IFERROR(INDEX(Crop_codes!$E$23:$E$44,MATCH($K116,Crop_codes!$G$23:$G$44,0)),0)</f>
        <v>0.3</v>
      </c>
      <c r="N116" s="65">
        <f t="shared" ref="N116:AZ116" si="19">IF(N$85=86,$L116*N91,IF(N$85=100,$M116*N91,-99))</f>
        <v>3762.3447756179999</v>
      </c>
      <c r="O116" s="65">
        <f t="shared" si="19"/>
        <v>0</v>
      </c>
      <c r="P116" s="65">
        <f t="shared" si="19"/>
        <v>0</v>
      </c>
      <c r="Q116" s="65">
        <f t="shared" si="19"/>
        <v>2471.9550509280002</v>
      </c>
      <c r="R116" s="65">
        <f t="shared" si="19"/>
        <v>4919.6243887199998</v>
      </c>
      <c r="S116" s="65">
        <f t="shared" si="19"/>
        <v>0</v>
      </c>
      <c r="T116" s="65">
        <f t="shared" si="19"/>
        <v>1368.5678244854</v>
      </c>
      <c r="U116" s="65">
        <f t="shared" si="19"/>
        <v>8182.2787887599989</v>
      </c>
      <c r="V116" s="65">
        <f t="shared" si="19"/>
        <v>4379.7864016719996</v>
      </c>
      <c r="W116" s="65">
        <f t="shared" si="19"/>
        <v>22666.514101659999</v>
      </c>
      <c r="X116" s="65">
        <f t="shared" si="19"/>
        <v>0.3178081082418</v>
      </c>
      <c r="Y116" s="65">
        <f t="shared" si="19"/>
        <v>275.21412417620002</v>
      </c>
      <c r="Z116" s="65">
        <f t="shared" si="19"/>
        <v>604.06903366199992</v>
      </c>
      <c r="AA116" s="65">
        <f t="shared" si="19"/>
        <v>43915.699487879996</v>
      </c>
      <c r="AB116" s="65">
        <f t="shared" si="19"/>
        <v>0</v>
      </c>
      <c r="AC116" s="65">
        <f t="shared" si="19"/>
        <v>8694.5171068139989</v>
      </c>
      <c r="AD116" s="65">
        <f t="shared" si="19"/>
        <v>0</v>
      </c>
      <c r="AE116" s="65">
        <f t="shared" si="19"/>
        <v>512.98123887119993</v>
      </c>
      <c r="AF116" s="65">
        <f t="shared" si="19"/>
        <v>0</v>
      </c>
      <c r="AG116" s="65">
        <f t="shared" si="19"/>
        <v>73.612724891200003</v>
      </c>
      <c r="AH116" s="65">
        <f t="shared" si="19"/>
        <v>0</v>
      </c>
      <c r="AI116" s="65">
        <f t="shared" si="19"/>
        <v>20512.011336894</v>
      </c>
      <c r="AJ116" s="65">
        <f t="shared" si="19"/>
        <v>507.21185320959995</v>
      </c>
      <c r="AK116" s="65">
        <f t="shared" si="19"/>
        <v>0</v>
      </c>
      <c r="AL116" s="65">
        <f t="shared" si="19"/>
        <v>0.14994110811629999</v>
      </c>
      <c r="AM116" s="65">
        <f t="shared" si="19"/>
        <v>862.63559199180008</v>
      </c>
      <c r="AN116" s="65">
        <f t="shared" si="19"/>
        <v>12270.100509172</v>
      </c>
      <c r="AO116" s="65">
        <f t="shared" si="19"/>
        <v>3.8310684009399996</v>
      </c>
      <c r="AP116" s="65">
        <f t="shared" si="19"/>
        <v>0</v>
      </c>
      <c r="AQ116" s="65">
        <f t="shared" si="19"/>
        <v>80.224357342499999</v>
      </c>
      <c r="AR116" s="65">
        <f t="shared" si="19"/>
        <v>0</v>
      </c>
      <c r="AS116" s="65">
        <f t="shared" si="19"/>
        <v>0</v>
      </c>
      <c r="AT116" s="65">
        <f t="shared" si="19"/>
        <v>10374.99329934</v>
      </c>
      <c r="AU116" s="65">
        <f t="shared" si="19"/>
        <v>1402.6227502049999</v>
      </c>
      <c r="AV116" s="65">
        <f t="shared" si="19"/>
        <v>25629.315921220001</v>
      </c>
      <c r="AW116" s="65">
        <f t="shared" si="19"/>
        <v>0</v>
      </c>
      <c r="AX116" s="65">
        <f t="shared" si="19"/>
        <v>54302.908427019996</v>
      </c>
      <c r="AY116" s="65">
        <f t="shared" si="19"/>
        <v>47.301442395599999</v>
      </c>
      <c r="AZ116" s="65">
        <f t="shared" si="19"/>
        <v>0</v>
      </c>
    </row>
    <row r="117" spans="10:52" x14ac:dyDescent="0.2">
      <c r="J117" s="67"/>
      <c r="K117" s="61" t="s">
        <v>126</v>
      </c>
      <c r="L117" s="61">
        <f>IFERROR(INDEX(Crop_codes!$E$3:$E$22,MATCH($K117,Crop_codes!$G$3:$G$22,0)),0)</f>
        <v>0</v>
      </c>
      <c r="M117" s="61">
        <f>IFERROR(INDEX(Crop_codes!$E$23:$E$44,MATCH($K117,Crop_codes!$G$23:$G$44,0)),0)</f>
        <v>0</v>
      </c>
      <c r="N117" s="65">
        <f t="shared" ref="N117:AZ117" si="20">IF(N$85=86,$L117*N92,IF(N$85=100,$M117*N92,-99))</f>
        <v>0</v>
      </c>
      <c r="O117" s="65">
        <f t="shared" si="20"/>
        <v>0</v>
      </c>
      <c r="P117" s="65">
        <f t="shared" si="20"/>
        <v>0</v>
      </c>
      <c r="Q117" s="65">
        <f t="shared" si="20"/>
        <v>0</v>
      </c>
      <c r="R117" s="65">
        <f t="shared" si="20"/>
        <v>0</v>
      </c>
      <c r="S117" s="65">
        <f t="shared" si="20"/>
        <v>0</v>
      </c>
      <c r="T117" s="65">
        <f t="shared" si="20"/>
        <v>0</v>
      </c>
      <c r="U117" s="65">
        <f t="shared" si="20"/>
        <v>0</v>
      </c>
      <c r="V117" s="65">
        <f t="shared" si="20"/>
        <v>0</v>
      </c>
      <c r="W117" s="65">
        <f t="shared" si="20"/>
        <v>0</v>
      </c>
      <c r="X117" s="65">
        <f t="shared" si="20"/>
        <v>0</v>
      </c>
      <c r="Y117" s="65">
        <f t="shared" si="20"/>
        <v>0</v>
      </c>
      <c r="Z117" s="65">
        <f t="shared" si="20"/>
        <v>0</v>
      </c>
      <c r="AA117" s="65">
        <f t="shared" si="20"/>
        <v>0</v>
      </c>
      <c r="AB117" s="65">
        <f t="shared" si="20"/>
        <v>0</v>
      </c>
      <c r="AC117" s="65">
        <f t="shared" si="20"/>
        <v>0</v>
      </c>
      <c r="AD117" s="65">
        <f t="shared" si="20"/>
        <v>0</v>
      </c>
      <c r="AE117" s="65">
        <f t="shared" si="20"/>
        <v>0</v>
      </c>
      <c r="AF117" s="65">
        <f t="shared" si="20"/>
        <v>0</v>
      </c>
      <c r="AG117" s="65">
        <f t="shared" si="20"/>
        <v>0</v>
      </c>
      <c r="AH117" s="65">
        <f t="shared" si="20"/>
        <v>0</v>
      </c>
      <c r="AI117" s="65">
        <f t="shared" si="20"/>
        <v>0</v>
      </c>
      <c r="AJ117" s="65">
        <f t="shared" si="20"/>
        <v>0</v>
      </c>
      <c r="AK117" s="65">
        <f t="shared" si="20"/>
        <v>0</v>
      </c>
      <c r="AL117" s="65">
        <f t="shared" si="20"/>
        <v>0</v>
      </c>
      <c r="AM117" s="65">
        <f t="shared" si="20"/>
        <v>0</v>
      </c>
      <c r="AN117" s="65">
        <f t="shared" si="20"/>
        <v>0</v>
      </c>
      <c r="AO117" s="65">
        <f t="shared" si="20"/>
        <v>0</v>
      </c>
      <c r="AP117" s="65">
        <f t="shared" si="20"/>
        <v>0</v>
      </c>
      <c r="AQ117" s="65">
        <f t="shared" si="20"/>
        <v>0</v>
      </c>
      <c r="AR117" s="65">
        <f t="shared" si="20"/>
        <v>0</v>
      </c>
      <c r="AS117" s="65">
        <f t="shared" si="20"/>
        <v>0</v>
      </c>
      <c r="AT117" s="65">
        <f t="shared" si="20"/>
        <v>0</v>
      </c>
      <c r="AU117" s="65">
        <f t="shared" si="20"/>
        <v>0</v>
      </c>
      <c r="AV117" s="65">
        <f t="shared" si="20"/>
        <v>0</v>
      </c>
      <c r="AW117" s="65">
        <f t="shared" si="20"/>
        <v>0</v>
      </c>
      <c r="AX117" s="65">
        <f t="shared" si="20"/>
        <v>0</v>
      </c>
      <c r="AY117" s="65">
        <f t="shared" si="20"/>
        <v>0</v>
      </c>
      <c r="AZ117" s="65">
        <f t="shared" si="20"/>
        <v>0</v>
      </c>
    </row>
    <row r="118" spans="10:52" x14ac:dyDescent="0.2">
      <c r="J118" s="67"/>
      <c r="K118" s="61" t="s">
        <v>125</v>
      </c>
      <c r="L118" s="61">
        <f>IFERROR(INDEX(Crop_codes!$E$3:$E$22,MATCH($K118,Crop_codes!$G$3:$G$22,0)),0)</f>
        <v>0</v>
      </c>
      <c r="M118" s="61">
        <f>IFERROR(INDEX(Crop_codes!$E$23:$E$44,MATCH($K118,Crop_codes!$G$23:$G$44,0)),0)</f>
        <v>0.24</v>
      </c>
      <c r="N118" s="65">
        <f t="shared" ref="N118:AZ118" si="21">IF(N$85=86,$L118*N93,IF(N$85=100,$M118*N93,-99))</f>
        <v>0</v>
      </c>
      <c r="O118" s="65">
        <f t="shared" si="21"/>
        <v>552.29637672239994</v>
      </c>
      <c r="P118" s="65">
        <f t="shared" si="21"/>
        <v>0</v>
      </c>
      <c r="Q118" s="65">
        <f t="shared" si="21"/>
        <v>0</v>
      </c>
      <c r="R118" s="65">
        <f t="shared" si="21"/>
        <v>43.297861259279998</v>
      </c>
      <c r="S118" s="65">
        <f t="shared" si="21"/>
        <v>0</v>
      </c>
      <c r="T118" s="65">
        <f t="shared" si="21"/>
        <v>0</v>
      </c>
      <c r="U118" s="65">
        <f t="shared" si="21"/>
        <v>658.41206275920001</v>
      </c>
      <c r="V118" s="65">
        <f t="shared" si="21"/>
        <v>0</v>
      </c>
      <c r="W118" s="65">
        <f t="shared" si="21"/>
        <v>0</v>
      </c>
      <c r="X118" s="65">
        <f t="shared" si="21"/>
        <v>0</v>
      </c>
      <c r="Y118" s="65">
        <f t="shared" si="21"/>
        <v>0</v>
      </c>
      <c r="Z118" s="65">
        <f t="shared" si="21"/>
        <v>0</v>
      </c>
      <c r="AA118" s="65">
        <f t="shared" si="21"/>
        <v>0</v>
      </c>
      <c r="AB118" s="65">
        <f t="shared" si="21"/>
        <v>0</v>
      </c>
      <c r="AC118" s="65">
        <f t="shared" si="21"/>
        <v>0</v>
      </c>
      <c r="AD118" s="65">
        <f t="shared" si="21"/>
        <v>0</v>
      </c>
      <c r="AE118" s="65">
        <f t="shared" si="21"/>
        <v>0</v>
      </c>
      <c r="AF118" s="65">
        <f t="shared" si="21"/>
        <v>0</v>
      </c>
      <c r="AG118" s="65">
        <f t="shared" si="21"/>
        <v>0</v>
      </c>
      <c r="AH118" s="65">
        <f t="shared" si="21"/>
        <v>0</v>
      </c>
      <c r="AI118" s="65">
        <f t="shared" si="21"/>
        <v>0</v>
      </c>
      <c r="AJ118" s="65">
        <f t="shared" si="21"/>
        <v>0</v>
      </c>
      <c r="AK118" s="65">
        <f t="shared" si="21"/>
        <v>0</v>
      </c>
      <c r="AL118" s="65">
        <f t="shared" si="21"/>
        <v>155.25625175496</v>
      </c>
      <c r="AM118" s="65">
        <f t="shared" si="21"/>
        <v>0</v>
      </c>
      <c r="AN118" s="65">
        <f t="shared" si="21"/>
        <v>0</v>
      </c>
      <c r="AO118" s="65">
        <f t="shared" si="21"/>
        <v>0</v>
      </c>
      <c r="AP118" s="65">
        <f t="shared" si="21"/>
        <v>0</v>
      </c>
      <c r="AQ118" s="65">
        <f t="shared" si="21"/>
        <v>68.072703167040004</v>
      </c>
      <c r="AR118" s="65">
        <f t="shared" si="21"/>
        <v>1.9867658748672001E-3</v>
      </c>
      <c r="AS118" s="65">
        <f t="shared" si="21"/>
        <v>0</v>
      </c>
      <c r="AT118" s="65">
        <f t="shared" si="21"/>
        <v>2589.0867870480001</v>
      </c>
      <c r="AU118" s="65">
        <f t="shared" si="21"/>
        <v>33.158148077280003</v>
      </c>
      <c r="AV118" s="65">
        <f t="shared" si="21"/>
        <v>0</v>
      </c>
      <c r="AW118" s="65">
        <f t="shared" si="21"/>
        <v>0</v>
      </c>
      <c r="AX118" s="65">
        <f t="shared" si="21"/>
        <v>0</v>
      </c>
      <c r="AY118" s="65">
        <f t="shared" si="21"/>
        <v>49.547867971439999</v>
      </c>
      <c r="AZ118" s="65">
        <f t="shared" si="21"/>
        <v>664.43369838000001</v>
      </c>
    </row>
    <row r="119" spans="10:52" x14ac:dyDescent="0.2">
      <c r="J119" s="67"/>
      <c r="K119" s="61" t="s">
        <v>124</v>
      </c>
      <c r="L119" s="61">
        <f>IFERROR(INDEX(Crop_codes!$E$3:$E$22,MATCH($K119,Crop_codes!$G$3:$G$22,0)),0)</f>
        <v>0.06</v>
      </c>
      <c r="M119" s="61">
        <f>IFERROR(INDEX(Crop_codes!$E$23:$E$44,MATCH($K119,Crop_codes!$G$23:$G$44,0)),0)</f>
        <v>0</v>
      </c>
      <c r="N119" s="65">
        <f t="shared" ref="N119:AZ119" si="22">IF(N$85=86,$L119*N94,IF(N$85=100,$M119*N94,-99))</f>
        <v>68.717880985199997</v>
      </c>
      <c r="O119" s="65">
        <f t="shared" si="22"/>
        <v>0</v>
      </c>
      <c r="P119" s="65">
        <f t="shared" si="22"/>
        <v>0</v>
      </c>
      <c r="Q119" s="65">
        <f t="shared" si="22"/>
        <v>18.004759041059998</v>
      </c>
      <c r="R119" s="65">
        <f t="shared" si="22"/>
        <v>0</v>
      </c>
      <c r="S119" s="65">
        <f t="shared" si="22"/>
        <v>0</v>
      </c>
      <c r="T119" s="65">
        <f t="shared" si="22"/>
        <v>2.2623448342140002</v>
      </c>
      <c r="U119" s="65">
        <f t="shared" si="22"/>
        <v>0</v>
      </c>
      <c r="V119" s="65">
        <f t="shared" si="22"/>
        <v>255.10255448100003</v>
      </c>
      <c r="W119" s="65">
        <f t="shared" si="22"/>
        <v>1272.201327816</v>
      </c>
      <c r="X119" s="65">
        <f t="shared" si="22"/>
        <v>0</v>
      </c>
      <c r="Y119" s="65">
        <f t="shared" si="22"/>
        <v>0.28917494868299998</v>
      </c>
      <c r="Z119" s="65">
        <f t="shared" si="22"/>
        <v>0</v>
      </c>
      <c r="AA119" s="65">
        <f t="shared" si="22"/>
        <v>3861.2593945560002</v>
      </c>
      <c r="AB119" s="65">
        <f t="shared" si="22"/>
        <v>0</v>
      </c>
      <c r="AC119" s="65">
        <f t="shared" si="22"/>
        <v>245.87046626940003</v>
      </c>
      <c r="AD119" s="65">
        <f t="shared" si="22"/>
        <v>0</v>
      </c>
      <c r="AE119" s="65">
        <f t="shared" si="22"/>
        <v>0</v>
      </c>
      <c r="AF119" s="65">
        <f t="shared" si="22"/>
        <v>0</v>
      </c>
      <c r="AG119" s="65">
        <f t="shared" si="22"/>
        <v>6.5451920462399995</v>
      </c>
      <c r="AH119" s="65">
        <f t="shared" si="22"/>
        <v>0</v>
      </c>
      <c r="AI119" s="65">
        <f t="shared" si="22"/>
        <v>141.91460301539999</v>
      </c>
      <c r="AJ119" s="65">
        <f t="shared" si="22"/>
        <v>11.09474531004</v>
      </c>
      <c r="AK119" s="65">
        <f t="shared" si="22"/>
        <v>0</v>
      </c>
      <c r="AL119" s="65">
        <f t="shared" si="22"/>
        <v>0</v>
      </c>
      <c r="AM119" s="65">
        <f t="shared" si="22"/>
        <v>73.322878567199993</v>
      </c>
      <c r="AN119" s="65">
        <f t="shared" si="22"/>
        <v>481.79377921679998</v>
      </c>
      <c r="AO119" s="65">
        <f t="shared" si="22"/>
        <v>0</v>
      </c>
      <c r="AP119" s="65">
        <f t="shared" si="22"/>
        <v>0</v>
      </c>
      <c r="AQ119" s="65">
        <f t="shared" si="22"/>
        <v>0</v>
      </c>
      <c r="AR119" s="65">
        <f t="shared" si="22"/>
        <v>0</v>
      </c>
      <c r="AS119" s="65">
        <f t="shared" si="22"/>
        <v>0</v>
      </c>
      <c r="AT119" s="65">
        <f t="shared" si="22"/>
        <v>0</v>
      </c>
      <c r="AU119" s="65">
        <f t="shared" si="22"/>
        <v>0</v>
      </c>
      <c r="AV119" s="65">
        <f t="shared" si="22"/>
        <v>3066.7117660260001</v>
      </c>
      <c r="AW119" s="65">
        <f t="shared" si="22"/>
        <v>0</v>
      </c>
      <c r="AX119" s="65">
        <f t="shared" si="22"/>
        <v>4576.8121176239993</v>
      </c>
      <c r="AY119" s="65">
        <f t="shared" si="22"/>
        <v>0</v>
      </c>
      <c r="AZ119" s="65">
        <f t="shared" si="22"/>
        <v>0</v>
      </c>
    </row>
    <row r="120" spans="10:52" x14ac:dyDescent="0.2">
      <c r="J120" s="67"/>
      <c r="K120" s="61" t="s">
        <v>123</v>
      </c>
      <c r="L120" s="61">
        <f>IFERROR(INDEX(Crop_codes!$E$3:$E$22,MATCH($K120,Crop_codes!$G$3:$G$22,0)),0)</f>
        <v>0</v>
      </c>
      <c r="M120" s="61">
        <f>IFERROR(INDEX(Crop_codes!$E$23:$E$44,MATCH($K120,Crop_codes!$G$23:$G$44,0)),0)</f>
        <v>0</v>
      </c>
      <c r="N120" s="65">
        <f t="shared" ref="N120:AZ120" si="23">IF(N$85=86,$L120*N95,IF(N$85=100,$M120*N95,-99))</f>
        <v>0</v>
      </c>
      <c r="O120" s="65">
        <f t="shared" si="23"/>
        <v>0</v>
      </c>
      <c r="P120" s="65">
        <f t="shared" si="23"/>
        <v>0</v>
      </c>
      <c r="Q120" s="65">
        <f t="shared" si="23"/>
        <v>0</v>
      </c>
      <c r="R120" s="65">
        <f t="shared" si="23"/>
        <v>0</v>
      </c>
      <c r="S120" s="65">
        <f t="shared" si="23"/>
        <v>0</v>
      </c>
      <c r="T120" s="65">
        <f t="shared" si="23"/>
        <v>0</v>
      </c>
      <c r="U120" s="65">
        <f t="shared" si="23"/>
        <v>0</v>
      </c>
      <c r="V120" s="65">
        <f t="shared" si="23"/>
        <v>0</v>
      </c>
      <c r="W120" s="65">
        <f t="shared" si="23"/>
        <v>0</v>
      </c>
      <c r="X120" s="65">
        <f t="shared" si="23"/>
        <v>0</v>
      </c>
      <c r="Y120" s="65">
        <f t="shared" si="23"/>
        <v>0</v>
      </c>
      <c r="Z120" s="65">
        <f t="shared" si="23"/>
        <v>0</v>
      </c>
      <c r="AA120" s="65">
        <f t="shared" si="23"/>
        <v>0</v>
      </c>
      <c r="AB120" s="65">
        <f t="shared" si="23"/>
        <v>0</v>
      </c>
      <c r="AC120" s="65">
        <f t="shared" si="23"/>
        <v>0</v>
      </c>
      <c r="AD120" s="65">
        <f t="shared" si="23"/>
        <v>0</v>
      </c>
      <c r="AE120" s="65">
        <f t="shared" si="23"/>
        <v>0</v>
      </c>
      <c r="AF120" s="65">
        <f t="shared" si="23"/>
        <v>0</v>
      </c>
      <c r="AG120" s="65">
        <f t="shared" si="23"/>
        <v>0</v>
      </c>
      <c r="AH120" s="65">
        <f t="shared" si="23"/>
        <v>0</v>
      </c>
      <c r="AI120" s="65">
        <f t="shared" si="23"/>
        <v>0</v>
      </c>
      <c r="AJ120" s="65">
        <f t="shared" si="23"/>
        <v>0</v>
      </c>
      <c r="AK120" s="65">
        <f t="shared" si="23"/>
        <v>0</v>
      </c>
      <c r="AL120" s="65">
        <f t="shared" si="23"/>
        <v>0</v>
      </c>
      <c r="AM120" s="65">
        <f t="shared" si="23"/>
        <v>0</v>
      </c>
      <c r="AN120" s="65">
        <f t="shared" si="23"/>
        <v>0</v>
      </c>
      <c r="AO120" s="65">
        <f t="shared" si="23"/>
        <v>0</v>
      </c>
      <c r="AP120" s="65">
        <f t="shared" si="23"/>
        <v>0</v>
      </c>
      <c r="AQ120" s="65">
        <f t="shared" si="23"/>
        <v>0</v>
      </c>
      <c r="AR120" s="65">
        <f t="shared" si="23"/>
        <v>0</v>
      </c>
      <c r="AS120" s="65">
        <f t="shared" si="23"/>
        <v>0</v>
      </c>
      <c r="AT120" s="65">
        <f t="shared" si="23"/>
        <v>0</v>
      </c>
      <c r="AU120" s="65">
        <f t="shared" si="23"/>
        <v>0</v>
      </c>
      <c r="AV120" s="65">
        <f t="shared" si="23"/>
        <v>0</v>
      </c>
      <c r="AW120" s="65">
        <f t="shared" si="23"/>
        <v>0</v>
      </c>
      <c r="AX120" s="65">
        <f t="shared" si="23"/>
        <v>0</v>
      </c>
      <c r="AY120" s="65">
        <f t="shared" si="23"/>
        <v>0</v>
      </c>
      <c r="AZ120" s="65">
        <f t="shared" si="23"/>
        <v>0</v>
      </c>
    </row>
    <row r="121" spans="10:52" x14ac:dyDescent="0.2">
      <c r="J121" s="67"/>
      <c r="K121" s="61" t="s">
        <v>122</v>
      </c>
      <c r="L121" s="61">
        <f>IFERROR(INDEX(Crop_codes!$E$3:$E$22,MATCH($K121,Crop_codes!$G$3:$G$22,0)),0)</f>
        <v>0</v>
      </c>
      <c r="M121" s="61">
        <f>IFERROR(INDEX(Crop_codes!$E$23:$E$44,MATCH($K121,Crop_codes!$G$23:$G$44,0)),0)</f>
        <v>0</v>
      </c>
      <c r="N121" s="65">
        <f t="shared" ref="N121:AZ121" si="24">IF(N$85=86,$L121*N96,IF(N$85=100,$M121*N96,-99))</f>
        <v>0</v>
      </c>
      <c r="O121" s="65">
        <f t="shared" si="24"/>
        <v>0</v>
      </c>
      <c r="P121" s="65">
        <f t="shared" si="24"/>
        <v>0</v>
      </c>
      <c r="Q121" s="65">
        <f t="shared" si="24"/>
        <v>0</v>
      </c>
      <c r="R121" s="65">
        <f t="shared" si="24"/>
        <v>0</v>
      </c>
      <c r="S121" s="65">
        <f t="shared" si="24"/>
        <v>0</v>
      </c>
      <c r="T121" s="65">
        <f t="shared" si="24"/>
        <v>0</v>
      </c>
      <c r="U121" s="65">
        <f t="shared" si="24"/>
        <v>0</v>
      </c>
      <c r="V121" s="65">
        <f t="shared" si="24"/>
        <v>0</v>
      </c>
      <c r="W121" s="65">
        <f t="shared" si="24"/>
        <v>0</v>
      </c>
      <c r="X121" s="65">
        <f t="shared" si="24"/>
        <v>0</v>
      </c>
      <c r="Y121" s="65">
        <f t="shared" si="24"/>
        <v>0</v>
      </c>
      <c r="Z121" s="65">
        <f t="shared" si="24"/>
        <v>0</v>
      </c>
      <c r="AA121" s="65">
        <f t="shared" si="24"/>
        <v>0</v>
      </c>
      <c r="AB121" s="65">
        <f t="shared" si="24"/>
        <v>0</v>
      </c>
      <c r="AC121" s="65">
        <f t="shared" si="24"/>
        <v>0</v>
      </c>
      <c r="AD121" s="65">
        <f t="shared" si="24"/>
        <v>0</v>
      </c>
      <c r="AE121" s="65">
        <f t="shared" si="24"/>
        <v>0</v>
      </c>
      <c r="AF121" s="65">
        <f t="shared" si="24"/>
        <v>0</v>
      </c>
      <c r="AG121" s="65">
        <f t="shared" si="24"/>
        <v>0</v>
      </c>
      <c r="AH121" s="65">
        <f t="shared" si="24"/>
        <v>0</v>
      </c>
      <c r="AI121" s="65">
        <f t="shared" si="24"/>
        <v>0</v>
      </c>
      <c r="AJ121" s="65">
        <f t="shared" si="24"/>
        <v>0</v>
      </c>
      <c r="AK121" s="65">
        <f t="shared" si="24"/>
        <v>0</v>
      </c>
      <c r="AL121" s="65">
        <f t="shared" si="24"/>
        <v>0</v>
      </c>
      <c r="AM121" s="65">
        <f t="shared" si="24"/>
        <v>0</v>
      </c>
      <c r="AN121" s="65">
        <f t="shared" si="24"/>
        <v>0</v>
      </c>
      <c r="AO121" s="65">
        <f t="shared" si="24"/>
        <v>0</v>
      </c>
      <c r="AP121" s="65">
        <f t="shared" si="24"/>
        <v>0</v>
      </c>
      <c r="AQ121" s="65">
        <f t="shared" si="24"/>
        <v>0</v>
      </c>
      <c r="AR121" s="65">
        <f t="shared" si="24"/>
        <v>0</v>
      </c>
      <c r="AS121" s="65">
        <f t="shared" si="24"/>
        <v>0</v>
      </c>
      <c r="AT121" s="65">
        <f t="shared" si="24"/>
        <v>0</v>
      </c>
      <c r="AU121" s="65">
        <f t="shared" si="24"/>
        <v>0</v>
      </c>
      <c r="AV121" s="65">
        <f t="shared" si="24"/>
        <v>0</v>
      </c>
      <c r="AW121" s="65">
        <f t="shared" si="24"/>
        <v>0</v>
      </c>
      <c r="AX121" s="65">
        <f t="shared" si="24"/>
        <v>0</v>
      </c>
      <c r="AY121" s="65">
        <f t="shared" si="24"/>
        <v>0</v>
      </c>
      <c r="AZ121" s="65">
        <f t="shared" si="24"/>
        <v>0</v>
      </c>
    </row>
    <row r="122" spans="10:52" x14ac:dyDescent="0.2">
      <c r="J122" s="67"/>
      <c r="K122" s="61" t="s">
        <v>121</v>
      </c>
      <c r="L122" s="61">
        <f>IFERROR(INDEX(Crop_codes!$E$3:$E$22,MATCH($K122,Crop_codes!$G$3:$G$22,0)),0)</f>
        <v>0</v>
      </c>
      <c r="M122" s="61">
        <f>IFERROR(INDEX(Crop_codes!$E$23:$E$44,MATCH($K122,Crop_codes!$G$23:$G$44,0)),0)</f>
        <v>0</v>
      </c>
      <c r="N122" s="65">
        <f t="shared" ref="N122:AZ122" si="25">IF(N$85=86,$L122*N97,IF(N$85=100,$M122*N97,-99))</f>
        <v>0</v>
      </c>
      <c r="O122" s="65">
        <f t="shared" si="25"/>
        <v>0</v>
      </c>
      <c r="P122" s="65">
        <f t="shared" si="25"/>
        <v>0</v>
      </c>
      <c r="Q122" s="65">
        <f t="shared" si="25"/>
        <v>0</v>
      </c>
      <c r="R122" s="65">
        <f t="shared" si="25"/>
        <v>0</v>
      </c>
      <c r="S122" s="65">
        <f t="shared" si="25"/>
        <v>0</v>
      </c>
      <c r="T122" s="65">
        <f t="shared" si="25"/>
        <v>0</v>
      </c>
      <c r="U122" s="65">
        <f t="shared" si="25"/>
        <v>0</v>
      </c>
      <c r="V122" s="65">
        <f t="shared" si="25"/>
        <v>0</v>
      </c>
      <c r="W122" s="65">
        <f t="shared" si="25"/>
        <v>0</v>
      </c>
      <c r="X122" s="65">
        <f t="shared" si="25"/>
        <v>0</v>
      </c>
      <c r="Y122" s="65">
        <f t="shared" si="25"/>
        <v>0</v>
      </c>
      <c r="Z122" s="65">
        <f t="shared" si="25"/>
        <v>0</v>
      </c>
      <c r="AA122" s="65">
        <f t="shared" si="25"/>
        <v>0</v>
      </c>
      <c r="AB122" s="65">
        <f t="shared" si="25"/>
        <v>0</v>
      </c>
      <c r="AC122" s="65">
        <f t="shared" si="25"/>
        <v>0</v>
      </c>
      <c r="AD122" s="65">
        <f t="shared" si="25"/>
        <v>0</v>
      </c>
      <c r="AE122" s="65">
        <f t="shared" si="25"/>
        <v>0</v>
      </c>
      <c r="AF122" s="65">
        <f t="shared" si="25"/>
        <v>0</v>
      </c>
      <c r="AG122" s="65">
        <f t="shared" si="25"/>
        <v>0</v>
      </c>
      <c r="AH122" s="65">
        <f t="shared" si="25"/>
        <v>0</v>
      </c>
      <c r="AI122" s="65">
        <f t="shared" si="25"/>
        <v>0</v>
      </c>
      <c r="AJ122" s="65">
        <f t="shared" si="25"/>
        <v>0</v>
      </c>
      <c r="AK122" s="65">
        <f t="shared" si="25"/>
        <v>0</v>
      </c>
      <c r="AL122" s="65">
        <f t="shared" si="25"/>
        <v>0</v>
      </c>
      <c r="AM122" s="65">
        <f t="shared" si="25"/>
        <v>0</v>
      </c>
      <c r="AN122" s="65">
        <f t="shared" si="25"/>
        <v>0</v>
      </c>
      <c r="AO122" s="65">
        <f t="shared" si="25"/>
        <v>0</v>
      </c>
      <c r="AP122" s="65">
        <f t="shared" si="25"/>
        <v>0</v>
      </c>
      <c r="AQ122" s="65">
        <f t="shared" si="25"/>
        <v>0</v>
      </c>
      <c r="AR122" s="65">
        <f t="shared" si="25"/>
        <v>0</v>
      </c>
      <c r="AS122" s="65">
        <f t="shared" si="25"/>
        <v>0</v>
      </c>
      <c r="AT122" s="65">
        <f t="shared" si="25"/>
        <v>0</v>
      </c>
      <c r="AU122" s="65">
        <f t="shared" si="25"/>
        <v>0</v>
      </c>
      <c r="AV122" s="65">
        <f t="shared" si="25"/>
        <v>0</v>
      </c>
      <c r="AW122" s="65">
        <f t="shared" si="25"/>
        <v>0</v>
      </c>
      <c r="AX122" s="65">
        <f t="shared" si="25"/>
        <v>0</v>
      </c>
      <c r="AY122" s="65">
        <f t="shared" si="25"/>
        <v>0</v>
      </c>
      <c r="AZ122" s="65">
        <f t="shared" si="25"/>
        <v>0</v>
      </c>
    </row>
    <row r="123" spans="10:52" x14ac:dyDescent="0.2">
      <c r="J123" s="67"/>
      <c r="K123" s="61" t="s">
        <v>120</v>
      </c>
      <c r="L123" s="61">
        <f>IFERROR(INDEX(Crop_codes!$E$3:$E$22,MATCH($K123,Crop_codes!$G$3:$G$22,0)),0)</f>
        <v>0</v>
      </c>
      <c r="M123" s="61">
        <f>IFERROR(INDEX(Crop_codes!$E$23:$E$44,MATCH($K123,Crop_codes!$G$23:$G$44,0)),0)</f>
        <v>0</v>
      </c>
      <c r="N123" s="65">
        <f t="shared" ref="N123:AZ123" si="26">IF(N$85=86,$L123*N98,IF(N$85=100,$M123*N98,-99))</f>
        <v>0</v>
      </c>
      <c r="O123" s="65">
        <f t="shared" si="26"/>
        <v>0</v>
      </c>
      <c r="P123" s="65">
        <f t="shared" si="26"/>
        <v>0</v>
      </c>
      <c r="Q123" s="65">
        <f t="shared" si="26"/>
        <v>0</v>
      </c>
      <c r="R123" s="65">
        <f t="shared" si="26"/>
        <v>0</v>
      </c>
      <c r="S123" s="65">
        <f t="shared" si="26"/>
        <v>0</v>
      </c>
      <c r="T123" s="65">
        <f t="shared" si="26"/>
        <v>0</v>
      </c>
      <c r="U123" s="65">
        <f t="shared" si="26"/>
        <v>0</v>
      </c>
      <c r="V123" s="65">
        <f t="shared" si="26"/>
        <v>0</v>
      </c>
      <c r="W123" s="65">
        <f t="shared" si="26"/>
        <v>0</v>
      </c>
      <c r="X123" s="65">
        <f t="shared" si="26"/>
        <v>0</v>
      </c>
      <c r="Y123" s="65">
        <f t="shared" si="26"/>
        <v>0</v>
      </c>
      <c r="Z123" s="65">
        <f t="shared" si="26"/>
        <v>0</v>
      </c>
      <c r="AA123" s="65">
        <f t="shared" si="26"/>
        <v>0</v>
      </c>
      <c r="AB123" s="65">
        <f t="shared" si="26"/>
        <v>0</v>
      </c>
      <c r="AC123" s="65">
        <f t="shared" si="26"/>
        <v>0</v>
      </c>
      <c r="AD123" s="65">
        <f t="shared" si="26"/>
        <v>0</v>
      </c>
      <c r="AE123" s="65">
        <f t="shared" si="26"/>
        <v>0</v>
      </c>
      <c r="AF123" s="65">
        <f t="shared" si="26"/>
        <v>0</v>
      </c>
      <c r="AG123" s="65">
        <f t="shared" si="26"/>
        <v>0</v>
      </c>
      <c r="AH123" s="65">
        <f t="shared" si="26"/>
        <v>0</v>
      </c>
      <c r="AI123" s="65">
        <f t="shared" si="26"/>
        <v>0</v>
      </c>
      <c r="AJ123" s="65">
        <f t="shared" si="26"/>
        <v>0</v>
      </c>
      <c r="AK123" s="65">
        <f t="shared" si="26"/>
        <v>0</v>
      </c>
      <c r="AL123" s="65">
        <f t="shared" si="26"/>
        <v>0</v>
      </c>
      <c r="AM123" s="65">
        <f t="shared" si="26"/>
        <v>0</v>
      </c>
      <c r="AN123" s="65">
        <f t="shared" si="26"/>
        <v>0</v>
      </c>
      <c r="AO123" s="65">
        <f t="shared" si="26"/>
        <v>0</v>
      </c>
      <c r="AP123" s="65">
        <f t="shared" si="26"/>
        <v>0</v>
      </c>
      <c r="AQ123" s="65">
        <f t="shared" si="26"/>
        <v>0</v>
      </c>
      <c r="AR123" s="65">
        <f t="shared" si="26"/>
        <v>0</v>
      </c>
      <c r="AS123" s="65">
        <f t="shared" si="26"/>
        <v>0</v>
      </c>
      <c r="AT123" s="65">
        <f t="shared" si="26"/>
        <v>0</v>
      </c>
      <c r="AU123" s="65">
        <f t="shared" si="26"/>
        <v>0</v>
      </c>
      <c r="AV123" s="65">
        <f t="shared" si="26"/>
        <v>0</v>
      </c>
      <c r="AW123" s="65">
        <f t="shared" si="26"/>
        <v>0</v>
      </c>
      <c r="AX123" s="65">
        <f t="shared" si="26"/>
        <v>0</v>
      </c>
      <c r="AY123" s="65">
        <f t="shared" si="26"/>
        <v>0</v>
      </c>
      <c r="AZ123" s="65">
        <f t="shared" si="26"/>
        <v>0</v>
      </c>
    </row>
    <row r="124" spans="10:52" x14ac:dyDescent="0.2">
      <c r="J124" s="67"/>
      <c r="K124" s="61" t="s">
        <v>119</v>
      </c>
      <c r="L124" s="61">
        <f>IFERROR(INDEX(Crop_codes!$E$3:$E$22,MATCH($K124,Crop_codes!$G$3:$G$22,0)),0)</f>
        <v>3.0000000000000001E-3</v>
      </c>
      <c r="M124" s="61">
        <f>IFERROR(INDEX(Crop_codes!$E$23:$E$44,MATCH($K124,Crop_codes!$G$23:$G$44,0)),0)</f>
        <v>3.0000000000000001E-3</v>
      </c>
      <c r="N124" s="65">
        <f t="shared" ref="N124:AZ124" si="27">IF(N$85=86,$L124*N99,IF(N$85=100,$M124*N99,-99))</f>
        <v>7.1060078685299999</v>
      </c>
      <c r="O124" s="65">
        <f t="shared" si="27"/>
        <v>0</v>
      </c>
      <c r="P124" s="65">
        <f t="shared" si="27"/>
        <v>0</v>
      </c>
      <c r="Q124" s="65">
        <f t="shared" si="27"/>
        <v>0</v>
      </c>
      <c r="R124" s="65">
        <f t="shared" si="27"/>
        <v>0</v>
      </c>
      <c r="S124" s="65">
        <f t="shared" si="27"/>
        <v>0</v>
      </c>
      <c r="T124" s="65">
        <f t="shared" si="27"/>
        <v>1.889039350569</v>
      </c>
      <c r="U124" s="65">
        <f t="shared" si="27"/>
        <v>0</v>
      </c>
      <c r="V124" s="65">
        <f t="shared" si="27"/>
        <v>0</v>
      </c>
      <c r="W124" s="65">
        <f t="shared" si="27"/>
        <v>20.096217300600003</v>
      </c>
      <c r="X124" s="65">
        <f t="shared" si="27"/>
        <v>0</v>
      </c>
      <c r="Y124" s="65">
        <f t="shared" si="27"/>
        <v>0.56414746096200008</v>
      </c>
      <c r="Z124" s="65">
        <f t="shared" si="27"/>
        <v>0</v>
      </c>
      <c r="AA124" s="65">
        <f t="shared" si="27"/>
        <v>0</v>
      </c>
      <c r="AB124" s="65">
        <f t="shared" si="27"/>
        <v>0</v>
      </c>
      <c r="AC124" s="65">
        <f t="shared" si="27"/>
        <v>15.917859650399999</v>
      </c>
      <c r="AD124" s="65">
        <f t="shared" si="27"/>
        <v>0</v>
      </c>
      <c r="AE124" s="65">
        <f t="shared" si="27"/>
        <v>1.3646530047659999</v>
      </c>
      <c r="AF124" s="65">
        <f t="shared" si="27"/>
        <v>0</v>
      </c>
      <c r="AG124" s="65">
        <f t="shared" si="27"/>
        <v>0</v>
      </c>
      <c r="AH124" s="65">
        <f t="shared" si="27"/>
        <v>0</v>
      </c>
      <c r="AI124" s="65">
        <f t="shared" si="27"/>
        <v>0</v>
      </c>
      <c r="AJ124" s="65">
        <f t="shared" si="27"/>
        <v>0</v>
      </c>
      <c r="AK124" s="65">
        <f t="shared" si="27"/>
        <v>0</v>
      </c>
      <c r="AL124" s="65">
        <f t="shared" si="27"/>
        <v>0</v>
      </c>
      <c r="AM124" s="65">
        <f t="shared" si="27"/>
        <v>0</v>
      </c>
      <c r="AN124" s="65">
        <f t="shared" si="27"/>
        <v>15.128575225379999</v>
      </c>
      <c r="AO124" s="65">
        <f t="shared" si="27"/>
        <v>0</v>
      </c>
      <c r="AP124" s="65">
        <f t="shared" si="27"/>
        <v>0</v>
      </c>
      <c r="AQ124" s="65">
        <f t="shared" si="27"/>
        <v>0</v>
      </c>
      <c r="AR124" s="65">
        <f t="shared" si="27"/>
        <v>0</v>
      </c>
      <c r="AS124" s="65">
        <f t="shared" si="27"/>
        <v>0</v>
      </c>
      <c r="AT124" s="65">
        <f t="shared" si="27"/>
        <v>0</v>
      </c>
      <c r="AU124" s="65">
        <f t="shared" si="27"/>
        <v>0</v>
      </c>
      <c r="AV124" s="65">
        <f t="shared" si="27"/>
        <v>0</v>
      </c>
      <c r="AW124" s="65">
        <f t="shared" si="27"/>
        <v>0</v>
      </c>
      <c r="AX124" s="65">
        <f t="shared" si="27"/>
        <v>0</v>
      </c>
      <c r="AY124" s="65">
        <f t="shared" si="27"/>
        <v>0</v>
      </c>
      <c r="AZ124" s="65">
        <f t="shared" si="27"/>
        <v>0</v>
      </c>
    </row>
    <row r="125" spans="10:52" x14ac:dyDescent="0.2">
      <c r="J125" s="67"/>
      <c r="K125" s="61" t="s">
        <v>118</v>
      </c>
      <c r="L125" s="61">
        <f>IFERROR(INDEX(Crop_codes!$E$3:$E$22,MATCH($K125,Crop_codes!$G$3:$G$22,0)),0)</f>
        <v>1E-3</v>
      </c>
      <c r="M125" s="61">
        <f>IFERROR(INDEX(Crop_codes!$E$23:$E$44,MATCH($K125,Crop_codes!$G$23:$G$44,0)),0)</f>
        <v>5.0000000000000001E-3</v>
      </c>
      <c r="N125" s="65">
        <f t="shared" ref="N125:AZ125" si="28">IF(N$85=86,$L125*N100,IF(N$85=100,$M125*N100,-99))</f>
        <v>142.49561788151001</v>
      </c>
      <c r="O125" s="65">
        <f t="shared" si="28"/>
        <v>54.129154477949996</v>
      </c>
      <c r="P125" s="65">
        <f t="shared" si="28"/>
        <v>412.2699873665</v>
      </c>
      <c r="Q125" s="65">
        <f t="shared" si="28"/>
        <v>156.54293540309999</v>
      </c>
      <c r="R125" s="65">
        <f t="shared" si="28"/>
        <v>0</v>
      </c>
      <c r="S125" s="65">
        <f t="shared" si="28"/>
        <v>0</v>
      </c>
      <c r="T125" s="65">
        <f t="shared" si="28"/>
        <v>50.530098261323005</v>
      </c>
      <c r="U125" s="65">
        <f t="shared" si="28"/>
        <v>0</v>
      </c>
      <c r="V125" s="65">
        <f t="shared" si="28"/>
        <v>0</v>
      </c>
      <c r="W125" s="65">
        <f t="shared" si="28"/>
        <v>11.95958160696</v>
      </c>
      <c r="X125" s="65">
        <f t="shared" si="28"/>
        <v>1.24541063167</v>
      </c>
      <c r="Y125" s="65">
        <f t="shared" si="28"/>
        <v>5.583202412553999</v>
      </c>
      <c r="Z125" s="65">
        <f t="shared" si="28"/>
        <v>0</v>
      </c>
      <c r="AA125" s="65">
        <f t="shared" si="28"/>
        <v>8.3848061604000002</v>
      </c>
      <c r="AB125" s="65">
        <f t="shared" si="28"/>
        <v>14.210385560300001</v>
      </c>
      <c r="AC125" s="65">
        <f t="shared" si="28"/>
        <v>5.3059532167999999</v>
      </c>
      <c r="AD125" s="65">
        <f t="shared" si="28"/>
        <v>0</v>
      </c>
      <c r="AE125" s="65">
        <f t="shared" si="28"/>
        <v>7.5485466753820001</v>
      </c>
      <c r="AF125" s="65">
        <f t="shared" si="28"/>
        <v>9.9891689038600004E-3</v>
      </c>
      <c r="AG125" s="65">
        <f t="shared" si="28"/>
        <v>3.04321398726E-2</v>
      </c>
      <c r="AH125" s="65">
        <f t="shared" si="28"/>
        <v>0</v>
      </c>
      <c r="AI125" s="65">
        <f t="shared" si="28"/>
        <v>0</v>
      </c>
      <c r="AJ125" s="65">
        <f t="shared" si="28"/>
        <v>1.772594350646</v>
      </c>
      <c r="AK125" s="65">
        <f t="shared" si="28"/>
        <v>551.61650223999993</v>
      </c>
      <c r="AL125" s="65">
        <f t="shared" si="28"/>
        <v>88.34836337309244</v>
      </c>
      <c r="AM125" s="65">
        <f t="shared" si="28"/>
        <v>20.622707852200001</v>
      </c>
      <c r="AN125" s="65">
        <f t="shared" si="28"/>
        <v>11.551279378150001</v>
      </c>
      <c r="AO125" s="65">
        <f t="shared" si="28"/>
        <v>1.556765159944</v>
      </c>
      <c r="AP125" s="65">
        <f t="shared" si="28"/>
        <v>0</v>
      </c>
      <c r="AQ125" s="65">
        <f t="shared" si="28"/>
        <v>0</v>
      </c>
      <c r="AR125" s="65">
        <f t="shared" si="28"/>
        <v>2.5580062328099999</v>
      </c>
      <c r="AS125" s="65">
        <f t="shared" si="28"/>
        <v>25.317061466849999</v>
      </c>
      <c r="AT125" s="65">
        <f t="shared" si="28"/>
        <v>54.853519214000002</v>
      </c>
      <c r="AU125" s="65">
        <f t="shared" si="28"/>
        <v>0</v>
      </c>
      <c r="AV125" s="65">
        <f t="shared" si="28"/>
        <v>6.1714329850800009</v>
      </c>
      <c r="AW125" s="65">
        <f t="shared" si="28"/>
        <v>168.77717452350001</v>
      </c>
      <c r="AX125" s="65">
        <f t="shared" si="28"/>
        <v>11.503783926800001</v>
      </c>
      <c r="AY125" s="65">
        <f t="shared" si="28"/>
        <v>0</v>
      </c>
      <c r="AZ125" s="65">
        <f t="shared" si="28"/>
        <v>0</v>
      </c>
    </row>
    <row r="126" spans="10:52" x14ac:dyDescent="0.2">
      <c r="J126" s="67"/>
      <c r="K126" s="61" t="s">
        <v>117</v>
      </c>
      <c r="L126" s="61">
        <f>IFERROR(INDEX(Crop_codes!$E$3:$E$22,MATCH($K126,Crop_codes!$G$3:$G$22,0)),0)</f>
        <v>0.14000000000000001</v>
      </c>
      <c r="M126" s="61">
        <f>IFERROR(INDEX(Crop_codes!$E$23:$E$44,MATCH($K126,Crop_codes!$G$23:$G$44,0)),0)</f>
        <v>0.11</v>
      </c>
      <c r="N126" s="65">
        <f t="shared" ref="N126:AZ126" si="29">IF(N$85=86,$L126*N101,IF(N$85=100,$M126*N101,-99))</f>
        <v>11536.9406784534</v>
      </c>
      <c r="O126" s="65">
        <f t="shared" si="29"/>
        <v>702.64195042799997</v>
      </c>
      <c r="P126" s="65">
        <f t="shared" si="29"/>
        <v>9069.9397220629999</v>
      </c>
      <c r="Q126" s="65">
        <f t="shared" si="29"/>
        <v>10967.430934600001</v>
      </c>
      <c r="R126" s="65">
        <f t="shared" si="29"/>
        <v>0</v>
      </c>
      <c r="S126" s="65">
        <f t="shared" si="29"/>
        <v>0</v>
      </c>
      <c r="T126" s="65">
        <f t="shared" si="29"/>
        <v>3581.18446313922</v>
      </c>
      <c r="U126" s="65">
        <f t="shared" si="29"/>
        <v>0</v>
      </c>
      <c r="V126" s="65">
        <f t="shared" si="29"/>
        <v>0</v>
      </c>
      <c r="W126" s="65">
        <f t="shared" si="29"/>
        <v>1306.0824495012002</v>
      </c>
      <c r="X126" s="65">
        <f t="shared" si="29"/>
        <v>87.1787442169</v>
      </c>
      <c r="Y126" s="65">
        <f t="shared" si="29"/>
        <v>403.98760963455999</v>
      </c>
      <c r="Z126" s="65">
        <f t="shared" si="29"/>
        <v>0</v>
      </c>
      <c r="AA126" s="65">
        <f t="shared" si="29"/>
        <v>586.93643122800006</v>
      </c>
      <c r="AB126" s="65">
        <f t="shared" si="29"/>
        <v>312.62848232660002</v>
      </c>
      <c r="AC126" s="65">
        <f t="shared" si="29"/>
        <v>742.833450352</v>
      </c>
      <c r="AD126" s="65">
        <f t="shared" si="29"/>
        <v>0</v>
      </c>
      <c r="AE126" s="65">
        <f t="shared" si="29"/>
        <v>560.24017072128015</v>
      </c>
      <c r="AF126" s="65">
        <f t="shared" si="29"/>
        <v>0.69924182327020001</v>
      </c>
      <c r="AG126" s="65">
        <f t="shared" si="29"/>
        <v>2.1302497910820004</v>
      </c>
      <c r="AH126" s="65">
        <f t="shared" si="29"/>
        <v>0</v>
      </c>
      <c r="AI126" s="65">
        <f t="shared" si="29"/>
        <v>0</v>
      </c>
      <c r="AJ126" s="65">
        <f t="shared" si="29"/>
        <v>124.08160454522002</v>
      </c>
      <c r="AK126" s="65">
        <f t="shared" si="29"/>
        <v>12135.563049279999</v>
      </c>
      <c r="AL126" s="65">
        <f t="shared" si="29"/>
        <v>1943.6633885460001</v>
      </c>
      <c r="AM126" s="65">
        <f t="shared" si="29"/>
        <v>1443.5895496540002</v>
      </c>
      <c r="AN126" s="65">
        <f t="shared" si="29"/>
        <v>1454.4165238848002</v>
      </c>
      <c r="AO126" s="65">
        <f t="shared" si="29"/>
        <v>108.97356119608001</v>
      </c>
      <c r="AP126" s="65">
        <f t="shared" si="29"/>
        <v>0</v>
      </c>
      <c r="AQ126" s="65">
        <f t="shared" si="29"/>
        <v>0</v>
      </c>
      <c r="AR126" s="65">
        <f t="shared" si="29"/>
        <v>56.27613712182</v>
      </c>
      <c r="AS126" s="65">
        <f t="shared" si="29"/>
        <v>556.9753522707</v>
      </c>
      <c r="AT126" s="65">
        <f t="shared" si="29"/>
        <v>1206.7774227079999</v>
      </c>
      <c r="AU126" s="65">
        <f t="shared" si="29"/>
        <v>0</v>
      </c>
      <c r="AV126" s="65">
        <f t="shared" si="29"/>
        <v>432.00030895560008</v>
      </c>
      <c r="AW126" s="65">
        <f t="shared" si="29"/>
        <v>3713.097839517</v>
      </c>
      <c r="AX126" s="65">
        <f t="shared" si="29"/>
        <v>805.26487487600014</v>
      </c>
      <c r="AY126" s="65">
        <f t="shared" si="29"/>
        <v>0</v>
      </c>
      <c r="AZ126" s="65">
        <f t="shared" si="29"/>
        <v>0</v>
      </c>
    </row>
    <row r="127" spans="10:52" x14ac:dyDescent="0.2">
      <c r="K127" s="61" t="s">
        <v>116</v>
      </c>
      <c r="L127" s="61">
        <f>IFERROR(INDEX(Crop_codes!$E$3:$E$22,MATCH($K127,Crop_codes!$G$3:$G$22,0)),0)</f>
        <v>0</v>
      </c>
      <c r="M127" s="61">
        <f>IFERROR(INDEX(Crop_codes!$E$23:$E$44,MATCH($K127,Crop_codes!$G$23:$G$44,0)),0)</f>
        <v>0</v>
      </c>
      <c r="N127" s="65">
        <f t="shared" ref="N127:AZ127" si="30">IF(N$85=86,$L127*N102,IF(N$85=100,$M127*N102,-99))</f>
        <v>0</v>
      </c>
      <c r="O127" s="65">
        <f t="shared" si="30"/>
        <v>0</v>
      </c>
      <c r="P127" s="65">
        <f t="shared" si="30"/>
        <v>0</v>
      </c>
      <c r="Q127" s="65">
        <f t="shared" si="30"/>
        <v>0</v>
      </c>
      <c r="R127" s="65">
        <f t="shared" si="30"/>
        <v>0</v>
      </c>
      <c r="S127" s="65">
        <f t="shared" si="30"/>
        <v>0</v>
      </c>
      <c r="T127" s="65">
        <f t="shared" si="30"/>
        <v>0</v>
      </c>
      <c r="U127" s="65">
        <f t="shared" si="30"/>
        <v>0</v>
      </c>
      <c r="V127" s="65">
        <f t="shared" si="30"/>
        <v>0</v>
      </c>
      <c r="W127" s="65">
        <f t="shared" si="30"/>
        <v>0</v>
      </c>
      <c r="X127" s="65">
        <f t="shared" si="30"/>
        <v>0</v>
      </c>
      <c r="Y127" s="65">
        <f t="shared" si="30"/>
        <v>0</v>
      </c>
      <c r="Z127" s="65">
        <f t="shared" si="30"/>
        <v>0</v>
      </c>
      <c r="AA127" s="65">
        <f t="shared" si="30"/>
        <v>0</v>
      </c>
      <c r="AB127" s="65">
        <f t="shared" si="30"/>
        <v>0</v>
      </c>
      <c r="AC127" s="65">
        <f t="shared" si="30"/>
        <v>0</v>
      </c>
      <c r="AD127" s="65">
        <f t="shared" si="30"/>
        <v>0</v>
      </c>
      <c r="AE127" s="65">
        <f t="shared" si="30"/>
        <v>0</v>
      </c>
      <c r="AF127" s="65">
        <f t="shared" si="30"/>
        <v>0</v>
      </c>
      <c r="AG127" s="65">
        <f t="shared" si="30"/>
        <v>0</v>
      </c>
      <c r="AH127" s="65">
        <f t="shared" si="30"/>
        <v>0</v>
      </c>
      <c r="AI127" s="65">
        <f t="shared" si="30"/>
        <v>0</v>
      </c>
      <c r="AJ127" s="65">
        <f t="shared" si="30"/>
        <v>0</v>
      </c>
      <c r="AK127" s="65">
        <f t="shared" si="30"/>
        <v>0</v>
      </c>
      <c r="AL127" s="65">
        <f t="shared" si="30"/>
        <v>0</v>
      </c>
      <c r="AM127" s="65">
        <f t="shared" si="30"/>
        <v>0</v>
      </c>
      <c r="AN127" s="65">
        <f t="shared" si="30"/>
        <v>0</v>
      </c>
      <c r="AO127" s="65">
        <f t="shared" si="30"/>
        <v>0</v>
      </c>
      <c r="AP127" s="65">
        <f t="shared" si="30"/>
        <v>0</v>
      </c>
      <c r="AQ127" s="65">
        <f t="shared" si="30"/>
        <v>0</v>
      </c>
      <c r="AR127" s="65">
        <f t="shared" si="30"/>
        <v>0</v>
      </c>
      <c r="AS127" s="65">
        <f t="shared" si="30"/>
        <v>0</v>
      </c>
      <c r="AT127" s="65">
        <f t="shared" si="30"/>
        <v>0</v>
      </c>
      <c r="AU127" s="65">
        <f t="shared" si="30"/>
        <v>0</v>
      </c>
      <c r="AV127" s="65">
        <f t="shared" si="30"/>
        <v>0</v>
      </c>
      <c r="AW127" s="65">
        <f t="shared" si="30"/>
        <v>0</v>
      </c>
      <c r="AX127" s="65">
        <f t="shared" si="30"/>
        <v>0</v>
      </c>
      <c r="AY127" s="65">
        <f t="shared" si="30"/>
        <v>0</v>
      </c>
      <c r="AZ127" s="65">
        <f t="shared" si="30"/>
        <v>0</v>
      </c>
    </row>
    <row r="128" spans="10:52" x14ac:dyDescent="0.2">
      <c r="K128" s="64" t="s">
        <v>115</v>
      </c>
      <c r="L128" s="61">
        <f>COUNTIF(L112:L127,"&lt;&gt;0")</f>
        <v>9</v>
      </c>
      <c r="N128" s="65">
        <f t="shared" ref="N128:AZ128" si="31">SUMIF($L$112:$L$127,"&gt;0",N112:N127)</f>
        <v>150447.58184032093</v>
      </c>
      <c r="O128" s="65">
        <f t="shared" si="31"/>
        <v>12662.575331715751</v>
      </c>
      <c r="P128" s="65">
        <f t="shared" si="31"/>
        <v>55456.054567789492</v>
      </c>
      <c r="Q128" s="65">
        <f t="shared" si="31"/>
        <v>68378.121311449388</v>
      </c>
      <c r="R128" s="65">
        <f t="shared" si="31"/>
        <v>225821.72236593923</v>
      </c>
      <c r="S128" s="65">
        <f t="shared" si="31"/>
        <v>0</v>
      </c>
      <c r="T128" s="65">
        <f t="shared" si="31"/>
        <v>34141.04454961056</v>
      </c>
      <c r="U128" s="65">
        <f t="shared" si="31"/>
        <v>347723.63421835838</v>
      </c>
      <c r="V128" s="65">
        <f t="shared" si="31"/>
        <v>92072.328920452303</v>
      </c>
      <c r="W128" s="65">
        <f t="shared" si="31"/>
        <v>89272.078309960969</v>
      </c>
      <c r="X128" s="65">
        <f t="shared" si="31"/>
        <v>89.730298060246994</v>
      </c>
      <c r="Y128" s="65">
        <f t="shared" si="31"/>
        <v>1341.311691592869</v>
      </c>
      <c r="Z128" s="65">
        <f t="shared" si="31"/>
        <v>161774.3389086166</v>
      </c>
      <c r="AA128" s="65">
        <f t="shared" si="31"/>
        <v>78486.903274948389</v>
      </c>
      <c r="AB128" s="65">
        <f t="shared" si="31"/>
        <v>48115.788785307908</v>
      </c>
      <c r="AC128" s="65">
        <f t="shared" si="31"/>
        <v>18235.86309881253</v>
      </c>
      <c r="AD128" s="65">
        <f t="shared" si="31"/>
        <v>0</v>
      </c>
      <c r="AE128" s="65">
        <f t="shared" si="31"/>
        <v>2117.8523777050182</v>
      </c>
      <c r="AF128" s="65">
        <f t="shared" si="31"/>
        <v>0.70923099217406005</v>
      </c>
      <c r="AG128" s="65">
        <f t="shared" si="31"/>
        <v>170.60207610673461</v>
      </c>
      <c r="AH128" s="65">
        <f t="shared" si="31"/>
        <v>13571.261281360301</v>
      </c>
      <c r="AI128" s="65">
        <f t="shared" si="31"/>
        <v>74043.171275622779</v>
      </c>
      <c r="AJ128" s="65">
        <f t="shared" si="31"/>
        <v>862.39831334063604</v>
      </c>
      <c r="AK128" s="65">
        <f t="shared" si="31"/>
        <v>96110.008741528</v>
      </c>
      <c r="AL128" s="65">
        <f t="shared" si="31"/>
        <v>353880.25746748917</v>
      </c>
      <c r="AM128" s="65">
        <f t="shared" si="31"/>
        <v>3675.1194945296902</v>
      </c>
      <c r="AN128" s="65">
        <f t="shared" si="31"/>
        <v>166335.31326637176</v>
      </c>
      <c r="AO128" s="65">
        <f t="shared" si="31"/>
        <v>508.60536889163404</v>
      </c>
      <c r="AP128" s="65">
        <f t="shared" si="31"/>
        <v>13466.303561267001</v>
      </c>
      <c r="AQ128" s="65">
        <f t="shared" si="31"/>
        <v>13786.748299391491</v>
      </c>
      <c r="AR128" s="65">
        <f t="shared" si="31"/>
        <v>21524.906976143833</v>
      </c>
      <c r="AS128" s="65">
        <f t="shared" si="31"/>
        <v>3694.4863353217506</v>
      </c>
      <c r="AT128" s="65">
        <f t="shared" si="31"/>
        <v>254397.40835614558</v>
      </c>
      <c r="AU128" s="65">
        <f t="shared" si="31"/>
        <v>25956.989220849606</v>
      </c>
      <c r="AV128" s="65">
        <f t="shared" si="31"/>
        <v>51003.78441755868</v>
      </c>
      <c r="AW128" s="65">
        <f t="shared" si="31"/>
        <v>101054.24272195449</v>
      </c>
      <c r="AX128" s="65">
        <f t="shared" si="31"/>
        <v>111347.27949350384</v>
      </c>
      <c r="AY128" s="65">
        <f t="shared" si="31"/>
        <v>169773.43700710256</v>
      </c>
      <c r="AZ128" s="65">
        <f t="shared" si="31"/>
        <v>193660.40307061729</v>
      </c>
    </row>
    <row r="129" spans="11:54" ht="15" x14ac:dyDescent="0.25">
      <c r="K129" s="64" t="s">
        <v>114</v>
      </c>
      <c r="L129" s="61">
        <f>COUNT(L112:L127)</f>
        <v>16</v>
      </c>
      <c r="N129" s="66">
        <f t="shared" ref="N129:AZ129" si="32">SUMIF($L$112:$L$127,"&gt;0",N87:N102)</f>
        <v>829540.76290086203</v>
      </c>
      <c r="O129" s="66">
        <f t="shared" si="32"/>
        <v>71551.47927743</v>
      </c>
      <c r="P129" s="66">
        <f t="shared" si="32"/>
        <v>374922.31860439992</v>
      </c>
      <c r="Q129" s="66">
        <f t="shared" si="32"/>
        <v>483649.19674940669</v>
      </c>
      <c r="R129" s="66">
        <f t="shared" si="32"/>
        <v>1020519.843855947</v>
      </c>
      <c r="S129" s="66">
        <f t="shared" si="32"/>
        <v>0</v>
      </c>
      <c r="T129" s="66">
        <f t="shared" si="32"/>
        <v>219270.93246230891</v>
      </c>
      <c r="U129" s="66">
        <f t="shared" si="32"/>
        <v>1585428.0835426114</v>
      </c>
      <c r="V129" s="66">
        <f t="shared" si="32"/>
        <v>393682.41437995201</v>
      </c>
      <c r="W129" s="66">
        <f t="shared" si="32"/>
        <v>499855.91483358404</v>
      </c>
      <c r="X129" s="66">
        <f t="shared" si="32"/>
        <v>1874.4961861998599</v>
      </c>
      <c r="Y129" s="66">
        <f t="shared" si="32"/>
        <v>13630.86927085565</v>
      </c>
      <c r="Z129" s="66">
        <f t="shared" si="32"/>
        <v>725795.53518388001</v>
      </c>
      <c r="AA129" s="66">
        <f t="shared" si="32"/>
        <v>590560.97641279991</v>
      </c>
      <c r="AB129" s="66">
        <f t="shared" si="32"/>
        <v>223096.99607322004</v>
      </c>
      <c r="AC129" s="66">
        <f t="shared" si="32"/>
        <v>126444.1903647791</v>
      </c>
      <c r="AD129" s="66">
        <f t="shared" si="32"/>
        <v>0</v>
      </c>
      <c r="AE129" s="66">
        <f t="shared" si="32"/>
        <v>20332.201647385002</v>
      </c>
      <c r="AF129" s="66">
        <f t="shared" si="32"/>
        <v>14.98375335579</v>
      </c>
      <c r="AG129" s="66">
        <f t="shared" si="32"/>
        <v>1148.8773894609001</v>
      </c>
      <c r="AH129" s="66">
        <f t="shared" si="32"/>
        <v>61018.640002890003</v>
      </c>
      <c r="AI129" s="66">
        <f t="shared" si="32"/>
        <v>399400.13437099103</v>
      </c>
      <c r="AJ129" s="66">
        <f t="shared" si="32"/>
        <v>7738.9709629694007</v>
      </c>
      <c r="AK129" s="66">
        <f t="shared" si="32"/>
        <v>602494.78384739999</v>
      </c>
      <c r="AL129" s="66">
        <f t="shared" si="32"/>
        <v>1629102.870255165</v>
      </c>
      <c r="AM129" s="66">
        <f t="shared" si="32"/>
        <v>44936.803100770994</v>
      </c>
      <c r="AN129" s="66">
        <f t="shared" si="32"/>
        <v>766386.84828221018</v>
      </c>
      <c r="AO129" s="66">
        <f t="shared" si="32"/>
        <v>4136.1574746870001</v>
      </c>
      <c r="AP129" s="66">
        <f t="shared" si="32"/>
        <v>61086.235228999998</v>
      </c>
      <c r="AQ129" s="66">
        <f t="shared" si="32"/>
        <v>62828.680566187009</v>
      </c>
      <c r="AR129" s="66">
        <f t="shared" si="32"/>
        <v>99841.527182515158</v>
      </c>
      <c r="AS129" s="66">
        <f t="shared" si="32"/>
        <v>24337.58447252</v>
      </c>
      <c r="AT129" s="66">
        <f t="shared" si="32"/>
        <v>1178490.1440921002</v>
      </c>
      <c r="AU129" s="66">
        <f t="shared" si="32"/>
        <v>120330.877988336</v>
      </c>
      <c r="AV129" s="66">
        <f t="shared" si="32"/>
        <v>386968.37528287002</v>
      </c>
      <c r="AW129" s="66">
        <f t="shared" si="32"/>
        <v>509125.60459560005</v>
      </c>
      <c r="AX129" s="66">
        <f t="shared" si="32"/>
        <v>781662.45292342012</v>
      </c>
      <c r="AY129" s="66">
        <f t="shared" si="32"/>
        <v>768242.68408288504</v>
      </c>
      <c r="AZ129" s="66">
        <f t="shared" si="32"/>
        <v>881695.521031818</v>
      </c>
      <c r="BB129" s="65">
        <f>SUM(N129:AZ129)</f>
        <v>15571144.968632774</v>
      </c>
    </row>
    <row r="130" spans="11:54" x14ac:dyDescent="0.2">
      <c r="L130" s="64" t="s">
        <v>113</v>
      </c>
      <c r="N130" s="61">
        <f t="shared" ref="N130:AZ130" si="33">IF(N129&gt;0,N128/N129,0)</f>
        <v>0.18136249424827944</v>
      </c>
      <c r="O130" s="61">
        <f t="shared" si="33"/>
        <v>0.17697153796944626</v>
      </c>
      <c r="P130" s="61">
        <f t="shared" si="33"/>
        <v>0.1479134525098893</v>
      </c>
      <c r="Q130" s="61">
        <f t="shared" si="33"/>
        <v>0.14137958208349546</v>
      </c>
      <c r="R130" s="61">
        <f t="shared" si="33"/>
        <v>0.2212810693741056</v>
      </c>
      <c r="S130" s="61">
        <f t="shared" si="33"/>
        <v>0</v>
      </c>
      <c r="T130" s="61">
        <f t="shared" si="33"/>
        <v>0.1557025555837373</v>
      </c>
      <c r="U130" s="61">
        <f t="shared" si="33"/>
        <v>0.21932476018803448</v>
      </c>
      <c r="V130" s="61">
        <f t="shared" si="33"/>
        <v>0.23387462979636975</v>
      </c>
      <c r="W130" s="61">
        <f t="shared" si="33"/>
        <v>0.17859562257992312</v>
      </c>
      <c r="X130" s="61">
        <f t="shared" si="33"/>
        <v>4.7869021404709271E-2</v>
      </c>
      <c r="Y130" s="61">
        <f t="shared" si="33"/>
        <v>9.8402505734593623E-2</v>
      </c>
      <c r="Z130" s="61">
        <f t="shared" si="33"/>
        <v>0.22289244155742999</v>
      </c>
      <c r="AA130" s="61">
        <f t="shared" si="33"/>
        <v>0.13290228513183427</v>
      </c>
      <c r="AB130" s="61">
        <f t="shared" si="33"/>
        <v>0.21567206027963007</v>
      </c>
      <c r="AC130" s="61">
        <f t="shared" si="33"/>
        <v>0.14422064822593944</v>
      </c>
      <c r="AD130" s="61">
        <f t="shared" si="33"/>
        <v>0</v>
      </c>
      <c r="AE130" s="61">
        <f t="shared" si="33"/>
        <v>0.10416247165133752</v>
      </c>
      <c r="AF130" s="61">
        <f t="shared" si="33"/>
        <v>4.7333333333333338E-2</v>
      </c>
      <c r="AG130" s="61">
        <f t="shared" si="33"/>
        <v>0.14849458930233456</v>
      </c>
      <c r="AH130" s="61">
        <f t="shared" si="33"/>
        <v>0.22241172993559888</v>
      </c>
      <c r="AI130" s="61">
        <f t="shared" si="33"/>
        <v>0.18538594483006923</v>
      </c>
      <c r="AJ130" s="61">
        <f t="shared" si="33"/>
        <v>0.11143578616164475</v>
      </c>
      <c r="AK130" s="61">
        <f t="shared" si="33"/>
        <v>0.15952006775526004</v>
      </c>
      <c r="AL130" s="61">
        <f t="shared" si="33"/>
        <v>0.21722400956304325</v>
      </c>
      <c r="AM130" s="61">
        <f t="shared" si="33"/>
        <v>8.1784177799391233E-2</v>
      </c>
      <c r="AN130" s="61">
        <f t="shared" si="33"/>
        <v>0.2170383190149961</v>
      </c>
      <c r="AO130" s="61">
        <f t="shared" si="33"/>
        <v>0.12296566849890606</v>
      </c>
      <c r="AP130" s="61">
        <f t="shared" si="33"/>
        <v>0.22044742994529848</v>
      </c>
      <c r="AQ130" s="61">
        <f t="shared" si="33"/>
        <v>0.2194339937613016</v>
      </c>
      <c r="AR130" s="61">
        <f t="shared" si="33"/>
        <v>0.21559072245354638</v>
      </c>
      <c r="AS130" s="61">
        <f t="shared" si="33"/>
        <v>0.15180168514641462</v>
      </c>
      <c r="AT130" s="61">
        <f t="shared" si="33"/>
        <v>0.21586723455556039</v>
      </c>
      <c r="AU130" s="61">
        <f t="shared" si="33"/>
        <v>0.21571345322823696</v>
      </c>
      <c r="AV130" s="61">
        <f t="shared" si="33"/>
        <v>0.13180349526049881</v>
      </c>
      <c r="AW130" s="61">
        <f t="shared" si="33"/>
        <v>0.19848587816010976</v>
      </c>
      <c r="AX130" s="61">
        <f t="shared" si="33"/>
        <v>0.14244931309808301</v>
      </c>
      <c r="AY130" s="61">
        <f t="shared" si="33"/>
        <v>0.22098933126812029</v>
      </c>
      <c r="AZ130" s="61">
        <f t="shared" si="33"/>
        <v>0.21964544273059614</v>
      </c>
    </row>
    <row r="131" spans="11:54" x14ac:dyDescent="0.2">
      <c r="L131" s="64"/>
    </row>
    <row r="132" spans="11:54" x14ac:dyDescent="0.2">
      <c r="L132" s="64"/>
    </row>
    <row r="133" spans="11:54" x14ac:dyDescent="0.2">
      <c r="L133" s="64"/>
    </row>
    <row r="134" spans="11:54" x14ac:dyDescent="0.2">
      <c r="L134" s="64"/>
    </row>
    <row r="136" spans="11:54" ht="39" x14ac:dyDescent="0.25">
      <c r="L136" s="63" t="s">
        <v>112</v>
      </c>
      <c r="N136" s="62">
        <f t="shared" ref="N136:AZ136" si="34">N129/N103</f>
        <v>0.90236532775049194</v>
      </c>
      <c r="O136" s="62">
        <f t="shared" si="34"/>
        <v>0.86685352019288209</v>
      </c>
      <c r="P136" s="62">
        <f t="shared" si="34"/>
        <v>0.8197239459611797</v>
      </c>
      <c r="Q136" s="62">
        <f t="shared" si="34"/>
        <v>0.85954666894530041</v>
      </c>
      <c r="R136" s="62">
        <f t="shared" si="34"/>
        <v>0.9994699403559999</v>
      </c>
      <c r="S136" s="62" t="e">
        <f t="shared" si="34"/>
        <v>#DIV/0!</v>
      </c>
      <c r="T136" s="62">
        <f t="shared" si="34"/>
        <v>0.89438376313094803</v>
      </c>
      <c r="U136" s="62">
        <f t="shared" si="34"/>
        <v>0.99483198283572127</v>
      </c>
      <c r="V136" s="62">
        <f t="shared" si="34"/>
        <v>0.97878918306951379</v>
      </c>
      <c r="W136" s="62">
        <f t="shared" si="34"/>
        <v>0.84485759591145848</v>
      </c>
      <c r="X136" s="62">
        <f t="shared" si="34"/>
        <v>0.75063873887326082</v>
      </c>
      <c r="Y136" s="62">
        <f t="shared" si="34"/>
        <v>0.80191809547074255</v>
      </c>
      <c r="Z136" s="62">
        <f t="shared" si="34"/>
        <v>1</v>
      </c>
      <c r="AA136" s="62">
        <f t="shared" si="34"/>
        <v>0.75432440129497125</v>
      </c>
      <c r="AB136" s="62">
        <f t="shared" si="34"/>
        <v>0.98742104642639927</v>
      </c>
      <c r="AC136" s="62">
        <f t="shared" si="34"/>
        <v>0.86797137369643174</v>
      </c>
      <c r="AD136" s="62" t="e">
        <f t="shared" si="34"/>
        <v>#DIV/0!</v>
      </c>
      <c r="AE136" s="62">
        <f t="shared" si="34"/>
        <v>0.78902506470592748</v>
      </c>
      <c r="AF136" s="62">
        <f t="shared" si="34"/>
        <v>0.75</v>
      </c>
      <c r="AG136" s="62">
        <f t="shared" si="34"/>
        <v>0.28207606351412906</v>
      </c>
      <c r="AH136" s="62">
        <f t="shared" si="34"/>
        <v>1</v>
      </c>
      <c r="AI136" s="62">
        <f t="shared" si="34"/>
        <v>0.78229983096416422</v>
      </c>
      <c r="AJ136" s="62">
        <f t="shared" si="34"/>
        <v>0.52727923624639383</v>
      </c>
      <c r="AK136" s="62">
        <f t="shared" si="34"/>
        <v>0.84522937495749517</v>
      </c>
      <c r="AL136" s="62">
        <f t="shared" si="34"/>
        <v>0.98301225911575962</v>
      </c>
      <c r="AM136" s="62">
        <f t="shared" si="34"/>
        <v>0.7752311073180429</v>
      </c>
      <c r="AN136" s="62">
        <f t="shared" si="34"/>
        <v>0.94025505851239299</v>
      </c>
      <c r="AO136" s="62">
        <f t="shared" si="34"/>
        <v>0.841616393128368</v>
      </c>
      <c r="AP136" s="62">
        <f t="shared" si="34"/>
        <v>1</v>
      </c>
      <c r="AQ136" s="62">
        <f t="shared" si="34"/>
        <v>0.95839456760916197</v>
      </c>
      <c r="AR136" s="62">
        <f t="shared" si="34"/>
        <v>0.99490174384664043</v>
      </c>
      <c r="AS136" s="62">
        <f t="shared" si="34"/>
        <v>0.82778093090896865</v>
      </c>
      <c r="AT136" s="62">
        <f t="shared" si="34"/>
        <v>0.92070154689704242</v>
      </c>
      <c r="AU136" s="62">
        <f t="shared" si="34"/>
        <v>0.98628213193646697</v>
      </c>
      <c r="AV136" s="62">
        <f t="shared" si="34"/>
        <v>0.72787771465933504</v>
      </c>
      <c r="AW136" s="62">
        <f t="shared" si="34"/>
        <v>0.93782167280004747</v>
      </c>
      <c r="AX136" s="62">
        <f t="shared" si="34"/>
        <v>0.79012302481189511</v>
      </c>
      <c r="AY136" s="62">
        <f t="shared" si="34"/>
        <v>0.99919446100403286</v>
      </c>
      <c r="AZ136" s="62">
        <f t="shared" si="34"/>
        <v>0.98830135376640671</v>
      </c>
      <c r="BA136" s="62"/>
      <c r="BB136" s="62">
        <f>BB129/BB103</f>
        <v>0.91472340100980809</v>
      </c>
    </row>
  </sheetData>
  <sheetProtection algorithmName="SHA-512" hashValue="UboJYmDWgtRtMedm3HinQu0Lm8pfnJ8RfIEfWbOd1iB9uZbukKgViKmotxdXq5n5t7xcwTlRjIJu5m6nElhcsQ==" saltValue="o3igFbC9yTysIgieP+icrQ==" spinCount="100000" sheet="1" objects="1" scenarios="1"/>
  <pageMargins left="0.7" right="0.7" top="0.75" bottom="0.75" header="0.3" footer="0.3"/>
  <drawing r:id="rId1"/>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tabColor theme="4" tint="-0.249977111117893"/>
  </sheetPr>
  <dimension ref="A4:Y134"/>
  <sheetViews>
    <sheetView topLeftCell="B5" workbookViewId="0">
      <selection activeCell="M19" sqref="M19"/>
    </sheetView>
  </sheetViews>
  <sheetFormatPr defaultRowHeight="15" x14ac:dyDescent="0.25"/>
  <cols>
    <col min="1" max="1" width="38.42578125" customWidth="1"/>
    <col min="2" max="2" width="13.140625" customWidth="1"/>
    <col min="3" max="3" width="13.140625" style="84" customWidth="1"/>
    <col min="4" max="4" width="11.140625" customWidth="1"/>
    <col min="5" max="5" width="10.140625" bestFit="1" customWidth="1"/>
    <col min="6" max="6" width="43.42578125" customWidth="1"/>
    <col min="10" max="10" width="9.5703125" customWidth="1"/>
    <col min="13" max="13" width="19.5703125" customWidth="1"/>
    <col min="14" max="14" width="28.42578125" customWidth="1"/>
    <col min="16" max="16" width="15.85546875" customWidth="1"/>
    <col min="20" max="20" width="26.42578125" customWidth="1"/>
    <col min="21" max="21" width="17.42578125" customWidth="1"/>
  </cols>
  <sheetData>
    <row r="4" spans="1:9" ht="18.75" x14ac:dyDescent="0.3">
      <c r="A4" s="713" t="s">
        <v>1129</v>
      </c>
    </row>
    <row r="5" spans="1:9" x14ac:dyDescent="0.25">
      <c r="A5" t="s">
        <v>262</v>
      </c>
      <c r="C5" s="150" t="s">
        <v>842</v>
      </c>
      <c r="D5" s="148">
        <f ca="1">CELL("col",Impl_select!R44)</f>
        <v>18</v>
      </c>
      <c r="F5" t="s">
        <v>261</v>
      </c>
    </row>
    <row r="6" spans="1:9" x14ac:dyDescent="0.25">
      <c r="A6" s="84" t="s">
        <v>260</v>
      </c>
      <c r="B6" s="84" t="str">
        <f>IFERROR(MATCH(A6,Impl_select!$N$44:$N$87,0),"")</f>
        <v/>
      </c>
      <c r="C6" s="38"/>
      <c r="D6" s="84" t="s">
        <v>259</v>
      </c>
      <c r="F6" s="84" t="s">
        <v>260</v>
      </c>
      <c r="G6" s="84" t="str">
        <f>IFERROR(MATCH(F6,Impl_select!$N$44:$N$87,0),"")</f>
        <v/>
      </c>
      <c r="H6" s="38"/>
      <c r="I6" s="84" t="s">
        <v>259</v>
      </c>
    </row>
    <row r="7" spans="1:9" x14ac:dyDescent="0.25">
      <c r="A7" s="619" t="s">
        <v>247</v>
      </c>
      <c r="B7" s="84">
        <f>IFERROR(MATCH(A7,Impl_select!$N$44:$N$87,0),"")</f>
        <v>2</v>
      </c>
      <c r="C7" s="38">
        <f>IFERROR(INDEX(Impl_select!$O$44:$O$87,B7),0)</f>
        <v>11.364080158348152</v>
      </c>
      <c r="D7" s="12">
        <f>IFERROR(INDEX(Impl_select!$R$44:$R$87,B7),1)</f>
        <v>0.55000000000000004</v>
      </c>
      <c r="F7" s="619" t="s">
        <v>209</v>
      </c>
      <c r="G7" s="84">
        <f>IFERROR(MATCH(F7,Impl_select!$N$44:$N$87,0),"")</f>
        <v>44</v>
      </c>
      <c r="H7" s="38">
        <f>IFERROR(INDEX(Impl_select!$O$44:$O$87,G7),0)</f>
        <v>0</v>
      </c>
      <c r="I7" s="12">
        <f>IFERROR(INDEX(Impl_select!$R$44:$R$87,G7),1)</f>
        <v>0.57499999999999996</v>
      </c>
    </row>
    <row r="8" spans="1:9" x14ac:dyDescent="0.25">
      <c r="A8" s="619" t="s">
        <v>209</v>
      </c>
      <c r="B8" s="84">
        <f>IFERROR(MATCH(A8,Impl_select!$N$44:$N$87,0),"")</f>
        <v>44</v>
      </c>
      <c r="C8" s="38">
        <f>IFERROR(INDEX(Impl_select!$O$44:$O$87,B8),0)</f>
        <v>0</v>
      </c>
      <c r="D8" s="12">
        <f>IFERROR(INDEX(Impl_select!$R$44:$R$87,B8),1)</f>
        <v>0.57499999999999996</v>
      </c>
      <c r="E8" s="12"/>
      <c r="F8" s="619" t="s">
        <v>210</v>
      </c>
      <c r="G8" s="84">
        <f>IFERROR(MATCH(F8,Impl_select!$N$44:$N$87,0),"")</f>
        <v>43</v>
      </c>
      <c r="H8" s="38">
        <f>IFERROR(INDEX(Impl_select!$O$44:$O$87,G8),0)</f>
        <v>0</v>
      </c>
      <c r="I8" s="12">
        <f>IFERROR(INDEX(Impl_select!$R$44:$R$87,G8),1)</f>
        <v>0.82499999999999996</v>
      </c>
    </row>
    <row r="9" spans="1:9" x14ac:dyDescent="0.25">
      <c r="A9" s="619" t="s">
        <v>210</v>
      </c>
      <c r="B9" s="84">
        <f>IFERROR(MATCH(A9,Impl_select!$N$44:$N$87,0),"")</f>
        <v>43</v>
      </c>
      <c r="C9" s="38">
        <f>IFERROR(INDEX(Impl_select!$O$44:$O$87,B9),0)</f>
        <v>0</v>
      </c>
      <c r="D9" s="12">
        <f>IFERROR(INDEX(Impl_select!$R$44:$R$87,B9),1)</f>
        <v>0.82499999999999996</v>
      </c>
      <c r="F9" s="619" t="s">
        <v>224</v>
      </c>
      <c r="G9" s="84">
        <f>IFERROR(MATCH(F9,Impl_select!$N$44:$N$87,0),"")</f>
        <v>31</v>
      </c>
      <c r="H9" s="38">
        <f>IFERROR(INDEX(Impl_select!$O$44:$O$87,G9),0)</f>
        <v>17.11214255185461</v>
      </c>
      <c r="I9" s="12">
        <f>IFERROR(INDEX(Impl_select!$R$44:$R$87,G9),1)</f>
        <v>0.7</v>
      </c>
    </row>
    <row r="10" spans="1:9" x14ac:dyDescent="0.25">
      <c r="A10" s="619" t="s">
        <v>236</v>
      </c>
      <c r="B10" s="84">
        <f>IFERROR(MATCH(A10,Impl_select!$N$44:$N$87,0),"")</f>
        <v>19</v>
      </c>
      <c r="C10" s="38">
        <f>IFERROR(INDEX(Impl_select!$O$44:$O$87,B10),0)</f>
        <v>6.3061066684273506</v>
      </c>
      <c r="D10" s="12">
        <f>IFERROR(INDEX(Impl_select!$R$44:$R$87,B10),1)</f>
        <v>0.6</v>
      </c>
      <c r="F10" s="619"/>
      <c r="G10" s="84" t="str">
        <f>IFERROR(MATCH(F10,Impl_select!$N$44:$N$87,0),"")</f>
        <v/>
      </c>
      <c r="H10" s="38">
        <f>IFERROR(INDEX(Impl_select!$O$44:$O$87,G10),0)</f>
        <v>0</v>
      </c>
      <c r="I10" s="12">
        <f>IFERROR(INDEX(Impl_select!$R$44:$R$87,G10),1)</f>
        <v>1</v>
      </c>
    </row>
    <row r="11" spans="1:9" x14ac:dyDescent="0.25">
      <c r="A11" s="619" t="s">
        <v>224</v>
      </c>
      <c r="B11" s="84">
        <f>IFERROR(MATCH(A11,Impl_select!$N$44:$N$87,0),"")</f>
        <v>31</v>
      </c>
      <c r="C11" s="38">
        <f>IFERROR(INDEX(Impl_select!$O$44:$O$87,B11),0)</f>
        <v>17.11214255185461</v>
      </c>
      <c r="D11" s="12">
        <f>IFERROR(INDEX(Impl_select!$R$44:$R$87,B11),1)</f>
        <v>0.7</v>
      </c>
      <c r="F11" s="619"/>
      <c r="G11" s="84" t="str">
        <f>IFERROR(MATCH(F11,Impl_select!$N$44:$N$87,0),"")</f>
        <v/>
      </c>
      <c r="H11" s="38">
        <f>IFERROR(INDEX(Impl_select!$O$44:$O$87,G11),0)</f>
        <v>0</v>
      </c>
      <c r="I11" s="12">
        <f>IFERROR(INDEX(Impl_select!$R$44:$R$87,G11),1)</f>
        <v>1</v>
      </c>
    </row>
    <row r="12" spans="1:9" x14ac:dyDescent="0.25">
      <c r="A12" s="619"/>
      <c r="B12" s="84" t="str">
        <f>IFERROR(MATCH(A12,Impl_select!$N$44:$N$87,0),"")</f>
        <v/>
      </c>
      <c r="C12" s="38">
        <f>IFERROR(INDEX(Impl_select!$O$44:$O$87,B12),0)</f>
        <v>0</v>
      </c>
      <c r="D12" s="12">
        <f>IFERROR(INDEX(Impl_select!$R$44:$R$87,B12),1)</f>
        <v>1</v>
      </c>
      <c r="F12" s="619"/>
      <c r="G12" s="84" t="str">
        <f>IFERROR(MATCH(F12,Impl_select!$N$44:$N$87,0),"")</f>
        <v/>
      </c>
      <c r="H12" s="38">
        <f>IFERROR(INDEX(Impl_select!$O$44:$O$87,G12),0)</f>
        <v>0</v>
      </c>
      <c r="I12" s="12">
        <f>IFERROR(INDEX(Impl_select!$R$44:$R$87,G12),1)</f>
        <v>1</v>
      </c>
    </row>
    <row r="13" spans="1:9" x14ac:dyDescent="0.25">
      <c r="A13" s="619"/>
      <c r="B13" s="84" t="str">
        <f>IFERROR(MATCH(A13,Impl_select!$N$44:$N$87,0),"")</f>
        <v/>
      </c>
      <c r="C13" s="38">
        <f>IFERROR(INDEX(Impl_select!$O$44:$O$87,B13),0)</f>
        <v>0</v>
      </c>
      <c r="D13" s="12">
        <f>IFERROR(INDEX(Impl_select!$R$44:$R$87,B13),1)</f>
        <v>1</v>
      </c>
      <c r="F13" s="619"/>
      <c r="G13" s="84" t="str">
        <f>IFERROR(MATCH(F13,Impl_select!$N$44:$N$87,0),"")</f>
        <v/>
      </c>
      <c r="H13" s="38">
        <f>IFERROR(INDEX(Impl_select!$O$44:$O$87,G13),0)</f>
        <v>0</v>
      </c>
      <c r="I13" s="12">
        <f>IFERROR(INDEX(Impl_select!$R$44:$R$87,G13),1)</f>
        <v>1</v>
      </c>
    </row>
    <row r="14" spans="1:9" x14ac:dyDescent="0.25">
      <c r="A14" s="619"/>
      <c r="B14" s="84" t="str">
        <f>IFERROR(MATCH(A14,Impl_select!$N$44:$N$87,0),"")</f>
        <v/>
      </c>
      <c r="C14" s="38">
        <f>IFERROR(INDEX(Impl_select!$O$44:$O$87,B14),0)</f>
        <v>0</v>
      </c>
      <c r="D14" s="12">
        <f>IFERROR(INDEX(Impl_select!$R$44:$R$87,B14),1)</f>
        <v>1</v>
      </c>
      <c r="F14" s="619"/>
      <c r="G14" s="84" t="str">
        <f>IFERROR(MATCH(F14,Impl_select!$N$44:$N$87,0),"")</f>
        <v/>
      </c>
      <c r="H14" s="38">
        <f>IFERROR(INDEX(Impl_select!$O$44:$O$87,G14),0)</f>
        <v>0</v>
      </c>
      <c r="I14" s="12">
        <f>IFERROR(INDEX(Impl_select!$R$44:$R$87,G14),1)</f>
        <v>1</v>
      </c>
    </row>
    <row r="15" spans="1:9" x14ac:dyDescent="0.25">
      <c r="A15" s="619"/>
      <c r="B15" s="84" t="str">
        <f>IFERROR(MATCH(A15,Impl_select!$N$44:$N$87,0),"")</f>
        <v/>
      </c>
      <c r="C15" s="38">
        <f>IFERROR(INDEX(Impl_select!$O$44:$O$87,B15),0)</f>
        <v>0</v>
      </c>
      <c r="D15" s="12">
        <f>IFERROR(INDEX(Impl_select!$R$44:$R$87,B15),1)</f>
        <v>1</v>
      </c>
      <c r="F15" s="619"/>
      <c r="G15" s="84" t="str">
        <f>IFERROR(MATCH(F15,Impl_select!$N$44:$N$87,0),"")</f>
        <v/>
      </c>
      <c r="H15" s="38">
        <f>IFERROR(INDEX(Impl_select!$O$44:$O$87,G15),0)</f>
        <v>0</v>
      </c>
      <c r="I15" s="12">
        <f>IFERROR(INDEX(Impl_select!$R$44:$R$87,G15),1)</f>
        <v>1</v>
      </c>
    </row>
    <row r="16" spans="1:9" ht="15.75" thickBot="1" x14ac:dyDescent="0.3">
      <c r="A16" s="619"/>
      <c r="B16" s="84" t="str">
        <f>IFERROR(MATCH(A16,Impl_select!$N$44:$N$87,0),"")</f>
        <v/>
      </c>
      <c r="C16" s="38">
        <f>IFERROR(INDEX(Impl_select!$O$44:$O$87,B16),0)</f>
        <v>0</v>
      </c>
      <c r="D16" s="12">
        <f>IFERROR(INDEX(Impl_select!$R$44:$R$87,B16),1)</f>
        <v>1</v>
      </c>
      <c r="F16" s="619"/>
      <c r="G16" s="84" t="str">
        <f>IFERROR(MATCH(F16,Impl_select!$N$44:$N$87,0),"")</f>
        <v/>
      </c>
      <c r="H16" s="38">
        <f>IFERROR(INDEX(Impl_select!$O$44:$O$87,G16),0)</f>
        <v>0</v>
      </c>
      <c r="I16" s="12">
        <f>IFERROR(INDEX(Impl_select!$R$44:$R$87,G16),1)</f>
        <v>1</v>
      </c>
    </row>
    <row r="17" spans="1:10" ht="15.75" thickBot="1" x14ac:dyDescent="0.3">
      <c r="A17" t="s">
        <v>75</v>
      </c>
      <c r="B17" s="84" t="str">
        <f>IFERROR(MATCH(A17,Impl_select!$N$44:$N$87,0),"")</f>
        <v/>
      </c>
      <c r="C17" s="94">
        <f>SUM(C7:C16)</f>
        <v>34.782329378630109</v>
      </c>
      <c r="D17" s="872">
        <f>PRODUCT(D7:D16)</f>
        <v>0.10958062499999996</v>
      </c>
      <c r="F17" t="s">
        <v>75</v>
      </c>
      <c r="G17" s="84" t="str">
        <f>IFERROR(MATCH(F17,Impl_select!$N$44:$N$87,0),"")</f>
        <v/>
      </c>
      <c r="H17" s="94">
        <f>SUM(H7:H16)</f>
        <v>17.11214255185461</v>
      </c>
      <c r="I17" s="872">
        <f>PRODUCT(I7:I16)</f>
        <v>0.33206249999999993</v>
      </c>
      <c r="J17" s="3"/>
    </row>
    <row r="18" spans="1:10" x14ac:dyDescent="0.25">
      <c r="B18" s="84"/>
      <c r="C18" s="94"/>
      <c r="D18" s="12"/>
      <c r="F18" t="s">
        <v>255</v>
      </c>
      <c r="H18" s="13">
        <f>H17-C17</f>
        <v>-17.670186826775499</v>
      </c>
      <c r="I18" s="12">
        <f>I17-D17</f>
        <v>0.22248187499999997</v>
      </c>
    </row>
    <row r="19" spans="1:10" x14ac:dyDescent="0.25">
      <c r="B19" s="84"/>
      <c r="C19" s="94"/>
      <c r="D19" s="12"/>
      <c r="G19" s="84"/>
      <c r="H19" s="94"/>
      <c r="I19" s="12"/>
    </row>
    <row r="20" spans="1:10" x14ac:dyDescent="0.25">
      <c r="B20" s="84"/>
      <c r="C20" s="94"/>
      <c r="D20" s="12"/>
      <c r="G20" s="84"/>
      <c r="H20" s="94"/>
      <c r="I20" s="12"/>
    </row>
    <row r="21" spans="1:10" ht="18.75" x14ac:dyDescent="0.3">
      <c r="A21" s="713" t="s">
        <v>1130</v>
      </c>
      <c r="C21" s="150" t="s">
        <v>842</v>
      </c>
      <c r="D21" s="148">
        <f ca="1">CELL("col",Impl_select!Q44)</f>
        <v>17</v>
      </c>
    </row>
    <row r="22" spans="1:10" x14ac:dyDescent="0.25">
      <c r="A22" s="84" t="s">
        <v>258</v>
      </c>
      <c r="B22" s="84"/>
      <c r="C22" s="84" t="s">
        <v>257</v>
      </c>
      <c r="D22" s="84" t="s">
        <v>256</v>
      </c>
      <c r="E22" s="84"/>
      <c r="F22" s="84" t="s">
        <v>258</v>
      </c>
      <c r="G22" s="84"/>
      <c r="H22" s="84" t="s">
        <v>257</v>
      </c>
      <c r="I22" s="84" t="s">
        <v>256</v>
      </c>
    </row>
    <row r="23" spans="1:10" x14ac:dyDescent="0.25">
      <c r="A23" s="619" t="s">
        <v>243</v>
      </c>
      <c r="B23" s="84">
        <f>IFERROR(MATCH(A23,Impl_select!$N$44:$N$87,0),"")</f>
        <v>13</v>
      </c>
      <c r="C23" s="38">
        <f>IFERROR(INDEX(Impl_select!$O$44:$O$87,B23),0)</f>
        <v>14.121239637210778</v>
      </c>
      <c r="D23" s="12">
        <f>IFERROR(INDEX(Impl_select!$Q$44:$Q$87,B23),1)</f>
        <v>0.65</v>
      </c>
      <c r="E23" s="12"/>
      <c r="F23" s="619" t="s">
        <v>210</v>
      </c>
      <c r="G23" s="84">
        <f>IFERROR(MATCH(F23,Impl_select!$N$44:$N$87,0),"")</f>
        <v>43</v>
      </c>
      <c r="H23" s="38">
        <f>IFERROR(INDEX(Impl_select!$O$44:$O$87,G23),0)</f>
        <v>0</v>
      </c>
      <c r="I23" s="12">
        <f>IFERROR(INDEX(Impl_select!$Q$44:$Q$87,G23),1)</f>
        <v>0.9</v>
      </c>
    </row>
    <row r="24" spans="1:10" x14ac:dyDescent="0.25">
      <c r="A24" s="619" t="s">
        <v>210</v>
      </c>
      <c r="B24" s="84">
        <f>IFERROR(MATCH(A24,Impl_select!$N$44:$N$87,0),"")</f>
        <v>43</v>
      </c>
      <c r="C24" s="38">
        <f>IFERROR(INDEX(Impl_select!$O$44:$O$87,B24),0)</f>
        <v>0</v>
      </c>
      <c r="D24" s="12">
        <f>IFERROR(INDEX(Impl_select!$Q$44:$Q$87,B24),1)</f>
        <v>0.9</v>
      </c>
      <c r="E24" s="12"/>
      <c r="F24" s="619" t="s">
        <v>236</v>
      </c>
      <c r="G24" s="84">
        <f>IFERROR(MATCH(F24,Impl_select!$N$44:$N$87,0),"")</f>
        <v>19</v>
      </c>
      <c r="H24" s="38">
        <f>IFERROR(INDEX(Impl_select!$O$44:$O$87,G24),0)</f>
        <v>6.3061066684273506</v>
      </c>
      <c r="I24" s="12">
        <f>IFERROR(INDEX(Impl_select!$Q$44:$Q$87,G24),1)</f>
        <v>0.55000000000000004</v>
      </c>
    </row>
    <row r="25" spans="1:10" x14ac:dyDescent="0.25">
      <c r="A25" s="619" t="s">
        <v>236</v>
      </c>
      <c r="B25" s="84">
        <f>IFERROR(MATCH(A25,Impl_select!$N$44:$N$87,0),"")</f>
        <v>19</v>
      </c>
      <c r="C25" s="38">
        <f>IFERROR(INDEX(Impl_select!$O$44:$O$87,B25),0)</f>
        <v>6.3061066684273506</v>
      </c>
      <c r="D25" s="12">
        <f>IFERROR(INDEX(Impl_select!$Q$44:$Q$87,B25),1)</f>
        <v>0.55000000000000004</v>
      </c>
      <c r="E25" s="12"/>
      <c r="F25" s="213" t="s">
        <v>229</v>
      </c>
      <c r="G25" s="84">
        <f>IFERROR(MATCH(F25,Impl_select!$N$44:$N$87,0),"")</f>
        <v>26</v>
      </c>
      <c r="H25" s="38">
        <f>IFERROR(INDEX(Impl_select!$O$44:$O$87,G25),0)</f>
        <v>12.986751043779471</v>
      </c>
      <c r="I25" s="12">
        <f>IFERROR(INDEX(Impl_select!$Q$44:$Q$87,G25),1)</f>
        <v>0.9</v>
      </c>
    </row>
    <row r="26" spans="1:10" x14ac:dyDescent="0.25">
      <c r="A26" s="213" t="s">
        <v>229</v>
      </c>
      <c r="B26" s="84">
        <f>IFERROR(MATCH(A26,Impl_select!$N$44:$N$87,0),"")</f>
        <v>26</v>
      </c>
      <c r="C26" s="38">
        <f>IFERROR(INDEX(Impl_select!$O$44:$O$87,B26),0)</f>
        <v>12.986751043779471</v>
      </c>
      <c r="D26" s="12">
        <f>IFERROR(INDEX(Impl_select!$Q$44:$Q$87,B26),1)</f>
        <v>0.9</v>
      </c>
      <c r="E26" s="12"/>
      <c r="F26" s="213"/>
      <c r="G26" s="84" t="str">
        <f>IFERROR(MATCH(F26,Impl_select!$N$44:$N$87,0),"")</f>
        <v/>
      </c>
      <c r="H26" s="38">
        <f>IFERROR(INDEX(Impl_select!$O$44:$O$87,G26),0)</f>
        <v>0</v>
      </c>
      <c r="I26" s="12">
        <f>IFERROR(INDEX(Impl_select!$Q$44:$Q$87,G26),1)</f>
        <v>1</v>
      </c>
    </row>
    <row r="27" spans="1:10" x14ac:dyDescent="0.25">
      <c r="A27" s="213"/>
      <c r="B27" s="84" t="str">
        <f>IFERROR(MATCH(A27,Impl_select!$N$44:$N$87,0),"")</f>
        <v/>
      </c>
      <c r="C27" s="38">
        <f>IFERROR(INDEX(Impl_select!$O$44:$O$87,B27),0)</f>
        <v>0</v>
      </c>
      <c r="D27" s="12">
        <f>IFERROR(INDEX(Impl_select!$Q$44:$Q$87,B27),1)</f>
        <v>1</v>
      </c>
      <c r="E27" s="12"/>
      <c r="F27" s="213"/>
      <c r="G27" s="84" t="str">
        <f>IFERROR(MATCH(F27,Impl_select!$N$44:$N$87,0),"")</f>
        <v/>
      </c>
      <c r="H27" s="38">
        <f>IFERROR(INDEX(Impl_select!$O$44:$O$87,G27),0)</f>
        <v>0</v>
      </c>
      <c r="I27" s="12">
        <f>IFERROR(INDEX(Impl_select!$Q$44:$Q$87,G27),1)</f>
        <v>1</v>
      </c>
    </row>
    <row r="28" spans="1:10" x14ac:dyDescent="0.25">
      <c r="A28" s="213"/>
      <c r="B28" s="84" t="str">
        <f>IFERROR(MATCH(A28,Impl_select!$N$44:$N$87,0),"")</f>
        <v/>
      </c>
      <c r="C28" s="38">
        <f>IFERROR(INDEX(Impl_select!$O$44:$O$87,B28),0)</f>
        <v>0</v>
      </c>
      <c r="D28" s="12">
        <f>IFERROR(INDEX(Impl_select!$Q$44:$Q$87,B28),1)</f>
        <v>1</v>
      </c>
      <c r="E28" s="12"/>
      <c r="F28" s="213"/>
      <c r="G28" s="84" t="str">
        <f>IFERROR(MATCH(F28,Impl_select!$N$44:$N$87,0),"")</f>
        <v/>
      </c>
      <c r="H28" s="38">
        <f>IFERROR(INDEX(Impl_select!$O$44:$O$87,G28),0)</f>
        <v>0</v>
      </c>
      <c r="I28" s="12">
        <f>IFERROR(INDEX(Impl_select!$Q$44:$Q$87,G28),1)</f>
        <v>1</v>
      </c>
    </row>
    <row r="29" spans="1:10" x14ac:dyDescent="0.25">
      <c r="A29" s="213"/>
      <c r="B29" s="84" t="str">
        <f>IFERROR(MATCH(A29,Impl_select!$N$44:$N$87,0),"")</f>
        <v/>
      </c>
      <c r="C29" s="38">
        <f>IFERROR(INDEX(Impl_select!$O$44:$O$87,B29),0)</f>
        <v>0</v>
      </c>
      <c r="D29" s="12">
        <f>IFERROR(INDEX(Impl_select!$Q$44:$Q$87,B29),1)</f>
        <v>1</v>
      </c>
      <c r="E29" s="12"/>
      <c r="F29" s="213"/>
      <c r="G29" s="84" t="str">
        <f>IFERROR(MATCH(F29,Impl_select!$N$44:$N$87,0),"")</f>
        <v/>
      </c>
      <c r="H29" s="38">
        <f>IFERROR(INDEX(Impl_select!$O$44:$O$87,G29),0)</f>
        <v>0</v>
      </c>
      <c r="I29" s="12">
        <f>IFERROR(INDEX(Impl_select!$Q$44:$Q$87,G29),1)</f>
        <v>1</v>
      </c>
    </row>
    <row r="30" spans="1:10" x14ac:dyDescent="0.25">
      <c r="A30" s="213"/>
      <c r="B30" s="84" t="str">
        <f>IFERROR(MATCH(A30,Impl_select!$N$44:$N$87,0),"")</f>
        <v/>
      </c>
      <c r="C30" s="38">
        <f>IFERROR(INDEX(Impl_select!$O$44:$O$87,B30),0)</f>
        <v>0</v>
      </c>
      <c r="D30" s="12">
        <f>IFERROR(INDEX(Impl_select!$Q$44:$Q$87,B30),1)</f>
        <v>1</v>
      </c>
      <c r="E30" s="12"/>
      <c r="F30" s="213"/>
      <c r="G30" s="84" t="str">
        <f>IFERROR(MATCH(F30,Impl_select!$N$44:$N$87,0),"")</f>
        <v/>
      </c>
      <c r="H30" s="38">
        <f>IFERROR(INDEX(Impl_select!$O$44:$O$87,G30),0)</f>
        <v>0</v>
      </c>
      <c r="I30" s="12">
        <f>IFERROR(INDEX(Impl_select!$Q$44:$Q$87,G30),1)</f>
        <v>1</v>
      </c>
    </row>
    <row r="31" spans="1:10" x14ac:dyDescent="0.25">
      <c r="A31" s="213"/>
      <c r="B31" s="84" t="str">
        <f>IFERROR(MATCH(A31,Impl_select!$N$44:$N$87,0),"")</f>
        <v/>
      </c>
      <c r="C31" s="38">
        <f>IFERROR(INDEX(Impl_select!$O$44:$O$87,B31),0)</f>
        <v>0</v>
      </c>
      <c r="D31" s="12">
        <f>IFERROR(INDEX(Impl_select!$Q$44:$Q$87,B31),1)</f>
        <v>1</v>
      </c>
      <c r="E31" s="12"/>
      <c r="F31" s="213"/>
      <c r="G31" s="84" t="str">
        <f>IFERROR(MATCH(F31,Impl_select!$N$44:$N$87,0),"")</f>
        <v/>
      </c>
      <c r="H31" s="38">
        <f>IFERROR(INDEX(Impl_select!$O$44:$O$87,G31),0)</f>
        <v>0</v>
      </c>
      <c r="I31" s="12">
        <f>IFERROR(INDEX(Impl_select!$Q$44:$Q$87,G31),1)</f>
        <v>1</v>
      </c>
    </row>
    <row r="32" spans="1:10" ht="15.75" thickBot="1" x14ac:dyDescent="0.3">
      <c r="A32" s="213"/>
      <c r="B32" s="84" t="str">
        <f>IFERROR(MATCH(A32,Impl_select!$N$44:$N$87,0),"")</f>
        <v/>
      </c>
      <c r="C32" s="38">
        <f>IFERROR(INDEX(Impl_select!$O$44:$O$87,B32),0)</f>
        <v>0</v>
      </c>
      <c r="D32" s="12">
        <f>IFERROR(INDEX(Impl_select!$Q$44:$Q$87,B32),1)</f>
        <v>1</v>
      </c>
      <c r="E32" s="12"/>
      <c r="F32" s="213"/>
      <c r="G32" s="84" t="str">
        <f>IFERROR(MATCH(F32,Impl_select!$N$44:$N$87,0),"")</f>
        <v/>
      </c>
      <c r="H32" s="38">
        <f>IFERROR(INDEX(Impl_select!$O$44:$O$87,G32),0)</f>
        <v>0</v>
      </c>
      <c r="I32" s="12">
        <f>IFERROR(INDEX(Impl_select!$Q$44:$Q$87,G32),1)</f>
        <v>1</v>
      </c>
    </row>
    <row r="33" spans="1:18" ht="15.75" thickBot="1" x14ac:dyDescent="0.3">
      <c r="A33" t="s">
        <v>75</v>
      </c>
      <c r="B33" s="84" t="str">
        <f>IFERROR(MATCH(A33,Impl_select!$N$44:$N$87,0),"")</f>
        <v/>
      </c>
      <c r="C33" s="38">
        <f>SUM(C23:C32)</f>
        <v>33.414097349417602</v>
      </c>
      <c r="D33" s="872">
        <f>PRODUCT(D23:D32)</f>
        <v>0.28957500000000008</v>
      </c>
      <c r="F33" t="s">
        <v>75</v>
      </c>
      <c r="G33" s="84" t="str">
        <f>IFERROR(MATCH(F33,Impl_select!$N$44:$N$87,0),"")</f>
        <v/>
      </c>
      <c r="H33" s="38">
        <f>SUM(H23:H32)</f>
        <v>19.292857712206821</v>
      </c>
      <c r="I33" s="872">
        <f>PRODUCT(I23:I32)</f>
        <v>0.44550000000000006</v>
      </c>
    </row>
    <row r="34" spans="1:18" x14ac:dyDescent="0.25">
      <c r="F34" t="s">
        <v>255</v>
      </c>
      <c r="H34" s="13">
        <f>H33-C33</f>
        <v>-14.121239637210781</v>
      </c>
      <c r="I34" s="12">
        <f>I33-D33</f>
        <v>0.15592499999999998</v>
      </c>
    </row>
    <row r="35" spans="1:18" x14ac:dyDescent="0.25">
      <c r="H35" s="13"/>
    </row>
    <row r="36" spans="1:18" x14ac:dyDescent="0.25">
      <c r="H36" s="13"/>
    </row>
    <row r="42" spans="1:18" x14ac:dyDescent="0.25">
      <c r="N42" s="6"/>
      <c r="O42" s="91" t="s">
        <v>97</v>
      </c>
      <c r="P42" s="90"/>
      <c r="Q42" s="92" t="s">
        <v>254</v>
      </c>
    </row>
    <row r="43" spans="1:18" x14ac:dyDescent="0.25">
      <c r="M43" t="s">
        <v>783</v>
      </c>
      <c r="N43" s="6" t="s">
        <v>784</v>
      </c>
      <c r="O43" s="91" t="s">
        <v>253</v>
      </c>
      <c r="P43" s="90" t="s">
        <v>785</v>
      </c>
      <c r="Q43" t="s">
        <v>252</v>
      </c>
      <c r="R43" t="s">
        <v>251</v>
      </c>
    </row>
    <row r="44" spans="1:18" x14ac:dyDescent="0.25">
      <c r="M44" t="s">
        <v>771</v>
      </c>
      <c r="N44" s="89" t="s">
        <v>248</v>
      </c>
      <c r="O44" s="88">
        <v>11.460619605486556</v>
      </c>
      <c r="P44" s="87" t="s">
        <v>250</v>
      </c>
      <c r="Q44" s="83">
        <v>0.77500000000000002</v>
      </c>
      <c r="R44" s="83">
        <v>0.55000000000000004</v>
      </c>
    </row>
    <row r="45" spans="1:18" x14ac:dyDescent="0.25">
      <c r="M45" t="s">
        <v>771</v>
      </c>
      <c r="N45" s="89" t="s">
        <v>247</v>
      </c>
      <c r="O45" s="88">
        <v>11.364080158348152</v>
      </c>
      <c r="P45" s="87" t="s">
        <v>250</v>
      </c>
      <c r="Q45" s="83">
        <v>0.77500000000000002</v>
      </c>
      <c r="R45" s="83">
        <v>0.55000000000000004</v>
      </c>
    </row>
    <row r="46" spans="1:18" x14ac:dyDescent="0.25">
      <c r="M46" t="s">
        <v>771</v>
      </c>
      <c r="N46" s="89" t="s">
        <v>246</v>
      </c>
      <c r="O46" s="88">
        <v>9.848615298716922</v>
      </c>
      <c r="P46" s="87" t="s">
        <v>250</v>
      </c>
      <c r="Q46" s="83">
        <v>0.77500000000000002</v>
      </c>
      <c r="R46" s="83">
        <v>0.55000000000000004</v>
      </c>
    </row>
    <row r="47" spans="1:18" x14ac:dyDescent="0.25">
      <c r="M47" t="s">
        <v>771</v>
      </c>
      <c r="N47" s="89" t="s">
        <v>245</v>
      </c>
      <c r="O47" s="88">
        <v>9.0500159841025187</v>
      </c>
      <c r="P47" s="87" t="s">
        <v>250</v>
      </c>
      <c r="Q47" s="83">
        <v>0.77500000000000002</v>
      </c>
      <c r="R47" s="83">
        <v>0.55000000000000004</v>
      </c>
    </row>
    <row r="48" spans="1:18" x14ac:dyDescent="0.25">
      <c r="M48" t="s">
        <v>771</v>
      </c>
      <c r="N48" s="89" t="s">
        <v>248</v>
      </c>
      <c r="O48" s="88">
        <v>11.460619605486556</v>
      </c>
      <c r="P48" s="87" t="s">
        <v>249</v>
      </c>
      <c r="Q48" s="83">
        <v>0.7</v>
      </c>
      <c r="R48" s="83">
        <v>0.5</v>
      </c>
    </row>
    <row r="49" spans="13:18" x14ac:dyDescent="0.25">
      <c r="M49" t="s">
        <v>771</v>
      </c>
      <c r="N49" s="89" t="s">
        <v>247</v>
      </c>
      <c r="O49" s="88">
        <v>11.364080158348152</v>
      </c>
      <c r="P49" s="87" t="s">
        <v>249</v>
      </c>
      <c r="Q49" s="83">
        <v>0.7</v>
      </c>
      <c r="R49" s="83">
        <v>0.5</v>
      </c>
    </row>
    <row r="50" spans="13:18" x14ac:dyDescent="0.25">
      <c r="M50" t="s">
        <v>771</v>
      </c>
      <c r="N50" s="89" t="s">
        <v>246</v>
      </c>
      <c r="O50" s="88">
        <v>9.848615298716922</v>
      </c>
      <c r="P50" s="87" t="s">
        <v>249</v>
      </c>
      <c r="Q50" s="83">
        <v>0.7</v>
      </c>
      <c r="R50" s="83">
        <v>0.5</v>
      </c>
    </row>
    <row r="51" spans="13:18" x14ac:dyDescent="0.25">
      <c r="M51" t="s">
        <v>771</v>
      </c>
      <c r="N51" s="89" t="s">
        <v>245</v>
      </c>
      <c r="O51" s="88">
        <v>9.0500159841025187</v>
      </c>
      <c r="P51" s="87" t="s">
        <v>249</v>
      </c>
      <c r="Q51" s="83">
        <v>0.7</v>
      </c>
      <c r="R51" s="83">
        <v>0.5</v>
      </c>
    </row>
    <row r="52" spans="13:18" x14ac:dyDescent="0.25">
      <c r="M52" t="s">
        <v>771</v>
      </c>
      <c r="N52" s="89" t="s">
        <v>248</v>
      </c>
      <c r="O52" s="88">
        <v>11.460619605486556</v>
      </c>
      <c r="P52" s="87" t="s">
        <v>244</v>
      </c>
      <c r="Q52" s="83">
        <v>0.6</v>
      </c>
      <c r="R52" s="83">
        <v>0.35</v>
      </c>
    </row>
    <row r="53" spans="13:18" x14ac:dyDescent="0.25">
      <c r="M53" t="s">
        <v>771</v>
      </c>
      <c r="N53" s="89" t="s">
        <v>247</v>
      </c>
      <c r="O53" s="88">
        <v>11.364080158348152</v>
      </c>
      <c r="P53" s="87" t="s">
        <v>244</v>
      </c>
      <c r="Q53" s="83">
        <v>0.6</v>
      </c>
      <c r="R53" s="83">
        <v>0.35</v>
      </c>
    </row>
    <row r="54" spans="13:18" x14ac:dyDescent="0.25">
      <c r="M54" t="s">
        <v>771</v>
      </c>
      <c r="N54" s="89" t="s">
        <v>246</v>
      </c>
      <c r="O54" s="88">
        <v>9.848615298716922</v>
      </c>
      <c r="P54" s="87" t="s">
        <v>244</v>
      </c>
      <c r="Q54" s="83">
        <v>0.6</v>
      </c>
      <c r="R54" s="83">
        <v>0.35</v>
      </c>
    </row>
    <row r="55" spans="13:18" x14ac:dyDescent="0.25">
      <c r="M55" t="s">
        <v>771</v>
      </c>
      <c r="N55" s="89" t="s">
        <v>245</v>
      </c>
      <c r="O55" s="88">
        <v>9.0500159841025187</v>
      </c>
      <c r="P55" s="87" t="s">
        <v>244</v>
      </c>
      <c r="Q55" s="83">
        <v>0.6</v>
      </c>
      <c r="R55" s="83">
        <v>0.35</v>
      </c>
    </row>
    <row r="56" spans="13:18" ht="29.25" x14ac:dyDescent="0.25">
      <c r="M56" t="s">
        <v>772</v>
      </c>
      <c r="N56" s="89" t="s">
        <v>243</v>
      </c>
      <c r="O56" s="88">
        <v>14.121239637210778</v>
      </c>
      <c r="P56" s="87" t="s">
        <v>241</v>
      </c>
      <c r="Q56" s="83">
        <v>0.65</v>
      </c>
      <c r="R56" s="83"/>
    </row>
    <row r="57" spans="13:18" ht="29.25" x14ac:dyDescent="0.25">
      <c r="M57" t="s">
        <v>772</v>
      </c>
      <c r="N57" s="89" t="s">
        <v>242</v>
      </c>
      <c r="O57" s="88">
        <v>15.171448034211274</v>
      </c>
      <c r="P57" s="87" t="s">
        <v>241</v>
      </c>
      <c r="Q57" s="83">
        <v>0.65</v>
      </c>
      <c r="R57" s="83"/>
    </row>
    <row r="58" spans="13:18" ht="29.25" x14ac:dyDescent="0.25">
      <c r="M58" t="s">
        <v>773</v>
      </c>
      <c r="N58" s="89" t="s">
        <v>240</v>
      </c>
      <c r="O58" s="88">
        <v>23.51128561299344</v>
      </c>
      <c r="P58" s="87"/>
      <c r="Q58" s="83">
        <v>0.05</v>
      </c>
      <c r="R58" s="83">
        <v>2.5000000000000001E-2</v>
      </c>
    </row>
    <row r="59" spans="13:18" ht="29.25" x14ac:dyDescent="0.25">
      <c r="M59" t="s">
        <v>773</v>
      </c>
      <c r="N59" s="89" t="s">
        <v>239</v>
      </c>
      <c r="O59" s="88">
        <v>22.539505449833641</v>
      </c>
      <c r="P59" s="87"/>
      <c r="Q59" s="83">
        <v>0.05</v>
      </c>
      <c r="R59" s="83">
        <v>2.5000000000000001E-2</v>
      </c>
    </row>
    <row r="60" spans="13:18" x14ac:dyDescent="0.25">
      <c r="M60" t="s">
        <v>774</v>
      </c>
      <c r="N60" s="89" t="s">
        <v>238</v>
      </c>
      <c r="O60" s="88">
        <v>6.4219821181911847</v>
      </c>
      <c r="P60" s="87"/>
      <c r="Q60" s="83">
        <v>0.55000000000000004</v>
      </c>
      <c r="R60" s="83">
        <v>0.6</v>
      </c>
    </row>
    <row r="61" spans="13:18" x14ac:dyDescent="0.25">
      <c r="M61" t="s">
        <v>774</v>
      </c>
      <c r="N61" s="89" t="s">
        <v>237</v>
      </c>
      <c r="O61" s="88">
        <v>7.0984535868483984</v>
      </c>
      <c r="P61" s="87"/>
      <c r="Q61" s="83">
        <v>0.55000000000000004</v>
      </c>
      <c r="R61" s="83">
        <v>0.6</v>
      </c>
    </row>
    <row r="62" spans="13:18" x14ac:dyDescent="0.25">
      <c r="M62" t="s">
        <v>774</v>
      </c>
      <c r="N62" s="89" t="s">
        <v>236</v>
      </c>
      <c r="O62" s="88">
        <v>6.3061066684273506</v>
      </c>
      <c r="P62" s="87"/>
      <c r="Q62" s="83">
        <v>0.55000000000000004</v>
      </c>
      <c r="R62" s="83">
        <v>0.6</v>
      </c>
    </row>
    <row r="63" spans="13:18" x14ac:dyDescent="0.25">
      <c r="M63" t="s">
        <v>774</v>
      </c>
      <c r="N63" s="89" t="s">
        <v>235</v>
      </c>
      <c r="O63" s="88">
        <v>5.4920848515465295</v>
      </c>
      <c r="P63" s="87"/>
      <c r="Q63" s="83">
        <v>0.55000000000000004</v>
      </c>
      <c r="R63" s="83">
        <v>0.6</v>
      </c>
    </row>
    <row r="64" spans="13:18" x14ac:dyDescent="0.25">
      <c r="M64" t="s">
        <v>775</v>
      </c>
      <c r="N64" s="89" t="s">
        <v>234</v>
      </c>
      <c r="O64" s="88">
        <v>10.872416206385498</v>
      </c>
      <c r="P64" s="87"/>
      <c r="Q64" s="83">
        <v>0.45</v>
      </c>
      <c r="R64" s="83">
        <v>0.3</v>
      </c>
    </row>
    <row r="65" spans="13:18" x14ac:dyDescent="0.25">
      <c r="M65" t="s">
        <v>775</v>
      </c>
      <c r="N65" s="89" t="s">
        <v>233</v>
      </c>
      <c r="O65" s="88">
        <v>11.471383465425465</v>
      </c>
      <c r="P65" s="87"/>
      <c r="Q65" s="83">
        <v>0.45</v>
      </c>
      <c r="R65" s="83">
        <v>0.3</v>
      </c>
    </row>
    <row r="66" spans="13:18" x14ac:dyDescent="0.25">
      <c r="M66" t="s">
        <v>776</v>
      </c>
      <c r="N66" s="89" t="s">
        <v>232</v>
      </c>
      <c r="O66" s="88">
        <v>13.426176599796008</v>
      </c>
      <c r="P66" s="87"/>
      <c r="Q66" s="83">
        <v>0.45</v>
      </c>
      <c r="R66" s="83">
        <v>0.3</v>
      </c>
    </row>
    <row r="67" spans="13:18" ht="29.25" x14ac:dyDescent="0.25">
      <c r="M67" t="s">
        <v>777</v>
      </c>
      <c r="N67" s="89" t="s">
        <v>231</v>
      </c>
      <c r="O67" s="88">
        <v>11.437329607423028</v>
      </c>
      <c r="P67" s="87"/>
      <c r="Q67" s="83">
        <v>0.9</v>
      </c>
      <c r="R67" s="83">
        <v>0.8</v>
      </c>
    </row>
    <row r="68" spans="13:18" ht="29.25" x14ac:dyDescent="0.25">
      <c r="M68" t="s">
        <v>777</v>
      </c>
      <c r="N68" s="89" t="s">
        <v>230</v>
      </c>
      <c r="O68" s="88">
        <v>11.893125927632532</v>
      </c>
      <c r="P68" s="87"/>
      <c r="Q68" s="83">
        <v>0.9</v>
      </c>
      <c r="R68" s="83">
        <v>0.8</v>
      </c>
    </row>
    <row r="69" spans="13:18" ht="29.25" x14ac:dyDescent="0.25">
      <c r="M69" t="s">
        <v>777</v>
      </c>
      <c r="N69" s="89" t="s">
        <v>229</v>
      </c>
      <c r="O69" s="88">
        <v>12.986751043779471</v>
      </c>
      <c r="P69" s="87"/>
      <c r="Q69" s="83">
        <v>0.9</v>
      </c>
      <c r="R69" s="83">
        <v>0.8</v>
      </c>
    </row>
    <row r="70" spans="13:18" ht="29.25" x14ac:dyDescent="0.25">
      <c r="M70" t="s">
        <v>777</v>
      </c>
      <c r="N70" s="89" t="s">
        <v>228</v>
      </c>
      <c r="O70" s="88">
        <v>14.843179397140496</v>
      </c>
      <c r="P70" s="87"/>
      <c r="Q70" s="83">
        <v>0.9</v>
      </c>
      <c r="R70" s="83">
        <v>0.8</v>
      </c>
    </row>
    <row r="71" spans="13:18" ht="29.25" x14ac:dyDescent="0.25">
      <c r="M71" t="s">
        <v>777</v>
      </c>
      <c r="N71" s="89" t="s">
        <v>227</v>
      </c>
      <c r="O71" s="88">
        <v>14.183016008705435</v>
      </c>
      <c r="P71" s="87"/>
      <c r="Q71" s="83">
        <v>0.9</v>
      </c>
      <c r="R71" s="83">
        <v>0.8</v>
      </c>
    </row>
    <row r="72" spans="13:18" ht="29.25" x14ac:dyDescent="0.25">
      <c r="M72" t="s">
        <v>778</v>
      </c>
      <c r="N72" s="89" t="s">
        <v>226</v>
      </c>
      <c r="O72" s="88">
        <v>15.822870619579872</v>
      </c>
      <c r="P72" s="87" t="s">
        <v>222</v>
      </c>
      <c r="Q72" s="83">
        <v>0.77500000000000002</v>
      </c>
      <c r="R72" s="83">
        <v>0.7</v>
      </c>
    </row>
    <row r="73" spans="13:18" ht="29.25" x14ac:dyDescent="0.25">
      <c r="M73" t="s">
        <v>778</v>
      </c>
      <c r="N73" s="89" t="s">
        <v>225</v>
      </c>
      <c r="O73" s="88">
        <v>14.591672365799761</v>
      </c>
      <c r="P73" s="87" t="s">
        <v>222</v>
      </c>
      <c r="Q73" s="83">
        <v>0.77500000000000002</v>
      </c>
      <c r="R73" s="83">
        <v>0.7</v>
      </c>
    </row>
    <row r="74" spans="13:18" ht="29.25" x14ac:dyDescent="0.25">
      <c r="M74" t="s">
        <v>778</v>
      </c>
      <c r="N74" s="89" t="s">
        <v>224</v>
      </c>
      <c r="O74" s="88">
        <v>17.11214255185461</v>
      </c>
      <c r="P74" s="87" t="s">
        <v>222</v>
      </c>
      <c r="Q74" s="83">
        <v>0.77500000000000002</v>
      </c>
      <c r="R74" s="83">
        <v>0.7</v>
      </c>
    </row>
    <row r="75" spans="13:18" ht="29.25" x14ac:dyDescent="0.25">
      <c r="M75" t="s">
        <v>778</v>
      </c>
      <c r="N75" s="89" t="s">
        <v>223</v>
      </c>
      <c r="O75" s="88">
        <v>15.325804741807037</v>
      </c>
      <c r="P75" s="87" t="s">
        <v>222</v>
      </c>
      <c r="Q75" s="83">
        <v>0.77500000000000002</v>
      </c>
      <c r="R75" s="83">
        <v>0.7</v>
      </c>
    </row>
    <row r="76" spans="13:18" x14ac:dyDescent="0.25">
      <c r="M76" t="s">
        <v>779</v>
      </c>
      <c r="N76" s="89" t="s">
        <v>221</v>
      </c>
      <c r="O76" s="88">
        <v>13.775305575978827</v>
      </c>
      <c r="P76" s="87" t="s">
        <v>213</v>
      </c>
      <c r="Q76" s="83">
        <v>0.9</v>
      </c>
      <c r="R76" s="83">
        <v>0.7</v>
      </c>
    </row>
    <row r="77" spans="13:18" x14ac:dyDescent="0.25">
      <c r="M77" t="s">
        <v>779</v>
      </c>
      <c r="N77" s="89" t="s">
        <v>220</v>
      </c>
      <c r="O77" s="88">
        <v>13.332854461463029</v>
      </c>
      <c r="P77" s="87" t="s">
        <v>213</v>
      </c>
      <c r="Q77" s="83">
        <v>0.9</v>
      </c>
      <c r="R77" s="83">
        <v>0.7</v>
      </c>
    </row>
    <row r="78" spans="13:18" x14ac:dyDescent="0.25">
      <c r="M78" t="s">
        <v>779</v>
      </c>
      <c r="N78" s="89" t="s">
        <v>219</v>
      </c>
      <c r="O78" s="88">
        <v>13.706646432916031</v>
      </c>
      <c r="P78" s="87" t="s">
        <v>213</v>
      </c>
      <c r="Q78" s="83">
        <v>0.9</v>
      </c>
      <c r="R78" s="83">
        <v>0.7</v>
      </c>
    </row>
    <row r="79" spans="13:18" x14ac:dyDescent="0.25">
      <c r="M79" t="s">
        <v>779</v>
      </c>
      <c r="N79" s="89" t="s">
        <v>218</v>
      </c>
      <c r="O79" s="88">
        <v>13.340635917832124</v>
      </c>
      <c r="P79" s="87" t="s">
        <v>213</v>
      </c>
      <c r="Q79" s="83">
        <v>0.9</v>
      </c>
      <c r="R79" s="83">
        <v>0.7</v>
      </c>
    </row>
    <row r="80" spans="13:18" x14ac:dyDescent="0.25">
      <c r="M80" t="s">
        <v>780</v>
      </c>
      <c r="N80" s="89" t="s">
        <v>217</v>
      </c>
      <c r="O80" s="88">
        <v>19.764619990239755</v>
      </c>
      <c r="P80" s="87" t="s">
        <v>213</v>
      </c>
      <c r="Q80" s="83">
        <v>0.9</v>
      </c>
      <c r="R80" s="83">
        <v>0.7</v>
      </c>
    </row>
    <row r="81" spans="13:25" x14ac:dyDescent="0.25">
      <c r="M81" t="s">
        <v>781</v>
      </c>
      <c r="N81" s="89" t="s">
        <v>216</v>
      </c>
      <c r="O81" s="88">
        <v>24.782904504219562</v>
      </c>
      <c r="P81" s="87" t="s">
        <v>213</v>
      </c>
      <c r="Q81" s="83">
        <v>0.77500000000000002</v>
      </c>
      <c r="R81" s="83">
        <v>0.7</v>
      </c>
    </row>
    <row r="82" spans="13:25" x14ac:dyDescent="0.25">
      <c r="M82" t="s">
        <v>782</v>
      </c>
      <c r="N82" s="89" t="s">
        <v>215</v>
      </c>
      <c r="O82" s="88">
        <v>22.254581855692752</v>
      </c>
      <c r="P82" s="87" t="s">
        <v>213</v>
      </c>
      <c r="Q82" s="83">
        <v>0.9</v>
      </c>
      <c r="R82" s="83">
        <v>0.7</v>
      </c>
    </row>
    <row r="83" spans="13:25" ht="29.25" x14ac:dyDescent="0.25">
      <c r="M83" t="s">
        <v>782</v>
      </c>
      <c r="N83" s="89" t="s">
        <v>214</v>
      </c>
      <c r="O83" s="88">
        <v>20.070060656832055</v>
      </c>
      <c r="P83" s="87" t="s">
        <v>213</v>
      </c>
      <c r="Q83" s="83">
        <v>0.9</v>
      </c>
      <c r="R83" s="83">
        <v>0.7</v>
      </c>
    </row>
    <row r="84" spans="13:25" x14ac:dyDescent="0.25">
      <c r="M84" s="86" t="s">
        <v>212</v>
      </c>
      <c r="N84" s="86" t="s">
        <v>212</v>
      </c>
      <c r="O84" s="84"/>
      <c r="P84" s="84"/>
      <c r="Q84" s="83">
        <v>0.92500000000000004</v>
      </c>
      <c r="R84" s="83">
        <v>0.72499999999999998</v>
      </c>
    </row>
    <row r="85" spans="13:25" x14ac:dyDescent="0.25">
      <c r="M85" s="84" t="s">
        <v>211</v>
      </c>
      <c r="N85" s="84" t="s">
        <v>211</v>
      </c>
      <c r="O85" s="84"/>
      <c r="P85" s="84"/>
      <c r="Q85" s="83">
        <v>0.8</v>
      </c>
      <c r="R85" s="84"/>
    </row>
    <row r="86" spans="13:25" x14ac:dyDescent="0.25">
      <c r="M86" s="84" t="s">
        <v>210</v>
      </c>
      <c r="N86" s="84" t="s">
        <v>210</v>
      </c>
      <c r="O86" s="84"/>
      <c r="P86" s="84"/>
      <c r="Q86" s="83">
        <v>0.9</v>
      </c>
      <c r="R86" s="83">
        <v>0.82499999999999996</v>
      </c>
    </row>
    <row r="87" spans="13:25" ht="29.25" x14ac:dyDescent="0.25">
      <c r="M87" s="85" t="s">
        <v>209</v>
      </c>
      <c r="N87" s="85" t="s">
        <v>209</v>
      </c>
      <c r="O87" s="84"/>
      <c r="P87" s="84"/>
      <c r="Q87" s="84"/>
      <c r="R87" s="83">
        <v>0.57499999999999996</v>
      </c>
    </row>
    <row r="89" spans="13:25" x14ac:dyDescent="0.25">
      <c r="X89" t="s">
        <v>1128</v>
      </c>
    </row>
    <row r="90" spans="13:25" x14ac:dyDescent="0.25">
      <c r="T90" t="s">
        <v>783</v>
      </c>
      <c r="U90" s="90" t="s">
        <v>785</v>
      </c>
      <c r="V90" t="s">
        <v>252</v>
      </c>
      <c r="W90" t="s">
        <v>251</v>
      </c>
      <c r="X90" t="s">
        <v>252</v>
      </c>
      <c r="Y90" t="s">
        <v>251</v>
      </c>
    </row>
    <row r="91" spans="13:25" x14ac:dyDescent="0.25">
      <c r="T91" t="s">
        <v>771</v>
      </c>
      <c r="U91" s="87" t="s">
        <v>250</v>
      </c>
      <c r="V91" s="83">
        <v>0.77500000000000002</v>
      </c>
      <c r="W91" s="83">
        <v>0.55000000000000004</v>
      </c>
    </row>
    <row r="92" spans="13:25" x14ac:dyDescent="0.25">
      <c r="T92" t="s">
        <v>771</v>
      </c>
      <c r="U92" s="87" t="s">
        <v>249</v>
      </c>
      <c r="V92" s="83">
        <v>0.7</v>
      </c>
      <c r="W92" s="83">
        <v>0.5</v>
      </c>
    </row>
    <row r="93" spans="13:25" x14ac:dyDescent="0.25">
      <c r="T93" t="s">
        <v>771</v>
      </c>
      <c r="U93" s="87" t="s">
        <v>244</v>
      </c>
      <c r="V93" s="83">
        <v>0.6</v>
      </c>
      <c r="W93" s="83">
        <v>0.35</v>
      </c>
    </row>
    <row r="94" spans="13:25" x14ac:dyDescent="0.25">
      <c r="T94" t="s">
        <v>772</v>
      </c>
      <c r="U94" s="87" t="s">
        <v>241</v>
      </c>
      <c r="V94" s="83">
        <v>0.65</v>
      </c>
      <c r="W94" s="83"/>
    </row>
    <row r="95" spans="13:25" x14ac:dyDescent="0.25">
      <c r="T95" t="s">
        <v>773</v>
      </c>
      <c r="U95" s="87"/>
      <c r="V95" s="83">
        <v>0.05</v>
      </c>
      <c r="W95" s="83">
        <v>2.5000000000000001E-2</v>
      </c>
    </row>
    <row r="96" spans="13:25" x14ac:dyDescent="0.25">
      <c r="T96" t="s">
        <v>774</v>
      </c>
      <c r="U96" s="87"/>
      <c r="V96" s="83">
        <v>0.55000000000000004</v>
      </c>
      <c r="W96" s="83">
        <v>0.6</v>
      </c>
    </row>
    <row r="97" spans="20:25" x14ac:dyDescent="0.25">
      <c r="T97" t="s">
        <v>775</v>
      </c>
      <c r="U97" s="87"/>
      <c r="V97" s="83">
        <v>0.45</v>
      </c>
      <c r="W97" s="83">
        <v>0.3</v>
      </c>
    </row>
    <row r="98" spans="20:25" x14ac:dyDescent="0.25">
      <c r="T98" t="s">
        <v>776</v>
      </c>
      <c r="U98" s="87"/>
      <c r="V98" s="83">
        <v>0.45</v>
      </c>
      <c r="W98" s="83">
        <v>0.3</v>
      </c>
    </row>
    <row r="99" spans="20:25" x14ac:dyDescent="0.25">
      <c r="T99" t="s">
        <v>777</v>
      </c>
      <c r="U99" s="87"/>
      <c r="V99" s="83">
        <v>0.9</v>
      </c>
      <c r="W99" s="83">
        <v>0.8</v>
      </c>
    </row>
    <row r="100" spans="20:25" x14ac:dyDescent="0.25">
      <c r="T100" t="s">
        <v>778</v>
      </c>
      <c r="U100" s="87" t="s">
        <v>222</v>
      </c>
      <c r="V100" s="83">
        <v>0.77500000000000002</v>
      </c>
      <c r="W100" s="83">
        <v>0.7</v>
      </c>
    </row>
    <row r="101" spans="20:25" x14ac:dyDescent="0.25">
      <c r="T101" t="s">
        <v>779</v>
      </c>
      <c r="U101" s="87" t="s">
        <v>213</v>
      </c>
      <c r="V101" s="83">
        <v>0.9</v>
      </c>
      <c r="W101" s="83">
        <v>0.7</v>
      </c>
    </row>
    <row r="102" spans="20:25" x14ac:dyDescent="0.25">
      <c r="T102" t="s">
        <v>780</v>
      </c>
      <c r="U102" s="87" t="s">
        <v>213</v>
      </c>
      <c r="V102" s="83">
        <v>0.9</v>
      </c>
      <c r="W102" s="83">
        <v>0.7</v>
      </c>
    </row>
    <row r="103" spans="20:25" x14ac:dyDescent="0.25">
      <c r="T103" t="s">
        <v>781</v>
      </c>
      <c r="U103" s="87" t="s">
        <v>213</v>
      </c>
      <c r="V103" s="83">
        <v>0.77500000000000002</v>
      </c>
      <c r="W103" s="83">
        <v>0.7</v>
      </c>
    </row>
    <row r="104" spans="20:25" x14ac:dyDescent="0.25">
      <c r="T104" t="s">
        <v>782</v>
      </c>
      <c r="U104" s="87" t="s">
        <v>213</v>
      </c>
      <c r="V104" s="83">
        <v>0.9</v>
      </c>
      <c r="W104" s="83">
        <v>0.7</v>
      </c>
    </row>
    <row r="105" spans="20:25" x14ac:dyDescent="0.25">
      <c r="T105" s="85" t="s">
        <v>212</v>
      </c>
      <c r="U105" s="84"/>
      <c r="V105" s="83">
        <v>0.92500000000000004</v>
      </c>
      <c r="W105" s="83">
        <v>0.72499999999999998</v>
      </c>
      <c r="Y105" s="83">
        <v>0.875</v>
      </c>
    </row>
    <row r="106" spans="20:25" x14ac:dyDescent="0.25">
      <c r="T106" s="84" t="s">
        <v>211</v>
      </c>
      <c r="U106" s="84"/>
      <c r="V106" s="83">
        <v>0.8</v>
      </c>
      <c r="W106" s="84"/>
      <c r="X106" s="12">
        <v>1</v>
      </c>
    </row>
    <row r="107" spans="20:25" x14ac:dyDescent="0.25">
      <c r="T107" s="84" t="s">
        <v>210</v>
      </c>
      <c r="U107" s="84"/>
      <c r="V107" s="83">
        <v>0.9</v>
      </c>
      <c r="W107" s="83">
        <v>0.82499999999999996</v>
      </c>
      <c r="X107" s="83">
        <v>0.95</v>
      </c>
    </row>
    <row r="108" spans="20:25" x14ac:dyDescent="0.25">
      <c r="T108" s="85" t="s">
        <v>209</v>
      </c>
      <c r="U108" s="84"/>
      <c r="V108" s="84"/>
      <c r="W108" s="83">
        <v>0.57499999999999996</v>
      </c>
    </row>
    <row r="134" ht="20.25" customHeight="1" x14ac:dyDescent="0.25"/>
  </sheetData>
  <sheetProtection algorithmName="SHA-512" hashValue="rq1FpG6tJ7S+/LpOu07gGEBCL0KqJxoDK7JVCxoRg9yw771Fx75+cavjfdBriavJcFVwkmDUl11qm18q71p7Ww==" saltValue="ZekzzchWIUKZRRykRgzq2g==" spinCount="100000" sheet="1" objects="1" scenarios="1"/>
  <conditionalFormatting sqref="N48:N51">
    <cfRule type="containsText" dxfId="19" priority="10" stopIfTrue="1" operator="containsText" text="Tillage">
      <formula>NOT(ISERROR(SEARCH("Tillage",N48)))</formula>
    </cfRule>
    <cfRule type="containsText" dxfId="18" priority="11" stopIfTrue="1" operator="containsText" text="Planting">
      <formula>NOT(ISERROR(SEARCH("Planting",N48)))</formula>
    </cfRule>
    <cfRule type="expression" dxfId="17" priority="12" stopIfTrue="1">
      <formula>LEFT(N48,7)="Harvest"</formula>
    </cfRule>
  </conditionalFormatting>
  <conditionalFormatting sqref="N52:N55">
    <cfRule type="containsText" dxfId="16" priority="7" stopIfTrue="1" operator="containsText" text="Tillage">
      <formula>NOT(ISERROR(SEARCH("Tillage",N52)))</formula>
    </cfRule>
    <cfRule type="containsText" dxfId="15" priority="8" stopIfTrue="1" operator="containsText" text="Planting">
      <formula>NOT(ISERROR(SEARCH("Planting",N52)))</formula>
    </cfRule>
    <cfRule type="expression" dxfId="14" priority="9" stopIfTrue="1">
      <formula>LEFT(N52,7)="Harvest"</formula>
    </cfRule>
  </conditionalFormatting>
  <dataValidations count="2">
    <dataValidation type="list" allowBlank="1" showInputMessage="1" showErrorMessage="1" sqref="A23:A32 F23:F32 A7:A16">
      <formula1>$A$7:$A$52</formula1>
    </dataValidation>
    <dataValidation type="list" allowBlank="1" showInputMessage="1" showErrorMessage="1" sqref="F7:F16">
      <formula1>$N$44:$N$87</formula1>
    </dataValidation>
  </dataValidations>
  <pageMargins left="0.7" right="0.7" top="0.75" bottom="0.75" header="0.3" footer="0.3"/>
  <pageSetup orientation="portrait" r:id="rId1"/>
  <drawing r:id="rId2"/>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9"/>
  <dimension ref="A1:AS33"/>
  <sheetViews>
    <sheetView workbookViewId="0">
      <selection activeCell="B24" sqref="B24"/>
    </sheetView>
  </sheetViews>
  <sheetFormatPr defaultRowHeight="15" x14ac:dyDescent="0.25"/>
  <cols>
    <col min="1" max="1" width="39.28515625" customWidth="1"/>
    <col min="2" max="2" width="20.85546875" bestFit="1" customWidth="1"/>
    <col min="3" max="3" width="11.5703125" bestFit="1" customWidth="1"/>
    <col min="4" max="9" width="13.28515625" bestFit="1" customWidth="1"/>
    <col min="10" max="10" width="11.5703125" bestFit="1" customWidth="1"/>
    <col min="11" max="13" width="13.28515625" bestFit="1" customWidth="1"/>
    <col min="14" max="14" width="11.5703125" bestFit="1" customWidth="1"/>
    <col min="15" max="15" width="13.28515625" bestFit="1" customWidth="1"/>
    <col min="16" max="18" width="11.5703125" bestFit="1" customWidth="1"/>
    <col min="19" max="21" width="13.28515625" bestFit="1" customWidth="1"/>
    <col min="22" max="22" width="10.5703125" bestFit="1" customWidth="1"/>
    <col min="23" max="25" width="11.5703125" bestFit="1" customWidth="1"/>
    <col min="26" max="28" width="13.28515625" bestFit="1" customWidth="1"/>
    <col min="29" max="32" width="11.5703125" bestFit="1" customWidth="1"/>
    <col min="33" max="33" width="10.5703125" bestFit="1" customWidth="1"/>
    <col min="34" max="34" width="13.28515625" bestFit="1" customWidth="1"/>
    <col min="35" max="37" width="11.5703125" bestFit="1" customWidth="1"/>
    <col min="38" max="38" width="13.28515625" bestFit="1" customWidth="1"/>
    <col min="39" max="39" width="11.5703125" bestFit="1" customWidth="1"/>
    <col min="40" max="40" width="13.28515625" bestFit="1" customWidth="1"/>
    <col min="41" max="41" width="14.28515625" customWidth="1"/>
  </cols>
  <sheetData>
    <row r="1" spans="1:41" x14ac:dyDescent="0.25">
      <c r="A1" s="21" t="s">
        <v>61</v>
      </c>
      <c r="B1" s="21">
        <v>1</v>
      </c>
      <c r="C1" s="21">
        <v>2</v>
      </c>
      <c r="D1" s="21">
        <v>3</v>
      </c>
      <c r="E1" s="21">
        <v>4</v>
      </c>
      <c r="F1" s="21">
        <v>5</v>
      </c>
      <c r="G1" s="21">
        <v>6</v>
      </c>
      <c r="H1" s="21">
        <v>7</v>
      </c>
      <c r="I1" s="21">
        <v>8</v>
      </c>
      <c r="J1" s="21">
        <v>9</v>
      </c>
      <c r="K1" s="21">
        <v>10</v>
      </c>
      <c r="L1" s="21">
        <v>11</v>
      </c>
      <c r="M1" s="21">
        <v>12</v>
      </c>
      <c r="N1" s="21">
        <v>13</v>
      </c>
      <c r="O1" s="21">
        <v>14</v>
      </c>
      <c r="P1" s="21">
        <v>15</v>
      </c>
      <c r="Q1" s="21">
        <v>16</v>
      </c>
      <c r="R1" s="21">
        <v>17</v>
      </c>
      <c r="S1" s="21">
        <v>18</v>
      </c>
      <c r="T1" s="21">
        <v>19</v>
      </c>
      <c r="U1" s="21">
        <v>20</v>
      </c>
      <c r="V1" s="21">
        <v>21</v>
      </c>
      <c r="W1" s="21">
        <v>22</v>
      </c>
      <c r="X1" s="21">
        <v>23</v>
      </c>
      <c r="Y1" s="21">
        <v>24</v>
      </c>
      <c r="Z1" s="21">
        <v>25</v>
      </c>
      <c r="AA1" s="21">
        <v>26</v>
      </c>
      <c r="AB1" s="21">
        <v>27</v>
      </c>
      <c r="AC1" s="21">
        <v>28</v>
      </c>
      <c r="AD1" s="21">
        <v>29</v>
      </c>
      <c r="AE1" s="21">
        <v>30</v>
      </c>
      <c r="AF1" s="21">
        <v>31</v>
      </c>
      <c r="AG1" s="21">
        <v>32</v>
      </c>
      <c r="AH1" s="21">
        <v>33</v>
      </c>
      <c r="AI1" s="21">
        <v>34</v>
      </c>
      <c r="AJ1" s="21">
        <v>35</v>
      </c>
      <c r="AK1" s="21">
        <v>36</v>
      </c>
      <c r="AL1" s="21">
        <v>37</v>
      </c>
      <c r="AM1" s="21">
        <v>38</v>
      </c>
      <c r="AN1" s="21">
        <v>39</v>
      </c>
    </row>
    <row r="2" spans="1:41" s="32" customFormat="1" ht="60" x14ac:dyDescent="0.25">
      <c r="A2" s="32" t="s">
        <v>111</v>
      </c>
      <c r="B2" s="32" t="s">
        <v>60</v>
      </c>
      <c r="C2" s="32" t="s">
        <v>59</v>
      </c>
      <c r="D2" s="32" t="s">
        <v>58</v>
      </c>
      <c r="E2" s="32" t="s">
        <v>57</v>
      </c>
      <c r="F2" s="32" t="s">
        <v>56</v>
      </c>
      <c r="G2" s="32" t="s">
        <v>55</v>
      </c>
      <c r="H2" s="32" t="s">
        <v>54</v>
      </c>
      <c r="I2" s="32" t="s">
        <v>53</v>
      </c>
      <c r="J2" s="32" t="s">
        <v>52</v>
      </c>
      <c r="K2" s="32" t="s">
        <v>51</v>
      </c>
      <c r="L2" s="32" t="s">
        <v>50</v>
      </c>
      <c r="M2" s="32" t="s">
        <v>49</v>
      </c>
      <c r="N2" s="32" t="s">
        <v>48</v>
      </c>
      <c r="O2" s="32" t="s">
        <v>47</v>
      </c>
      <c r="P2" s="32" t="s">
        <v>46</v>
      </c>
      <c r="Q2" s="32" t="s">
        <v>45</v>
      </c>
      <c r="R2" s="32" t="s">
        <v>44</v>
      </c>
      <c r="S2" s="32" t="s">
        <v>43</v>
      </c>
      <c r="T2" s="32" t="s">
        <v>42</v>
      </c>
      <c r="U2" s="32" t="s">
        <v>41</v>
      </c>
      <c r="V2" s="32" t="s">
        <v>40</v>
      </c>
      <c r="W2" s="32" t="s">
        <v>39</v>
      </c>
      <c r="X2" s="32" t="s">
        <v>38</v>
      </c>
      <c r="Y2" s="32" t="s">
        <v>37</v>
      </c>
      <c r="Z2" s="32" t="s">
        <v>36</v>
      </c>
      <c r="AA2" s="32" t="s">
        <v>35</v>
      </c>
      <c r="AB2" s="32" t="s">
        <v>34</v>
      </c>
      <c r="AC2" s="32" t="s">
        <v>33</v>
      </c>
      <c r="AD2" s="32" t="s">
        <v>32</v>
      </c>
      <c r="AE2" s="32" t="s">
        <v>31</v>
      </c>
      <c r="AF2" s="32" t="s">
        <v>30</v>
      </c>
      <c r="AG2" s="32" t="s">
        <v>29</v>
      </c>
      <c r="AH2" s="32" t="s">
        <v>28</v>
      </c>
      <c r="AI2" s="32" t="s">
        <v>27</v>
      </c>
      <c r="AJ2" s="32" t="s">
        <v>26</v>
      </c>
      <c r="AK2" s="32" t="s">
        <v>25</v>
      </c>
      <c r="AL2" s="32" t="s">
        <v>24</v>
      </c>
      <c r="AM2" s="32" t="s">
        <v>23</v>
      </c>
      <c r="AN2" s="32" t="s">
        <v>22</v>
      </c>
    </row>
    <row r="3" spans="1:41" x14ac:dyDescent="0.25">
      <c r="A3" s="21" t="str">
        <f>INDEX(watershed_list,Main!B7)</f>
        <v>Statewide</v>
      </c>
      <c r="B3" s="22">
        <f>Watersheds!B122</f>
        <v>1</v>
      </c>
      <c r="C3" s="22">
        <f>Watersheds!C122</f>
        <v>1</v>
      </c>
      <c r="D3" s="22">
        <f>Watersheds!D122</f>
        <v>1</v>
      </c>
      <c r="E3" s="22">
        <f>Watersheds!E122</f>
        <v>1</v>
      </c>
      <c r="F3" s="22">
        <f>Watersheds!F122</f>
        <v>1</v>
      </c>
      <c r="G3" s="22">
        <f>Watersheds!G122</f>
        <v>1</v>
      </c>
      <c r="H3" s="22">
        <f>Watersheds!H122</f>
        <v>1</v>
      </c>
      <c r="I3" s="22">
        <f>Watersheds!I122</f>
        <v>1</v>
      </c>
      <c r="J3" s="22">
        <f>Watersheds!J122</f>
        <v>1</v>
      </c>
      <c r="K3" s="22">
        <f>Watersheds!K122</f>
        <v>1</v>
      </c>
      <c r="L3" s="22">
        <f>Watersheds!L122</f>
        <v>1</v>
      </c>
      <c r="M3" s="22">
        <f>Watersheds!M122</f>
        <v>1</v>
      </c>
      <c r="N3" s="22">
        <f>Watersheds!N122</f>
        <v>1</v>
      </c>
      <c r="O3" s="22">
        <f>Watersheds!O122</f>
        <v>1</v>
      </c>
      <c r="P3" s="22">
        <f>Watersheds!P122</f>
        <v>1</v>
      </c>
      <c r="Q3" s="22">
        <f>Watersheds!Q122</f>
        <v>1</v>
      </c>
      <c r="R3" s="22">
        <f>Watersheds!R122</f>
        <v>1</v>
      </c>
      <c r="S3" s="22">
        <f>Watersheds!S122</f>
        <v>1</v>
      </c>
      <c r="T3" s="22">
        <f>Watersheds!T122</f>
        <v>1</v>
      </c>
      <c r="U3" s="22">
        <f>Watersheds!U122</f>
        <v>1</v>
      </c>
      <c r="V3" s="22">
        <f>Watersheds!V122</f>
        <v>1</v>
      </c>
      <c r="W3" s="22">
        <f>Watersheds!W122</f>
        <v>1</v>
      </c>
      <c r="X3" s="22">
        <f>Watersheds!X122</f>
        <v>1</v>
      </c>
      <c r="Y3" s="22">
        <f>Watersheds!Y122</f>
        <v>1</v>
      </c>
      <c r="Z3" s="22">
        <f>Watersheds!Z122</f>
        <v>1</v>
      </c>
      <c r="AA3" s="22">
        <f>Watersheds!AA122</f>
        <v>1</v>
      </c>
      <c r="AB3" s="22">
        <f>Watersheds!AB122</f>
        <v>1</v>
      </c>
      <c r="AC3" s="22">
        <f>Watersheds!AC122</f>
        <v>1</v>
      </c>
      <c r="AD3" s="22">
        <f>Watersheds!AD122</f>
        <v>1</v>
      </c>
      <c r="AE3" s="22">
        <f>Watersheds!AE122</f>
        <v>1</v>
      </c>
      <c r="AF3" s="22">
        <f>Watersheds!AF122</f>
        <v>1</v>
      </c>
      <c r="AG3" s="22">
        <f>Watersheds!AG122</f>
        <v>1</v>
      </c>
      <c r="AH3" s="22">
        <f>Watersheds!AH122</f>
        <v>1</v>
      </c>
      <c r="AI3" s="22">
        <f>Watersheds!AI122</f>
        <v>1</v>
      </c>
      <c r="AJ3" s="22">
        <f>Watersheds!AJ122</f>
        <v>1</v>
      </c>
      <c r="AK3" s="22">
        <f>Watersheds!AK122</f>
        <v>1</v>
      </c>
      <c r="AL3" s="22">
        <f>Watersheds!AL122</f>
        <v>1</v>
      </c>
      <c r="AM3" s="22">
        <f>Watersheds!AM122</f>
        <v>1</v>
      </c>
      <c r="AN3" s="22">
        <f>Watersheds!AN122</f>
        <v>1</v>
      </c>
    </row>
    <row r="4" spans="1:41" s="49" customFormat="1" x14ac:dyDescent="0.25">
      <c r="A4" s="51" t="s">
        <v>271</v>
      </c>
      <c r="B4" s="267">
        <f>Watersheds!B128*C_Drain!B3</f>
        <v>146123.07798500001</v>
      </c>
      <c r="C4" s="267">
        <f>Watersheds!C128*C_Drain!C3</f>
        <v>7422.4331249999996</v>
      </c>
      <c r="D4" s="267">
        <f>Watersheds!D128*C_Drain!D3</f>
        <v>625.37473999999997</v>
      </c>
      <c r="E4" s="267">
        <f>Watersheds!E128*C_Drain!E3</f>
        <v>42368.249055</v>
      </c>
      <c r="F4" s="267">
        <f>Watersheds!F128*C_Drain!F3</f>
        <v>82527.670970000006</v>
      </c>
      <c r="G4" s="267">
        <f>Watersheds!G128*C_Drain!G3</f>
        <v>6.0046650000000001</v>
      </c>
      <c r="H4" s="267">
        <f>Watersheds!H128*C_Drain!H3</f>
        <v>32171.438305</v>
      </c>
      <c r="I4" s="267">
        <f>Watersheds!I128*C_Drain!I3</f>
        <v>273552.96664</v>
      </c>
      <c r="J4" s="267">
        <f>Watersheds!J128*C_Drain!J3</f>
        <v>93554.237464999998</v>
      </c>
      <c r="K4" s="267">
        <f>Watersheds!K128*C_Drain!K3</f>
        <v>0</v>
      </c>
      <c r="L4" s="267">
        <f>Watersheds!L128*C_Drain!L3</f>
        <v>14321.126025</v>
      </c>
      <c r="M4" s="267">
        <f>Watersheds!M128*C_Drain!M3</f>
        <v>679.41672500000004</v>
      </c>
      <c r="N4" s="267">
        <f>Watersheds!N128*C_Drain!N3</f>
        <v>26694.294245000001</v>
      </c>
      <c r="O4" s="267">
        <f>Watersheds!O128*C_Drain!O3</f>
        <v>0</v>
      </c>
      <c r="P4" s="267">
        <f>Watersheds!P128*C_Drain!P3</f>
        <v>36189.671165</v>
      </c>
      <c r="Q4" s="267">
        <f>Watersheds!Q128*C_Drain!Q3</f>
        <v>53103.700494999997</v>
      </c>
      <c r="R4" s="267">
        <f>Watersheds!R128*C_Drain!R3</f>
        <v>8.4510100000000001</v>
      </c>
      <c r="S4" s="267">
        <f>Watersheds!S128*C_Drain!S3</f>
        <v>2419.4352050000002</v>
      </c>
      <c r="T4" s="267">
        <f>Watersheds!T128*C_Drain!T3</f>
        <v>33.804040000000001</v>
      </c>
      <c r="U4" s="267">
        <f>Watersheds!U128*C_Drain!U3</f>
        <v>32857.082090000004</v>
      </c>
      <c r="V4" s="267">
        <f>Watersheds!V128*C_Drain!V3</f>
        <v>18709.20177</v>
      </c>
      <c r="W4" s="267">
        <f>Watersheds!W128*C_Drain!W3</f>
        <v>0</v>
      </c>
      <c r="X4" s="267">
        <f>Watersheds!X128*C_Drain!X3</f>
        <v>26666.494869999999</v>
      </c>
      <c r="Y4" s="267">
        <f>Watersheds!Y128*C_Drain!Y3</f>
        <v>2201.4881049999999</v>
      </c>
      <c r="Z4" s="267">
        <f>Watersheds!Z128*C_Drain!Z3</f>
        <v>156930.14061500001</v>
      </c>
      <c r="AA4" s="267">
        <f>Watersheds!AA128*C_Drain!AA3</f>
        <v>273578.31967</v>
      </c>
      <c r="AB4" s="267">
        <f>Watersheds!AB128*C_Drain!AB3</f>
        <v>31272.072925</v>
      </c>
      <c r="AC4" s="267">
        <f>Watersheds!AC128*C_Drain!AC3</f>
        <v>533.30321000000004</v>
      </c>
      <c r="AD4" s="267">
        <f>Watersheds!AD128*C_Drain!AD3</f>
        <v>5198.26073</v>
      </c>
      <c r="AE4" s="267">
        <f>Watersheds!AE128*C_Drain!AE3</f>
        <v>4009.5594550000001</v>
      </c>
      <c r="AF4" s="267">
        <f>Watersheds!AF128*C_Drain!AF3</f>
        <v>2524.4056449999998</v>
      </c>
      <c r="AG4" s="267">
        <f>Watersheds!AG128*C_Drain!AG3</f>
        <v>414.32188500000001</v>
      </c>
      <c r="AH4" s="267">
        <f>Watersheds!AH128*C_Drain!AH3</f>
        <v>192522.01402</v>
      </c>
      <c r="AI4" s="267">
        <f>Watersheds!AI128*C_Drain!AI3</f>
        <v>22762.128250000002</v>
      </c>
      <c r="AJ4" s="267">
        <f>Watersheds!AJ128*C_Drain!AJ3</f>
        <v>0</v>
      </c>
      <c r="AK4" s="267">
        <f>Watersheds!AK128*C_Drain!AK3</f>
        <v>25401.067319999998</v>
      </c>
      <c r="AL4" s="267">
        <f>Watersheds!AL128*C_Drain!AL3</f>
        <v>0</v>
      </c>
      <c r="AM4" s="267">
        <f>Watersheds!AM128*C_Drain!AM3</f>
        <v>158706.40948</v>
      </c>
      <c r="AN4" s="267">
        <f>Watersheds!AN128*C_Drain!AN3</f>
        <v>229196.50628500001</v>
      </c>
    </row>
    <row r="5" spans="1:41" s="12" customFormat="1" x14ac:dyDescent="0.25">
      <c r="A5" s="22" t="s">
        <v>527</v>
      </c>
      <c r="B5" s="266">
        <f t="shared" ref="B5:AN5" si="0">IFERROR(B4/B10,0)</f>
        <v>0.12345523646751612</v>
      </c>
      <c r="C5" s="266">
        <f t="shared" si="0"/>
        <v>7.7515031394349759E-2</v>
      </c>
      <c r="D5" s="266">
        <f t="shared" si="0"/>
        <v>1.6270406494109065E-3</v>
      </c>
      <c r="E5" s="266">
        <f t="shared" si="0"/>
        <v>8.0471588350505233E-2</v>
      </c>
      <c r="F5" s="266">
        <f t="shared" si="0"/>
        <v>7.586896427871842E-2</v>
      </c>
      <c r="G5" s="266">
        <f t="shared" si="0"/>
        <v>2.7577809863328759E-4</v>
      </c>
      <c r="H5" s="266">
        <f t="shared" si="0"/>
        <v>6.7448850279114167E-2</v>
      </c>
      <c r="I5" s="266">
        <f t="shared" si="0"/>
        <v>0.15343301964395667</v>
      </c>
      <c r="J5" s="266">
        <f t="shared" si="0"/>
        <v>0.20407548635897452</v>
      </c>
      <c r="K5" s="266">
        <f t="shared" si="0"/>
        <v>0</v>
      </c>
      <c r="L5" s="266">
        <f t="shared" si="0"/>
        <v>0.28733980572287232</v>
      </c>
      <c r="M5" s="266">
        <f t="shared" si="0"/>
        <v>2.5671392958274753E-3</v>
      </c>
      <c r="N5" s="266">
        <f t="shared" si="0"/>
        <v>3.4679921149256721E-2</v>
      </c>
      <c r="O5" s="266">
        <f t="shared" si="0"/>
        <v>0</v>
      </c>
      <c r="P5" s="266">
        <f t="shared" si="0"/>
        <v>0.14965258566527884</v>
      </c>
      <c r="Q5" s="266">
        <f t="shared" si="0"/>
        <v>0.21515652411196684</v>
      </c>
      <c r="R5" s="266">
        <f t="shared" si="0"/>
        <v>1.9718862730819407E-3</v>
      </c>
      <c r="S5" s="266">
        <f t="shared" si="0"/>
        <v>1.3573518740823035E-2</v>
      </c>
      <c r="T5" s="266">
        <f t="shared" si="0"/>
        <v>5.2042266852605759E-3</v>
      </c>
      <c r="U5" s="266">
        <f t="shared" si="0"/>
        <v>0.30891989757122884</v>
      </c>
      <c r="V5" s="266">
        <f t="shared" si="0"/>
        <v>0.29122546066512794</v>
      </c>
      <c r="W5" s="266">
        <f t="shared" si="0"/>
        <v>0</v>
      </c>
      <c r="X5" s="266">
        <f t="shared" si="0"/>
        <v>0.36684480444424011</v>
      </c>
      <c r="Y5" s="266">
        <f t="shared" si="0"/>
        <v>3.8059321268912351E-3</v>
      </c>
      <c r="Z5" s="266">
        <f t="shared" si="0"/>
        <v>9.0162686190219499E-2</v>
      </c>
      <c r="AA5" s="266">
        <f t="shared" si="0"/>
        <v>0.88108415835987119</v>
      </c>
      <c r="AB5" s="266">
        <f t="shared" si="0"/>
        <v>2.7965020023494734E-2</v>
      </c>
      <c r="AC5" s="266">
        <f t="shared" si="0"/>
        <v>1.1442287623855131E-2</v>
      </c>
      <c r="AD5" s="266">
        <f t="shared" si="0"/>
        <v>9.5483928590203382E-2</v>
      </c>
      <c r="AE5" s="266">
        <f t="shared" si="0"/>
        <v>6.1062541133591296E-2</v>
      </c>
      <c r="AF5" s="266">
        <f t="shared" si="0"/>
        <v>1.9278054917613117E-2</v>
      </c>
      <c r="AG5" s="266">
        <f t="shared" si="0"/>
        <v>1.6080296373275318E-2</v>
      </c>
      <c r="AH5" s="266">
        <f t="shared" si="0"/>
        <v>0.14360231119521688</v>
      </c>
      <c r="AI5" s="266">
        <f t="shared" si="0"/>
        <v>0.17733300806057936</v>
      </c>
      <c r="AJ5" s="266">
        <f t="shared" si="0"/>
        <v>0</v>
      </c>
      <c r="AK5" s="266">
        <f t="shared" si="0"/>
        <v>4.8613635813112732E-2</v>
      </c>
      <c r="AL5" s="266">
        <f t="shared" si="0"/>
        <v>0</v>
      </c>
      <c r="AM5" s="266">
        <f t="shared" si="0"/>
        <v>0.20089300303137825</v>
      </c>
      <c r="AN5" s="266">
        <f t="shared" si="0"/>
        <v>0.24132690325320319</v>
      </c>
    </row>
    <row r="6" spans="1:41" s="49" customFormat="1" x14ac:dyDescent="0.25">
      <c r="A6" s="51" t="s">
        <v>270</v>
      </c>
      <c r="B6" s="267">
        <f>IF(Main!$M$251&gt;0.01,Watersheds!B129*C_Drain!B3,0)</f>
        <v>0</v>
      </c>
      <c r="C6" s="267">
        <f>IF(Main!$M$251&gt;0.01,Watersheds!C129*C_Drain!C3,0)</f>
        <v>0</v>
      </c>
      <c r="D6" s="267">
        <f>IF(Main!$M$251&gt;0.01,Watersheds!D129*C_Drain!D3,0)</f>
        <v>0</v>
      </c>
      <c r="E6" s="267">
        <f>IF(Main!$M$251&gt;0.01,Watersheds!E129*C_Drain!E3,0)</f>
        <v>0</v>
      </c>
      <c r="F6" s="267">
        <f>IF(Main!$M$251&gt;0.01,Watersheds!F129*C_Drain!F3,0)</f>
        <v>0</v>
      </c>
      <c r="G6" s="267">
        <f>IF(Main!$M$251&gt;0.01,Watersheds!G129*C_Drain!G3,0)</f>
        <v>0</v>
      </c>
      <c r="H6" s="267">
        <f>IF(Main!$M$251&gt;0.01,Watersheds!H129*C_Drain!H3,0)</f>
        <v>0</v>
      </c>
      <c r="I6" s="267">
        <f>IF(Main!$M$251&gt;0.01,Watersheds!I129*C_Drain!I3,0)</f>
        <v>0</v>
      </c>
      <c r="J6" s="267">
        <f>IF(Main!$M$251&gt;0.01,Watersheds!J129*C_Drain!J3,0)</f>
        <v>0</v>
      </c>
      <c r="K6" s="267">
        <f>IF(Main!$M$251&gt;0.01,Watersheds!K129*C_Drain!K3,0)</f>
        <v>0</v>
      </c>
      <c r="L6" s="267">
        <f>IF(Main!$M$251&gt;0.01,Watersheds!L129*C_Drain!L3,0)</f>
        <v>0</v>
      </c>
      <c r="M6" s="267">
        <f>IF(Main!$M$251&gt;0.01,Watersheds!M129*C_Drain!M3,0)</f>
        <v>0</v>
      </c>
      <c r="N6" s="267">
        <f>IF(Main!$M$251&gt;0.01,Watersheds!N129*C_Drain!N3,0)</f>
        <v>0</v>
      </c>
      <c r="O6" s="267">
        <f>IF(Main!$M$251&gt;0.01,Watersheds!O129*C_Drain!O3,0)</f>
        <v>0</v>
      </c>
      <c r="P6" s="267">
        <f>IF(Main!$M$251&gt;0.01,Watersheds!P129*C_Drain!P3,0)</f>
        <v>0</v>
      </c>
      <c r="Q6" s="267">
        <f>IF(Main!$M$251&gt;0.01,Watersheds!Q129*C_Drain!Q3,0)</f>
        <v>0</v>
      </c>
      <c r="R6" s="267">
        <f>IF(Main!$M$251&gt;0.01,Watersheds!R129*C_Drain!R3,0)</f>
        <v>0</v>
      </c>
      <c r="S6" s="267">
        <f>IF(Main!$M$251&gt;0.01,Watersheds!S129*C_Drain!S3,0)</f>
        <v>0</v>
      </c>
      <c r="T6" s="267">
        <f>IF(Main!$M$251&gt;0.01,Watersheds!T129*C_Drain!T3,0)</f>
        <v>0</v>
      </c>
      <c r="U6" s="267">
        <f>IF(Main!$M$251&gt;0.01,Watersheds!U129*C_Drain!U3,0)</f>
        <v>0</v>
      </c>
      <c r="V6" s="267">
        <f>IF(Main!$M$251&gt;0.01,Watersheds!V129*C_Drain!V3,0)</f>
        <v>0</v>
      </c>
      <c r="W6" s="267">
        <f>IF(Main!$M$251&gt;0.01,Watersheds!W129*C_Drain!W3,0)</f>
        <v>0</v>
      </c>
      <c r="X6" s="267">
        <f>IF(Main!$M$251&gt;0.01,Watersheds!X129*C_Drain!X3,0)</f>
        <v>0</v>
      </c>
      <c r="Y6" s="267">
        <f>IF(Main!$M$251&gt;0.01,Watersheds!Y129*C_Drain!Y3,0)</f>
        <v>0</v>
      </c>
      <c r="Z6" s="267">
        <f>IF(Main!$M$251&gt;0.01,Watersheds!Z129*C_Drain!Z3,0)</f>
        <v>0</v>
      </c>
      <c r="AA6" s="267">
        <f>IF(Main!$M$251&gt;0.01,Watersheds!AA129*C_Drain!AA3,0)</f>
        <v>0</v>
      </c>
      <c r="AB6" s="267">
        <f>IF(Main!$M$251&gt;0.01,Watersheds!AB129*C_Drain!AB3,0)</f>
        <v>0</v>
      </c>
      <c r="AC6" s="267">
        <f>IF(Main!$M$251&gt;0.01,Watersheds!AC129*C_Drain!AC3,0)</f>
        <v>0</v>
      </c>
      <c r="AD6" s="267">
        <f>IF(Main!$M$251&gt;0.01,Watersheds!AD129*C_Drain!AD3,0)</f>
        <v>0</v>
      </c>
      <c r="AE6" s="267">
        <f>IF(Main!$M$251&gt;0.01,Watersheds!AE129*C_Drain!AE3,0)</f>
        <v>0</v>
      </c>
      <c r="AF6" s="267">
        <f>IF(Main!$M$251&gt;0.01,Watersheds!AF129*C_Drain!AF3,0)</f>
        <v>0</v>
      </c>
      <c r="AG6" s="267">
        <f>IF(Main!$M$251&gt;0.01,Watersheds!AG129*C_Drain!AG3,0)</f>
        <v>0</v>
      </c>
      <c r="AH6" s="267">
        <f>IF(Main!$M$251&gt;0.01,Watersheds!AH129*C_Drain!AH3,0)</f>
        <v>0</v>
      </c>
      <c r="AI6" s="267">
        <f>IF(Main!$M$251&gt;0.01,Watersheds!AI129*C_Drain!AI3,0)</f>
        <v>0</v>
      </c>
      <c r="AJ6" s="267">
        <f>IF(Main!$M$251&gt;0.01,Watersheds!AJ129*C_Drain!AJ3,0)</f>
        <v>0</v>
      </c>
      <c r="AK6" s="267">
        <f>IF(Main!$M$251&gt;0.01,Watersheds!AK129*C_Drain!AK3,0)</f>
        <v>0</v>
      </c>
      <c r="AL6" s="267">
        <f>IF(Main!$M$251&gt;0.01,Watersheds!AL129*C_Drain!AL3,0)</f>
        <v>0</v>
      </c>
      <c r="AM6" s="267">
        <f>IF(Main!$M$251&gt;0.01,Watersheds!AM129*C_Drain!AM3,0)</f>
        <v>0</v>
      </c>
      <c r="AN6" s="267">
        <f>IF(Main!$M$251&gt;0.01,Watersheds!AN129*C_Drain!AN3,0)</f>
        <v>0</v>
      </c>
    </row>
    <row r="7" spans="1:41" s="12" customFormat="1" x14ac:dyDescent="0.25">
      <c r="A7" s="22" t="s">
        <v>526</v>
      </c>
      <c r="B7" s="266">
        <f t="shared" ref="B7:AN7" si="1">IFERROR(B6/B10,0)</f>
        <v>0</v>
      </c>
      <c r="C7" s="266">
        <f t="shared" si="1"/>
        <v>0</v>
      </c>
      <c r="D7" s="266">
        <f t="shared" si="1"/>
        <v>0</v>
      </c>
      <c r="E7" s="266">
        <f t="shared" si="1"/>
        <v>0</v>
      </c>
      <c r="F7" s="266">
        <f t="shared" si="1"/>
        <v>0</v>
      </c>
      <c r="G7" s="266">
        <f t="shared" si="1"/>
        <v>0</v>
      </c>
      <c r="H7" s="266">
        <f t="shared" si="1"/>
        <v>0</v>
      </c>
      <c r="I7" s="266">
        <f t="shared" si="1"/>
        <v>0</v>
      </c>
      <c r="J7" s="266">
        <f t="shared" si="1"/>
        <v>0</v>
      </c>
      <c r="K7" s="266">
        <f t="shared" si="1"/>
        <v>0</v>
      </c>
      <c r="L7" s="266">
        <f t="shared" si="1"/>
        <v>0</v>
      </c>
      <c r="M7" s="266">
        <f t="shared" si="1"/>
        <v>0</v>
      </c>
      <c r="N7" s="266">
        <f t="shared" si="1"/>
        <v>0</v>
      </c>
      <c r="O7" s="266">
        <f t="shared" si="1"/>
        <v>0</v>
      </c>
      <c r="P7" s="266">
        <f t="shared" si="1"/>
        <v>0</v>
      </c>
      <c r="Q7" s="266">
        <f t="shared" si="1"/>
        <v>0</v>
      </c>
      <c r="R7" s="266">
        <f t="shared" si="1"/>
        <v>0</v>
      </c>
      <c r="S7" s="266">
        <f t="shared" si="1"/>
        <v>0</v>
      </c>
      <c r="T7" s="266">
        <f t="shared" si="1"/>
        <v>0</v>
      </c>
      <c r="U7" s="266">
        <f t="shared" si="1"/>
        <v>0</v>
      </c>
      <c r="V7" s="266">
        <f t="shared" si="1"/>
        <v>0</v>
      </c>
      <c r="W7" s="266">
        <f t="shared" si="1"/>
        <v>0</v>
      </c>
      <c r="X7" s="266">
        <f t="shared" si="1"/>
        <v>0</v>
      </c>
      <c r="Y7" s="266">
        <f t="shared" si="1"/>
        <v>0</v>
      </c>
      <c r="Z7" s="266">
        <f t="shared" si="1"/>
        <v>0</v>
      </c>
      <c r="AA7" s="266">
        <f t="shared" si="1"/>
        <v>0</v>
      </c>
      <c r="AB7" s="266">
        <f t="shared" si="1"/>
        <v>0</v>
      </c>
      <c r="AC7" s="266">
        <f t="shared" si="1"/>
        <v>0</v>
      </c>
      <c r="AD7" s="266">
        <f t="shared" si="1"/>
        <v>0</v>
      </c>
      <c r="AE7" s="266">
        <f t="shared" si="1"/>
        <v>0</v>
      </c>
      <c r="AF7" s="266">
        <f t="shared" si="1"/>
        <v>0</v>
      </c>
      <c r="AG7" s="266">
        <f t="shared" si="1"/>
        <v>0</v>
      </c>
      <c r="AH7" s="266">
        <f t="shared" si="1"/>
        <v>0</v>
      </c>
      <c r="AI7" s="266">
        <f t="shared" si="1"/>
        <v>0</v>
      </c>
      <c r="AJ7" s="266">
        <f t="shared" si="1"/>
        <v>0</v>
      </c>
      <c r="AK7" s="266">
        <f t="shared" si="1"/>
        <v>0</v>
      </c>
      <c r="AL7" s="266">
        <f t="shared" si="1"/>
        <v>0</v>
      </c>
      <c r="AM7" s="266">
        <f t="shared" si="1"/>
        <v>0</v>
      </c>
      <c r="AN7" s="266">
        <f t="shared" si="1"/>
        <v>0</v>
      </c>
    </row>
    <row r="8" spans="1:41" s="49" customFormat="1" x14ac:dyDescent="0.25">
      <c r="A8" s="51" t="s">
        <v>269</v>
      </c>
      <c r="B8" s="267">
        <f>IF(Main!$M$251&gt;0.02,Watersheds!B130*C_Drain!B3,0)</f>
        <v>0</v>
      </c>
      <c r="C8" s="267">
        <f>IF(Main!$M$251&gt;0.02,Watersheds!C130*C_Drain!C3,0)</f>
        <v>0</v>
      </c>
      <c r="D8" s="267">
        <f>IF(Main!$M$251&gt;0.02,Watersheds!D130*C_Drain!D3,0)</f>
        <v>0</v>
      </c>
      <c r="E8" s="267">
        <f>IF(Main!$M$251&gt;0.02,Watersheds!E130*C_Drain!E3,0)</f>
        <v>0</v>
      </c>
      <c r="F8" s="267">
        <f>IF(Main!$M$251&gt;0.02,Watersheds!F130*C_Drain!F3,0)</f>
        <v>0</v>
      </c>
      <c r="G8" s="267">
        <f>IF(Main!$M$251&gt;0.02,Watersheds!G130*C_Drain!G3,0)</f>
        <v>0</v>
      </c>
      <c r="H8" s="267">
        <f>IF(Main!$M$251&gt;0.02,Watersheds!H130*C_Drain!H3,0)</f>
        <v>0</v>
      </c>
      <c r="I8" s="267">
        <f>IF(Main!$M$251&gt;0.02,Watersheds!I130*C_Drain!I3,0)</f>
        <v>0</v>
      </c>
      <c r="J8" s="267">
        <f>IF(Main!$M$251&gt;0.02,Watersheds!J130*C_Drain!J3,0)</f>
        <v>0</v>
      </c>
      <c r="K8" s="267">
        <f>IF(Main!$M$251&gt;0.02,Watersheds!K130*C_Drain!K3,0)</f>
        <v>0</v>
      </c>
      <c r="L8" s="267">
        <f>IF(Main!$M$251&gt;0.02,Watersheds!L130*C_Drain!L3,0)</f>
        <v>0</v>
      </c>
      <c r="M8" s="267">
        <f>IF(Main!$M$251&gt;0.02,Watersheds!M130*C_Drain!M3,0)</f>
        <v>0</v>
      </c>
      <c r="N8" s="267">
        <f>IF(Main!$M$251&gt;0.02,Watersheds!N130*C_Drain!N3,0)</f>
        <v>0</v>
      </c>
      <c r="O8" s="267">
        <f>IF(Main!$M$251&gt;0.02,Watersheds!O130*C_Drain!O3,0)</f>
        <v>0</v>
      </c>
      <c r="P8" s="267">
        <f>IF(Main!$M$251&gt;0.02,Watersheds!P130*C_Drain!P3,0)</f>
        <v>0</v>
      </c>
      <c r="Q8" s="267">
        <f>IF(Main!$M$251&gt;0.02,Watersheds!Q130*C_Drain!Q3,0)</f>
        <v>0</v>
      </c>
      <c r="R8" s="267">
        <f>IF(Main!$M$251&gt;0.02,Watersheds!R130*C_Drain!R3,0)</f>
        <v>0</v>
      </c>
      <c r="S8" s="267">
        <f>IF(Main!$M$251&gt;0.02,Watersheds!S130*C_Drain!S3,0)</f>
        <v>0</v>
      </c>
      <c r="T8" s="267">
        <f>IF(Main!$M$251&gt;0.02,Watersheds!T130*C_Drain!T3,0)</f>
        <v>0</v>
      </c>
      <c r="U8" s="267">
        <f>IF(Main!$M$251&gt;0.02,Watersheds!U130*C_Drain!U3,0)</f>
        <v>0</v>
      </c>
      <c r="V8" s="267">
        <f>IF(Main!$M$251&gt;0.02,Watersheds!V130*C_Drain!V3,0)</f>
        <v>0</v>
      </c>
      <c r="W8" s="267">
        <f>IF(Main!$M$251&gt;0.02,Watersheds!W130*C_Drain!W3,0)</f>
        <v>0</v>
      </c>
      <c r="X8" s="267">
        <f>IF(Main!$M$251&gt;0.02,Watersheds!X130*C_Drain!X3,0)</f>
        <v>0</v>
      </c>
      <c r="Y8" s="267">
        <f>IF(Main!$M$251&gt;0.02,Watersheds!Y130*C_Drain!Y3,0)</f>
        <v>0</v>
      </c>
      <c r="Z8" s="267">
        <f>IF(Main!$M$251&gt;0.02,Watersheds!Z130*C_Drain!Z3,0)</f>
        <v>0</v>
      </c>
      <c r="AA8" s="267">
        <f>IF(Main!$M$251&gt;0.02,Watersheds!AA130*C_Drain!AA3,0)</f>
        <v>0</v>
      </c>
      <c r="AB8" s="267">
        <f>IF(Main!$M$251&gt;0.02,Watersheds!AB130*C_Drain!AB3,0)</f>
        <v>0</v>
      </c>
      <c r="AC8" s="267">
        <f>IF(Main!$M$251&gt;0.02,Watersheds!AC130*C_Drain!AC3,0)</f>
        <v>0</v>
      </c>
      <c r="AD8" s="267">
        <f>IF(Main!$M$251&gt;0.02,Watersheds!AD130*C_Drain!AD3,0)</f>
        <v>0</v>
      </c>
      <c r="AE8" s="267">
        <f>IF(Main!$M$251&gt;0.02,Watersheds!AE130*C_Drain!AE3,0)</f>
        <v>0</v>
      </c>
      <c r="AF8" s="267">
        <f>IF(Main!$M$251&gt;0.02,Watersheds!AF130*C_Drain!AF3,0)</f>
        <v>0</v>
      </c>
      <c r="AG8" s="267">
        <f>IF(Main!$M$251&gt;0.02,Watersheds!AG130*C_Drain!AG3,0)</f>
        <v>0</v>
      </c>
      <c r="AH8" s="267">
        <f>IF(Main!$M$251&gt;0.02,Watersheds!AH130*C_Drain!AH3,0)</f>
        <v>0</v>
      </c>
      <c r="AI8" s="267">
        <f>IF(Main!$M$251&gt;0.02,Watersheds!AI130*C_Drain!AI3,0)</f>
        <v>0</v>
      </c>
      <c r="AJ8" s="267">
        <f>IF(Main!$M$251&gt;0.02,Watersheds!AJ130*C_Drain!AJ3,0)</f>
        <v>0</v>
      </c>
      <c r="AK8" s="267">
        <f>IF(Main!$M$251&gt;0.02,Watersheds!AK130*C_Drain!AK3,0)</f>
        <v>0</v>
      </c>
      <c r="AL8" s="267">
        <f>IF(Main!$M$251&gt;0.02,Watersheds!AL130*C_Drain!AL3,0)</f>
        <v>0</v>
      </c>
      <c r="AM8" s="267">
        <f>IF(Main!$M$251&gt;0.02,Watersheds!AM130*C_Drain!AM3,0)</f>
        <v>0</v>
      </c>
      <c r="AN8" s="267">
        <f>IF(Main!$M$251&gt;0.02,Watersheds!AN130*C_Drain!AN3,0)</f>
        <v>0</v>
      </c>
    </row>
    <row r="9" spans="1:41" s="12" customFormat="1" x14ac:dyDescent="0.25">
      <c r="A9" s="22" t="s">
        <v>525</v>
      </c>
      <c r="B9" s="266">
        <f t="shared" ref="B9:AN9" si="2">IFERROR(B8/B10,0)</f>
        <v>0</v>
      </c>
      <c r="C9" s="266">
        <f t="shared" si="2"/>
        <v>0</v>
      </c>
      <c r="D9" s="266">
        <f t="shared" si="2"/>
        <v>0</v>
      </c>
      <c r="E9" s="266">
        <f t="shared" si="2"/>
        <v>0</v>
      </c>
      <c r="F9" s="266">
        <f t="shared" si="2"/>
        <v>0</v>
      </c>
      <c r="G9" s="266">
        <f t="shared" si="2"/>
        <v>0</v>
      </c>
      <c r="H9" s="266">
        <f t="shared" si="2"/>
        <v>0</v>
      </c>
      <c r="I9" s="266">
        <f t="shared" si="2"/>
        <v>0</v>
      </c>
      <c r="J9" s="266">
        <f t="shared" si="2"/>
        <v>0</v>
      </c>
      <c r="K9" s="266">
        <f t="shared" si="2"/>
        <v>0</v>
      </c>
      <c r="L9" s="266">
        <f t="shared" si="2"/>
        <v>0</v>
      </c>
      <c r="M9" s="266">
        <f t="shared" si="2"/>
        <v>0</v>
      </c>
      <c r="N9" s="266">
        <f t="shared" si="2"/>
        <v>0</v>
      </c>
      <c r="O9" s="266">
        <f t="shared" si="2"/>
        <v>0</v>
      </c>
      <c r="P9" s="266">
        <f t="shared" si="2"/>
        <v>0</v>
      </c>
      <c r="Q9" s="266">
        <f t="shared" si="2"/>
        <v>0</v>
      </c>
      <c r="R9" s="266">
        <f t="shared" si="2"/>
        <v>0</v>
      </c>
      <c r="S9" s="266">
        <f t="shared" si="2"/>
        <v>0</v>
      </c>
      <c r="T9" s="266">
        <f t="shared" si="2"/>
        <v>0</v>
      </c>
      <c r="U9" s="266">
        <f t="shared" si="2"/>
        <v>0</v>
      </c>
      <c r="V9" s="266">
        <f t="shared" si="2"/>
        <v>0</v>
      </c>
      <c r="W9" s="266">
        <f t="shared" si="2"/>
        <v>0</v>
      </c>
      <c r="X9" s="266">
        <f t="shared" si="2"/>
        <v>0</v>
      </c>
      <c r="Y9" s="266">
        <f t="shared" si="2"/>
        <v>0</v>
      </c>
      <c r="Z9" s="266">
        <f t="shared" si="2"/>
        <v>0</v>
      </c>
      <c r="AA9" s="266">
        <f t="shared" si="2"/>
        <v>0</v>
      </c>
      <c r="AB9" s="266">
        <f t="shared" si="2"/>
        <v>0</v>
      </c>
      <c r="AC9" s="266">
        <f t="shared" si="2"/>
        <v>0</v>
      </c>
      <c r="AD9" s="266">
        <f t="shared" si="2"/>
        <v>0</v>
      </c>
      <c r="AE9" s="266">
        <f t="shared" si="2"/>
        <v>0</v>
      </c>
      <c r="AF9" s="266">
        <f t="shared" si="2"/>
        <v>0</v>
      </c>
      <c r="AG9" s="266">
        <f t="shared" si="2"/>
        <v>0</v>
      </c>
      <c r="AH9" s="266">
        <f t="shared" si="2"/>
        <v>0</v>
      </c>
      <c r="AI9" s="266">
        <f t="shared" si="2"/>
        <v>0</v>
      </c>
      <c r="AJ9" s="266">
        <f t="shared" si="2"/>
        <v>0</v>
      </c>
      <c r="AK9" s="266">
        <f t="shared" si="2"/>
        <v>0</v>
      </c>
      <c r="AL9" s="266">
        <f t="shared" si="2"/>
        <v>0</v>
      </c>
      <c r="AM9" s="266">
        <f t="shared" si="2"/>
        <v>0</v>
      </c>
      <c r="AN9" s="266">
        <f t="shared" si="2"/>
        <v>0</v>
      </c>
    </row>
    <row r="10" spans="1:41" s="49" customFormat="1" x14ac:dyDescent="0.25">
      <c r="A10" s="51" t="s">
        <v>524</v>
      </c>
      <c r="B10" s="51">
        <f t="shared" ref="B10:AN10" si="3">B11*B3</f>
        <v>1183611.8269754262</v>
      </c>
      <c r="C10" s="51">
        <f t="shared" si="3"/>
        <v>95754.758676922065</v>
      </c>
      <c r="D10" s="51">
        <f t="shared" si="3"/>
        <v>384363.31644598179</v>
      </c>
      <c r="E10" s="51">
        <f t="shared" si="3"/>
        <v>526499.4754478957</v>
      </c>
      <c r="F10" s="51">
        <f t="shared" si="3"/>
        <v>1087765.8836466994</v>
      </c>
      <c r="G10" s="51">
        <f t="shared" si="3"/>
        <v>21773.538325770485</v>
      </c>
      <c r="H10" s="51">
        <f t="shared" si="3"/>
        <v>476975.34015582805</v>
      </c>
      <c r="I10" s="51">
        <f t="shared" si="3"/>
        <v>1782881.9850823719</v>
      </c>
      <c r="J10" s="51">
        <f t="shared" si="3"/>
        <v>458429.57002898166</v>
      </c>
      <c r="K10" s="51">
        <f t="shared" si="3"/>
        <v>819176.20611457282</v>
      </c>
      <c r="L10" s="51">
        <f t="shared" si="3"/>
        <v>49840.38319707138</v>
      </c>
      <c r="M10" s="51">
        <f t="shared" si="3"/>
        <v>264659.08028609765</v>
      </c>
      <c r="N10" s="51">
        <f t="shared" si="3"/>
        <v>769733.41808108834</v>
      </c>
      <c r="O10" s="51">
        <f t="shared" si="3"/>
        <v>828673.71056960023</v>
      </c>
      <c r="P10" s="51">
        <f t="shared" si="3"/>
        <v>241824.56323169585</v>
      </c>
      <c r="Q10" s="51">
        <f t="shared" si="3"/>
        <v>246814.27028150437</v>
      </c>
      <c r="R10" s="51">
        <f t="shared" si="3"/>
        <v>4285.7491912003497</v>
      </c>
      <c r="S10" s="51">
        <f t="shared" si="3"/>
        <v>178246.72078017826</v>
      </c>
      <c r="T10" s="51">
        <f t="shared" si="3"/>
        <v>6495.4972264639991</v>
      </c>
      <c r="U10" s="51">
        <f t="shared" si="3"/>
        <v>106361.17112664788</v>
      </c>
      <c r="V10" s="51">
        <f t="shared" si="3"/>
        <v>64243.015453628868</v>
      </c>
      <c r="W10" s="51">
        <f t="shared" si="3"/>
        <v>534860.91880764195</v>
      </c>
      <c r="X10" s="51">
        <f t="shared" si="3"/>
        <v>72691.488463081856</v>
      </c>
      <c r="Y10" s="51">
        <f t="shared" si="3"/>
        <v>578435.98666543257</v>
      </c>
      <c r="Z10" s="51">
        <f t="shared" si="3"/>
        <v>1740522.0190968888</v>
      </c>
      <c r="AA10" s="51">
        <f t="shared" si="3"/>
        <v>310501.91638817242</v>
      </c>
      <c r="AB10" s="51">
        <f t="shared" si="3"/>
        <v>1118256.7685890035</v>
      </c>
      <c r="AC10" s="51">
        <f t="shared" si="3"/>
        <v>46608.093375328011</v>
      </c>
      <c r="AD10" s="51">
        <f t="shared" si="3"/>
        <v>54441.211277657254</v>
      </c>
      <c r="AE10" s="51">
        <f t="shared" si="3"/>
        <v>65663.160762143409</v>
      </c>
      <c r="AF10" s="51">
        <f t="shared" si="3"/>
        <v>130947.11348153764</v>
      </c>
      <c r="AG10" s="51">
        <f t="shared" si="3"/>
        <v>25765.811486446426</v>
      </c>
      <c r="AH10" s="51">
        <f t="shared" si="3"/>
        <v>1340660.9713842303</v>
      </c>
      <c r="AI10" s="51">
        <f t="shared" si="3"/>
        <v>128358.10151161565</v>
      </c>
      <c r="AJ10" s="51">
        <f t="shared" si="3"/>
        <v>574366.93169227627</v>
      </c>
      <c r="AK10" s="51">
        <f t="shared" si="3"/>
        <v>522509.1045987652</v>
      </c>
      <c r="AL10" s="51">
        <f t="shared" si="3"/>
        <v>1064528.7062601969</v>
      </c>
      <c r="AM10" s="51">
        <f t="shared" si="3"/>
        <v>790004.66459855274</v>
      </c>
      <c r="AN10" s="51">
        <f t="shared" si="3"/>
        <v>949734.58489426761</v>
      </c>
      <c r="AO10" s="49">
        <f>SUM(B10:AN10)</f>
        <v>19647267.033658873</v>
      </c>
    </row>
    <row r="11" spans="1:41" s="49" customFormat="1" x14ac:dyDescent="0.25">
      <c r="A11" s="51" t="s">
        <v>523</v>
      </c>
      <c r="B11" s="265">
        <v>1183611.8269754262</v>
      </c>
      <c r="C11" s="265">
        <v>95754.758676922065</v>
      </c>
      <c r="D11" s="265">
        <v>384363.31644598179</v>
      </c>
      <c r="E11" s="265">
        <v>526499.4754478957</v>
      </c>
      <c r="F11" s="265">
        <v>1087765.8836466994</v>
      </c>
      <c r="G11" s="265">
        <v>21773.538325770485</v>
      </c>
      <c r="H11" s="265">
        <v>476975.34015582805</v>
      </c>
      <c r="I11" s="265">
        <v>1782881.9850823719</v>
      </c>
      <c r="J11" s="265">
        <v>458429.57002898166</v>
      </c>
      <c r="K11" s="265">
        <v>819176.20611457282</v>
      </c>
      <c r="L11" s="265">
        <v>49840.38319707138</v>
      </c>
      <c r="M11" s="265">
        <v>264659.08028609765</v>
      </c>
      <c r="N11" s="265">
        <v>769733.41808108834</v>
      </c>
      <c r="O11" s="265">
        <v>828673.71056960023</v>
      </c>
      <c r="P11" s="265">
        <v>241824.56323169585</v>
      </c>
      <c r="Q11" s="265">
        <v>246814.27028150437</v>
      </c>
      <c r="R11" s="265">
        <v>4285.7491912003497</v>
      </c>
      <c r="S11" s="265">
        <v>178246.72078017826</v>
      </c>
      <c r="T11" s="265">
        <v>6495.4972264639991</v>
      </c>
      <c r="U11" s="265">
        <v>106361.17112664788</v>
      </c>
      <c r="V11" s="265">
        <v>64243.015453628868</v>
      </c>
      <c r="W11" s="265">
        <v>534860.91880764195</v>
      </c>
      <c r="X11" s="265">
        <v>72691.488463081856</v>
      </c>
      <c r="Y11" s="265">
        <v>578435.98666543257</v>
      </c>
      <c r="Z11" s="265">
        <v>1740522.0190968888</v>
      </c>
      <c r="AA11" s="265">
        <v>310501.91638817242</v>
      </c>
      <c r="AB11" s="265">
        <v>1118256.7685890035</v>
      </c>
      <c r="AC11" s="265">
        <v>46608.093375328011</v>
      </c>
      <c r="AD11" s="265">
        <v>54441.211277657254</v>
      </c>
      <c r="AE11" s="265">
        <v>65663.160762143409</v>
      </c>
      <c r="AF11" s="265">
        <v>130947.11348153764</v>
      </c>
      <c r="AG11" s="265">
        <v>25765.811486446426</v>
      </c>
      <c r="AH11" s="265">
        <v>1340660.9713842303</v>
      </c>
      <c r="AI11" s="265">
        <v>128358.10151161565</v>
      </c>
      <c r="AJ11" s="265">
        <v>574366.93169227627</v>
      </c>
      <c r="AK11" s="265">
        <v>522509.1045987652</v>
      </c>
      <c r="AL11" s="265">
        <v>1064528.7062601969</v>
      </c>
      <c r="AM11" s="265">
        <v>790004.66459855274</v>
      </c>
      <c r="AN11" s="265">
        <v>949734.58489426761</v>
      </c>
      <c r="AO11" s="49">
        <f>SUM(B11:AN11)</f>
        <v>19647267.033658873</v>
      </c>
    </row>
    <row r="12" spans="1:41" x14ac:dyDescent="0.25">
      <c r="A12" s="21" t="s">
        <v>521</v>
      </c>
      <c r="B12" s="264">
        <f t="shared" ref="B12:AN12" si="4">IFERROR(B5+B7+B9,0)</f>
        <v>0.12345523646751612</v>
      </c>
      <c r="C12" s="264">
        <f t="shared" si="4"/>
        <v>7.7515031394349759E-2</v>
      </c>
      <c r="D12" s="264">
        <f t="shared" si="4"/>
        <v>1.6270406494109065E-3</v>
      </c>
      <c r="E12" s="264">
        <f t="shared" si="4"/>
        <v>8.0471588350505233E-2</v>
      </c>
      <c r="F12" s="264">
        <f t="shared" si="4"/>
        <v>7.586896427871842E-2</v>
      </c>
      <c r="G12" s="264">
        <f t="shared" si="4"/>
        <v>2.7577809863328759E-4</v>
      </c>
      <c r="H12" s="264">
        <f t="shared" si="4"/>
        <v>6.7448850279114167E-2</v>
      </c>
      <c r="I12" s="264">
        <f t="shared" si="4"/>
        <v>0.15343301964395667</v>
      </c>
      <c r="J12" s="264">
        <f t="shared" si="4"/>
        <v>0.20407548635897452</v>
      </c>
      <c r="K12" s="264">
        <f t="shared" si="4"/>
        <v>0</v>
      </c>
      <c r="L12" s="264">
        <f t="shared" si="4"/>
        <v>0.28733980572287232</v>
      </c>
      <c r="M12" s="264">
        <f t="shared" si="4"/>
        <v>2.5671392958274753E-3</v>
      </c>
      <c r="N12" s="264">
        <f t="shared" si="4"/>
        <v>3.4679921149256721E-2</v>
      </c>
      <c r="O12" s="264">
        <f t="shared" si="4"/>
        <v>0</v>
      </c>
      <c r="P12" s="264">
        <f t="shared" si="4"/>
        <v>0.14965258566527884</v>
      </c>
      <c r="Q12" s="264">
        <f t="shared" si="4"/>
        <v>0.21515652411196684</v>
      </c>
      <c r="R12" s="264">
        <f t="shared" si="4"/>
        <v>1.9718862730819407E-3</v>
      </c>
      <c r="S12" s="264">
        <f t="shared" si="4"/>
        <v>1.3573518740823035E-2</v>
      </c>
      <c r="T12" s="264">
        <f t="shared" si="4"/>
        <v>5.2042266852605759E-3</v>
      </c>
      <c r="U12" s="264">
        <f t="shared" si="4"/>
        <v>0.30891989757122884</v>
      </c>
      <c r="V12" s="264">
        <f t="shared" si="4"/>
        <v>0.29122546066512794</v>
      </c>
      <c r="W12" s="264">
        <f t="shared" si="4"/>
        <v>0</v>
      </c>
      <c r="X12" s="264">
        <f t="shared" si="4"/>
        <v>0.36684480444424011</v>
      </c>
      <c r="Y12" s="264">
        <f t="shared" si="4"/>
        <v>3.8059321268912351E-3</v>
      </c>
      <c r="Z12" s="264">
        <f t="shared" si="4"/>
        <v>9.0162686190219499E-2</v>
      </c>
      <c r="AA12" s="264">
        <f t="shared" si="4"/>
        <v>0.88108415835987119</v>
      </c>
      <c r="AB12" s="264">
        <f t="shared" si="4"/>
        <v>2.7965020023494734E-2</v>
      </c>
      <c r="AC12" s="264">
        <f t="shared" si="4"/>
        <v>1.1442287623855131E-2</v>
      </c>
      <c r="AD12" s="264">
        <f t="shared" si="4"/>
        <v>9.5483928590203382E-2</v>
      </c>
      <c r="AE12" s="264">
        <f t="shared" si="4"/>
        <v>6.1062541133591296E-2</v>
      </c>
      <c r="AF12" s="264">
        <f t="shared" si="4"/>
        <v>1.9278054917613117E-2</v>
      </c>
      <c r="AG12" s="264">
        <f t="shared" si="4"/>
        <v>1.6080296373275318E-2</v>
      </c>
      <c r="AH12" s="264">
        <f t="shared" si="4"/>
        <v>0.14360231119521688</v>
      </c>
      <c r="AI12" s="264">
        <f t="shared" si="4"/>
        <v>0.17733300806057936</v>
      </c>
      <c r="AJ12" s="264">
        <f t="shared" si="4"/>
        <v>0</v>
      </c>
      <c r="AK12" s="264">
        <f t="shared" si="4"/>
        <v>4.8613635813112732E-2</v>
      </c>
      <c r="AL12" s="264">
        <f t="shared" si="4"/>
        <v>0</v>
      </c>
      <c r="AM12" s="264">
        <f t="shared" si="4"/>
        <v>0.20089300303137825</v>
      </c>
      <c r="AN12" s="264">
        <f t="shared" si="4"/>
        <v>0.24132690325320319</v>
      </c>
    </row>
    <row r="13" spans="1:41" x14ac:dyDescent="0.25">
      <c r="A13" s="21" t="s">
        <v>104</v>
      </c>
      <c r="B13" s="21">
        <f>VLOOKUP(B12, Parameters!$AE$3:$AF$8, 2, TRUE)</f>
        <v>1</v>
      </c>
      <c r="C13" s="21">
        <f>VLOOKUP(C12, Parameters!$AE$3:$AF$8, 2, TRUE)</f>
        <v>0</v>
      </c>
      <c r="D13" s="21">
        <f>VLOOKUP(D12, Parameters!$AE$3:$AF$8, 2, TRUE)</f>
        <v>0</v>
      </c>
      <c r="E13" s="21">
        <f>VLOOKUP(E12, Parameters!$AE$3:$AF$8, 2, TRUE)</f>
        <v>0</v>
      </c>
      <c r="F13" s="21">
        <f>VLOOKUP(F12, Parameters!$AE$3:$AF$8, 2, TRUE)</f>
        <v>0</v>
      </c>
      <c r="G13" s="21">
        <f>VLOOKUP(G12, Parameters!$AE$3:$AF$8, 2, TRUE)</f>
        <v>0</v>
      </c>
      <c r="H13" s="21">
        <f>VLOOKUP(H12, Parameters!$AE$3:$AF$8, 2, TRUE)</f>
        <v>0</v>
      </c>
      <c r="I13" s="21">
        <f>VLOOKUP(I12, Parameters!$AE$3:$AF$8, 2, TRUE)</f>
        <v>1</v>
      </c>
      <c r="J13" s="21">
        <f>VLOOKUP(J12, Parameters!$AE$3:$AF$8, 2, TRUE)</f>
        <v>2</v>
      </c>
      <c r="K13" s="21">
        <f>VLOOKUP(K12, Parameters!$AE$3:$AF$8, 2, TRUE)</f>
        <v>0</v>
      </c>
      <c r="L13" s="21">
        <f>VLOOKUP(L12, Parameters!$AE$3:$AF$8, 2, TRUE)</f>
        <v>2</v>
      </c>
      <c r="M13" s="21">
        <f>VLOOKUP(M12, Parameters!$AE$3:$AF$8, 2, TRUE)</f>
        <v>0</v>
      </c>
      <c r="N13" s="21">
        <f>VLOOKUP(N12, Parameters!$AE$3:$AF$8, 2, TRUE)</f>
        <v>0</v>
      </c>
      <c r="O13" s="21">
        <f>VLOOKUP(O12, Parameters!$AE$3:$AF$8, 2, TRUE)</f>
        <v>0</v>
      </c>
      <c r="P13" s="21">
        <f>VLOOKUP(P12, Parameters!$AE$3:$AF$8, 2, TRUE)</f>
        <v>1</v>
      </c>
      <c r="Q13" s="21">
        <f>VLOOKUP(Q12, Parameters!$AE$3:$AF$8, 2, TRUE)</f>
        <v>2</v>
      </c>
      <c r="R13" s="21">
        <f>VLOOKUP(R12, Parameters!$AE$3:$AF$8, 2, TRUE)</f>
        <v>0</v>
      </c>
      <c r="S13" s="21">
        <f>VLOOKUP(S12, Parameters!$AE$3:$AF$8, 2, TRUE)</f>
        <v>0</v>
      </c>
      <c r="T13" s="21">
        <f>VLOOKUP(T12, Parameters!$AE$3:$AF$8, 2, TRUE)</f>
        <v>0</v>
      </c>
      <c r="U13" s="21">
        <f>VLOOKUP(U12, Parameters!$AE$3:$AF$8, 2, TRUE)</f>
        <v>2</v>
      </c>
      <c r="V13" s="21">
        <f>VLOOKUP(V12, Parameters!$AE$3:$AF$8, 2, TRUE)</f>
        <v>2</v>
      </c>
      <c r="W13" s="21">
        <f>VLOOKUP(W12, Parameters!$AE$3:$AF$8, 2, TRUE)</f>
        <v>0</v>
      </c>
      <c r="X13" s="21">
        <f>VLOOKUP(X12, Parameters!$AE$3:$AF$8, 2, TRUE)</f>
        <v>2</v>
      </c>
      <c r="Y13" s="21">
        <f>VLOOKUP(Y12, Parameters!$AE$3:$AF$8, 2, TRUE)</f>
        <v>0</v>
      </c>
      <c r="Z13" s="21">
        <f>VLOOKUP(Z12, Parameters!$AE$3:$AF$8, 2, TRUE)</f>
        <v>0</v>
      </c>
      <c r="AA13" s="21">
        <f>VLOOKUP(AA12, Parameters!$AE$3:$AF$8, 2, TRUE)</f>
        <v>8</v>
      </c>
      <c r="AB13" s="21">
        <f>VLOOKUP(AB12, Parameters!$AE$3:$AF$8, 2, TRUE)</f>
        <v>0</v>
      </c>
      <c r="AC13" s="21">
        <f>VLOOKUP(AC12, Parameters!$AE$3:$AF$8, 2, TRUE)</f>
        <v>0</v>
      </c>
      <c r="AD13" s="21">
        <f>VLOOKUP(AD12, Parameters!$AE$3:$AF$8, 2, TRUE)</f>
        <v>0</v>
      </c>
      <c r="AE13" s="21">
        <f>VLOOKUP(AE12, Parameters!$AE$3:$AF$8, 2, TRUE)</f>
        <v>0</v>
      </c>
      <c r="AF13" s="21">
        <f>VLOOKUP(AF12, Parameters!$AE$3:$AF$8, 2, TRUE)</f>
        <v>0</v>
      </c>
      <c r="AG13" s="21">
        <f>VLOOKUP(AG12, Parameters!$AE$3:$AF$8, 2, TRUE)</f>
        <v>0</v>
      </c>
      <c r="AH13" s="21">
        <f>VLOOKUP(AH12, Parameters!$AE$3:$AF$8, 2, TRUE)</f>
        <v>1</v>
      </c>
      <c r="AI13" s="21">
        <f>VLOOKUP(AI12, Parameters!$AE$3:$AF$8, 2, TRUE)</f>
        <v>1</v>
      </c>
      <c r="AJ13" s="21">
        <f>VLOOKUP(AJ12, Parameters!$AE$3:$AF$8, 2, TRUE)</f>
        <v>0</v>
      </c>
      <c r="AK13" s="21">
        <f>VLOOKUP(AK12, Parameters!$AE$3:$AF$8, 2, TRUE)</f>
        <v>0</v>
      </c>
      <c r="AL13" s="21">
        <f>VLOOKUP(AL12, Parameters!$AE$3:$AF$8, 2, TRUE)</f>
        <v>0</v>
      </c>
      <c r="AM13" s="21">
        <f>VLOOKUP(AM12, Parameters!$AE$3:$AF$8, 2, TRUE)</f>
        <v>2</v>
      </c>
      <c r="AN13" s="21">
        <f>VLOOKUP(AN12, Parameters!$AE$3:$AF$8, 2, TRUE)</f>
        <v>2</v>
      </c>
    </row>
    <row r="14" spans="1:41" x14ac:dyDescent="0.25">
      <c r="A14" s="21" t="s">
        <v>103</v>
      </c>
      <c r="B14" s="31">
        <f t="shared" ref="B14:AN14" si="5">B13</f>
        <v>1</v>
      </c>
      <c r="C14" s="31">
        <f t="shared" si="5"/>
        <v>0</v>
      </c>
      <c r="D14" s="31">
        <f t="shared" si="5"/>
        <v>0</v>
      </c>
      <c r="E14" s="31">
        <f t="shared" si="5"/>
        <v>0</v>
      </c>
      <c r="F14" s="31">
        <f t="shared" si="5"/>
        <v>0</v>
      </c>
      <c r="G14" s="31">
        <f t="shared" si="5"/>
        <v>0</v>
      </c>
      <c r="H14" s="31">
        <f t="shared" si="5"/>
        <v>0</v>
      </c>
      <c r="I14" s="31">
        <f t="shared" si="5"/>
        <v>1</v>
      </c>
      <c r="J14" s="31">
        <f t="shared" si="5"/>
        <v>2</v>
      </c>
      <c r="K14" s="31">
        <f t="shared" si="5"/>
        <v>0</v>
      </c>
      <c r="L14" s="31">
        <f t="shared" si="5"/>
        <v>2</v>
      </c>
      <c r="M14" s="31">
        <f t="shared" si="5"/>
        <v>0</v>
      </c>
      <c r="N14" s="31">
        <f t="shared" si="5"/>
        <v>0</v>
      </c>
      <c r="O14" s="31">
        <f t="shared" si="5"/>
        <v>0</v>
      </c>
      <c r="P14" s="31">
        <f t="shared" si="5"/>
        <v>1</v>
      </c>
      <c r="Q14" s="31">
        <f t="shared" si="5"/>
        <v>2</v>
      </c>
      <c r="R14" s="31">
        <f t="shared" si="5"/>
        <v>0</v>
      </c>
      <c r="S14" s="31">
        <f t="shared" si="5"/>
        <v>0</v>
      </c>
      <c r="T14" s="31">
        <f t="shared" si="5"/>
        <v>0</v>
      </c>
      <c r="U14" s="31">
        <f t="shared" si="5"/>
        <v>2</v>
      </c>
      <c r="V14" s="31">
        <f t="shared" si="5"/>
        <v>2</v>
      </c>
      <c r="W14" s="31">
        <f t="shared" si="5"/>
        <v>0</v>
      </c>
      <c r="X14" s="31">
        <f t="shared" si="5"/>
        <v>2</v>
      </c>
      <c r="Y14" s="31">
        <f t="shared" si="5"/>
        <v>0</v>
      </c>
      <c r="Z14" s="31">
        <f t="shared" si="5"/>
        <v>0</v>
      </c>
      <c r="AA14" s="31">
        <f t="shared" si="5"/>
        <v>8</v>
      </c>
      <c r="AB14" s="31">
        <f t="shared" si="5"/>
        <v>0</v>
      </c>
      <c r="AC14" s="31">
        <f t="shared" si="5"/>
        <v>0</v>
      </c>
      <c r="AD14" s="31">
        <f t="shared" si="5"/>
        <v>0</v>
      </c>
      <c r="AE14" s="31">
        <f t="shared" si="5"/>
        <v>0</v>
      </c>
      <c r="AF14" s="31">
        <f t="shared" si="5"/>
        <v>0</v>
      </c>
      <c r="AG14" s="31">
        <f t="shared" si="5"/>
        <v>0</v>
      </c>
      <c r="AH14" s="31">
        <f t="shared" si="5"/>
        <v>1</v>
      </c>
      <c r="AI14" s="31">
        <f t="shared" si="5"/>
        <v>1</v>
      </c>
      <c r="AJ14" s="31">
        <f t="shared" si="5"/>
        <v>0</v>
      </c>
      <c r="AK14" s="31">
        <f t="shared" si="5"/>
        <v>0</v>
      </c>
      <c r="AL14" s="31">
        <f t="shared" si="5"/>
        <v>0</v>
      </c>
      <c r="AM14" s="31">
        <f t="shared" si="5"/>
        <v>2</v>
      </c>
      <c r="AN14" s="31">
        <f t="shared" si="5"/>
        <v>2</v>
      </c>
    </row>
    <row r="15" spans="1:41" x14ac:dyDescent="0.25">
      <c r="A15" s="54" t="s">
        <v>520</v>
      </c>
      <c r="B15" s="54">
        <f t="shared" ref="B15:AN15" si="6">B12*100</f>
        <v>12.345523646751612</v>
      </c>
      <c r="C15" s="54">
        <f t="shared" si="6"/>
        <v>7.751503139434976</v>
      </c>
      <c r="D15" s="54">
        <f t="shared" si="6"/>
        <v>0.16270406494109066</v>
      </c>
      <c r="E15" s="54">
        <f t="shared" si="6"/>
        <v>8.0471588350505225</v>
      </c>
      <c r="F15" s="54">
        <f t="shared" si="6"/>
        <v>7.5868964278718423</v>
      </c>
      <c r="G15" s="54">
        <f t="shared" si="6"/>
        <v>2.7577809863328757E-2</v>
      </c>
      <c r="H15" s="54">
        <f t="shared" si="6"/>
        <v>6.7448850279114163</v>
      </c>
      <c r="I15" s="54">
        <f t="shared" si="6"/>
        <v>15.343301964395668</v>
      </c>
      <c r="J15" s="54">
        <f t="shared" si="6"/>
        <v>20.407548635897452</v>
      </c>
      <c r="K15" s="54">
        <f t="shared" si="6"/>
        <v>0</v>
      </c>
      <c r="L15" s="54">
        <f t="shared" si="6"/>
        <v>28.733980572287233</v>
      </c>
      <c r="M15" s="54">
        <f t="shared" si="6"/>
        <v>0.25671392958274752</v>
      </c>
      <c r="N15" s="54">
        <f t="shared" si="6"/>
        <v>3.4679921149256723</v>
      </c>
      <c r="O15" s="54">
        <f t="shared" si="6"/>
        <v>0</v>
      </c>
      <c r="P15" s="54">
        <f t="shared" si="6"/>
        <v>14.965258566527883</v>
      </c>
      <c r="Q15" s="54">
        <f t="shared" si="6"/>
        <v>21.515652411196683</v>
      </c>
      <c r="R15" s="54">
        <f t="shared" si="6"/>
        <v>0.19718862730819406</v>
      </c>
      <c r="S15" s="54">
        <f t="shared" si="6"/>
        <v>1.3573518740823034</v>
      </c>
      <c r="T15" s="54">
        <f t="shared" si="6"/>
        <v>0.52042266852605756</v>
      </c>
      <c r="U15" s="54">
        <f t="shared" si="6"/>
        <v>30.891989757122886</v>
      </c>
      <c r="V15" s="54">
        <f t="shared" si="6"/>
        <v>29.122546066512793</v>
      </c>
      <c r="W15" s="54">
        <f t="shared" si="6"/>
        <v>0</v>
      </c>
      <c r="X15" s="54">
        <f t="shared" si="6"/>
        <v>36.684480444424011</v>
      </c>
      <c r="Y15" s="54">
        <f t="shared" si="6"/>
        <v>0.38059321268912349</v>
      </c>
      <c r="Z15" s="54">
        <f t="shared" si="6"/>
        <v>9.0162686190219503</v>
      </c>
      <c r="AA15" s="54">
        <f t="shared" si="6"/>
        <v>88.108415835987117</v>
      </c>
      <c r="AB15" s="54">
        <f t="shared" si="6"/>
        <v>2.7965020023494733</v>
      </c>
      <c r="AC15" s="54">
        <f t="shared" si="6"/>
        <v>1.1442287623855132</v>
      </c>
      <c r="AD15" s="54">
        <f t="shared" si="6"/>
        <v>9.5483928590203391</v>
      </c>
      <c r="AE15" s="54">
        <f t="shared" si="6"/>
        <v>6.1062541133591299</v>
      </c>
      <c r="AF15" s="54">
        <f t="shared" si="6"/>
        <v>1.9278054917613117</v>
      </c>
      <c r="AG15" s="54">
        <f t="shared" si="6"/>
        <v>1.6080296373275318</v>
      </c>
      <c r="AH15" s="54">
        <f t="shared" si="6"/>
        <v>14.360231119521687</v>
      </c>
      <c r="AI15" s="54">
        <f t="shared" si="6"/>
        <v>17.733300806057937</v>
      </c>
      <c r="AJ15" s="54">
        <f t="shared" si="6"/>
        <v>0</v>
      </c>
      <c r="AK15" s="54">
        <f t="shared" si="6"/>
        <v>4.8613635813112737</v>
      </c>
      <c r="AL15" s="54">
        <f t="shared" si="6"/>
        <v>0</v>
      </c>
      <c r="AM15" s="54">
        <f t="shared" si="6"/>
        <v>20.089300303137826</v>
      </c>
      <c r="AN15" s="54">
        <f t="shared" si="6"/>
        <v>24.132690325320318</v>
      </c>
    </row>
    <row r="16" spans="1:41" x14ac:dyDescent="0.25">
      <c r="A16" s="54" t="s">
        <v>85</v>
      </c>
      <c r="B16" s="54">
        <f>VLOOKUP(B15,Parameters!$AH$3:$AJ$8,1,TRUE)</f>
        <v>10</v>
      </c>
      <c r="C16" s="54">
        <f>VLOOKUP(C15,Parameters!$AH$3:$AJ$8,1,TRUE)</f>
        <v>0</v>
      </c>
      <c r="D16" s="54">
        <f>VLOOKUP(D15,Parameters!$AH$3:$AJ$8,1,TRUE)</f>
        <v>0</v>
      </c>
      <c r="E16" s="54">
        <f>VLOOKUP(E15,Parameters!$AH$3:$AJ$8,1,TRUE)</f>
        <v>0</v>
      </c>
      <c r="F16" s="54">
        <f>VLOOKUP(F15,Parameters!$AH$3:$AJ$8,1,TRUE)</f>
        <v>0</v>
      </c>
      <c r="G16" s="54">
        <f>VLOOKUP(G15,Parameters!$AH$3:$AJ$8,1,TRUE)</f>
        <v>0</v>
      </c>
      <c r="H16" s="54">
        <f>VLOOKUP(H15,Parameters!$AH$3:$AJ$8,1,TRUE)</f>
        <v>0</v>
      </c>
      <c r="I16" s="54">
        <f>VLOOKUP(I15,Parameters!$AH$3:$AJ$8,1,TRUE)</f>
        <v>10</v>
      </c>
      <c r="J16" s="54">
        <f>VLOOKUP(J15,Parameters!$AH$3:$AJ$8,1,TRUE)</f>
        <v>20</v>
      </c>
      <c r="K16" s="54">
        <f>VLOOKUP(K15,Parameters!$AH$3:$AJ$8,1,TRUE)</f>
        <v>0</v>
      </c>
      <c r="L16" s="54">
        <f>VLOOKUP(L15,Parameters!$AH$3:$AJ$8,1,TRUE)</f>
        <v>20</v>
      </c>
      <c r="M16" s="54">
        <f>VLOOKUP(M15,Parameters!$AH$3:$AJ$8,1,TRUE)</f>
        <v>0</v>
      </c>
      <c r="N16" s="54">
        <f>VLOOKUP(N15,Parameters!$AH$3:$AJ$8,1,TRUE)</f>
        <v>0</v>
      </c>
      <c r="O16" s="54">
        <f>VLOOKUP(O15,Parameters!$AH$3:$AJ$8,1,TRUE)</f>
        <v>0</v>
      </c>
      <c r="P16" s="54">
        <f>VLOOKUP(P15,Parameters!$AH$3:$AJ$8,1,TRUE)</f>
        <v>10</v>
      </c>
      <c r="Q16" s="54">
        <f>VLOOKUP(Q15,Parameters!$AH$3:$AJ$8,1,TRUE)</f>
        <v>20</v>
      </c>
      <c r="R16" s="54">
        <f>VLOOKUP(R15,Parameters!$AH$3:$AJ$8,1,TRUE)</f>
        <v>0</v>
      </c>
      <c r="S16" s="54">
        <f>VLOOKUP(S15,Parameters!$AH$3:$AJ$8,1,TRUE)</f>
        <v>0</v>
      </c>
      <c r="T16" s="54">
        <f>VLOOKUP(T15,Parameters!$AH$3:$AJ$8,1,TRUE)</f>
        <v>0</v>
      </c>
      <c r="U16" s="54">
        <f>VLOOKUP(U15,Parameters!$AH$3:$AJ$8,1,TRUE)</f>
        <v>20</v>
      </c>
      <c r="V16" s="54">
        <f>VLOOKUP(V15,Parameters!$AH$3:$AJ$8,1,TRUE)</f>
        <v>20</v>
      </c>
      <c r="W16" s="54">
        <f>VLOOKUP(W15,Parameters!$AH$3:$AJ$8,1,TRUE)</f>
        <v>0</v>
      </c>
      <c r="X16" s="54">
        <f>VLOOKUP(X15,Parameters!$AH$3:$AJ$8,1,TRUE)</f>
        <v>20</v>
      </c>
      <c r="Y16" s="54">
        <f>VLOOKUP(Y15,Parameters!$AH$3:$AJ$8,1,TRUE)</f>
        <v>0</v>
      </c>
      <c r="Z16" s="54">
        <f>VLOOKUP(Z15,Parameters!$AH$3:$AJ$8,1,TRUE)</f>
        <v>0</v>
      </c>
      <c r="AA16" s="54">
        <f>VLOOKUP(AA15,Parameters!$AH$3:$AJ$8,1,TRUE)</f>
        <v>80</v>
      </c>
      <c r="AB16" s="54">
        <f>VLOOKUP(AB15,Parameters!$AH$3:$AJ$8,1,TRUE)</f>
        <v>0</v>
      </c>
      <c r="AC16" s="54">
        <f>VLOOKUP(AC15,Parameters!$AH$3:$AJ$8,1,TRUE)</f>
        <v>0</v>
      </c>
      <c r="AD16" s="54">
        <f>VLOOKUP(AD15,Parameters!$AH$3:$AJ$8,1,TRUE)</f>
        <v>0</v>
      </c>
      <c r="AE16" s="54">
        <f>VLOOKUP(AE15,Parameters!$AH$3:$AJ$8,1,TRUE)</f>
        <v>0</v>
      </c>
      <c r="AF16" s="54">
        <f>VLOOKUP(AF15,Parameters!$AH$3:$AJ$8,1,TRUE)</f>
        <v>0</v>
      </c>
      <c r="AG16" s="54">
        <f>VLOOKUP(AG15,Parameters!$AH$3:$AJ$8,1,TRUE)</f>
        <v>0</v>
      </c>
      <c r="AH16" s="54">
        <f>VLOOKUP(AH15,Parameters!$AH$3:$AJ$8,1,TRUE)</f>
        <v>10</v>
      </c>
      <c r="AI16" s="54">
        <f>VLOOKUP(AI15,Parameters!$AH$3:$AJ$8,1,TRUE)</f>
        <v>10</v>
      </c>
      <c r="AJ16" s="54">
        <f>VLOOKUP(AJ15,Parameters!$AH$3:$AJ$8,1,TRUE)</f>
        <v>0</v>
      </c>
      <c r="AK16" s="54">
        <f>VLOOKUP(AK15,Parameters!$AH$3:$AJ$8,1,TRUE)</f>
        <v>0</v>
      </c>
      <c r="AL16" s="54">
        <f>VLOOKUP(AL15,Parameters!$AH$3:$AJ$8,1,TRUE)</f>
        <v>0</v>
      </c>
      <c r="AM16" s="54">
        <f>VLOOKUP(AM15,Parameters!$AH$3:$AJ$8,1,TRUE)</f>
        <v>20</v>
      </c>
      <c r="AN16" s="54">
        <f>VLOOKUP(AN15,Parameters!$AH$3:$AJ$8,1,TRUE)</f>
        <v>20</v>
      </c>
    </row>
    <row r="17" spans="1:45" x14ac:dyDescent="0.25">
      <c r="A17" s="54" t="s">
        <v>84</v>
      </c>
      <c r="B17" s="54">
        <f>VLOOKUP(B15,Parameters!$AH$3:$AJ$8,2,TRUE)</f>
        <v>1</v>
      </c>
      <c r="C17" s="54">
        <f>VLOOKUP(C15,Parameters!$AH$3:$AJ$8,2,TRUE)</f>
        <v>0</v>
      </c>
      <c r="D17" s="54">
        <f>VLOOKUP(D15,Parameters!$AH$3:$AJ$8,2,TRUE)</f>
        <v>0</v>
      </c>
      <c r="E17" s="54">
        <f>VLOOKUP(E15,Parameters!$AH$3:$AJ$8,2,TRUE)</f>
        <v>0</v>
      </c>
      <c r="F17" s="54">
        <f>VLOOKUP(F15,Parameters!$AH$3:$AJ$8,2,TRUE)</f>
        <v>0</v>
      </c>
      <c r="G17" s="54">
        <f>VLOOKUP(G15,Parameters!$AH$3:$AJ$8,2,TRUE)</f>
        <v>0</v>
      </c>
      <c r="H17" s="54">
        <f>VLOOKUP(H15,Parameters!$AH$3:$AJ$8,2,TRUE)</f>
        <v>0</v>
      </c>
      <c r="I17" s="54">
        <f>VLOOKUP(I15,Parameters!$AH$3:$AJ$8,2,TRUE)</f>
        <v>1</v>
      </c>
      <c r="J17" s="54">
        <f>VLOOKUP(J15,Parameters!$AH$3:$AJ$8,2,TRUE)</f>
        <v>2</v>
      </c>
      <c r="K17" s="54">
        <f>VLOOKUP(K15,Parameters!$AH$3:$AJ$8,2,TRUE)</f>
        <v>0</v>
      </c>
      <c r="L17" s="54">
        <f>VLOOKUP(L15,Parameters!$AH$3:$AJ$8,2,TRUE)</f>
        <v>2</v>
      </c>
      <c r="M17" s="54">
        <f>VLOOKUP(M15,Parameters!$AH$3:$AJ$8,2,TRUE)</f>
        <v>0</v>
      </c>
      <c r="N17" s="54">
        <f>VLOOKUP(N15,Parameters!$AH$3:$AJ$8,2,TRUE)</f>
        <v>0</v>
      </c>
      <c r="O17" s="54">
        <f>VLOOKUP(O15,Parameters!$AH$3:$AJ$8,2,TRUE)</f>
        <v>0</v>
      </c>
      <c r="P17" s="54">
        <f>VLOOKUP(P15,Parameters!$AH$3:$AJ$8,2,TRUE)</f>
        <v>1</v>
      </c>
      <c r="Q17" s="54">
        <f>VLOOKUP(Q15,Parameters!$AH$3:$AJ$8,2,TRUE)</f>
        <v>2</v>
      </c>
      <c r="R17" s="54">
        <f>VLOOKUP(R15,Parameters!$AH$3:$AJ$8,2,TRUE)</f>
        <v>0</v>
      </c>
      <c r="S17" s="54">
        <f>VLOOKUP(S15,Parameters!$AH$3:$AJ$8,2,TRUE)</f>
        <v>0</v>
      </c>
      <c r="T17" s="54">
        <f>VLOOKUP(T15,Parameters!$AH$3:$AJ$8,2,TRUE)</f>
        <v>0</v>
      </c>
      <c r="U17" s="54">
        <f>VLOOKUP(U15,Parameters!$AH$3:$AJ$8,2,TRUE)</f>
        <v>2</v>
      </c>
      <c r="V17" s="54">
        <f>VLOOKUP(V15,Parameters!$AH$3:$AJ$8,2,TRUE)</f>
        <v>2</v>
      </c>
      <c r="W17" s="54">
        <f>VLOOKUP(W15,Parameters!$AH$3:$AJ$8,2,TRUE)</f>
        <v>0</v>
      </c>
      <c r="X17" s="54">
        <f>VLOOKUP(X15,Parameters!$AH$3:$AJ$8,2,TRUE)</f>
        <v>2</v>
      </c>
      <c r="Y17" s="54">
        <f>VLOOKUP(Y15,Parameters!$AH$3:$AJ$8,2,TRUE)</f>
        <v>0</v>
      </c>
      <c r="Z17" s="54">
        <f>VLOOKUP(Z15,Parameters!$AH$3:$AJ$8,2,TRUE)</f>
        <v>0</v>
      </c>
      <c r="AA17" s="54">
        <f>VLOOKUP(AA15,Parameters!$AH$3:$AJ$8,2,TRUE)</f>
        <v>8</v>
      </c>
      <c r="AB17" s="54">
        <f>VLOOKUP(AB15,Parameters!$AH$3:$AJ$8,2,TRUE)</f>
        <v>0</v>
      </c>
      <c r="AC17" s="54">
        <f>VLOOKUP(AC15,Parameters!$AH$3:$AJ$8,2,TRUE)</f>
        <v>0</v>
      </c>
      <c r="AD17" s="54">
        <f>VLOOKUP(AD15,Parameters!$AH$3:$AJ$8,2,TRUE)</f>
        <v>0</v>
      </c>
      <c r="AE17" s="54">
        <f>VLOOKUP(AE15,Parameters!$AH$3:$AJ$8,2,TRUE)</f>
        <v>0</v>
      </c>
      <c r="AF17" s="54">
        <f>VLOOKUP(AF15,Parameters!$AH$3:$AJ$8,2,TRUE)</f>
        <v>0</v>
      </c>
      <c r="AG17" s="54">
        <f>VLOOKUP(AG15,Parameters!$AH$3:$AJ$8,2,TRUE)</f>
        <v>0</v>
      </c>
      <c r="AH17" s="54">
        <f>VLOOKUP(AH15,Parameters!$AH$3:$AJ$8,2,TRUE)</f>
        <v>1</v>
      </c>
      <c r="AI17" s="54">
        <f>VLOOKUP(AI15,Parameters!$AH$3:$AJ$8,2,TRUE)</f>
        <v>1</v>
      </c>
      <c r="AJ17" s="54">
        <f>VLOOKUP(AJ15,Parameters!$AH$3:$AJ$8,2,TRUE)</f>
        <v>0</v>
      </c>
      <c r="AK17" s="54">
        <f>VLOOKUP(AK15,Parameters!$AH$3:$AJ$8,2,TRUE)</f>
        <v>0</v>
      </c>
      <c r="AL17" s="54">
        <f>VLOOKUP(AL15,Parameters!$AH$3:$AJ$8,2,TRUE)</f>
        <v>0</v>
      </c>
      <c r="AM17" s="54">
        <f>VLOOKUP(AM15,Parameters!$AH$3:$AJ$8,2,TRUE)</f>
        <v>2</v>
      </c>
      <c r="AN17" s="54">
        <f>VLOOKUP(AN15,Parameters!$AH$3:$AJ$8,2,TRUE)</f>
        <v>2</v>
      </c>
    </row>
    <row r="18" spans="1:45" x14ac:dyDescent="0.25">
      <c r="A18" s="54" t="s">
        <v>83</v>
      </c>
      <c r="B18" s="54">
        <f>VLOOKUP(B15,Parameters!$AH$3:$AJ$8,3,TRUE)</f>
        <v>0.1</v>
      </c>
      <c r="C18" s="54">
        <f>VLOOKUP(C15,Parameters!$AH$3:$AJ$8,3,TRUE)</f>
        <v>0.1</v>
      </c>
      <c r="D18" s="54">
        <f>VLOOKUP(D15,Parameters!$AH$3:$AJ$8,3,TRUE)</f>
        <v>0.1</v>
      </c>
      <c r="E18" s="54">
        <f>VLOOKUP(E15,Parameters!$AH$3:$AJ$8,3,TRUE)</f>
        <v>0.1</v>
      </c>
      <c r="F18" s="54">
        <f>VLOOKUP(F15,Parameters!$AH$3:$AJ$8,3,TRUE)</f>
        <v>0.1</v>
      </c>
      <c r="G18" s="54">
        <f>VLOOKUP(G15,Parameters!$AH$3:$AJ$8,3,TRUE)</f>
        <v>0.1</v>
      </c>
      <c r="H18" s="54">
        <f>VLOOKUP(H15,Parameters!$AH$3:$AJ$8,3,TRUE)</f>
        <v>0.1</v>
      </c>
      <c r="I18" s="54">
        <f>VLOOKUP(I15,Parameters!$AH$3:$AJ$8,3,TRUE)</f>
        <v>0.1</v>
      </c>
      <c r="J18" s="54">
        <f>VLOOKUP(J15,Parameters!$AH$3:$AJ$8,3,TRUE)</f>
        <v>0.1</v>
      </c>
      <c r="K18" s="54">
        <f>VLOOKUP(K15,Parameters!$AH$3:$AJ$8,3,TRUE)</f>
        <v>0.1</v>
      </c>
      <c r="L18" s="54">
        <f>VLOOKUP(L15,Parameters!$AH$3:$AJ$8,3,TRUE)</f>
        <v>0.1</v>
      </c>
      <c r="M18" s="54">
        <f>VLOOKUP(M15,Parameters!$AH$3:$AJ$8,3,TRUE)</f>
        <v>0.1</v>
      </c>
      <c r="N18" s="54">
        <f>VLOOKUP(N15,Parameters!$AH$3:$AJ$8,3,TRUE)</f>
        <v>0.1</v>
      </c>
      <c r="O18" s="54">
        <f>VLOOKUP(O15,Parameters!$AH$3:$AJ$8,3,TRUE)</f>
        <v>0.1</v>
      </c>
      <c r="P18" s="54">
        <f>VLOOKUP(P15,Parameters!$AH$3:$AJ$8,3,TRUE)</f>
        <v>0.1</v>
      </c>
      <c r="Q18" s="54">
        <f>VLOOKUP(Q15,Parameters!$AH$3:$AJ$8,3,TRUE)</f>
        <v>0.1</v>
      </c>
      <c r="R18" s="54">
        <f>VLOOKUP(R15,Parameters!$AH$3:$AJ$8,3,TRUE)</f>
        <v>0.1</v>
      </c>
      <c r="S18" s="54">
        <f>VLOOKUP(S15,Parameters!$AH$3:$AJ$8,3,TRUE)</f>
        <v>0.1</v>
      </c>
      <c r="T18" s="54">
        <f>VLOOKUP(T15,Parameters!$AH$3:$AJ$8,3,TRUE)</f>
        <v>0.1</v>
      </c>
      <c r="U18" s="54">
        <f>VLOOKUP(U15,Parameters!$AH$3:$AJ$8,3,TRUE)</f>
        <v>0.1</v>
      </c>
      <c r="V18" s="54">
        <f>VLOOKUP(V15,Parameters!$AH$3:$AJ$8,3,TRUE)</f>
        <v>0.1</v>
      </c>
      <c r="W18" s="54">
        <f>VLOOKUP(W15,Parameters!$AH$3:$AJ$8,3,TRUE)</f>
        <v>0.1</v>
      </c>
      <c r="X18" s="54">
        <f>VLOOKUP(X15,Parameters!$AH$3:$AJ$8,3,TRUE)</f>
        <v>0.1</v>
      </c>
      <c r="Y18" s="54">
        <f>VLOOKUP(Y15,Parameters!$AH$3:$AJ$8,3,TRUE)</f>
        <v>0.1</v>
      </c>
      <c r="Z18" s="54">
        <f>VLOOKUP(Z15,Parameters!$AH$3:$AJ$8,3,TRUE)</f>
        <v>0.1</v>
      </c>
      <c r="AA18" s="54">
        <f>VLOOKUP(AA15,Parameters!$AH$3:$AJ$8,3,TRUE)</f>
        <v>0</v>
      </c>
      <c r="AB18" s="54">
        <f>VLOOKUP(AB15,Parameters!$AH$3:$AJ$8,3,TRUE)</f>
        <v>0.1</v>
      </c>
      <c r="AC18" s="54">
        <f>VLOOKUP(AC15,Parameters!$AH$3:$AJ$8,3,TRUE)</f>
        <v>0.1</v>
      </c>
      <c r="AD18" s="54">
        <f>VLOOKUP(AD15,Parameters!$AH$3:$AJ$8,3,TRUE)</f>
        <v>0.1</v>
      </c>
      <c r="AE18" s="54">
        <f>VLOOKUP(AE15,Parameters!$AH$3:$AJ$8,3,TRUE)</f>
        <v>0.1</v>
      </c>
      <c r="AF18" s="54">
        <f>VLOOKUP(AF15,Parameters!$AH$3:$AJ$8,3,TRUE)</f>
        <v>0.1</v>
      </c>
      <c r="AG18" s="54">
        <f>VLOOKUP(AG15,Parameters!$AH$3:$AJ$8,3,TRUE)</f>
        <v>0.1</v>
      </c>
      <c r="AH18" s="54">
        <f>VLOOKUP(AH15,Parameters!$AH$3:$AJ$8,3,TRUE)</f>
        <v>0.1</v>
      </c>
      <c r="AI18" s="54">
        <f>VLOOKUP(AI15,Parameters!$AH$3:$AJ$8,3,TRUE)</f>
        <v>0.1</v>
      </c>
      <c r="AJ18" s="54">
        <f>VLOOKUP(AJ15,Parameters!$AH$3:$AJ$8,3,TRUE)</f>
        <v>0.1</v>
      </c>
      <c r="AK18" s="54">
        <f>VLOOKUP(AK15,Parameters!$AH$3:$AJ$8,3,TRUE)</f>
        <v>0.1</v>
      </c>
      <c r="AL18" s="54">
        <f>VLOOKUP(AL15,Parameters!$AH$3:$AJ$8,3,TRUE)</f>
        <v>0.1</v>
      </c>
      <c r="AM18" s="54">
        <f>VLOOKUP(AM15,Parameters!$AH$3:$AJ$8,3,TRUE)</f>
        <v>0.1</v>
      </c>
      <c r="AN18" s="54">
        <f>VLOOKUP(AN15,Parameters!$AH$3:$AJ$8,3,TRUE)</f>
        <v>0.1</v>
      </c>
    </row>
    <row r="19" spans="1:45" x14ac:dyDescent="0.25">
      <c r="A19" s="56" t="s">
        <v>102</v>
      </c>
      <c r="B19" s="54">
        <f t="shared" ref="B19:AN19" si="7">B17+B18*(B15-B16)</f>
        <v>1.2345523646751613</v>
      </c>
      <c r="C19" s="54">
        <f t="shared" si="7"/>
        <v>0.77515031394349765</v>
      </c>
      <c r="D19" s="54">
        <f t="shared" si="7"/>
        <v>1.6270406494109067E-2</v>
      </c>
      <c r="E19" s="54">
        <f t="shared" si="7"/>
        <v>0.8047158835050523</v>
      </c>
      <c r="F19" s="54">
        <f t="shared" si="7"/>
        <v>0.75868964278718432</v>
      </c>
      <c r="G19" s="54">
        <f t="shared" si="7"/>
        <v>2.7577809863328761E-3</v>
      </c>
      <c r="H19" s="54">
        <f t="shared" si="7"/>
        <v>0.6744885027911417</v>
      </c>
      <c r="I19" s="54">
        <f t="shared" si="7"/>
        <v>1.5343301964395668</v>
      </c>
      <c r="J19" s="54">
        <f t="shared" si="7"/>
        <v>2.0407548635897452</v>
      </c>
      <c r="K19" s="54">
        <f t="shared" si="7"/>
        <v>0</v>
      </c>
      <c r="L19" s="54">
        <f t="shared" si="7"/>
        <v>2.8733980572287234</v>
      </c>
      <c r="M19" s="54">
        <f t="shared" si="7"/>
        <v>2.5671392958274752E-2</v>
      </c>
      <c r="N19" s="54">
        <f t="shared" si="7"/>
        <v>0.34679921149256726</v>
      </c>
      <c r="O19" s="54">
        <f t="shared" si="7"/>
        <v>0</v>
      </c>
      <c r="P19" s="54">
        <f t="shared" si="7"/>
        <v>1.4965258566527884</v>
      </c>
      <c r="Q19" s="54">
        <f t="shared" si="7"/>
        <v>2.1515652411196684</v>
      </c>
      <c r="R19" s="54">
        <f t="shared" si="7"/>
        <v>1.9718862730819409E-2</v>
      </c>
      <c r="S19" s="54">
        <f t="shared" si="7"/>
        <v>0.13573518740823035</v>
      </c>
      <c r="T19" s="54">
        <f t="shared" si="7"/>
        <v>5.2042266852605761E-2</v>
      </c>
      <c r="U19" s="54">
        <f t="shared" si="7"/>
        <v>3.0891989757122884</v>
      </c>
      <c r="V19" s="54">
        <f t="shared" si="7"/>
        <v>2.9122546066512793</v>
      </c>
      <c r="W19" s="54">
        <f t="shared" si="7"/>
        <v>0</v>
      </c>
      <c r="X19" s="54">
        <f t="shared" si="7"/>
        <v>3.6684480444424015</v>
      </c>
      <c r="Y19" s="54">
        <f t="shared" si="7"/>
        <v>3.8059321268912351E-2</v>
      </c>
      <c r="Z19" s="54">
        <f t="shared" si="7"/>
        <v>0.9016268619021951</v>
      </c>
      <c r="AA19" s="54">
        <f t="shared" si="7"/>
        <v>8</v>
      </c>
      <c r="AB19" s="54">
        <f t="shared" si="7"/>
        <v>0.27965020023494735</v>
      </c>
      <c r="AC19" s="54">
        <f t="shared" si="7"/>
        <v>0.11442287623855132</v>
      </c>
      <c r="AD19" s="54">
        <f t="shared" si="7"/>
        <v>0.95483928590203393</v>
      </c>
      <c r="AE19" s="54">
        <f t="shared" si="7"/>
        <v>0.61062541133591308</v>
      </c>
      <c r="AF19" s="54">
        <f t="shared" si="7"/>
        <v>0.19278054917613119</v>
      </c>
      <c r="AG19" s="54">
        <f t="shared" si="7"/>
        <v>0.16080296373275318</v>
      </c>
      <c r="AH19" s="54">
        <f t="shared" si="7"/>
        <v>1.4360231119521687</v>
      </c>
      <c r="AI19" s="54">
        <f t="shared" si="7"/>
        <v>1.7733300806057937</v>
      </c>
      <c r="AJ19" s="54">
        <f t="shared" si="7"/>
        <v>0</v>
      </c>
      <c r="AK19" s="54">
        <f t="shared" si="7"/>
        <v>0.48613635813112738</v>
      </c>
      <c r="AL19" s="54">
        <f t="shared" si="7"/>
        <v>0</v>
      </c>
      <c r="AM19" s="54">
        <f t="shared" si="7"/>
        <v>2.0089300303137825</v>
      </c>
      <c r="AN19" s="54">
        <f t="shared" si="7"/>
        <v>2.4132690325320318</v>
      </c>
    </row>
    <row r="20" spans="1:45" x14ac:dyDescent="0.25">
      <c r="A20" s="56" t="s">
        <v>101</v>
      </c>
      <c r="B20" s="54">
        <f t="shared" ref="B20:AN20" si="8">B19</f>
        <v>1.2345523646751613</v>
      </c>
      <c r="C20" s="54">
        <f t="shared" si="8"/>
        <v>0.77515031394349765</v>
      </c>
      <c r="D20" s="54">
        <f t="shared" si="8"/>
        <v>1.6270406494109067E-2</v>
      </c>
      <c r="E20" s="54">
        <f t="shared" si="8"/>
        <v>0.8047158835050523</v>
      </c>
      <c r="F20" s="54">
        <f t="shared" si="8"/>
        <v>0.75868964278718432</v>
      </c>
      <c r="G20" s="54">
        <f t="shared" si="8"/>
        <v>2.7577809863328761E-3</v>
      </c>
      <c r="H20" s="54">
        <f t="shared" si="8"/>
        <v>0.6744885027911417</v>
      </c>
      <c r="I20" s="54">
        <f t="shared" si="8"/>
        <v>1.5343301964395668</v>
      </c>
      <c r="J20" s="54">
        <f t="shared" si="8"/>
        <v>2.0407548635897452</v>
      </c>
      <c r="K20" s="54">
        <f t="shared" si="8"/>
        <v>0</v>
      </c>
      <c r="L20" s="54">
        <f t="shared" si="8"/>
        <v>2.8733980572287234</v>
      </c>
      <c r="M20" s="54">
        <f t="shared" si="8"/>
        <v>2.5671392958274752E-2</v>
      </c>
      <c r="N20" s="54">
        <f t="shared" si="8"/>
        <v>0.34679921149256726</v>
      </c>
      <c r="O20" s="54">
        <f t="shared" si="8"/>
        <v>0</v>
      </c>
      <c r="P20" s="54">
        <f t="shared" si="8"/>
        <v>1.4965258566527884</v>
      </c>
      <c r="Q20" s="54">
        <f t="shared" si="8"/>
        <v>2.1515652411196684</v>
      </c>
      <c r="R20" s="54">
        <f t="shared" si="8"/>
        <v>1.9718862730819409E-2</v>
      </c>
      <c r="S20" s="54">
        <f t="shared" si="8"/>
        <v>0.13573518740823035</v>
      </c>
      <c r="T20" s="54">
        <f t="shared" si="8"/>
        <v>5.2042266852605761E-2</v>
      </c>
      <c r="U20" s="54">
        <f t="shared" si="8"/>
        <v>3.0891989757122884</v>
      </c>
      <c r="V20" s="54">
        <f t="shared" si="8"/>
        <v>2.9122546066512793</v>
      </c>
      <c r="W20" s="54">
        <f t="shared" si="8"/>
        <v>0</v>
      </c>
      <c r="X20" s="54">
        <f t="shared" si="8"/>
        <v>3.6684480444424015</v>
      </c>
      <c r="Y20" s="54">
        <f t="shared" si="8"/>
        <v>3.8059321268912351E-2</v>
      </c>
      <c r="Z20" s="54">
        <f t="shared" si="8"/>
        <v>0.9016268619021951</v>
      </c>
      <c r="AA20" s="54">
        <f t="shared" si="8"/>
        <v>8</v>
      </c>
      <c r="AB20" s="54">
        <f t="shared" si="8"/>
        <v>0.27965020023494735</v>
      </c>
      <c r="AC20" s="54">
        <f t="shared" si="8"/>
        <v>0.11442287623855132</v>
      </c>
      <c r="AD20" s="54">
        <f t="shared" si="8"/>
        <v>0.95483928590203393</v>
      </c>
      <c r="AE20" s="54">
        <f t="shared" si="8"/>
        <v>0.61062541133591308</v>
      </c>
      <c r="AF20" s="54">
        <f t="shared" si="8"/>
        <v>0.19278054917613119</v>
      </c>
      <c r="AG20" s="54">
        <f t="shared" si="8"/>
        <v>0.16080296373275318</v>
      </c>
      <c r="AH20" s="54">
        <f t="shared" si="8"/>
        <v>1.4360231119521687</v>
      </c>
      <c r="AI20" s="54">
        <f t="shared" si="8"/>
        <v>1.7733300806057937</v>
      </c>
      <c r="AJ20" s="54">
        <f t="shared" si="8"/>
        <v>0</v>
      </c>
      <c r="AK20" s="54">
        <f t="shared" si="8"/>
        <v>0.48613635813112738</v>
      </c>
      <c r="AL20" s="54">
        <f t="shared" si="8"/>
        <v>0</v>
      </c>
      <c r="AM20" s="54">
        <f t="shared" si="8"/>
        <v>2.0089300303137825</v>
      </c>
      <c r="AN20" s="54">
        <f t="shared" si="8"/>
        <v>2.4132690325320318</v>
      </c>
    </row>
    <row r="22" spans="1:45" ht="21" x14ac:dyDescent="0.35">
      <c r="A22" s="19" t="s">
        <v>21</v>
      </c>
      <c r="B22" s="1"/>
      <c r="AS22" s="146"/>
    </row>
    <row r="23" spans="1:45" s="84" customFormat="1" x14ac:dyDescent="0.25">
      <c r="A23" s="358" t="str">
        <f>IF(Main!M251&gt;0.02,Main!N249&amp;" max slope assumed for controlled drainage",Main!M251*100&amp;"% max slope assumed for controlled drainage")</f>
        <v>1% max slope assumed for controlled drainage</v>
      </c>
      <c r="AS23" s="502"/>
    </row>
    <row r="24" spans="1:45" x14ac:dyDescent="0.25">
      <c r="A24" s="263" t="s">
        <v>522</v>
      </c>
      <c r="B24" s="5">
        <f ca="1">(B4*'Cost data'!$C$27+IF(Main!$M$251&gt;0.01,C_Drain!B6*'Cost data'!$D$27)+IF(Main!$M$251&gt;0.02,C_Drain!B8*'Cost data'!$E$27))*Main!$C$168</f>
        <v>302937.78577089537</v>
      </c>
      <c r="C24" s="5">
        <f ca="1">(C4*'Cost data'!$C$27+IF(Main!$M$251&gt;0.01,C_Drain!C6*'Cost data'!$D$27)+IF(Main!$M$251&gt;0.02,C_Drain!C8*'Cost data'!$E$27))*Main!$C$168</f>
        <v>15387.955735170499</v>
      </c>
      <c r="D24" s="5">
        <f ca="1">(D4*'Cost data'!$C$27+IF(Main!$M$251&gt;0.01,C_Drain!D6*'Cost data'!$D$27)+IF(Main!$M$251&gt;0.02,C_Drain!D8*'Cost data'!$E$27))*Main!$C$168</f>
        <v>1296.5073116793842</v>
      </c>
      <c r="E24" s="5">
        <f ca="1">(E4*'Cost data'!$C$27+IF(Main!$M$251&gt;0.01,C_Drain!E6*'Cost data'!$D$27)+IF(Main!$M$251&gt;0.02,C_Drain!E8*'Cost data'!$E$27))*Main!$C$168</f>
        <v>87836.526116901776</v>
      </c>
      <c r="F24" s="5">
        <f ca="1">(F4*'Cost data'!$C$27+IF(Main!$M$251&gt;0.01,C_Drain!F6*'Cost data'!$D$27)+IF(Main!$M$251&gt;0.02,C_Drain!F8*'Cost data'!$E$27))*Main!$C$168</f>
        <v>171093.78103195448</v>
      </c>
      <c r="G24" s="5">
        <f ca="1">(G4*'Cost data'!$C$27+IF(Main!$M$251&gt;0.01,C_Drain!G6*'Cost data'!$D$27)+IF(Main!$M$251&gt;0.02,C_Drain!G8*'Cost data'!$E$27))*Main!$C$168</f>
        <v>12.448683291373889</v>
      </c>
      <c r="H24" s="5">
        <f ca="1">(H4*'Cost data'!$C$27+IF(Main!$M$251&gt;0.01,C_Drain!H6*'Cost data'!$D$27)+IF(Main!$M$251&gt;0.02,C_Drain!H8*'Cost data'!$E$27))*Main!$C$168</f>
        <v>66696.817638772409</v>
      </c>
      <c r="I24" s="5">
        <f ca="1">(I4*'Cost data'!$C$27+IF(Main!$M$251&gt;0.01,C_Drain!I6*'Cost data'!$D$27)+IF(Main!$M$251&gt;0.02,C_Drain!I8*'Cost data'!$E$27))*Main!$C$168</f>
        <v>567121.43726871139</v>
      </c>
      <c r="J24" s="5">
        <f ca="1">(J4*'Cost data'!$C$27+IF(Main!$M$251&gt;0.01,C_Drain!J6*'Cost data'!$D$27)+IF(Main!$M$251&gt;0.02,C_Drain!J8*'Cost data'!$E$27))*Main!$C$168</f>
        <v>193953.71311601403</v>
      </c>
      <c r="K24" s="5">
        <f ca="1">(K4*'Cost data'!$C$27+IF(Main!$M$251&gt;0.01,C_Drain!K6*'Cost data'!$D$27)+IF(Main!$M$251&gt;0.02,C_Drain!K8*'Cost data'!$E$27))*Main!$C$168</f>
        <v>0</v>
      </c>
      <c r="L24" s="5">
        <f ca="1">(L4*'Cost data'!$C$27+IF(Main!$M$251&gt;0.01,C_Drain!L6*'Cost data'!$D$27)+IF(Main!$M$251&gt;0.02,C_Drain!L8*'Cost data'!$E$27))*Main!$C$168</f>
        <v>29690.109649926722</v>
      </c>
      <c r="M24" s="5">
        <f ca="1">(M4*'Cost data'!$C$27+IF(Main!$M$251&gt;0.01,C_Drain!M6*'Cost data'!$D$27)+IF(Main!$M$251&gt;0.02,C_Drain!M8*'Cost data'!$E$27))*Main!$C$168</f>
        <v>1408.5454613017491</v>
      </c>
      <c r="N24" s="5">
        <f ca="1">(N4*'Cost data'!$C$27+IF(Main!$M$251&gt;0.01,C_Drain!N6*'Cost data'!$D$27)+IF(Main!$M$251&gt;0.02,C_Drain!N8*'Cost data'!$E$27))*Main!$C$168</f>
        <v>55341.774227662936</v>
      </c>
      <c r="O24" s="5">
        <f ca="1">(O4*'Cost data'!$C$27+IF(Main!$M$251&gt;0.01,C_Drain!O6*'Cost data'!$D$27)+IF(Main!$M$251&gt;0.02,C_Drain!O8*'Cost data'!$E$27))*Main!$C$168</f>
        <v>0</v>
      </c>
      <c r="P24" s="5">
        <f ca="1">(P4*'Cost data'!$C$27+IF(Main!$M$251&gt;0.01,C_Drain!P6*'Cost data'!$D$27)+IF(Main!$M$251&gt;0.02,C_Drain!P8*'Cost data'!$E$27))*Main!$C$168</f>
        <v>75027.292072422177</v>
      </c>
      <c r="Q24" s="5">
        <f ca="1">(Q4*'Cost data'!$C$27+IF(Main!$M$251&gt;0.01,C_Drain!Q6*'Cost data'!$D$27)+IF(Main!$M$251&gt;0.02,C_Drain!Q8*'Cost data'!$E$27))*Main!$C$168</f>
        <v>110092.9275925018</v>
      </c>
      <c r="R24" s="5">
        <f ca="1">(R4*'Cost data'!$C$27+IF(Main!$M$251&gt;0.01,C_Drain!R6*'Cost data'!$D$27)+IF(Main!$M$251&gt;0.02,C_Drain!R8*'Cost data'!$E$27))*Main!$C$168</f>
        <v>17.520369076748434</v>
      </c>
      <c r="S24" s="5">
        <f ca="1">(S4*'Cost data'!$C$27+IF(Main!$M$251&gt;0.01,C_Drain!S6*'Cost data'!$D$27)+IF(Main!$M$251&gt;0.02,C_Drain!S8*'Cost data'!$E$27))*Main!$C$168</f>
        <v>5015.8972417354271</v>
      </c>
      <c r="T24" s="5">
        <f ca="1">(T4*'Cost data'!$C$27+IF(Main!$M$251&gt;0.01,C_Drain!T6*'Cost data'!$D$27)+IF(Main!$M$251&gt;0.02,C_Drain!T8*'Cost data'!$E$27))*Main!$C$168</f>
        <v>70.081476306993736</v>
      </c>
      <c r="U24" s="5">
        <f ca="1">(U4*'Cost data'!$C$27+IF(Main!$M$251&gt;0.01,C_Drain!U6*'Cost data'!$D$27)+IF(Main!$M$251&gt;0.02,C_Drain!U8*'Cost data'!$E$27))*Main!$C$168</f>
        <v>68118.272845709682</v>
      </c>
      <c r="V24" s="5">
        <f ca="1">(V4*'Cost data'!$C$27+IF(Main!$M$251&gt;0.01,C_Drain!V6*'Cost data'!$D$27)+IF(Main!$M$251&gt;0.02,C_Drain!V8*'Cost data'!$E$27))*Main!$C$168</f>
        <v>38787.330761856283</v>
      </c>
      <c r="W24" s="5">
        <f ca="1">(W4*'Cost data'!$C$27+IF(Main!$M$251&gt;0.01,C_Drain!W6*'Cost data'!$D$27)+IF(Main!$M$251&gt;0.02,C_Drain!W8*'Cost data'!$E$27))*Main!$C$168</f>
        <v>0</v>
      </c>
      <c r="X24" s="5">
        <f ca="1">(X4*'Cost data'!$C$27+IF(Main!$M$251&gt;0.01,C_Drain!X6*'Cost data'!$D$27)+IF(Main!$M$251&gt;0.02,C_Drain!X8*'Cost data'!$E$27))*Main!$C$168</f>
        <v>55284.14143464731</v>
      </c>
      <c r="Y24" s="5">
        <f ca="1">(Y4*'Cost data'!$C$27+IF(Main!$M$251&gt;0.01,C_Drain!Y6*'Cost data'!$D$27)+IF(Main!$M$251&gt;0.02,C_Drain!Y8*'Cost data'!$E$27))*Main!$C$168</f>
        <v>4564.0561444929672</v>
      </c>
      <c r="Z24" s="5">
        <f ca="1">(Z4*'Cost data'!$C$27+IF(Main!$M$251&gt;0.01,C_Drain!Z6*'Cost data'!$D$27)+IF(Main!$M$251&gt;0.02,C_Drain!Z8*'Cost data'!$E$27))*Main!$C$168</f>
        <v>325342.64932130359</v>
      </c>
      <c r="AA24" s="5">
        <f ca="1">(AA4*'Cost data'!$C$27+IF(Main!$M$251&gt;0.01,C_Drain!AA6*'Cost data'!$D$27)+IF(Main!$M$251&gt;0.02,C_Drain!AA8*'Cost data'!$E$27))*Main!$C$168</f>
        <v>567173.99837594153</v>
      </c>
      <c r="AB24" s="5">
        <f ca="1">(AB4*'Cost data'!$C$27+IF(Main!$M$251&gt;0.01,C_Drain!AB6*'Cost data'!$D$27)+IF(Main!$M$251&gt;0.02,C_Drain!AB8*'Cost data'!$E$27))*Main!$C$168</f>
        <v>64832.281519131087</v>
      </c>
      <c r="AC24" s="5">
        <f ca="1">(AC4*'Cost data'!$C$27+IF(Main!$M$251&gt;0.01,C_Drain!AC6*'Cost data'!$D$27)+IF(Main!$M$251&gt;0.02,C_Drain!AC8*'Cost data'!$E$27))*Main!$C$168</f>
        <v>1105.6275012116512</v>
      </c>
      <c r="AD24" s="5">
        <f ca="1">(AD4*'Cost data'!$C$27+IF(Main!$M$251&gt;0.01,C_Drain!AD6*'Cost data'!$D$27)+IF(Main!$M$251&gt;0.02,C_Drain!AD8*'Cost data'!$E$27))*Main!$C$168</f>
        <v>10776.871231576788</v>
      </c>
      <c r="AE24" s="5">
        <f ca="1">(AE4*'Cost data'!$C$27+IF(Main!$M$251&gt;0.01,C_Drain!AE6*'Cost data'!$D$27)+IF(Main!$M$251&gt;0.02,C_Drain!AE8*'Cost data'!$E$27))*Main!$C$168</f>
        <v>8312.4930022288827</v>
      </c>
      <c r="AF24" s="5">
        <f ca="1">(AF4*'Cost data'!$C$27+IF(Main!$M$251&gt;0.01,C_Drain!AF6*'Cost data'!$D$27)+IF(Main!$M$251&gt;0.02,C_Drain!AF8*'Cost data'!$E$27))*Main!$C$168</f>
        <v>5233.5186681624073</v>
      </c>
      <c r="AG24" s="5">
        <f ca="1">(AG4*'Cost data'!$C$27+IF(Main!$M$251&gt;0.01,C_Drain!AG6*'Cost data'!$D$27)+IF(Main!$M$251&gt;0.02,C_Drain!AG8*'Cost data'!$E$27))*Main!$C$168</f>
        <v>858.95914710479838</v>
      </c>
      <c r="AH24" s="5">
        <f ca="1">(AH4*'Cost data'!$C$27+IF(Main!$M$251&gt;0.01,C_Drain!AH6*'Cost data'!$D$27)+IF(Main!$M$251&gt;0.02,C_Drain!AH8*'Cost data'!$E$27))*Main!$C$168</f>
        <v>399130.60581271787</v>
      </c>
      <c r="AI24" s="5">
        <f ca="1">(AI4*'Cost data'!$C$27+IF(Main!$M$251&gt;0.01,C_Drain!AI6*'Cost data'!$D$27)+IF(Main!$M$251&gt;0.02,C_Drain!AI8*'Cost data'!$E$27))*Main!$C$168</f>
        <v>47189.730921189534</v>
      </c>
      <c r="AJ24" s="5">
        <f ca="1">(AJ4*'Cost data'!$C$27+IF(Main!$M$251&gt;0.01,C_Drain!AJ6*'Cost data'!$D$27)+IF(Main!$M$251&gt;0.02,C_Drain!AJ8*'Cost data'!$E$27))*Main!$C$168</f>
        <v>0</v>
      </c>
      <c r="AK24" s="5">
        <f ca="1">(AK4*'Cost data'!$C$27+IF(Main!$M$251&gt;0.01,C_Drain!AK6*'Cost data'!$D$27)+IF(Main!$M$251&gt;0.02,C_Drain!AK8*'Cost data'!$E$27))*Main!$C$168</f>
        <v>52660.696696576291</v>
      </c>
      <c r="AL24" s="5">
        <f ca="1">(AL4*'Cost data'!$C$27+IF(Main!$M$251&gt;0.01,C_Drain!AL6*'Cost data'!$D$27)+IF(Main!$M$251&gt;0.02,C_Drain!AL8*'Cost data'!$E$27))*Main!$C$168</f>
        <v>0</v>
      </c>
      <c r="AM24" s="5">
        <f ca="1">(AM4*'Cost data'!$C$27+IF(Main!$M$251&gt;0.01,C_Drain!AM6*'Cost data'!$D$27)+IF(Main!$M$251&gt;0.02,C_Drain!AM8*'Cost data'!$E$27))*Main!$C$168</f>
        <v>329025.15426382958</v>
      </c>
      <c r="AN24" s="5">
        <f ca="1">(AN4*'Cost data'!$C$27+IF(Main!$M$251&gt;0.01,C_Drain!AN6*'Cost data'!$D$27)+IF(Main!$M$251&gt;0.02,C_Drain!AN8*'Cost data'!$E$27))*Main!$C$168</f>
        <v>475163.01379533246</v>
      </c>
      <c r="AO24" s="33">
        <f ca="1">SUM(B24:AN24)</f>
        <v>4136560.5222073379</v>
      </c>
      <c r="AS24" s="146"/>
    </row>
    <row r="25" spans="1:45" x14ac:dyDescent="0.25">
      <c r="A25" s="83" t="s">
        <v>955</v>
      </c>
      <c r="B25" s="83">
        <f ca="1">B5*(1-Main!$C$168)+B7*IF(Main!$M$251&gt;0.01,(1-Main!$C$168),1)+B9*IF(Main!$M$251&gt;0.02,(1-Main!$C$168),1)</f>
        <v>9.8764189174012904E-2</v>
      </c>
      <c r="C25" s="83">
        <f ca="1">C5*(1-Main!$C$168)+C7*IF(Main!$M$251&gt;0.01,(1-Main!$C$168),1)+C9*IF(Main!$M$251&gt;0.02,(1-Main!$C$168),1)</f>
        <v>6.2012025115479812E-2</v>
      </c>
      <c r="D25" s="83">
        <f ca="1">D5*(1-Main!$C$168)+D7*IF(Main!$M$251&gt;0.01,(1-Main!$C$168),1)+D9*IF(Main!$M$251&gt;0.02,(1-Main!$C$168),1)</f>
        <v>1.3016325195287252E-3</v>
      </c>
      <c r="E25" s="83">
        <f ca="1">E5*(1-Main!$C$168)+E7*IF(Main!$M$251&gt;0.01,(1-Main!$C$168),1)+E9*IF(Main!$M$251&gt;0.02,(1-Main!$C$168),1)</f>
        <v>6.4377270680404192E-2</v>
      </c>
      <c r="F25" s="83">
        <f ca="1">F5*(1-Main!$C$168)+F7*IF(Main!$M$251&gt;0.01,(1-Main!$C$168),1)+F9*IF(Main!$M$251&gt;0.02,(1-Main!$C$168),1)</f>
        <v>6.0695171422974738E-2</v>
      </c>
      <c r="G25" s="83">
        <f ca="1">G5*(1-Main!$C$168)+G7*IF(Main!$M$251&gt;0.01,(1-Main!$C$168),1)+G9*IF(Main!$M$251&gt;0.02,(1-Main!$C$168),1)</f>
        <v>2.2062247890663008E-4</v>
      </c>
      <c r="H25" s="83">
        <f ca="1">H5*(1-Main!$C$168)+H7*IF(Main!$M$251&gt;0.01,(1-Main!$C$168),1)+H9*IF(Main!$M$251&gt;0.02,(1-Main!$C$168),1)</f>
        <v>5.3959080223291336E-2</v>
      </c>
      <c r="I25" s="83">
        <f ca="1">I5*(1-Main!$C$168)+I7*IF(Main!$M$251&gt;0.01,(1-Main!$C$168),1)+I9*IF(Main!$M$251&gt;0.02,(1-Main!$C$168),1)</f>
        <v>0.12274641571516534</v>
      </c>
      <c r="J25" s="83">
        <f ca="1">J5*(1-Main!$C$168)+J7*IF(Main!$M$251&gt;0.01,(1-Main!$C$168),1)+J9*IF(Main!$M$251&gt;0.02,(1-Main!$C$168),1)</f>
        <v>0.16326038908717963</v>
      </c>
      <c r="K25" s="83">
        <f ca="1">K5*(1-Main!$C$168)+K7*IF(Main!$M$251&gt;0.01,(1-Main!$C$168),1)+K9*IF(Main!$M$251&gt;0.02,(1-Main!$C$168),1)</f>
        <v>0</v>
      </c>
      <c r="L25" s="83">
        <f ca="1">L5*(1-Main!$C$168)+L7*IF(Main!$M$251&gt;0.01,(1-Main!$C$168),1)+L9*IF(Main!$M$251&gt;0.02,(1-Main!$C$168),1)</f>
        <v>0.22987184457829787</v>
      </c>
      <c r="M25" s="83">
        <f ca="1">M5*(1-Main!$C$168)+M7*IF(Main!$M$251&gt;0.01,(1-Main!$C$168),1)+M9*IF(Main!$M$251&gt;0.02,(1-Main!$C$168),1)</f>
        <v>2.0537114366619802E-3</v>
      </c>
      <c r="N25" s="83">
        <f ca="1">N5*(1-Main!$C$168)+N7*IF(Main!$M$251&gt;0.01,(1-Main!$C$168),1)+N9*IF(Main!$M$251&gt;0.02,(1-Main!$C$168),1)</f>
        <v>2.7743936919405379E-2</v>
      </c>
      <c r="O25" s="83">
        <f ca="1">O5*(1-Main!$C$168)+O7*IF(Main!$M$251&gt;0.01,(1-Main!$C$168),1)+O9*IF(Main!$M$251&gt;0.02,(1-Main!$C$168),1)</f>
        <v>0</v>
      </c>
      <c r="P25" s="83">
        <f ca="1">P5*(1-Main!$C$168)+P7*IF(Main!$M$251&gt;0.01,(1-Main!$C$168),1)+P9*IF(Main!$M$251&gt;0.02,(1-Main!$C$168),1)</f>
        <v>0.11972206853222307</v>
      </c>
      <c r="Q25" s="83">
        <f ca="1">Q5*(1-Main!$C$168)+Q7*IF(Main!$M$251&gt;0.01,(1-Main!$C$168),1)+Q9*IF(Main!$M$251&gt;0.02,(1-Main!$C$168),1)</f>
        <v>0.17212521928957347</v>
      </c>
      <c r="R25" s="83">
        <f ca="1">R5*(1-Main!$C$168)+R7*IF(Main!$M$251&gt;0.01,(1-Main!$C$168),1)+R9*IF(Main!$M$251&gt;0.02,(1-Main!$C$168),1)</f>
        <v>1.5775090184655526E-3</v>
      </c>
      <c r="S25" s="83">
        <f ca="1">S5*(1-Main!$C$168)+S7*IF(Main!$M$251&gt;0.01,(1-Main!$C$168),1)+S9*IF(Main!$M$251&gt;0.02,(1-Main!$C$168),1)</f>
        <v>1.0858814992658429E-2</v>
      </c>
      <c r="T25" s="83">
        <f ca="1">T5*(1-Main!$C$168)+T7*IF(Main!$M$251&gt;0.01,(1-Main!$C$168),1)+T9*IF(Main!$M$251&gt;0.02,(1-Main!$C$168),1)</f>
        <v>4.163381348208461E-3</v>
      </c>
      <c r="U25" s="83">
        <f ca="1">U5*(1-Main!$C$168)+U7*IF(Main!$M$251&gt;0.01,(1-Main!$C$168),1)+U9*IF(Main!$M$251&gt;0.02,(1-Main!$C$168),1)</f>
        <v>0.24713591805698309</v>
      </c>
      <c r="V25" s="83">
        <f ca="1">V5*(1-Main!$C$168)+V7*IF(Main!$M$251&gt;0.01,(1-Main!$C$168),1)+V9*IF(Main!$M$251&gt;0.02,(1-Main!$C$168),1)</f>
        <v>0.23298036853210236</v>
      </c>
      <c r="W25" s="83">
        <f ca="1">W5*(1-Main!$C$168)+W7*IF(Main!$M$251&gt;0.01,(1-Main!$C$168),1)+W9*IF(Main!$M$251&gt;0.02,(1-Main!$C$168),1)</f>
        <v>0</v>
      </c>
      <c r="X25" s="83">
        <f ca="1">X5*(1-Main!$C$168)+X7*IF(Main!$M$251&gt;0.01,(1-Main!$C$168),1)+X9*IF(Main!$M$251&gt;0.02,(1-Main!$C$168),1)</f>
        <v>0.29347584355539208</v>
      </c>
      <c r="Y25" s="83">
        <f ca="1">Y5*(1-Main!$C$168)+Y7*IF(Main!$M$251&gt;0.01,(1-Main!$C$168),1)+Y9*IF(Main!$M$251&gt;0.02,(1-Main!$C$168),1)</f>
        <v>3.0447457015129881E-3</v>
      </c>
      <c r="Z25" s="83">
        <f ca="1">Z5*(1-Main!$C$168)+Z7*IF(Main!$M$251&gt;0.01,(1-Main!$C$168),1)+Z9*IF(Main!$M$251&gt;0.02,(1-Main!$C$168),1)</f>
        <v>7.2130148952175607E-2</v>
      </c>
      <c r="AA25" s="83">
        <f ca="1">AA5*(1-Main!$C$168)+AA7*IF(Main!$M$251&gt;0.01,(1-Main!$C$168),1)+AA9*IF(Main!$M$251&gt;0.02,(1-Main!$C$168),1)</f>
        <v>0.70486732668789698</v>
      </c>
      <c r="AB25" s="83">
        <f ca="1">AB5*(1-Main!$C$168)+AB7*IF(Main!$M$251&gt;0.01,(1-Main!$C$168),1)+AB9*IF(Main!$M$251&gt;0.02,(1-Main!$C$168),1)</f>
        <v>2.2372016018795789E-2</v>
      </c>
      <c r="AC25" s="83">
        <f ca="1">AC5*(1-Main!$C$168)+AC7*IF(Main!$M$251&gt;0.01,(1-Main!$C$168),1)+AC9*IF(Main!$M$251&gt;0.02,(1-Main!$C$168),1)</f>
        <v>9.1538300990841055E-3</v>
      </c>
      <c r="AD25" s="83">
        <f ca="1">AD5*(1-Main!$C$168)+AD7*IF(Main!$M$251&gt;0.01,(1-Main!$C$168),1)+AD9*IF(Main!$M$251&gt;0.02,(1-Main!$C$168),1)</f>
        <v>7.6387142872162708E-2</v>
      </c>
      <c r="AE25" s="83">
        <f ca="1">AE5*(1-Main!$C$168)+AE7*IF(Main!$M$251&gt;0.01,(1-Main!$C$168),1)+AE9*IF(Main!$M$251&gt;0.02,(1-Main!$C$168),1)</f>
        <v>4.8850032906873037E-2</v>
      </c>
      <c r="AF25" s="83">
        <f ca="1">AF5*(1-Main!$C$168)+AF7*IF(Main!$M$251&gt;0.01,(1-Main!$C$168),1)+AF9*IF(Main!$M$251&gt;0.02,(1-Main!$C$168),1)</f>
        <v>1.5422443934090493E-2</v>
      </c>
      <c r="AG25" s="83">
        <f ca="1">AG5*(1-Main!$C$168)+AG7*IF(Main!$M$251&gt;0.01,(1-Main!$C$168),1)+AG9*IF(Main!$M$251&gt;0.02,(1-Main!$C$168),1)</f>
        <v>1.2864237098620255E-2</v>
      </c>
      <c r="AH25" s="83">
        <f ca="1">AH5*(1-Main!$C$168)+AH7*IF(Main!$M$251&gt;0.01,(1-Main!$C$168),1)+AH9*IF(Main!$M$251&gt;0.02,(1-Main!$C$168),1)</f>
        <v>0.11488184895617351</v>
      </c>
      <c r="AI25" s="83">
        <f ca="1">AI5*(1-Main!$C$168)+AI7*IF(Main!$M$251&gt;0.01,(1-Main!$C$168),1)+AI9*IF(Main!$M$251&gt;0.02,(1-Main!$C$168),1)</f>
        <v>0.14186640644846349</v>
      </c>
      <c r="AJ25" s="83">
        <f ca="1">AJ5*(1-Main!$C$168)+AJ7*IF(Main!$M$251&gt;0.01,(1-Main!$C$168),1)+AJ9*IF(Main!$M$251&gt;0.02,(1-Main!$C$168),1)</f>
        <v>0</v>
      </c>
      <c r="AK25" s="83">
        <f ca="1">AK5*(1-Main!$C$168)+AK7*IF(Main!$M$251&gt;0.01,(1-Main!$C$168),1)+AK9*IF(Main!$M$251&gt;0.02,(1-Main!$C$168),1)</f>
        <v>3.8890908650490191E-2</v>
      </c>
      <c r="AL25" s="83">
        <f ca="1">AL5*(1-Main!$C$168)+AL7*IF(Main!$M$251&gt;0.01,(1-Main!$C$168),1)+AL9*IF(Main!$M$251&gt;0.02,(1-Main!$C$168),1)</f>
        <v>0</v>
      </c>
      <c r="AM25" s="83">
        <f ca="1">AM5*(1-Main!$C$168)+AM7*IF(Main!$M$251&gt;0.01,(1-Main!$C$168),1)+AM9*IF(Main!$M$251&gt;0.02,(1-Main!$C$168),1)</f>
        <v>0.1607144024251026</v>
      </c>
      <c r="AN25" s="83">
        <f ca="1">AN5*(1-Main!$C$168)+AN7*IF(Main!$M$251&gt;0.01,(1-Main!$C$168),1)+AN9*IF(Main!$M$251&gt;0.02,(1-Main!$C$168),1)</f>
        <v>0.19306152260256257</v>
      </c>
    </row>
    <row r="26" spans="1:45" x14ac:dyDescent="0.25">
      <c r="A26" s="21" t="s">
        <v>87</v>
      </c>
      <c r="B26" s="21">
        <f ca="1">VLOOKUP(B25, Parameters!$AE$3:$AF$8, 2, TRUE)</f>
        <v>0</v>
      </c>
      <c r="C26" s="21">
        <f ca="1">VLOOKUP(C25, Parameters!$AE$3:$AF$8, 2, TRUE)</f>
        <v>0</v>
      </c>
      <c r="D26" s="21">
        <f ca="1">VLOOKUP(D25, Parameters!$AE$3:$AF$8, 2, TRUE)</f>
        <v>0</v>
      </c>
      <c r="E26" s="21">
        <f ca="1">VLOOKUP(E25, Parameters!$AE$3:$AF$8, 2, TRUE)</f>
        <v>0</v>
      </c>
      <c r="F26" s="21">
        <f ca="1">VLOOKUP(F25, Parameters!$AE$3:$AF$8, 2, TRUE)</f>
        <v>0</v>
      </c>
      <c r="G26" s="21">
        <f ca="1">VLOOKUP(G25, Parameters!$AE$3:$AF$8, 2, TRUE)</f>
        <v>0</v>
      </c>
      <c r="H26" s="21">
        <f ca="1">VLOOKUP(H25, Parameters!$AE$3:$AF$8, 2, TRUE)</f>
        <v>0</v>
      </c>
      <c r="I26" s="21">
        <f ca="1">VLOOKUP(I25, Parameters!$AE$3:$AF$8, 2, TRUE)</f>
        <v>1</v>
      </c>
      <c r="J26" s="21">
        <f ca="1">VLOOKUP(J25, Parameters!$AE$3:$AF$8, 2, TRUE)</f>
        <v>1</v>
      </c>
      <c r="K26" s="21">
        <f ca="1">VLOOKUP(K25, Parameters!$AE$3:$AF$8, 2, TRUE)</f>
        <v>0</v>
      </c>
      <c r="L26" s="21">
        <f ca="1">VLOOKUP(L25, Parameters!$AE$3:$AF$8, 2, TRUE)</f>
        <v>2</v>
      </c>
      <c r="M26" s="21">
        <f ca="1">VLOOKUP(M25, Parameters!$AE$3:$AF$8, 2, TRUE)</f>
        <v>0</v>
      </c>
      <c r="N26" s="21">
        <f ca="1">VLOOKUP(N25, Parameters!$AE$3:$AF$8, 2, TRUE)</f>
        <v>0</v>
      </c>
      <c r="O26" s="21">
        <f ca="1">VLOOKUP(O25, Parameters!$AE$3:$AF$8, 2, TRUE)</f>
        <v>0</v>
      </c>
      <c r="P26" s="21">
        <f ca="1">VLOOKUP(P25, Parameters!$AE$3:$AF$8, 2, TRUE)</f>
        <v>1</v>
      </c>
      <c r="Q26" s="21">
        <f ca="1">VLOOKUP(Q25, Parameters!$AE$3:$AF$8, 2, TRUE)</f>
        <v>1</v>
      </c>
      <c r="R26" s="21">
        <f ca="1">VLOOKUP(R25, Parameters!$AE$3:$AF$8, 2, TRUE)</f>
        <v>0</v>
      </c>
      <c r="S26" s="21">
        <f ca="1">VLOOKUP(S25, Parameters!$AE$3:$AF$8, 2, TRUE)</f>
        <v>0</v>
      </c>
      <c r="T26" s="21">
        <f ca="1">VLOOKUP(T25, Parameters!$AE$3:$AF$8, 2, TRUE)</f>
        <v>0</v>
      </c>
      <c r="U26" s="21">
        <f ca="1">VLOOKUP(U25, Parameters!$AE$3:$AF$8, 2, TRUE)</f>
        <v>2</v>
      </c>
      <c r="V26" s="21">
        <f ca="1">VLOOKUP(V25, Parameters!$AE$3:$AF$8, 2, TRUE)</f>
        <v>2</v>
      </c>
      <c r="W26" s="21">
        <f ca="1">VLOOKUP(W25, Parameters!$AE$3:$AF$8, 2, TRUE)</f>
        <v>0</v>
      </c>
      <c r="X26" s="21">
        <f ca="1">VLOOKUP(X25, Parameters!$AE$3:$AF$8, 2, TRUE)</f>
        <v>2</v>
      </c>
      <c r="Y26" s="21">
        <f ca="1">VLOOKUP(Y25, Parameters!$AE$3:$AF$8, 2, TRUE)</f>
        <v>0</v>
      </c>
      <c r="Z26" s="21">
        <f ca="1">VLOOKUP(Z25, Parameters!$AE$3:$AF$8, 2, TRUE)</f>
        <v>0</v>
      </c>
      <c r="AA26" s="21">
        <f ca="1">VLOOKUP(AA25, Parameters!$AE$3:$AF$8, 2, TRUE)</f>
        <v>4</v>
      </c>
      <c r="AB26" s="21">
        <f ca="1">VLOOKUP(AB25, Parameters!$AE$3:$AF$8, 2, TRUE)</f>
        <v>0</v>
      </c>
      <c r="AC26" s="21">
        <f ca="1">VLOOKUP(AC25, Parameters!$AE$3:$AF$8, 2, TRUE)</f>
        <v>0</v>
      </c>
      <c r="AD26" s="21">
        <f ca="1">VLOOKUP(AD25, Parameters!$AE$3:$AF$8, 2, TRUE)</f>
        <v>0</v>
      </c>
      <c r="AE26" s="21">
        <f ca="1">VLOOKUP(AE25, Parameters!$AE$3:$AF$8, 2, TRUE)</f>
        <v>0</v>
      </c>
      <c r="AF26" s="21">
        <f ca="1">VLOOKUP(AF25, Parameters!$AE$3:$AF$8, 2, TRUE)</f>
        <v>0</v>
      </c>
      <c r="AG26" s="21">
        <f ca="1">VLOOKUP(AG25, Parameters!$AE$3:$AF$8, 2, TRUE)</f>
        <v>0</v>
      </c>
      <c r="AH26" s="21">
        <f ca="1">VLOOKUP(AH25, Parameters!$AE$3:$AF$8, 2, TRUE)</f>
        <v>1</v>
      </c>
      <c r="AI26" s="21">
        <f ca="1">VLOOKUP(AI25, Parameters!$AE$3:$AF$8, 2, TRUE)</f>
        <v>1</v>
      </c>
      <c r="AJ26" s="21">
        <f ca="1">VLOOKUP(AJ25, Parameters!$AE$3:$AF$8, 2, TRUE)</f>
        <v>0</v>
      </c>
      <c r="AK26" s="21">
        <f ca="1">VLOOKUP(AK25, Parameters!$AE$3:$AF$8, 2, TRUE)</f>
        <v>0</v>
      </c>
      <c r="AL26" s="21">
        <f ca="1">VLOOKUP(AL25, Parameters!$AE$3:$AF$8, 2, TRUE)</f>
        <v>0</v>
      </c>
      <c r="AM26" s="21">
        <f ca="1">VLOOKUP(AM25, Parameters!$AE$3:$AF$8, 2, TRUE)</f>
        <v>1</v>
      </c>
      <c r="AN26" s="21">
        <f ca="1">VLOOKUP(AN25, Parameters!$AE$3:$AF$8, 2, TRUE)</f>
        <v>1</v>
      </c>
    </row>
    <row r="27" spans="1:45" x14ac:dyDescent="0.25">
      <c r="A27" s="21" t="s">
        <v>86</v>
      </c>
      <c r="B27" s="31">
        <f t="shared" ref="B27:AN27" ca="1" si="9">B26</f>
        <v>0</v>
      </c>
      <c r="C27" s="31">
        <f t="shared" ca="1" si="9"/>
        <v>0</v>
      </c>
      <c r="D27" s="31">
        <f t="shared" ca="1" si="9"/>
        <v>0</v>
      </c>
      <c r="E27" s="31">
        <f t="shared" ca="1" si="9"/>
        <v>0</v>
      </c>
      <c r="F27" s="31">
        <f t="shared" ca="1" si="9"/>
        <v>0</v>
      </c>
      <c r="G27" s="31">
        <f t="shared" ca="1" si="9"/>
        <v>0</v>
      </c>
      <c r="H27" s="31">
        <f t="shared" ca="1" si="9"/>
        <v>0</v>
      </c>
      <c r="I27" s="31">
        <f t="shared" ca="1" si="9"/>
        <v>1</v>
      </c>
      <c r="J27" s="31">
        <f t="shared" ca="1" si="9"/>
        <v>1</v>
      </c>
      <c r="K27" s="31">
        <f t="shared" ca="1" si="9"/>
        <v>0</v>
      </c>
      <c r="L27" s="31">
        <f t="shared" ca="1" si="9"/>
        <v>2</v>
      </c>
      <c r="M27" s="31">
        <f t="shared" ca="1" si="9"/>
        <v>0</v>
      </c>
      <c r="N27" s="31">
        <f t="shared" ca="1" si="9"/>
        <v>0</v>
      </c>
      <c r="O27" s="31">
        <f t="shared" ca="1" si="9"/>
        <v>0</v>
      </c>
      <c r="P27" s="31">
        <f t="shared" ca="1" si="9"/>
        <v>1</v>
      </c>
      <c r="Q27" s="31">
        <f t="shared" ca="1" si="9"/>
        <v>1</v>
      </c>
      <c r="R27" s="31">
        <f t="shared" ca="1" si="9"/>
        <v>0</v>
      </c>
      <c r="S27" s="31">
        <f t="shared" ca="1" si="9"/>
        <v>0</v>
      </c>
      <c r="T27" s="31">
        <f t="shared" ca="1" si="9"/>
        <v>0</v>
      </c>
      <c r="U27" s="31">
        <f t="shared" ca="1" si="9"/>
        <v>2</v>
      </c>
      <c r="V27" s="31">
        <f t="shared" ca="1" si="9"/>
        <v>2</v>
      </c>
      <c r="W27" s="31">
        <f t="shared" ca="1" si="9"/>
        <v>0</v>
      </c>
      <c r="X27" s="31">
        <f t="shared" ca="1" si="9"/>
        <v>2</v>
      </c>
      <c r="Y27" s="31">
        <f t="shared" ca="1" si="9"/>
        <v>0</v>
      </c>
      <c r="Z27" s="31">
        <f t="shared" ca="1" si="9"/>
        <v>0</v>
      </c>
      <c r="AA27" s="31">
        <f t="shared" ca="1" si="9"/>
        <v>4</v>
      </c>
      <c r="AB27" s="31">
        <f t="shared" ca="1" si="9"/>
        <v>0</v>
      </c>
      <c r="AC27" s="31">
        <f t="shared" ca="1" si="9"/>
        <v>0</v>
      </c>
      <c r="AD27" s="31">
        <f t="shared" ca="1" si="9"/>
        <v>0</v>
      </c>
      <c r="AE27" s="31">
        <f t="shared" ca="1" si="9"/>
        <v>0</v>
      </c>
      <c r="AF27" s="31">
        <f t="shared" ca="1" si="9"/>
        <v>0</v>
      </c>
      <c r="AG27" s="31">
        <f t="shared" ca="1" si="9"/>
        <v>0</v>
      </c>
      <c r="AH27" s="31">
        <f t="shared" ca="1" si="9"/>
        <v>1</v>
      </c>
      <c r="AI27" s="31">
        <f t="shared" ca="1" si="9"/>
        <v>1</v>
      </c>
      <c r="AJ27" s="31">
        <f t="shared" ca="1" si="9"/>
        <v>0</v>
      </c>
      <c r="AK27" s="31">
        <f t="shared" ca="1" si="9"/>
        <v>0</v>
      </c>
      <c r="AL27" s="31">
        <f t="shared" ca="1" si="9"/>
        <v>0</v>
      </c>
      <c r="AM27" s="31">
        <f t="shared" ca="1" si="9"/>
        <v>1</v>
      </c>
      <c r="AN27" s="31">
        <f t="shared" ca="1" si="9"/>
        <v>1</v>
      </c>
    </row>
    <row r="28" spans="1:45" x14ac:dyDescent="0.25">
      <c r="A28" s="54" t="s">
        <v>520</v>
      </c>
      <c r="B28" s="54">
        <f t="shared" ref="B28:AN28" ca="1" si="10">B25*100</f>
        <v>9.8764189174012902</v>
      </c>
      <c r="C28" s="54">
        <f t="shared" ca="1" si="10"/>
        <v>6.2012025115479812</v>
      </c>
      <c r="D28" s="54">
        <f t="shared" ca="1" si="10"/>
        <v>0.13016325195287251</v>
      </c>
      <c r="E28" s="54">
        <f t="shared" ca="1" si="10"/>
        <v>6.4377270680404193</v>
      </c>
      <c r="F28" s="54">
        <f t="shared" ca="1" si="10"/>
        <v>6.0695171422974736</v>
      </c>
      <c r="G28" s="54">
        <f t="shared" ca="1" si="10"/>
        <v>2.2062247890663009E-2</v>
      </c>
      <c r="H28" s="54">
        <f t="shared" ca="1" si="10"/>
        <v>5.3959080223291336</v>
      </c>
      <c r="I28" s="54">
        <f t="shared" ca="1" si="10"/>
        <v>12.274641571516534</v>
      </c>
      <c r="J28" s="54">
        <f t="shared" ca="1" si="10"/>
        <v>16.326038908717962</v>
      </c>
      <c r="K28" s="54">
        <f t="shared" ca="1" si="10"/>
        <v>0</v>
      </c>
      <c r="L28" s="54">
        <f t="shared" ca="1" si="10"/>
        <v>22.987184457829787</v>
      </c>
      <c r="M28" s="54">
        <f t="shared" ca="1" si="10"/>
        <v>0.20537114366619802</v>
      </c>
      <c r="N28" s="54">
        <f t="shared" ca="1" si="10"/>
        <v>2.7743936919405376</v>
      </c>
      <c r="O28" s="54">
        <f t="shared" ca="1" si="10"/>
        <v>0</v>
      </c>
      <c r="P28" s="54">
        <f t="shared" ca="1" si="10"/>
        <v>11.972206853222307</v>
      </c>
      <c r="Q28" s="54">
        <f t="shared" ca="1" si="10"/>
        <v>17.212521928957347</v>
      </c>
      <c r="R28" s="54">
        <f t="shared" ca="1" si="10"/>
        <v>0.15775090184655527</v>
      </c>
      <c r="S28" s="54">
        <f t="shared" ca="1" si="10"/>
        <v>1.085881499265843</v>
      </c>
      <c r="T28" s="54">
        <f t="shared" ca="1" si="10"/>
        <v>0.41633813482084608</v>
      </c>
      <c r="U28" s="54">
        <f t="shared" ca="1" si="10"/>
        <v>24.713591805698311</v>
      </c>
      <c r="V28" s="54">
        <f t="shared" ca="1" si="10"/>
        <v>23.298036853210235</v>
      </c>
      <c r="W28" s="54">
        <f t="shared" ca="1" si="10"/>
        <v>0</v>
      </c>
      <c r="X28" s="54">
        <f t="shared" ca="1" si="10"/>
        <v>29.347584355539208</v>
      </c>
      <c r="Y28" s="54">
        <f t="shared" ca="1" si="10"/>
        <v>0.30447457015129881</v>
      </c>
      <c r="Z28" s="54">
        <f t="shared" ca="1" si="10"/>
        <v>7.2130148952175608</v>
      </c>
      <c r="AA28" s="54">
        <f t="shared" ca="1" si="10"/>
        <v>70.486732668789699</v>
      </c>
      <c r="AB28" s="54">
        <f t="shared" ca="1" si="10"/>
        <v>2.2372016018795788</v>
      </c>
      <c r="AC28" s="54">
        <f t="shared" ca="1" si="10"/>
        <v>0.91538300990841059</v>
      </c>
      <c r="AD28" s="54">
        <f t="shared" ca="1" si="10"/>
        <v>7.6387142872162705</v>
      </c>
      <c r="AE28" s="54">
        <f t="shared" ca="1" si="10"/>
        <v>4.8850032906873038</v>
      </c>
      <c r="AF28" s="54">
        <f t="shared" ca="1" si="10"/>
        <v>1.5422443934090493</v>
      </c>
      <c r="AG28" s="54">
        <f t="shared" ca="1" si="10"/>
        <v>1.2864237098620255</v>
      </c>
      <c r="AH28" s="54">
        <f t="shared" ca="1" si="10"/>
        <v>11.488184895617351</v>
      </c>
      <c r="AI28" s="54">
        <f t="shared" ca="1" si="10"/>
        <v>14.186640644846349</v>
      </c>
      <c r="AJ28" s="54">
        <f t="shared" ca="1" si="10"/>
        <v>0</v>
      </c>
      <c r="AK28" s="54">
        <f t="shared" ca="1" si="10"/>
        <v>3.889090865049019</v>
      </c>
      <c r="AL28" s="54">
        <f t="shared" ca="1" si="10"/>
        <v>0</v>
      </c>
      <c r="AM28" s="54">
        <f t="shared" ca="1" si="10"/>
        <v>16.07144024251026</v>
      </c>
      <c r="AN28" s="54">
        <f t="shared" ca="1" si="10"/>
        <v>19.306152260256258</v>
      </c>
    </row>
    <row r="29" spans="1:45" x14ac:dyDescent="0.25">
      <c r="A29" s="54" t="s">
        <v>85</v>
      </c>
      <c r="B29" s="54">
        <f ca="1">VLOOKUP(B28,Parameters!$AH$3:$AJ$8,1,TRUE)</f>
        <v>0</v>
      </c>
      <c r="C29" s="54">
        <f ca="1">VLOOKUP(C28,Parameters!$AH$3:$AJ$8,1,TRUE)</f>
        <v>0</v>
      </c>
      <c r="D29" s="54">
        <f ca="1">VLOOKUP(D28,Parameters!$AH$3:$AJ$8,1,TRUE)</f>
        <v>0</v>
      </c>
      <c r="E29" s="54">
        <f ca="1">VLOOKUP(E28,Parameters!$AH$3:$AJ$8,1,TRUE)</f>
        <v>0</v>
      </c>
      <c r="F29" s="54">
        <f ca="1">VLOOKUP(F28,Parameters!$AH$3:$AJ$8,1,TRUE)</f>
        <v>0</v>
      </c>
      <c r="G29" s="54">
        <f ca="1">VLOOKUP(G28,Parameters!$AH$3:$AJ$8,1,TRUE)</f>
        <v>0</v>
      </c>
      <c r="H29" s="54">
        <f ca="1">VLOOKUP(H28,Parameters!$AH$3:$AJ$8,1,TRUE)</f>
        <v>0</v>
      </c>
      <c r="I29" s="54">
        <f ca="1">VLOOKUP(I28,Parameters!$AH$3:$AJ$8,1,TRUE)</f>
        <v>10</v>
      </c>
      <c r="J29" s="54">
        <f ca="1">VLOOKUP(J28,Parameters!$AH$3:$AJ$8,1,TRUE)</f>
        <v>10</v>
      </c>
      <c r="K29" s="54">
        <f ca="1">VLOOKUP(K28,Parameters!$AH$3:$AJ$8,1,TRUE)</f>
        <v>0</v>
      </c>
      <c r="L29" s="54">
        <f ca="1">VLOOKUP(L28,Parameters!$AH$3:$AJ$8,1,TRUE)</f>
        <v>20</v>
      </c>
      <c r="M29" s="54">
        <f ca="1">VLOOKUP(M28,Parameters!$AH$3:$AJ$8,1,TRUE)</f>
        <v>0</v>
      </c>
      <c r="N29" s="54">
        <f ca="1">VLOOKUP(N28,Parameters!$AH$3:$AJ$8,1,TRUE)</f>
        <v>0</v>
      </c>
      <c r="O29" s="54">
        <f ca="1">VLOOKUP(O28,Parameters!$AH$3:$AJ$8,1,TRUE)</f>
        <v>0</v>
      </c>
      <c r="P29" s="54">
        <f ca="1">VLOOKUP(P28,Parameters!$AH$3:$AJ$8,1,TRUE)</f>
        <v>10</v>
      </c>
      <c r="Q29" s="54">
        <f ca="1">VLOOKUP(Q28,Parameters!$AH$3:$AJ$8,1,TRUE)</f>
        <v>10</v>
      </c>
      <c r="R29" s="54">
        <f ca="1">VLOOKUP(R28,Parameters!$AH$3:$AJ$8,1,TRUE)</f>
        <v>0</v>
      </c>
      <c r="S29" s="54">
        <f ca="1">VLOOKUP(S28,Parameters!$AH$3:$AJ$8,1,TRUE)</f>
        <v>0</v>
      </c>
      <c r="T29" s="54">
        <f ca="1">VLOOKUP(T28,Parameters!$AH$3:$AJ$8,1,TRUE)</f>
        <v>0</v>
      </c>
      <c r="U29" s="54">
        <f ca="1">VLOOKUP(U28,Parameters!$AH$3:$AJ$8,1,TRUE)</f>
        <v>20</v>
      </c>
      <c r="V29" s="54">
        <f ca="1">VLOOKUP(V28,Parameters!$AH$3:$AJ$8,1,TRUE)</f>
        <v>20</v>
      </c>
      <c r="W29" s="54">
        <f ca="1">VLOOKUP(W28,Parameters!$AH$3:$AJ$8,1,TRUE)</f>
        <v>0</v>
      </c>
      <c r="X29" s="54">
        <f ca="1">VLOOKUP(X28,Parameters!$AH$3:$AJ$8,1,TRUE)</f>
        <v>20</v>
      </c>
      <c r="Y29" s="54">
        <f ca="1">VLOOKUP(Y28,Parameters!$AH$3:$AJ$8,1,TRUE)</f>
        <v>0</v>
      </c>
      <c r="Z29" s="54">
        <f ca="1">VLOOKUP(Z28,Parameters!$AH$3:$AJ$8,1,TRUE)</f>
        <v>0</v>
      </c>
      <c r="AA29" s="54">
        <f ca="1">VLOOKUP(AA28,Parameters!$AH$3:$AJ$8,1,TRUE)</f>
        <v>40</v>
      </c>
      <c r="AB29" s="54">
        <f ca="1">VLOOKUP(AB28,Parameters!$AH$3:$AJ$8,1,TRUE)</f>
        <v>0</v>
      </c>
      <c r="AC29" s="54">
        <f ca="1">VLOOKUP(AC28,Parameters!$AH$3:$AJ$8,1,TRUE)</f>
        <v>0</v>
      </c>
      <c r="AD29" s="54">
        <f ca="1">VLOOKUP(AD28,Parameters!$AH$3:$AJ$8,1,TRUE)</f>
        <v>0</v>
      </c>
      <c r="AE29" s="54">
        <f ca="1">VLOOKUP(AE28,Parameters!$AH$3:$AJ$8,1,TRUE)</f>
        <v>0</v>
      </c>
      <c r="AF29" s="54">
        <f ca="1">VLOOKUP(AF28,Parameters!$AH$3:$AJ$8,1,TRUE)</f>
        <v>0</v>
      </c>
      <c r="AG29" s="54">
        <f ca="1">VLOOKUP(AG28,Parameters!$AH$3:$AJ$8,1,TRUE)</f>
        <v>0</v>
      </c>
      <c r="AH29" s="54">
        <f ca="1">VLOOKUP(AH28,Parameters!$AH$3:$AJ$8,1,TRUE)</f>
        <v>10</v>
      </c>
      <c r="AI29" s="54">
        <f ca="1">VLOOKUP(AI28,Parameters!$AH$3:$AJ$8,1,TRUE)</f>
        <v>10</v>
      </c>
      <c r="AJ29" s="54">
        <f ca="1">VLOOKUP(AJ28,Parameters!$AH$3:$AJ$8,1,TRUE)</f>
        <v>0</v>
      </c>
      <c r="AK29" s="54">
        <f ca="1">VLOOKUP(AK28,Parameters!$AH$3:$AJ$8,1,TRUE)</f>
        <v>0</v>
      </c>
      <c r="AL29" s="54">
        <f ca="1">VLOOKUP(AL28,Parameters!$AH$3:$AJ$8,1,TRUE)</f>
        <v>0</v>
      </c>
      <c r="AM29" s="54">
        <f ca="1">VLOOKUP(AM28,Parameters!$AH$3:$AJ$8,1,TRUE)</f>
        <v>10</v>
      </c>
      <c r="AN29" s="54">
        <f ca="1">VLOOKUP(AN28,Parameters!$AH$3:$AJ$8,1,TRUE)</f>
        <v>10</v>
      </c>
    </row>
    <row r="30" spans="1:45" x14ac:dyDescent="0.25">
      <c r="A30" s="54" t="s">
        <v>84</v>
      </c>
      <c r="B30" s="54">
        <f ca="1">VLOOKUP(B28,Parameters!$AH$3:$AJ$8,2,TRUE)</f>
        <v>0</v>
      </c>
      <c r="C30" s="54">
        <f ca="1">VLOOKUP(C28,Parameters!$AH$3:$AJ$8,2,TRUE)</f>
        <v>0</v>
      </c>
      <c r="D30" s="54">
        <f ca="1">VLOOKUP(D28,Parameters!$AH$3:$AJ$8,2,TRUE)</f>
        <v>0</v>
      </c>
      <c r="E30" s="54">
        <f ca="1">VLOOKUP(E28,Parameters!$AH$3:$AJ$8,2,TRUE)</f>
        <v>0</v>
      </c>
      <c r="F30" s="54">
        <f ca="1">VLOOKUP(F28,Parameters!$AH$3:$AJ$8,2,TRUE)</f>
        <v>0</v>
      </c>
      <c r="G30" s="54">
        <f ca="1">VLOOKUP(G28,Parameters!$AH$3:$AJ$8,2,TRUE)</f>
        <v>0</v>
      </c>
      <c r="H30" s="54">
        <f ca="1">VLOOKUP(H28,Parameters!$AH$3:$AJ$8,2,TRUE)</f>
        <v>0</v>
      </c>
      <c r="I30" s="54">
        <f ca="1">VLOOKUP(I28,Parameters!$AH$3:$AJ$8,2,TRUE)</f>
        <v>1</v>
      </c>
      <c r="J30" s="54">
        <f ca="1">VLOOKUP(J28,Parameters!$AH$3:$AJ$8,2,TRUE)</f>
        <v>1</v>
      </c>
      <c r="K30" s="54">
        <f ca="1">VLOOKUP(K28,Parameters!$AH$3:$AJ$8,2,TRUE)</f>
        <v>0</v>
      </c>
      <c r="L30" s="54">
        <f ca="1">VLOOKUP(L28,Parameters!$AH$3:$AJ$8,2,TRUE)</f>
        <v>2</v>
      </c>
      <c r="M30" s="54">
        <f ca="1">VLOOKUP(M28,Parameters!$AH$3:$AJ$8,2,TRUE)</f>
        <v>0</v>
      </c>
      <c r="N30" s="54">
        <f ca="1">VLOOKUP(N28,Parameters!$AH$3:$AJ$8,2,TRUE)</f>
        <v>0</v>
      </c>
      <c r="O30" s="54">
        <f ca="1">VLOOKUP(O28,Parameters!$AH$3:$AJ$8,2,TRUE)</f>
        <v>0</v>
      </c>
      <c r="P30" s="54">
        <f ca="1">VLOOKUP(P28,Parameters!$AH$3:$AJ$8,2,TRUE)</f>
        <v>1</v>
      </c>
      <c r="Q30" s="54">
        <f ca="1">VLOOKUP(Q28,Parameters!$AH$3:$AJ$8,2,TRUE)</f>
        <v>1</v>
      </c>
      <c r="R30" s="54">
        <f ca="1">VLOOKUP(R28,Parameters!$AH$3:$AJ$8,2,TRUE)</f>
        <v>0</v>
      </c>
      <c r="S30" s="54">
        <f ca="1">VLOOKUP(S28,Parameters!$AH$3:$AJ$8,2,TRUE)</f>
        <v>0</v>
      </c>
      <c r="T30" s="54">
        <f ca="1">VLOOKUP(T28,Parameters!$AH$3:$AJ$8,2,TRUE)</f>
        <v>0</v>
      </c>
      <c r="U30" s="54">
        <f ca="1">VLOOKUP(U28,Parameters!$AH$3:$AJ$8,2,TRUE)</f>
        <v>2</v>
      </c>
      <c r="V30" s="54">
        <f ca="1">VLOOKUP(V28,Parameters!$AH$3:$AJ$8,2,TRUE)</f>
        <v>2</v>
      </c>
      <c r="W30" s="54">
        <f ca="1">VLOOKUP(W28,Parameters!$AH$3:$AJ$8,2,TRUE)</f>
        <v>0</v>
      </c>
      <c r="X30" s="54">
        <f ca="1">VLOOKUP(X28,Parameters!$AH$3:$AJ$8,2,TRUE)</f>
        <v>2</v>
      </c>
      <c r="Y30" s="54">
        <f ca="1">VLOOKUP(Y28,Parameters!$AH$3:$AJ$8,2,TRUE)</f>
        <v>0</v>
      </c>
      <c r="Z30" s="54">
        <f ca="1">VLOOKUP(Z28,Parameters!$AH$3:$AJ$8,2,TRUE)</f>
        <v>0</v>
      </c>
      <c r="AA30" s="54">
        <f ca="1">VLOOKUP(AA28,Parameters!$AH$3:$AJ$8,2,TRUE)</f>
        <v>4</v>
      </c>
      <c r="AB30" s="54">
        <f ca="1">VLOOKUP(AB28,Parameters!$AH$3:$AJ$8,2,TRUE)</f>
        <v>0</v>
      </c>
      <c r="AC30" s="54">
        <f ca="1">VLOOKUP(AC28,Parameters!$AH$3:$AJ$8,2,TRUE)</f>
        <v>0</v>
      </c>
      <c r="AD30" s="54">
        <f ca="1">VLOOKUP(AD28,Parameters!$AH$3:$AJ$8,2,TRUE)</f>
        <v>0</v>
      </c>
      <c r="AE30" s="54">
        <f ca="1">VLOOKUP(AE28,Parameters!$AH$3:$AJ$8,2,TRUE)</f>
        <v>0</v>
      </c>
      <c r="AF30" s="54">
        <f ca="1">VLOOKUP(AF28,Parameters!$AH$3:$AJ$8,2,TRUE)</f>
        <v>0</v>
      </c>
      <c r="AG30" s="54">
        <f ca="1">VLOOKUP(AG28,Parameters!$AH$3:$AJ$8,2,TRUE)</f>
        <v>0</v>
      </c>
      <c r="AH30" s="54">
        <f ca="1">VLOOKUP(AH28,Parameters!$AH$3:$AJ$8,2,TRUE)</f>
        <v>1</v>
      </c>
      <c r="AI30" s="54">
        <f ca="1">VLOOKUP(AI28,Parameters!$AH$3:$AJ$8,2,TRUE)</f>
        <v>1</v>
      </c>
      <c r="AJ30" s="54">
        <f ca="1">VLOOKUP(AJ28,Parameters!$AH$3:$AJ$8,2,TRUE)</f>
        <v>0</v>
      </c>
      <c r="AK30" s="54">
        <f ca="1">VLOOKUP(AK28,Parameters!$AH$3:$AJ$8,2,TRUE)</f>
        <v>0</v>
      </c>
      <c r="AL30" s="54">
        <f ca="1">VLOOKUP(AL28,Parameters!$AH$3:$AJ$8,2,TRUE)</f>
        <v>0</v>
      </c>
      <c r="AM30" s="54">
        <f ca="1">VLOOKUP(AM28,Parameters!$AH$3:$AJ$8,2,TRUE)</f>
        <v>1</v>
      </c>
      <c r="AN30" s="54">
        <f ca="1">VLOOKUP(AN28,Parameters!$AH$3:$AJ$8,2,TRUE)</f>
        <v>1</v>
      </c>
    </row>
    <row r="31" spans="1:45" x14ac:dyDescent="0.25">
      <c r="A31" s="54" t="s">
        <v>83</v>
      </c>
      <c r="B31" s="54">
        <f ca="1">VLOOKUP(B28,Parameters!$AH$3:$AJ$8,3,TRUE)</f>
        <v>0.1</v>
      </c>
      <c r="C31" s="54">
        <f ca="1">VLOOKUP(C28,Parameters!$AH$3:$AJ$8,3,TRUE)</f>
        <v>0.1</v>
      </c>
      <c r="D31" s="54">
        <f ca="1">VLOOKUP(D28,Parameters!$AH$3:$AJ$8,3,TRUE)</f>
        <v>0.1</v>
      </c>
      <c r="E31" s="54">
        <f ca="1">VLOOKUP(E28,Parameters!$AH$3:$AJ$8,3,TRUE)</f>
        <v>0.1</v>
      </c>
      <c r="F31" s="54">
        <f ca="1">VLOOKUP(F28,Parameters!$AH$3:$AJ$8,3,TRUE)</f>
        <v>0.1</v>
      </c>
      <c r="G31" s="54">
        <f ca="1">VLOOKUP(G28,Parameters!$AH$3:$AJ$8,3,TRUE)</f>
        <v>0.1</v>
      </c>
      <c r="H31" s="54">
        <f ca="1">VLOOKUP(H28,Parameters!$AH$3:$AJ$8,3,TRUE)</f>
        <v>0.1</v>
      </c>
      <c r="I31" s="54">
        <f ca="1">VLOOKUP(I28,Parameters!$AH$3:$AJ$8,3,TRUE)</f>
        <v>0.1</v>
      </c>
      <c r="J31" s="54">
        <f ca="1">VLOOKUP(J28,Parameters!$AH$3:$AJ$8,3,TRUE)</f>
        <v>0.1</v>
      </c>
      <c r="K31" s="54">
        <f ca="1">VLOOKUP(K28,Parameters!$AH$3:$AJ$8,3,TRUE)</f>
        <v>0.1</v>
      </c>
      <c r="L31" s="54">
        <f ca="1">VLOOKUP(L28,Parameters!$AH$3:$AJ$8,3,TRUE)</f>
        <v>0.1</v>
      </c>
      <c r="M31" s="54">
        <f ca="1">VLOOKUP(M28,Parameters!$AH$3:$AJ$8,3,TRUE)</f>
        <v>0.1</v>
      </c>
      <c r="N31" s="54">
        <f ca="1">VLOOKUP(N28,Parameters!$AH$3:$AJ$8,3,TRUE)</f>
        <v>0.1</v>
      </c>
      <c r="O31" s="54">
        <f ca="1">VLOOKUP(O28,Parameters!$AH$3:$AJ$8,3,TRUE)</f>
        <v>0.1</v>
      </c>
      <c r="P31" s="54">
        <f ca="1">VLOOKUP(P28,Parameters!$AH$3:$AJ$8,3,TRUE)</f>
        <v>0.1</v>
      </c>
      <c r="Q31" s="54">
        <f ca="1">VLOOKUP(Q28,Parameters!$AH$3:$AJ$8,3,TRUE)</f>
        <v>0.1</v>
      </c>
      <c r="R31" s="54">
        <f ca="1">VLOOKUP(R28,Parameters!$AH$3:$AJ$8,3,TRUE)</f>
        <v>0.1</v>
      </c>
      <c r="S31" s="54">
        <f ca="1">VLOOKUP(S28,Parameters!$AH$3:$AJ$8,3,TRUE)</f>
        <v>0.1</v>
      </c>
      <c r="T31" s="54">
        <f ca="1">VLOOKUP(T28,Parameters!$AH$3:$AJ$8,3,TRUE)</f>
        <v>0.1</v>
      </c>
      <c r="U31" s="54">
        <f ca="1">VLOOKUP(U28,Parameters!$AH$3:$AJ$8,3,TRUE)</f>
        <v>0.1</v>
      </c>
      <c r="V31" s="54">
        <f ca="1">VLOOKUP(V28,Parameters!$AH$3:$AJ$8,3,TRUE)</f>
        <v>0.1</v>
      </c>
      <c r="W31" s="54">
        <f ca="1">VLOOKUP(W28,Parameters!$AH$3:$AJ$8,3,TRUE)</f>
        <v>0.1</v>
      </c>
      <c r="X31" s="54">
        <f ca="1">VLOOKUP(X28,Parameters!$AH$3:$AJ$8,3,TRUE)</f>
        <v>0.1</v>
      </c>
      <c r="Y31" s="54">
        <f ca="1">VLOOKUP(Y28,Parameters!$AH$3:$AJ$8,3,TRUE)</f>
        <v>0.1</v>
      </c>
      <c r="Z31" s="54">
        <f ca="1">VLOOKUP(Z28,Parameters!$AH$3:$AJ$8,3,TRUE)</f>
        <v>0.1</v>
      </c>
      <c r="AA31" s="54">
        <f ca="1">VLOOKUP(AA28,Parameters!$AH$3:$AJ$8,3,TRUE)</f>
        <v>0.1</v>
      </c>
      <c r="AB31" s="54">
        <f ca="1">VLOOKUP(AB28,Parameters!$AH$3:$AJ$8,3,TRUE)</f>
        <v>0.1</v>
      </c>
      <c r="AC31" s="54">
        <f ca="1">VLOOKUP(AC28,Parameters!$AH$3:$AJ$8,3,TRUE)</f>
        <v>0.1</v>
      </c>
      <c r="AD31" s="54">
        <f ca="1">VLOOKUP(AD28,Parameters!$AH$3:$AJ$8,3,TRUE)</f>
        <v>0.1</v>
      </c>
      <c r="AE31" s="54">
        <f ca="1">VLOOKUP(AE28,Parameters!$AH$3:$AJ$8,3,TRUE)</f>
        <v>0.1</v>
      </c>
      <c r="AF31" s="54">
        <f ca="1">VLOOKUP(AF28,Parameters!$AH$3:$AJ$8,3,TRUE)</f>
        <v>0.1</v>
      </c>
      <c r="AG31" s="54">
        <f ca="1">VLOOKUP(AG28,Parameters!$AH$3:$AJ$8,3,TRUE)</f>
        <v>0.1</v>
      </c>
      <c r="AH31" s="54">
        <f ca="1">VLOOKUP(AH28,Parameters!$AH$3:$AJ$8,3,TRUE)</f>
        <v>0.1</v>
      </c>
      <c r="AI31" s="54">
        <f ca="1">VLOOKUP(AI28,Parameters!$AH$3:$AJ$8,3,TRUE)</f>
        <v>0.1</v>
      </c>
      <c r="AJ31" s="54">
        <f ca="1">VLOOKUP(AJ28,Parameters!$AH$3:$AJ$8,3,TRUE)</f>
        <v>0.1</v>
      </c>
      <c r="AK31" s="54">
        <f ca="1">VLOOKUP(AK28,Parameters!$AH$3:$AJ$8,3,TRUE)</f>
        <v>0.1</v>
      </c>
      <c r="AL31" s="54">
        <f ca="1">VLOOKUP(AL28,Parameters!$AH$3:$AJ$8,3,TRUE)</f>
        <v>0.1</v>
      </c>
      <c r="AM31" s="54">
        <f ca="1">VLOOKUP(AM28,Parameters!$AH$3:$AJ$8,3,TRUE)</f>
        <v>0.1</v>
      </c>
      <c r="AN31" s="54">
        <f ca="1">VLOOKUP(AN28,Parameters!$AH$3:$AJ$8,3,TRUE)</f>
        <v>0.1</v>
      </c>
    </row>
    <row r="32" spans="1:45" x14ac:dyDescent="0.25">
      <c r="A32" s="155" t="s">
        <v>387</v>
      </c>
      <c r="B32" s="54">
        <f t="shared" ref="B32:AN32" ca="1" si="11">B30+B31*(B28-B29)</f>
        <v>0.98764189174012906</v>
      </c>
      <c r="C32" s="54">
        <f t="shared" ca="1" si="11"/>
        <v>0.62012025115479819</v>
      </c>
      <c r="D32" s="54">
        <f t="shared" ca="1" si="11"/>
        <v>1.3016325195287252E-2</v>
      </c>
      <c r="E32" s="54">
        <f t="shared" ca="1" si="11"/>
        <v>0.64377270680404197</v>
      </c>
      <c r="F32" s="54">
        <f t="shared" ca="1" si="11"/>
        <v>0.60695171422974736</v>
      </c>
      <c r="G32" s="54">
        <f t="shared" ca="1" si="11"/>
        <v>2.2062247890663011E-3</v>
      </c>
      <c r="H32" s="54">
        <f t="shared" ca="1" si="11"/>
        <v>0.53959080223291334</v>
      </c>
      <c r="I32" s="54">
        <f t="shared" ca="1" si="11"/>
        <v>1.2274641571516534</v>
      </c>
      <c r="J32" s="54">
        <f t="shared" ca="1" si="11"/>
        <v>1.6326038908717964</v>
      </c>
      <c r="K32" s="54">
        <f t="shared" ca="1" si="11"/>
        <v>0</v>
      </c>
      <c r="L32" s="54">
        <f t="shared" ca="1" si="11"/>
        <v>2.2987184457829786</v>
      </c>
      <c r="M32" s="54">
        <f t="shared" ca="1" si="11"/>
        <v>2.0537114366619803E-2</v>
      </c>
      <c r="N32" s="54">
        <f t="shared" ca="1" si="11"/>
        <v>0.27743936919405376</v>
      </c>
      <c r="O32" s="54">
        <f t="shared" ca="1" si="11"/>
        <v>0</v>
      </c>
      <c r="P32" s="54">
        <f t="shared" ca="1" si="11"/>
        <v>1.1972206853222307</v>
      </c>
      <c r="Q32" s="54">
        <f t="shared" ca="1" si="11"/>
        <v>1.7212521928957347</v>
      </c>
      <c r="R32" s="54">
        <f t="shared" ca="1" si="11"/>
        <v>1.5775090184655529E-2</v>
      </c>
      <c r="S32" s="54">
        <f t="shared" ca="1" si="11"/>
        <v>0.1085881499265843</v>
      </c>
      <c r="T32" s="54">
        <f t="shared" ca="1" si="11"/>
        <v>4.1633813482084614E-2</v>
      </c>
      <c r="U32" s="54">
        <f t="shared" ca="1" si="11"/>
        <v>2.4713591805698312</v>
      </c>
      <c r="V32" s="54">
        <f t="shared" ca="1" si="11"/>
        <v>2.3298036853210236</v>
      </c>
      <c r="W32" s="54">
        <f t="shared" ca="1" si="11"/>
        <v>0</v>
      </c>
      <c r="X32" s="54">
        <f t="shared" ca="1" si="11"/>
        <v>2.9347584355539209</v>
      </c>
      <c r="Y32" s="54">
        <f t="shared" ca="1" si="11"/>
        <v>3.0447457015129881E-2</v>
      </c>
      <c r="Z32" s="54">
        <f t="shared" ca="1" si="11"/>
        <v>0.7213014895217561</v>
      </c>
      <c r="AA32" s="54">
        <f t="shared" ca="1" si="11"/>
        <v>7.0486732668789696</v>
      </c>
      <c r="AB32" s="54">
        <f t="shared" ca="1" si="11"/>
        <v>0.2237201601879579</v>
      </c>
      <c r="AC32" s="54">
        <f t="shared" ca="1" si="11"/>
        <v>9.1538300990841065E-2</v>
      </c>
      <c r="AD32" s="54">
        <f t="shared" ca="1" si="11"/>
        <v>0.76387142872162705</v>
      </c>
      <c r="AE32" s="54">
        <f t="shared" ca="1" si="11"/>
        <v>0.48850032906873042</v>
      </c>
      <c r="AF32" s="54">
        <f t="shared" ca="1" si="11"/>
        <v>0.15422443934090493</v>
      </c>
      <c r="AG32" s="54">
        <f t="shared" ca="1" si="11"/>
        <v>0.12864237098620254</v>
      </c>
      <c r="AH32" s="54">
        <f t="shared" ca="1" si="11"/>
        <v>1.148818489561735</v>
      </c>
      <c r="AI32" s="54">
        <f t="shared" ca="1" si="11"/>
        <v>1.4186640644846349</v>
      </c>
      <c r="AJ32" s="54">
        <f t="shared" ca="1" si="11"/>
        <v>0</v>
      </c>
      <c r="AK32" s="54">
        <f t="shared" ca="1" si="11"/>
        <v>0.38890908650490191</v>
      </c>
      <c r="AL32" s="54">
        <f t="shared" ca="1" si="11"/>
        <v>0</v>
      </c>
      <c r="AM32" s="54">
        <f t="shared" ca="1" si="11"/>
        <v>1.607144024251026</v>
      </c>
      <c r="AN32" s="54">
        <f t="shared" ca="1" si="11"/>
        <v>1.9306152260256257</v>
      </c>
    </row>
    <row r="33" spans="1:40" x14ac:dyDescent="0.25">
      <c r="A33" s="155" t="s">
        <v>386</v>
      </c>
      <c r="B33" s="54">
        <f t="shared" ref="B33:AN33" ca="1" si="12">B32</f>
        <v>0.98764189174012906</v>
      </c>
      <c r="C33" s="54">
        <f t="shared" ca="1" si="12"/>
        <v>0.62012025115479819</v>
      </c>
      <c r="D33" s="54">
        <f t="shared" ca="1" si="12"/>
        <v>1.3016325195287252E-2</v>
      </c>
      <c r="E33" s="54">
        <f t="shared" ca="1" si="12"/>
        <v>0.64377270680404197</v>
      </c>
      <c r="F33" s="54">
        <f t="shared" ca="1" si="12"/>
        <v>0.60695171422974736</v>
      </c>
      <c r="G33" s="54">
        <f t="shared" ca="1" si="12"/>
        <v>2.2062247890663011E-3</v>
      </c>
      <c r="H33" s="54">
        <f t="shared" ca="1" si="12"/>
        <v>0.53959080223291334</v>
      </c>
      <c r="I33" s="54">
        <f t="shared" ca="1" si="12"/>
        <v>1.2274641571516534</v>
      </c>
      <c r="J33" s="54">
        <f t="shared" ca="1" si="12"/>
        <v>1.6326038908717964</v>
      </c>
      <c r="K33" s="54">
        <f t="shared" ca="1" si="12"/>
        <v>0</v>
      </c>
      <c r="L33" s="54">
        <f t="shared" ca="1" si="12"/>
        <v>2.2987184457829786</v>
      </c>
      <c r="M33" s="54">
        <f t="shared" ca="1" si="12"/>
        <v>2.0537114366619803E-2</v>
      </c>
      <c r="N33" s="54">
        <f t="shared" ca="1" si="12"/>
        <v>0.27743936919405376</v>
      </c>
      <c r="O33" s="54">
        <f t="shared" ca="1" si="12"/>
        <v>0</v>
      </c>
      <c r="P33" s="54">
        <f t="shared" ca="1" si="12"/>
        <v>1.1972206853222307</v>
      </c>
      <c r="Q33" s="54">
        <f t="shared" ca="1" si="12"/>
        <v>1.7212521928957347</v>
      </c>
      <c r="R33" s="54">
        <f t="shared" ca="1" si="12"/>
        <v>1.5775090184655529E-2</v>
      </c>
      <c r="S33" s="54">
        <f t="shared" ca="1" si="12"/>
        <v>0.1085881499265843</v>
      </c>
      <c r="T33" s="54">
        <f t="shared" ca="1" si="12"/>
        <v>4.1633813482084614E-2</v>
      </c>
      <c r="U33" s="54">
        <f t="shared" ca="1" si="12"/>
        <v>2.4713591805698312</v>
      </c>
      <c r="V33" s="54">
        <f t="shared" ca="1" si="12"/>
        <v>2.3298036853210236</v>
      </c>
      <c r="W33" s="54">
        <f t="shared" ca="1" si="12"/>
        <v>0</v>
      </c>
      <c r="X33" s="54">
        <f t="shared" ca="1" si="12"/>
        <v>2.9347584355539209</v>
      </c>
      <c r="Y33" s="54">
        <f t="shared" ca="1" si="12"/>
        <v>3.0447457015129881E-2</v>
      </c>
      <c r="Z33" s="54">
        <f t="shared" ca="1" si="12"/>
        <v>0.7213014895217561</v>
      </c>
      <c r="AA33" s="54">
        <f t="shared" ca="1" si="12"/>
        <v>7.0486732668789696</v>
      </c>
      <c r="AB33" s="54">
        <f t="shared" ca="1" si="12"/>
        <v>0.2237201601879579</v>
      </c>
      <c r="AC33" s="54">
        <f t="shared" ca="1" si="12"/>
        <v>9.1538300990841065E-2</v>
      </c>
      <c r="AD33" s="54">
        <f t="shared" ca="1" si="12"/>
        <v>0.76387142872162705</v>
      </c>
      <c r="AE33" s="54">
        <f t="shared" ca="1" si="12"/>
        <v>0.48850032906873042</v>
      </c>
      <c r="AF33" s="54">
        <f t="shared" ca="1" si="12"/>
        <v>0.15422443934090493</v>
      </c>
      <c r="AG33" s="54">
        <f t="shared" ca="1" si="12"/>
        <v>0.12864237098620254</v>
      </c>
      <c r="AH33" s="54">
        <f t="shared" ca="1" si="12"/>
        <v>1.148818489561735</v>
      </c>
      <c r="AI33" s="54">
        <f t="shared" ca="1" si="12"/>
        <v>1.4186640644846349</v>
      </c>
      <c r="AJ33" s="54">
        <f t="shared" ca="1" si="12"/>
        <v>0</v>
      </c>
      <c r="AK33" s="54">
        <f t="shared" ca="1" si="12"/>
        <v>0.38890908650490191</v>
      </c>
      <c r="AL33" s="54">
        <f t="shared" ca="1" si="12"/>
        <v>0</v>
      </c>
      <c r="AM33" s="54">
        <f t="shared" ca="1" si="12"/>
        <v>1.607144024251026</v>
      </c>
      <c r="AN33" s="54">
        <f t="shared" ca="1" si="12"/>
        <v>1.9306152260256257</v>
      </c>
    </row>
  </sheetData>
  <sheetProtection algorithmName="SHA-512" hashValue="rRP70XviRmUSOsLwRwzKAN8tZSWX+zf1jQZrqaSb88K/iBMiq0W+ypN6vMI2Y5P/68kub5VIMyHzRDimbztUOw==" saltValue="Vnj/hH1pJDHxryHOPM/lNQ==" spinCount="100000" sheet="1" objects="1" scenarios="1"/>
  <pageMargins left="0.7" right="0.7" top="0.75" bottom="0.75" header="0.3" footer="0.3"/>
  <legacyDrawing r:id="rId1"/>
</worksheet>
</file>

<file path=xl/worksheets/sheet2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0"/>
  <dimension ref="A1:AO41"/>
  <sheetViews>
    <sheetView workbookViewId="0">
      <pane xSplit="1" ySplit="2" topLeftCell="AE7" activePane="bottomRight" state="frozen"/>
      <selection pane="topRight" activeCell="B1" sqref="B1"/>
      <selection pane="bottomLeft" activeCell="A3" sqref="A3"/>
      <selection pane="bottomRight" activeCell="AO31" sqref="AO31"/>
    </sheetView>
  </sheetViews>
  <sheetFormatPr defaultColWidth="9.140625" defaultRowHeight="15" x14ac:dyDescent="0.25"/>
  <cols>
    <col min="1" max="1" width="34.28515625" style="21" customWidth="1"/>
    <col min="2" max="2" width="13.28515625" style="21" bestFit="1" customWidth="1"/>
    <col min="3" max="5" width="11.7109375" style="21" bestFit="1" customWidth="1"/>
    <col min="6" max="6" width="13.28515625" style="21" bestFit="1" customWidth="1"/>
    <col min="7" max="7" width="13.42578125" style="21" bestFit="1" customWidth="1"/>
    <col min="8" max="8" width="11.7109375" style="21" bestFit="1" customWidth="1"/>
    <col min="9" max="9" width="13.28515625" style="21" bestFit="1" customWidth="1"/>
    <col min="10" max="12" width="11.7109375" style="21" bestFit="1" customWidth="1"/>
    <col min="13" max="13" width="13.42578125" style="21" bestFit="1" customWidth="1"/>
    <col min="14" max="14" width="11.7109375" style="21" bestFit="1" customWidth="1"/>
    <col min="15" max="15" width="13.28515625" style="21" bestFit="1" customWidth="1"/>
    <col min="16" max="16" width="11.7109375" style="21" bestFit="1" customWidth="1"/>
    <col min="17" max="17" width="11.5703125" style="21" bestFit="1" customWidth="1"/>
    <col min="18" max="18" width="11.7109375" style="21" bestFit="1" customWidth="1"/>
    <col min="19" max="19" width="13.42578125" style="21" bestFit="1" customWidth="1"/>
    <col min="20" max="21" width="11.7109375" style="21" bestFit="1" customWidth="1"/>
    <col min="22" max="22" width="11.5703125" style="21" bestFit="1" customWidth="1"/>
    <col min="23" max="25" width="11.7109375" style="21" bestFit="1" customWidth="1"/>
    <col min="26" max="28" width="13.42578125" style="21" bestFit="1" customWidth="1"/>
    <col min="29" max="29" width="11.7109375" style="21" bestFit="1" customWidth="1"/>
    <col min="30" max="31" width="10.7109375" style="21" bestFit="1" customWidth="1"/>
    <col min="32" max="32" width="11.7109375" style="21" bestFit="1" customWidth="1"/>
    <col min="33" max="33" width="10.7109375" style="21" bestFit="1" customWidth="1"/>
    <col min="34" max="34" width="13.28515625" style="21" bestFit="1" customWidth="1"/>
    <col min="35" max="35" width="11.5703125" style="21" bestFit="1" customWidth="1"/>
    <col min="36" max="37" width="11.7109375" style="21" bestFit="1" customWidth="1"/>
    <col min="38" max="38" width="13.28515625" style="21" bestFit="1" customWidth="1"/>
    <col min="39" max="40" width="12.5703125" style="21" bestFit="1" customWidth="1"/>
    <col min="41" max="41" width="14.5703125" style="21" customWidth="1"/>
    <col min="42" max="42" width="9.140625" style="21"/>
    <col min="43" max="43" width="12.7109375" style="21" customWidth="1"/>
    <col min="44" max="45" width="9.140625" style="21"/>
    <col min="46" max="46" width="19" style="21" customWidth="1"/>
    <col min="47" max="16384" width="9.140625" style="21"/>
  </cols>
  <sheetData>
    <row r="1" spans="1:41" x14ac:dyDescent="0.25">
      <c r="A1" s="21" t="s">
        <v>61</v>
      </c>
      <c r="B1" s="21">
        <v>1</v>
      </c>
      <c r="C1" s="21">
        <v>2</v>
      </c>
      <c r="D1" s="21">
        <v>3</v>
      </c>
      <c r="E1" s="21">
        <v>4</v>
      </c>
      <c r="F1" s="21">
        <v>5</v>
      </c>
      <c r="G1" s="21">
        <v>6</v>
      </c>
      <c r="H1" s="21">
        <v>7</v>
      </c>
      <c r="I1" s="21">
        <v>8</v>
      </c>
      <c r="J1" s="21">
        <v>9</v>
      </c>
      <c r="K1" s="21">
        <v>10</v>
      </c>
      <c r="L1" s="21">
        <v>11</v>
      </c>
      <c r="M1" s="21">
        <v>12</v>
      </c>
      <c r="N1" s="21">
        <v>13</v>
      </c>
      <c r="O1" s="21">
        <v>14</v>
      </c>
      <c r="P1" s="21">
        <v>15</v>
      </c>
      <c r="Q1" s="21">
        <v>16</v>
      </c>
      <c r="R1" s="21">
        <v>17</v>
      </c>
      <c r="S1" s="21">
        <v>18</v>
      </c>
      <c r="T1" s="21">
        <v>19</v>
      </c>
      <c r="U1" s="21">
        <v>20</v>
      </c>
      <c r="V1" s="21">
        <v>21</v>
      </c>
      <c r="W1" s="21">
        <v>22</v>
      </c>
      <c r="X1" s="21">
        <v>23</v>
      </c>
      <c r="Y1" s="21">
        <v>24</v>
      </c>
      <c r="Z1" s="21">
        <v>25</v>
      </c>
      <c r="AA1" s="21">
        <v>26</v>
      </c>
      <c r="AB1" s="21">
        <v>27</v>
      </c>
      <c r="AC1" s="21">
        <v>28</v>
      </c>
      <c r="AD1" s="21">
        <v>29</v>
      </c>
      <c r="AE1" s="21">
        <v>30</v>
      </c>
      <c r="AF1" s="21">
        <v>31</v>
      </c>
      <c r="AG1" s="21">
        <v>32</v>
      </c>
      <c r="AH1" s="21">
        <v>33</v>
      </c>
      <c r="AI1" s="21">
        <v>34</v>
      </c>
      <c r="AJ1" s="21">
        <v>35</v>
      </c>
      <c r="AK1" s="21">
        <v>36</v>
      </c>
      <c r="AL1" s="21">
        <v>37</v>
      </c>
      <c r="AM1" s="21">
        <v>38</v>
      </c>
      <c r="AN1" s="21">
        <v>39</v>
      </c>
      <c r="AO1" s="314" t="s">
        <v>97</v>
      </c>
    </row>
    <row r="2" spans="1:41" x14ac:dyDescent="0.25">
      <c r="A2" s="21" t="s">
        <v>111</v>
      </c>
      <c r="B2" s="21" t="s">
        <v>60</v>
      </c>
      <c r="C2" s="21" t="s">
        <v>59</v>
      </c>
      <c r="D2" s="21" t="s">
        <v>58</v>
      </c>
      <c r="E2" s="21" t="s">
        <v>57</v>
      </c>
      <c r="F2" s="21" t="s">
        <v>56</v>
      </c>
      <c r="G2" s="21" t="s">
        <v>55</v>
      </c>
      <c r="H2" s="21" t="s">
        <v>54</v>
      </c>
      <c r="I2" s="21" t="s">
        <v>53</v>
      </c>
      <c r="J2" s="21" t="s">
        <v>52</v>
      </c>
      <c r="K2" s="21" t="s">
        <v>51</v>
      </c>
      <c r="L2" s="21" t="s">
        <v>50</v>
      </c>
      <c r="M2" s="21" t="s">
        <v>49</v>
      </c>
      <c r="N2" s="21" t="s">
        <v>48</v>
      </c>
      <c r="O2" s="21" t="s">
        <v>47</v>
      </c>
      <c r="P2" s="21" t="s">
        <v>46</v>
      </c>
      <c r="Q2" s="21" t="s">
        <v>45</v>
      </c>
      <c r="R2" s="21" t="s">
        <v>44</v>
      </c>
      <c r="S2" s="21" t="s">
        <v>43</v>
      </c>
      <c r="T2" s="21" t="s">
        <v>42</v>
      </c>
      <c r="U2" s="21" t="s">
        <v>41</v>
      </c>
      <c r="V2" s="21" t="s">
        <v>40</v>
      </c>
      <c r="W2" s="21" t="s">
        <v>39</v>
      </c>
      <c r="X2" s="21" t="s">
        <v>38</v>
      </c>
      <c r="Y2" s="21" t="s">
        <v>37</v>
      </c>
      <c r="Z2" s="21" t="s">
        <v>36</v>
      </c>
      <c r="AA2" s="21" t="s">
        <v>35</v>
      </c>
      <c r="AB2" s="21" t="s">
        <v>34</v>
      </c>
      <c r="AC2" s="21" t="s">
        <v>33</v>
      </c>
      <c r="AD2" s="21" t="s">
        <v>32</v>
      </c>
      <c r="AE2" s="21" t="s">
        <v>31</v>
      </c>
      <c r="AF2" s="21" t="s">
        <v>30</v>
      </c>
      <c r="AG2" s="21" t="s">
        <v>29</v>
      </c>
      <c r="AH2" s="21" t="s">
        <v>28</v>
      </c>
      <c r="AI2" s="21" t="s">
        <v>27</v>
      </c>
      <c r="AJ2" s="21" t="s">
        <v>26</v>
      </c>
      <c r="AK2" s="21" t="s">
        <v>25</v>
      </c>
      <c r="AL2" s="21" t="s">
        <v>24</v>
      </c>
      <c r="AM2" s="21" t="s">
        <v>23</v>
      </c>
      <c r="AN2" s="21" t="s">
        <v>22</v>
      </c>
      <c r="AO2" s="314"/>
    </row>
    <row r="3" spans="1:41" x14ac:dyDescent="0.25">
      <c r="A3" s="21" t="str">
        <f>INDEX(watershed_list,Main!B7)</f>
        <v>Statewide</v>
      </c>
      <c r="B3" s="22">
        <f>Watersheds!B122</f>
        <v>1</v>
      </c>
      <c r="C3" s="22">
        <f>Watersheds!C122</f>
        <v>1</v>
      </c>
      <c r="D3" s="22">
        <f>Watersheds!D122</f>
        <v>1</v>
      </c>
      <c r="E3" s="22">
        <f>Watersheds!E122</f>
        <v>1</v>
      </c>
      <c r="F3" s="22">
        <f>Watersheds!F122</f>
        <v>1</v>
      </c>
      <c r="G3" s="22">
        <f>Watersheds!G122</f>
        <v>1</v>
      </c>
      <c r="H3" s="22">
        <f>Watersheds!H122</f>
        <v>1</v>
      </c>
      <c r="I3" s="22">
        <f>Watersheds!I122</f>
        <v>1</v>
      </c>
      <c r="J3" s="22">
        <f>Watersheds!J122</f>
        <v>1</v>
      </c>
      <c r="K3" s="22">
        <f>Watersheds!K122</f>
        <v>1</v>
      </c>
      <c r="L3" s="22">
        <f>Watersheds!L122</f>
        <v>1</v>
      </c>
      <c r="M3" s="22">
        <f>Watersheds!M122</f>
        <v>1</v>
      </c>
      <c r="N3" s="22">
        <f>Watersheds!N122</f>
        <v>1</v>
      </c>
      <c r="O3" s="22">
        <f>Watersheds!O122</f>
        <v>1</v>
      </c>
      <c r="P3" s="22">
        <f>Watersheds!P122</f>
        <v>1</v>
      </c>
      <c r="Q3" s="22">
        <f>Watersheds!Q122</f>
        <v>1</v>
      </c>
      <c r="R3" s="22">
        <f>Watersheds!R122</f>
        <v>1</v>
      </c>
      <c r="S3" s="22">
        <f>Watersheds!S122</f>
        <v>1</v>
      </c>
      <c r="T3" s="22">
        <f>Watersheds!T122</f>
        <v>1</v>
      </c>
      <c r="U3" s="22">
        <f>Watersheds!U122</f>
        <v>1</v>
      </c>
      <c r="V3" s="22">
        <f>Watersheds!V122</f>
        <v>1</v>
      </c>
      <c r="W3" s="22">
        <f>Watersheds!W122</f>
        <v>1</v>
      </c>
      <c r="X3" s="22">
        <f>Watersheds!X122</f>
        <v>1</v>
      </c>
      <c r="Y3" s="22">
        <f>Watersheds!Y122</f>
        <v>1</v>
      </c>
      <c r="Z3" s="22">
        <f>Watersheds!Z122</f>
        <v>1</v>
      </c>
      <c r="AA3" s="22">
        <f>Watersheds!AA122</f>
        <v>1</v>
      </c>
      <c r="AB3" s="22">
        <f>Watersheds!AB122</f>
        <v>1</v>
      </c>
      <c r="AC3" s="22">
        <f>Watersheds!AC122</f>
        <v>1</v>
      </c>
      <c r="AD3" s="22">
        <f>Watersheds!AD122</f>
        <v>1</v>
      </c>
      <c r="AE3" s="22">
        <f>Watersheds!AE122</f>
        <v>1</v>
      </c>
      <c r="AF3" s="22">
        <f>Watersheds!AF122</f>
        <v>1</v>
      </c>
      <c r="AG3" s="22">
        <f>Watersheds!AG122</f>
        <v>1</v>
      </c>
      <c r="AH3" s="22">
        <f>Watersheds!AH122</f>
        <v>1</v>
      </c>
      <c r="AI3" s="22">
        <f>Watersheds!AI122</f>
        <v>1</v>
      </c>
      <c r="AJ3" s="22">
        <f>Watersheds!AJ122</f>
        <v>1</v>
      </c>
      <c r="AK3" s="22">
        <f>Watersheds!AK122</f>
        <v>1</v>
      </c>
      <c r="AL3" s="22">
        <f>Watersheds!AL122</f>
        <v>1</v>
      </c>
      <c r="AM3" s="22">
        <f>Watersheds!AM122</f>
        <v>1</v>
      </c>
      <c r="AN3" s="22">
        <f>Watersheds!AN122</f>
        <v>1</v>
      </c>
      <c r="AO3" s="314"/>
    </row>
    <row r="4" spans="1:41" x14ac:dyDescent="0.25">
      <c r="A4" s="738" t="s">
        <v>1160</v>
      </c>
      <c r="B4" s="740">
        <v>1984718.6428827527</v>
      </c>
      <c r="C4" s="740">
        <v>359996.55843532766</v>
      </c>
      <c r="D4" s="740">
        <v>483005.02733980352</v>
      </c>
      <c r="E4" s="740">
        <v>737363.1237188516</v>
      </c>
      <c r="F4" s="740">
        <v>588628.71823122562</v>
      </c>
      <c r="G4" s="740">
        <v>1058510.9816779916</v>
      </c>
      <c r="H4" s="740">
        <v>939670.44002494414</v>
      </c>
      <c r="I4" s="740">
        <v>860454.56760389777</v>
      </c>
      <c r="J4" s="740">
        <v>236577.99726259071</v>
      </c>
      <c r="K4" s="740">
        <v>436979.00530845928</v>
      </c>
      <c r="L4" s="740">
        <v>914187.15502126049</v>
      </c>
      <c r="M4" s="740">
        <v>1271377.1401554178</v>
      </c>
      <c r="N4" s="740">
        <v>394415.90145275468</v>
      </c>
      <c r="O4" s="740">
        <v>669316.42651179852</v>
      </c>
      <c r="P4" s="740">
        <v>115689.33165808732</v>
      </c>
      <c r="Q4" s="740">
        <v>99828.256882981514</v>
      </c>
      <c r="R4" s="740">
        <v>119778.38834379298</v>
      </c>
      <c r="S4" s="740">
        <v>1116907.827085499</v>
      </c>
      <c r="T4" s="740">
        <v>447872.05665613024</v>
      </c>
      <c r="U4" s="740">
        <v>866319.5762193203</v>
      </c>
      <c r="V4" s="740">
        <v>32544.2164267642</v>
      </c>
      <c r="W4" s="740">
        <v>265466.08633120597</v>
      </c>
      <c r="X4" s="740">
        <v>371532.09294750536</v>
      </c>
      <c r="Y4" s="740">
        <v>341352.27993186645</v>
      </c>
      <c r="Z4" s="740">
        <v>1142433.0101251188</v>
      </c>
      <c r="AA4" s="740">
        <v>1238048.5585527306</v>
      </c>
      <c r="AB4" s="740">
        <v>1034596.4149611697</v>
      </c>
      <c r="AC4" s="740">
        <v>260242.22306688316</v>
      </c>
      <c r="AD4" s="740">
        <v>45614.791106583172</v>
      </c>
      <c r="AE4" s="740">
        <v>84345.73083085088</v>
      </c>
      <c r="AF4" s="740">
        <v>273639.23614343855</v>
      </c>
      <c r="AG4" s="740">
        <v>34022.399140564587</v>
      </c>
      <c r="AH4" s="740">
        <v>703429.6575796532</v>
      </c>
      <c r="AI4" s="740">
        <v>79708.120696702623</v>
      </c>
      <c r="AJ4" s="740">
        <v>355396.01996851421</v>
      </c>
      <c r="AK4" s="740">
        <v>254894.56379471204</v>
      </c>
      <c r="AL4" s="740">
        <v>809048.22215568577</v>
      </c>
      <c r="AM4" s="740">
        <v>376050.3461231016</v>
      </c>
      <c r="AN4" s="740">
        <v>448745.89733742207</v>
      </c>
      <c r="AO4" s="316">
        <f t="shared" ref="AO4:AO6" si="0">SUM(B4:AN4)</f>
        <v>21852706.989693359</v>
      </c>
    </row>
    <row r="5" spans="1:41" x14ac:dyDescent="0.25">
      <c r="A5" s="738" t="s">
        <v>1162</v>
      </c>
      <c r="B5" s="739">
        <f>B4*B3</f>
        <v>1984718.6428827527</v>
      </c>
      <c r="C5" s="739">
        <f t="shared" ref="C5:AN5" si="1">C4*C3</f>
        <v>359996.55843532766</v>
      </c>
      <c r="D5" s="739">
        <f t="shared" si="1"/>
        <v>483005.02733980352</v>
      </c>
      <c r="E5" s="739">
        <f t="shared" si="1"/>
        <v>737363.1237188516</v>
      </c>
      <c r="F5" s="739">
        <f t="shared" si="1"/>
        <v>588628.71823122562</v>
      </c>
      <c r="G5" s="739">
        <f t="shared" si="1"/>
        <v>1058510.9816779916</v>
      </c>
      <c r="H5" s="739">
        <f t="shared" si="1"/>
        <v>939670.44002494414</v>
      </c>
      <c r="I5" s="739">
        <f t="shared" si="1"/>
        <v>860454.56760389777</v>
      </c>
      <c r="J5" s="739">
        <f t="shared" si="1"/>
        <v>236577.99726259071</v>
      </c>
      <c r="K5" s="739">
        <f t="shared" si="1"/>
        <v>436979.00530845928</v>
      </c>
      <c r="L5" s="739">
        <f t="shared" si="1"/>
        <v>914187.15502126049</v>
      </c>
      <c r="M5" s="739">
        <f t="shared" si="1"/>
        <v>1271377.1401554178</v>
      </c>
      <c r="N5" s="739">
        <f t="shared" si="1"/>
        <v>394415.90145275468</v>
      </c>
      <c r="O5" s="739">
        <f t="shared" si="1"/>
        <v>669316.42651179852</v>
      </c>
      <c r="P5" s="739">
        <f t="shared" si="1"/>
        <v>115689.33165808732</v>
      </c>
      <c r="Q5" s="739">
        <f t="shared" si="1"/>
        <v>99828.256882981514</v>
      </c>
      <c r="R5" s="739">
        <f t="shared" si="1"/>
        <v>119778.38834379298</v>
      </c>
      <c r="S5" s="739">
        <f t="shared" si="1"/>
        <v>1116907.827085499</v>
      </c>
      <c r="T5" s="739">
        <f t="shared" si="1"/>
        <v>447872.05665613024</v>
      </c>
      <c r="U5" s="739">
        <f t="shared" si="1"/>
        <v>866319.5762193203</v>
      </c>
      <c r="V5" s="739">
        <f t="shared" si="1"/>
        <v>32544.2164267642</v>
      </c>
      <c r="W5" s="739">
        <f t="shared" si="1"/>
        <v>265466.08633120597</v>
      </c>
      <c r="X5" s="739">
        <f t="shared" si="1"/>
        <v>371532.09294750536</v>
      </c>
      <c r="Y5" s="739">
        <f t="shared" si="1"/>
        <v>341352.27993186645</v>
      </c>
      <c r="Z5" s="739">
        <f t="shared" si="1"/>
        <v>1142433.0101251188</v>
      </c>
      <c r="AA5" s="739">
        <f t="shared" si="1"/>
        <v>1238048.5585527306</v>
      </c>
      <c r="AB5" s="739">
        <f t="shared" si="1"/>
        <v>1034596.4149611697</v>
      </c>
      <c r="AC5" s="739">
        <f t="shared" si="1"/>
        <v>260242.22306688316</v>
      </c>
      <c r="AD5" s="739">
        <f t="shared" si="1"/>
        <v>45614.791106583172</v>
      </c>
      <c r="AE5" s="739">
        <f t="shared" si="1"/>
        <v>84345.73083085088</v>
      </c>
      <c r="AF5" s="739">
        <f t="shared" si="1"/>
        <v>273639.23614343855</v>
      </c>
      <c r="AG5" s="739">
        <f t="shared" si="1"/>
        <v>34022.399140564587</v>
      </c>
      <c r="AH5" s="739">
        <f t="shared" si="1"/>
        <v>703429.6575796532</v>
      </c>
      <c r="AI5" s="739">
        <f t="shared" si="1"/>
        <v>79708.120696702623</v>
      </c>
      <c r="AJ5" s="739">
        <f t="shared" si="1"/>
        <v>355396.01996851421</v>
      </c>
      <c r="AK5" s="739">
        <f t="shared" si="1"/>
        <v>254894.56379471204</v>
      </c>
      <c r="AL5" s="739">
        <f t="shared" si="1"/>
        <v>809048.22215568577</v>
      </c>
      <c r="AM5" s="739">
        <f t="shared" si="1"/>
        <v>376050.3461231016</v>
      </c>
      <c r="AN5" s="739">
        <f t="shared" si="1"/>
        <v>448745.89733742207</v>
      </c>
      <c r="AO5" s="316">
        <f t="shared" si="0"/>
        <v>21852706.989693359</v>
      </c>
    </row>
    <row r="6" spans="1:41" x14ac:dyDescent="0.25">
      <c r="A6" s="738" t="s">
        <v>1161</v>
      </c>
      <c r="B6" s="739">
        <f>B5*Parameters!$C$11</f>
        <v>4904239.7665632823</v>
      </c>
      <c r="C6" s="739">
        <f>C5*Parameters!$C$11</f>
        <v>889551.49589369469</v>
      </c>
      <c r="D6" s="739">
        <f>D5*Parameters!$C$11</f>
        <v>1193505.4225566546</v>
      </c>
      <c r="E6" s="739">
        <f>E5*Parameters!$C$11</f>
        <v>1822024.2787092824</v>
      </c>
      <c r="F6" s="739">
        <f>F5*Parameters!$C$11</f>
        <v>1454501.5627493586</v>
      </c>
      <c r="G6" s="739">
        <f>G5*Parameters!$C$11</f>
        <v>2615580.6357263173</v>
      </c>
      <c r="H6" s="739">
        <f>H5*Parameters!$C$11</f>
        <v>2321925.6573016369</v>
      </c>
      <c r="I6" s="739">
        <f>I5*Parameters!$C$11</f>
        <v>2126183.2365492317</v>
      </c>
      <c r="J6" s="739">
        <f>J5*Parameters!$C$11</f>
        <v>584584.23123586166</v>
      </c>
      <c r="K6" s="739">
        <f>K5*Parameters!$C$11</f>
        <v>1079775.122117203</v>
      </c>
      <c r="L6" s="739">
        <f>L5*Parameters!$C$11</f>
        <v>2258956.4600575347</v>
      </c>
      <c r="M6" s="739">
        <f>M5*Parameters!$C$11</f>
        <v>3141572.9133240376</v>
      </c>
      <c r="N6" s="739">
        <f>N5*Parameters!$C$11</f>
        <v>974601.69248975685</v>
      </c>
      <c r="O6" s="739">
        <f>O5*Parameters!$C$11</f>
        <v>1653880.8899106542</v>
      </c>
      <c r="P6" s="739">
        <f>P5*Parameters!$C$11</f>
        <v>285868.3385271338</v>
      </c>
      <c r="Q6" s="739">
        <f>Q5*Parameters!$C$11</f>
        <v>246675.62275784733</v>
      </c>
      <c r="R6" s="739">
        <f>R5*Parameters!$C$11</f>
        <v>295972.39759751246</v>
      </c>
      <c r="S6" s="739">
        <f>S5*Parameters!$C$11</f>
        <v>2759879.2407282679</v>
      </c>
      <c r="T6" s="739">
        <f>T5*Parameters!$C$11</f>
        <v>1106691.851997298</v>
      </c>
      <c r="U6" s="739">
        <f>U5*Parameters!$C$11</f>
        <v>2140675.6728379405</v>
      </c>
      <c r="V6" s="739">
        <f>V5*Parameters!$C$11</f>
        <v>80416.758790534339</v>
      </c>
      <c r="W6" s="739">
        <f>W5*Parameters!$C$11</f>
        <v>655966.69932440994</v>
      </c>
      <c r="X6" s="739">
        <f>X5*Parameters!$C$11</f>
        <v>918055.80167328578</v>
      </c>
      <c r="Y6" s="739">
        <f>Y5*Parameters!$C$11</f>
        <v>843481.48371164198</v>
      </c>
      <c r="Z6" s="739">
        <f>Z5*Parameters!$C$11</f>
        <v>2822951.9680191684</v>
      </c>
      <c r="AA6" s="739">
        <f>AA5*Parameters!$C$11</f>
        <v>3059217.9881837973</v>
      </c>
      <c r="AB6" s="739">
        <f>AB5*Parameters!$C$11</f>
        <v>2556487.7413690505</v>
      </c>
      <c r="AC6" s="739">
        <f>AC5*Parameters!$C$11</f>
        <v>643058.53319826827</v>
      </c>
      <c r="AD6" s="739">
        <f>AD5*Parameters!$C$11</f>
        <v>112714.14882436702</v>
      </c>
      <c r="AE6" s="739">
        <f>AE5*Parameters!$C$11</f>
        <v>208418.30088303253</v>
      </c>
      <c r="AF6" s="739">
        <f>AF5*Parameters!$C$11</f>
        <v>676162.55251043674</v>
      </c>
      <c r="AG6" s="739">
        <f>AG5*Parameters!$C$11</f>
        <v>84069.348276335091</v>
      </c>
      <c r="AH6" s="739">
        <f>AH5*Parameters!$C$11</f>
        <v>1738174.6838793231</v>
      </c>
      <c r="AI6" s="739">
        <f>AI5*Parameters!$C$11</f>
        <v>196958.76624155219</v>
      </c>
      <c r="AJ6" s="739">
        <f>AJ5*Parameters!$C$11</f>
        <v>878183.56534219871</v>
      </c>
      <c r="AK6" s="739">
        <f>AK5*Parameters!$C$11</f>
        <v>629844.46713673347</v>
      </c>
      <c r="AL6" s="739">
        <f>AL5*Parameters!$C$11</f>
        <v>1999158.1569466996</v>
      </c>
      <c r="AM6" s="739">
        <f>AM5*Parameters!$C$11</f>
        <v>929220.40527018404</v>
      </c>
      <c r="AN6" s="739">
        <f>AN5*Parameters!$C$11</f>
        <v>1108851.11232077</v>
      </c>
      <c r="AO6" s="316">
        <f t="shared" si="0"/>
        <v>53998038.971532293</v>
      </c>
    </row>
    <row r="7" spans="1:41" x14ac:dyDescent="0.25">
      <c r="A7" s="51" t="s">
        <v>1159</v>
      </c>
      <c r="B7" s="320">
        <f>Watersheds!B38</f>
        <v>1183611.8269754262</v>
      </c>
      <c r="C7" s="320">
        <f>Watersheds!C38</f>
        <v>95754.758676922065</v>
      </c>
      <c r="D7" s="320">
        <f>Watersheds!D38</f>
        <v>384363.31644598173</v>
      </c>
      <c r="E7" s="320">
        <f>Watersheds!E38</f>
        <v>526499.4754478957</v>
      </c>
      <c r="F7" s="320">
        <f>Watersheds!F38</f>
        <v>1087765.8836466994</v>
      </c>
      <c r="G7" s="320">
        <f>Watersheds!G38</f>
        <v>21773.538325770438</v>
      </c>
      <c r="H7" s="320">
        <f>Watersheds!H38</f>
        <v>476975.34015582805</v>
      </c>
      <c r="I7" s="320">
        <f>Watersheds!I38</f>
        <v>1782881.9850823712</v>
      </c>
      <c r="J7" s="320">
        <f>Watersheds!J38</f>
        <v>458429.57002898154</v>
      </c>
      <c r="K7" s="320">
        <f>Watersheds!K38</f>
        <v>819176.20611457271</v>
      </c>
      <c r="L7" s="320">
        <f>Watersheds!L38</f>
        <v>49840.38319707138</v>
      </c>
      <c r="M7" s="320">
        <f>Watersheds!M38</f>
        <v>264659.08028609783</v>
      </c>
      <c r="N7" s="320">
        <f>Watersheds!N38</f>
        <v>769733.41808108834</v>
      </c>
      <c r="O7" s="320">
        <f>Watersheds!O38</f>
        <v>828673.71056960034</v>
      </c>
      <c r="P7" s="320">
        <f>Watersheds!P38</f>
        <v>241824.56323169585</v>
      </c>
      <c r="Q7" s="320">
        <f>Watersheds!Q38</f>
        <v>246814.27028150437</v>
      </c>
      <c r="R7" s="320">
        <f>Watersheds!R38</f>
        <v>4285.7491912003497</v>
      </c>
      <c r="S7" s="320">
        <f>Watersheds!S38</f>
        <v>178246.72078017835</v>
      </c>
      <c r="T7" s="320">
        <f>Watersheds!T38</f>
        <v>6495.4972264639991</v>
      </c>
      <c r="U7" s="320">
        <f>Watersheds!U38</f>
        <v>106361.17112664782</v>
      </c>
      <c r="V7" s="320">
        <f>Watersheds!V38</f>
        <v>64243.015453628861</v>
      </c>
      <c r="W7" s="320">
        <f>Watersheds!W38</f>
        <v>534860.91880764207</v>
      </c>
      <c r="X7" s="320">
        <f>Watersheds!X38</f>
        <v>72691.488463081871</v>
      </c>
      <c r="Y7" s="320">
        <f>Watersheds!Y38</f>
        <v>578435.98666543269</v>
      </c>
      <c r="Z7" s="320">
        <f>Watersheds!Z38</f>
        <v>1740522.0190968888</v>
      </c>
      <c r="AA7" s="320">
        <f>Watersheds!AA38</f>
        <v>310501.91638817242</v>
      </c>
      <c r="AB7" s="320">
        <f>Watersheds!AB38</f>
        <v>1118256.768589003</v>
      </c>
      <c r="AC7" s="320">
        <f>Watersheds!AC38</f>
        <v>46608.093375328019</v>
      </c>
      <c r="AD7" s="320">
        <f>Watersheds!AD38</f>
        <v>54441.211277657254</v>
      </c>
      <c r="AE7" s="320">
        <f>Watersheds!AE38</f>
        <v>65663.160762143409</v>
      </c>
      <c r="AF7" s="320">
        <f>Watersheds!AF38</f>
        <v>130947.11348153767</v>
      </c>
      <c r="AG7" s="320">
        <f>Watersheds!AG38</f>
        <v>25765.81148644643</v>
      </c>
      <c r="AH7" s="320">
        <f>Watersheds!AH38</f>
        <v>1340660.9713842301</v>
      </c>
      <c r="AI7" s="320">
        <f>Watersheds!AI38</f>
        <v>128358.10151161565</v>
      </c>
      <c r="AJ7" s="320">
        <f>Watersheds!AJ38</f>
        <v>574366.93169227603</v>
      </c>
      <c r="AK7" s="320">
        <f>Watersheds!AK38</f>
        <v>522509.10459876515</v>
      </c>
      <c r="AL7" s="320">
        <f>Watersheds!AL38</f>
        <v>1064528.7062601971</v>
      </c>
      <c r="AM7" s="320">
        <f>Watersheds!AM38</f>
        <v>790004.66459855298</v>
      </c>
      <c r="AN7" s="320">
        <f>Watersheds!AN38</f>
        <v>949734.58489426761</v>
      </c>
      <c r="AO7" s="316">
        <f>SUM(B7:AN7)</f>
        <v>19647267.033658866</v>
      </c>
    </row>
    <row r="8" spans="1:41" x14ac:dyDescent="0.25">
      <c r="A8" s="51" t="s">
        <v>1077</v>
      </c>
      <c r="B8" s="51">
        <f>B3*Watersheds!B123</f>
        <v>1183611.8269754259</v>
      </c>
      <c r="C8" s="51">
        <f>C3*Watersheds!C123</f>
        <v>95754.758676922065</v>
      </c>
      <c r="D8" s="51">
        <f>D3*Watersheds!D123</f>
        <v>384363.31644598179</v>
      </c>
      <c r="E8" s="51">
        <f>E3*Watersheds!E123</f>
        <v>526499.4754478957</v>
      </c>
      <c r="F8" s="51">
        <f>F3*Watersheds!F123</f>
        <v>1087765.8836466991</v>
      </c>
      <c r="G8" s="51">
        <f>G3*Watersheds!G123</f>
        <v>21773.538325770438</v>
      </c>
      <c r="H8" s="51">
        <f>H3*Watersheds!H123</f>
        <v>476975.34015582805</v>
      </c>
      <c r="I8" s="51">
        <f>I3*Watersheds!I123</f>
        <v>1782881.9850823716</v>
      </c>
      <c r="J8" s="51">
        <f>J3*Watersheds!J123</f>
        <v>458429.5700289816</v>
      </c>
      <c r="K8" s="51">
        <f>K3*Watersheds!K123</f>
        <v>819176.20611457271</v>
      </c>
      <c r="L8" s="51">
        <f>L3*Watersheds!L123</f>
        <v>49840.38319707138</v>
      </c>
      <c r="M8" s="51">
        <f>M3*Watersheds!M123</f>
        <v>264659.08028609771</v>
      </c>
      <c r="N8" s="51">
        <f>N3*Watersheds!N123</f>
        <v>769733.41808108822</v>
      </c>
      <c r="O8" s="51">
        <f>O3*Watersheds!O123</f>
        <v>828673.71056960034</v>
      </c>
      <c r="P8" s="51">
        <f>P3*Watersheds!P123</f>
        <v>241824.56323169585</v>
      </c>
      <c r="Q8" s="51">
        <f>Q3*Watersheds!Q123</f>
        <v>246814.27028150437</v>
      </c>
      <c r="R8" s="51">
        <f>R3*Watersheds!R123</f>
        <v>4285.7491912003497</v>
      </c>
      <c r="S8" s="51">
        <f>S3*Watersheds!S123</f>
        <v>178246.72078017835</v>
      </c>
      <c r="T8" s="51">
        <f>T3*Watersheds!T123</f>
        <v>6495.4972264640001</v>
      </c>
      <c r="U8" s="51">
        <f>U3*Watersheds!U123</f>
        <v>106361.17112664781</v>
      </c>
      <c r="V8" s="51">
        <f>V3*Watersheds!V123</f>
        <v>64243.015453628868</v>
      </c>
      <c r="W8" s="51">
        <f>W3*Watersheds!W123</f>
        <v>534860.91880764207</v>
      </c>
      <c r="X8" s="51">
        <f>X3*Watersheds!X123</f>
        <v>72691.488463081871</v>
      </c>
      <c r="Y8" s="51">
        <f>Y3*Watersheds!Y123</f>
        <v>578435.98666543269</v>
      </c>
      <c r="Z8" s="51">
        <f>Z3*Watersheds!Z123</f>
        <v>1740522.0190968886</v>
      </c>
      <c r="AA8" s="51">
        <f>AA3*Watersheds!AA123</f>
        <v>310501.91638817242</v>
      </c>
      <c r="AB8" s="51">
        <f>AB3*Watersheds!AB123</f>
        <v>1118256.7685890032</v>
      </c>
      <c r="AC8" s="51">
        <f>AC3*Watersheds!AC123</f>
        <v>46608.093375328011</v>
      </c>
      <c r="AD8" s="51">
        <f>AD3*Watersheds!AD123</f>
        <v>54441.211277657247</v>
      </c>
      <c r="AE8" s="51">
        <f>AE3*Watersheds!AE123</f>
        <v>65663.160762143409</v>
      </c>
      <c r="AF8" s="51">
        <f>AF3*Watersheds!AF123</f>
        <v>130947.11348153764</v>
      </c>
      <c r="AG8" s="51">
        <f>AG3*Watersheds!AG123</f>
        <v>25765.811486446426</v>
      </c>
      <c r="AH8" s="51">
        <f>AH3*Watersheds!AH123</f>
        <v>1340660.9713842301</v>
      </c>
      <c r="AI8" s="51">
        <f>AI3*Watersheds!AI123</f>
        <v>128358.10151161565</v>
      </c>
      <c r="AJ8" s="51">
        <f>AJ3*Watersheds!AJ123</f>
        <v>574366.93169227615</v>
      </c>
      <c r="AK8" s="51">
        <f>AK3*Watersheds!AK123</f>
        <v>522509.1045987652</v>
      </c>
      <c r="AL8" s="51">
        <f>AL3*Watersheds!AL123</f>
        <v>1064528.7062601969</v>
      </c>
      <c r="AM8" s="51">
        <f>AM3*Watersheds!AM123</f>
        <v>790004.66459855286</v>
      </c>
      <c r="AN8" s="51">
        <f>AN3*Watersheds!AN123</f>
        <v>949734.58489426749</v>
      </c>
      <c r="AO8" s="316">
        <f>SUM(B8:AN8)</f>
        <v>19647267.033658866</v>
      </c>
    </row>
    <row r="9" spans="1:41" s="51" customFormat="1" x14ac:dyDescent="0.25">
      <c r="A9" s="51" t="s">
        <v>1137</v>
      </c>
      <c r="B9" s="265">
        <v>4516.6574521644034</v>
      </c>
      <c r="C9" s="265">
        <v>900.78622425000094</v>
      </c>
      <c r="D9" s="265">
        <v>31.830937878423093</v>
      </c>
      <c r="E9" s="265">
        <v>2939.059770254973</v>
      </c>
      <c r="F9" s="265">
        <v>4950.6680783029515</v>
      </c>
      <c r="G9" s="265">
        <v>1.7248686053490843</v>
      </c>
      <c r="H9" s="265">
        <v>2096.1728324047181</v>
      </c>
      <c r="I9" s="265">
        <v>12075.858401190881</v>
      </c>
      <c r="J9" s="265">
        <v>3522.5435379579339</v>
      </c>
      <c r="K9" s="265">
        <v>0</v>
      </c>
      <c r="L9" s="265">
        <v>553.38612309863254</v>
      </c>
      <c r="M9" s="265">
        <v>40.026751960262636</v>
      </c>
      <c r="N9" s="265">
        <v>2861.3492741168075</v>
      </c>
      <c r="O9" s="265">
        <v>0</v>
      </c>
      <c r="P9" s="265">
        <v>2004.2492426233475</v>
      </c>
      <c r="Q9" s="265">
        <v>1738.7872793197123</v>
      </c>
      <c r="R9" s="265">
        <v>0.23430877880893144</v>
      </c>
      <c r="S9" s="265">
        <v>199.13132657814592</v>
      </c>
      <c r="T9" s="265">
        <v>1.8078505526013167</v>
      </c>
      <c r="U9" s="265">
        <v>567.34818594119258</v>
      </c>
      <c r="V9" s="265">
        <v>617.43609111634566</v>
      </c>
      <c r="W9" s="265">
        <v>0</v>
      </c>
      <c r="X9" s="265">
        <v>510.29625175784105</v>
      </c>
      <c r="Y9" s="265">
        <v>242.28522889622079</v>
      </c>
      <c r="Z9" s="265">
        <v>8735.6109719061442</v>
      </c>
      <c r="AA9" s="265">
        <v>5050.4735012917436</v>
      </c>
      <c r="AB9" s="265">
        <v>2122.0444660146045</v>
      </c>
      <c r="AC9" s="265">
        <v>50.344457255561316</v>
      </c>
      <c r="AD9" s="265">
        <v>262.59353303078825</v>
      </c>
      <c r="AE9" s="265">
        <v>127.28631626635628</v>
      </c>
      <c r="AF9" s="265">
        <v>324.15725946539351</v>
      </c>
      <c r="AG9" s="265">
        <v>16.905189498397824</v>
      </c>
      <c r="AH9" s="265">
        <v>10503.838373550258</v>
      </c>
      <c r="AI9" s="265">
        <v>874.30745852397934</v>
      </c>
      <c r="AJ9" s="265">
        <v>0</v>
      </c>
      <c r="AK9" s="265">
        <v>2776.0772984360065</v>
      </c>
      <c r="AL9" s="265">
        <v>0</v>
      </c>
      <c r="AM9" s="265">
        <v>5579.3537631205663</v>
      </c>
      <c r="AN9" s="265">
        <v>8353.2786424455317</v>
      </c>
      <c r="AO9" s="316">
        <f>SUM(B9:AN9)</f>
        <v>85147.911248554883</v>
      </c>
    </row>
    <row r="10" spans="1:41" s="51" customFormat="1" x14ac:dyDescent="0.25">
      <c r="A10" s="51" t="s">
        <v>1138</v>
      </c>
      <c r="B10" s="452">
        <f>B9*B3</f>
        <v>4516.6574521644034</v>
      </c>
      <c r="C10" s="452">
        <f t="shared" ref="C10:AN10" si="2">C9*C3</f>
        <v>900.78622425000094</v>
      </c>
      <c r="D10" s="452">
        <f t="shared" si="2"/>
        <v>31.830937878423093</v>
      </c>
      <c r="E10" s="452">
        <f t="shared" si="2"/>
        <v>2939.059770254973</v>
      </c>
      <c r="F10" s="452">
        <f t="shared" si="2"/>
        <v>4950.6680783029515</v>
      </c>
      <c r="G10" s="452">
        <f t="shared" si="2"/>
        <v>1.7248686053490843</v>
      </c>
      <c r="H10" s="452">
        <f t="shared" si="2"/>
        <v>2096.1728324047181</v>
      </c>
      <c r="I10" s="452">
        <f t="shared" si="2"/>
        <v>12075.858401190881</v>
      </c>
      <c r="J10" s="452">
        <f t="shared" si="2"/>
        <v>3522.5435379579339</v>
      </c>
      <c r="K10" s="452">
        <f t="shared" si="2"/>
        <v>0</v>
      </c>
      <c r="L10" s="452">
        <f t="shared" si="2"/>
        <v>553.38612309863254</v>
      </c>
      <c r="M10" s="452">
        <f t="shared" si="2"/>
        <v>40.026751960262636</v>
      </c>
      <c r="N10" s="452">
        <f t="shared" si="2"/>
        <v>2861.3492741168075</v>
      </c>
      <c r="O10" s="452">
        <f t="shared" si="2"/>
        <v>0</v>
      </c>
      <c r="P10" s="452">
        <f t="shared" si="2"/>
        <v>2004.2492426233475</v>
      </c>
      <c r="Q10" s="452">
        <f t="shared" si="2"/>
        <v>1738.7872793197123</v>
      </c>
      <c r="R10" s="452">
        <f t="shared" si="2"/>
        <v>0.23430877880893144</v>
      </c>
      <c r="S10" s="452">
        <f t="shared" si="2"/>
        <v>199.13132657814592</v>
      </c>
      <c r="T10" s="452">
        <f t="shared" si="2"/>
        <v>1.8078505526013167</v>
      </c>
      <c r="U10" s="452">
        <f t="shared" si="2"/>
        <v>567.34818594119258</v>
      </c>
      <c r="V10" s="452">
        <f t="shared" si="2"/>
        <v>617.43609111634566</v>
      </c>
      <c r="W10" s="452">
        <f t="shared" si="2"/>
        <v>0</v>
      </c>
      <c r="X10" s="452">
        <f t="shared" si="2"/>
        <v>510.29625175784105</v>
      </c>
      <c r="Y10" s="452">
        <f t="shared" si="2"/>
        <v>242.28522889622079</v>
      </c>
      <c r="Z10" s="452">
        <f t="shared" si="2"/>
        <v>8735.6109719061442</v>
      </c>
      <c r="AA10" s="452">
        <f t="shared" si="2"/>
        <v>5050.4735012917436</v>
      </c>
      <c r="AB10" s="452">
        <f t="shared" si="2"/>
        <v>2122.0444660146045</v>
      </c>
      <c r="AC10" s="452">
        <f t="shared" si="2"/>
        <v>50.344457255561316</v>
      </c>
      <c r="AD10" s="452">
        <f t="shared" si="2"/>
        <v>262.59353303078825</v>
      </c>
      <c r="AE10" s="452">
        <f t="shared" si="2"/>
        <v>127.28631626635628</v>
      </c>
      <c r="AF10" s="452">
        <f t="shared" si="2"/>
        <v>324.15725946539351</v>
      </c>
      <c r="AG10" s="452">
        <f t="shared" si="2"/>
        <v>16.905189498397824</v>
      </c>
      <c r="AH10" s="452">
        <f t="shared" si="2"/>
        <v>10503.838373550258</v>
      </c>
      <c r="AI10" s="452">
        <f t="shared" si="2"/>
        <v>874.30745852397934</v>
      </c>
      <c r="AJ10" s="452">
        <f t="shared" si="2"/>
        <v>0</v>
      </c>
      <c r="AK10" s="452">
        <f t="shared" si="2"/>
        <v>2776.0772984360065</v>
      </c>
      <c r="AL10" s="452">
        <f t="shared" si="2"/>
        <v>0</v>
      </c>
      <c r="AM10" s="452">
        <f t="shared" si="2"/>
        <v>5579.3537631205663</v>
      </c>
      <c r="AN10" s="452">
        <f t="shared" si="2"/>
        <v>8353.2786424455317</v>
      </c>
      <c r="AO10" s="316">
        <f>SUM(B10:AN10)</f>
        <v>85147.911248554883</v>
      </c>
    </row>
    <row r="11" spans="1:41" s="51" customFormat="1" x14ac:dyDescent="0.25">
      <c r="A11" s="51" t="s">
        <v>1139</v>
      </c>
      <c r="B11" s="618">
        <v>0.25</v>
      </c>
      <c r="C11" s="618">
        <v>0.25</v>
      </c>
      <c r="D11" s="618">
        <v>0.25</v>
      </c>
      <c r="E11" s="618">
        <v>0.25</v>
      </c>
      <c r="F11" s="618">
        <v>0.25</v>
      </c>
      <c r="G11" s="618">
        <v>0.25</v>
      </c>
      <c r="H11" s="618">
        <v>0.25</v>
      </c>
      <c r="I11" s="618">
        <v>0.25</v>
      </c>
      <c r="J11" s="618">
        <v>0.25</v>
      </c>
      <c r="K11" s="618">
        <v>0.25</v>
      </c>
      <c r="L11" s="618">
        <v>0.25</v>
      </c>
      <c r="M11" s="618">
        <v>0.25</v>
      </c>
      <c r="N11" s="618">
        <v>0.25</v>
      </c>
      <c r="O11" s="618">
        <v>0.25</v>
      </c>
      <c r="P11" s="618">
        <v>0.25</v>
      </c>
      <c r="Q11" s="618">
        <v>0.25</v>
      </c>
      <c r="R11" s="618">
        <v>0.25</v>
      </c>
      <c r="S11" s="618">
        <v>0.25</v>
      </c>
      <c r="T11" s="618">
        <v>0.25</v>
      </c>
      <c r="U11" s="618">
        <v>0.25</v>
      </c>
      <c r="V11" s="618">
        <v>0.25</v>
      </c>
      <c r="W11" s="618">
        <v>0.25</v>
      </c>
      <c r="X11" s="618">
        <v>0.25</v>
      </c>
      <c r="Y11" s="618">
        <v>0.25</v>
      </c>
      <c r="Z11" s="618">
        <v>0.25</v>
      </c>
      <c r="AA11" s="618">
        <v>0.25</v>
      </c>
      <c r="AB11" s="618">
        <v>0.25</v>
      </c>
      <c r="AC11" s="618">
        <v>0.25</v>
      </c>
      <c r="AD11" s="618">
        <v>0.25</v>
      </c>
      <c r="AE11" s="618">
        <v>0.25</v>
      </c>
      <c r="AF11" s="618">
        <v>0.25</v>
      </c>
      <c r="AG11" s="618">
        <v>0.25</v>
      </c>
      <c r="AH11" s="618">
        <v>0.25</v>
      </c>
      <c r="AI11" s="618">
        <v>0.25</v>
      </c>
      <c r="AJ11" s="618">
        <v>0.25</v>
      </c>
      <c r="AK11" s="618">
        <v>0.25</v>
      </c>
      <c r="AL11" s="618">
        <v>0.25</v>
      </c>
      <c r="AM11" s="618">
        <v>0.25</v>
      </c>
      <c r="AN11" s="618">
        <v>0.25</v>
      </c>
      <c r="AO11" s="316"/>
    </row>
    <row r="12" spans="1:41" s="51" customFormat="1" x14ac:dyDescent="0.25">
      <c r="A12" s="51" t="s">
        <v>1133</v>
      </c>
      <c r="B12" s="51">
        <f>B10*(1-B11)</f>
        <v>3387.4930891233025</v>
      </c>
      <c r="C12" s="51">
        <f t="shared" ref="C12:AN12" si="3">C10*(1-C11)</f>
        <v>675.58966818750071</v>
      </c>
      <c r="D12" s="51">
        <f t="shared" si="3"/>
        <v>23.873203408817318</v>
      </c>
      <c r="E12" s="51">
        <f t="shared" si="3"/>
        <v>2204.2948276912298</v>
      </c>
      <c r="F12" s="51">
        <f t="shared" si="3"/>
        <v>3713.0010587272136</v>
      </c>
      <c r="G12" s="51">
        <f t="shared" si="3"/>
        <v>1.2936514540118131</v>
      </c>
      <c r="H12" s="51">
        <f t="shared" si="3"/>
        <v>1572.1296243035385</v>
      </c>
      <c r="I12" s="51">
        <f t="shared" si="3"/>
        <v>9056.89380089316</v>
      </c>
      <c r="J12" s="51">
        <f t="shared" si="3"/>
        <v>2641.9076534684505</v>
      </c>
      <c r="K12" s="51">
        <f t="shared" si="3"/>
        <v>0</v>
      </c>
      <c r="L12" s="51">
        <f t="shared" si="3"/>
        <v>415.03959232397438</v>
      </c>
      <c r="M12" s="51">
        <f t="shared" si="3"/>
        <v>30.020063970196979</v>
      </c>
      <c r="N12" s="51">
        <f t="shared" si="3"/>
        <v>2146.0119555876054</v>
      </c>
      <c r="O12" s="51">
        <f t="shared" si="3"/>
        <v>0</v>
      </c>
      <c r="P12" s="51">
        <f t="shared" si="3"/>
        <v>1503.1869319675106</v>
      </c>
      <c r="Q12" s="51">
        <f t="shared" si="3"/>
        <v>1304.0904594897843</v>
      </c>
      <c r="R12" s="51">
        <f t="shared" si="3"/>
        <v>0.17573158410669859</v>
      </c>
      <c r="S12" s="51">
        <f t="shared" si="3"/>
        <v>149.34849493360943</v>
      </c>
      <c r="T12" s="51">
        <f t="shared" si="3"/>
        <v>1.3558879144509874</v>
      </c>
      <c r="U12" s="51">
        <f t="shared" si="3"/>
        <v>425.51113945589441</v>
      </c>
      <c r="V12" s="51">
        <f t="shared" si="3"/>
        <v>463.07706833725922</v>
      </c>
      <c r="W12" s="51">
        <f t="shared" si="3"/>
        <v>0</v>
      </c>
      <c r="X12" s="51">
        <f t="shared" si="3"/>
        <v>382.7221888183808</v>
      </c>
      <c r="Y12" s="51">
        <f t="shared" si="3"/>
        <v>181.71392167216558</v>
      </c>
      <c r="Z12" s="51">
        <f t="shared" si="3"/>
        <v>6551.7082289296086</v>
      </c>
      <c r="AA12" s="51">
        <f t="shared" si="3"/>
        <v>3787.8551259688074</v>
      </c>
      <c r="AB12" s="51">
        <f t="shared" si="3"/>
        <v>1591.5333495109535</v>
      </c>
      <c r="AC12" s="51">
        <f t="shared" si="3"/>
        <v>37.758342941670989</v>
      </c>
      <c r="AD12" s="51">
        <f t="shared" si="3"/>
        <v>196.9451497730912</v>
      </c>
      <c r="AE12" s="51">
        <f t="shared" si="3"/>
        <v>95.464737199767214</v>
      </c>
      <c r="AF12" s="51">
        <f t="shared" si="3"/>
        <v>243.11794459904513</v>
      </c>
      <c r="AG12" s="51">
        <f t="shared" si="3"/>
        <v>12.678892123798368</v>
      </c>
      <c r="AH12" s="51">
        <f t="shared" si="3"/>
        <v>7877.8787801626931</v>
      </c>
      <c r="AI12" s="51">
        <f t="shared" si="3"/>
        <v>655.73059389298453</v>
      </c>
      <c r="AJ12" s="51">
        <f t="shared" si="3"/>
        <v>0</v>
      </c>
      <c r="AK12" s="51">
        <f t="shared" si="3"/>
        <v>2082.0579738270048</v>
      </c>
      <c r="AL12" s="51">
        <f t="shared" si="3"/>
        <v>0</v>
      </c>
      <c r="AM12" s="51">
        <f t="shared" si="3"/>
        <v>4184.515322340425</v>
      </c>
      <c r="AN12" s="51">
        <f t="shared" si="3"/>
        <v>6264.9589818341483</v>
      </c>
      <c r="AO12" s="316">
        <f>SUM(B12:AN12)</f>
        <v>63860.933436416162</v>
      </c>
    </row>
    <row r="13" spans="1:41" s="51" customFormat="1" x14ac:dyDescent="0.25">
      <c r="A13" s="51" t="s">
        <v>1134</v>
      </c>
      <c r="B13" s="265">
        <v>11160.886397170849</v>
      </c>
      <c r="C13" s="265">
        <v>1780.7102395463721</v>
      </c>
      <c r="D13" s="265">
        <v>78.655839044477389</v>
      </c>
      <c r="E13" s="265">
        <v>54904.981158381444</v>
      </c>
      <c r="F13" s="265">
        <v>207966.92203313866</v>
      </c>
      <c r="G13" s="265">
        <v>4.2622365672478546</v>
      </c>
      <c r="H13" s="265">
        <v>5179.7478775136788</v>
      </c>
      <c r="I13" s="265">
        <v>686321.14775204274</v>
      </c>
      <c r="J13" s="265">
        <v>200200.76781783192</v>
      </c>
      <c r="K13" s="265">
        <v>0</v>
      </c>
      <c r="L13" s="265">
        <v>1367.4447794828759</v>
      </c>
      <c r="M13" s="265">
        <v>98.90810543140698</v>
      </c>
      <c r="N13" s="265">
        <v>113128.59398090139</v>
      </c>
      <c r="O13" s="265">
        <v>0</v>
      </c>
      <c r="P13" s="265">
        <v>123815.00227461058</v>
      </c>
      <c r="Q13" s="265">
        <v>111712.38797063736</v>
      </c>
      <c r="R13" s="265">
        <v>0.57898870787581003</v>
      </c>
      <c r="S13" s="265">
        <v>492.06346454092744</v>
      </c>
      <c r="T13" s="265">
        <v>4.4672891080054837</v>
      </c>
      <c r="U13" s="265">
        <v>1401.9457348699839</v>
      </c>
      <c r="V13" s="265">
        <v>42720.032682685283</v>
      </c>
      <c r="W13" s="265">
        <v>0</v>
      </c>
      <c r="X13" s="265">
        <v>1260.9675529062131</v>
      </c>
      <c r="Y13" s="265">
        <v>598.69891486400638</v>
      </c>
      <c r="Z13" s="265">
        <v>345378.10387405881</v>
      </c>
      <c r="AA13" s="265">
        <v>149759.67054440355</v>
      </c>
      <c r="AB13" s="265">
        <v>5243.6779777453885</v>
      </c>
      <c r="AC13" s="265">
        <v>124.40367110135479</v>
      </c>
      <c r="AD13" s="265">
        <v>9733.2262469359393</v>
      </c>
      <c r="AE13" s="265">
        <v>314.53085180997971</v>
      </c>
      <c r="AF13" s="265">
        <v>801.0087960019606</v>
      </c>
      <c r="AG13" s="265">
        <v>41.773568510015942</v>
      </c>
      <c r="AH13" s="265">
        <v>596976.72569811135</v>
      </c>
      <c r="AI13" s="265">
        <v>47530.063798484945</v>
      </c>
      <c r="AJ13" s="265">
        <v>0</v>
      </c>
      <c r="AK13" s="265">
        <v>150916.16778260644</v>
      </c>
      <c r="AL13" s="265">
        <v>0</v>
      </c>
      <c r="AM13" s="265">
        <v>317097.82867625874</v>
      </c>
      <c r="AN13" s="265">
        <v>557316.96811420587</v>
      </c>
      <c r="AO13" s="316">
        <f>SUM(B13:AN13)</f>
        <v>3745433.3226902178</v>
      </c>
    </row>
    <row r="14" spans="1:41" s="452" customFormat="1" x14ac:dyDescent="0.25">
      <c r="A14" s="452" t="s">
        <v>1164</v>
      </c>
      <c r="B14" s="452">
        <f>B13*B3*B11</f>
        <v>2790.2215992927122</v>
      </c>
      <c r="C14" s="452">
        <f t="shared" ref="C14:AN14" si="4">C13*C3*C11</f>
        <v>445.17755988659303</v>
      </c>
      <c r="D14" s="452">
        <f t="shared" si="4"/>
        <v>19.663959761119347</v>
      </c>
      <c r="E14" s="452">
        <f t="shared" si="4"/>
        <v>13726.245289595361</v>
      </c>
      <c r="F14" s="452">
        <f t="shared" si="4"/>
        <v>51991.730508284665</v>
      </c>
      <c r="G14" s="452">
        <f t="shared" si="4"/>
        <v>1.0655591418119637</v>
      </c>
      <c r="H14" s="452">
        <f t="shared" si="4"/>
        <v>1294.9369693784197</v>
      </c>
      <c r="I14" s="452">
        <f t="shared" si="4"/>
        <v>171580.28693801069</v>
      </c>
      <c r="J14" s="452">
        <f t="shared" si="4"/>
        <v>50050.19195445798</v>
      </c>
      <c r="K14" s="452">
        <f t="shared" si="4"/>
        <v>0</v>
      </c>
      <c r="L14" s="452">
        <f t="shared" si="4"/>
        <v>341.86119487071898</v>
      </c>
      <c r="M14" s="452">
        <f t="shared" si="4"/>
        <v>24.727026357851745</v>
      </c>
      <c r="N14" s="452">
        <f t="shared" si="4"/>
        <v>28282.148495225349</v>
      </c>
      <c r="O14" s="452">
        <f t="shared" si="4"/>
        <v>0</v>
      </c>
      <c r="P14" s="452">
        <f t="shared" si="4"/>
        <v>30953.750568652646</v>
      </c>
      <c r="Q14" s="452">
        <f t="shared" si="4"/>
        <v>27928.096992659339</v>
      </c>
      <c r="R14" s="452">
        <f t="shared" si="4"/>
        <v>0.14474717696895251</v>
      </c>
      <c r="S14" s="452">
        <f t="shared" si="4"/>
        <v>123.01586613523186</v>
      </c>
      <c r="T14" s="452">
        <f t="shared" si="4"/>
        <v>1.1168222770013709</v>
      </c>
      <c r="U14" s="452">
        <f t="shared" si="4"/>
        <v>350.48643371749597</v>
      </c>
      <c r="V14" s="452">
        <f t="shared" si="4"/>
        <v>10680.008170671321</v>
      </c>
      <c r="W14" s="452">
        <f t="shared" si="4"/>
        <v>0</v>
      </c>
      <c r="X14" s="452">
        <f t="shared" si="4"/>
        <v>315.24188822655327</v>
      </c>
      <c r="Y14" s="452">
        <f t="shared" si="4"/>
        <v>149.6747287160016</v>
      </c>
      <c r="Z14" s="452">
        <f t="shared" si="4"/>
        <v>86344.525968514703</v>
      </c>
      <c r="AA14" s="452">
        <f t="shared" si="4"/>
        <v>37439.917636100887</v>
      </c>
      <c r="AB14" s="452">
        <f t="shared" si="4"/>
        <v>1310.9194944363471</v>
      </c>
      <c r="AC14" s="452">
        <f t="shared" si="4"/>
        <v>31.100917775338697</v>
      </c>
      <c r="AD14" s="452">
        <f t="shared" si="4"/>
        <v>2433.3065617339848</v>
      </c>
      <c r="AE14" s="452">
        <f t="shared" si="4"/>
        <v>78.632712952494927</v>
      </c>
      <c r="AF14" s="452">
        <f t="shared" si="4"/>
        <v>200.25219900049015</v>
      </c>
      <c r="AG14" s="452">
        <f t="shared" si="4"/>
        <v>10.443392127503985</v>
      </c>
      <c r="AH14" s="452">
        <f t="shared" si="4"/>
        <v>149244.18142452784</v>
      </c>
      <c r="AI14" s="452">
        <f t="shared" si="4"/>
        <v>11882.515949621236</v>
      </c>
      <c r="AJ14" s="452">
        <f t="shared" si="4"/>
        <v>0</v>
      </c>
      <c r="AK14" s="452">
        <f t="shared" si="4"/>
        <v>37729.04194565161</v>
      </c>
      <c r="AL14" s="452">
        <f t="shared" si="4"/>
        <v>0</v>
      </c>
      <c r="AM14" s="452">
        <f t="shared" si="4"/>
        <v>79274.457169064684</v>
      </c>
      <c r="AN14" s="452">
        <f t="shared" si="4"/>
        <v>139329.24202855147</v>
      </c>
      <c r="AO14" s="452">
        <f>SUM(B14:AN14)</f>
        <v>936358.33067255444</v>
      </c>
    </row>
    <row r="15" spans="1:41" s="452" customFormat="1" x14ac:dyDescent="0.25">
      <c r="A15" s="452" t="s">
        <v>1135</v>
      </c>
      <c r="B15" s="452">
        <f>B13*B3*(1-B11)</f>
        <v>8370.6647978781366</v>
      </c>
      <c r="C15" s="452">
        <f t="shared" ref="C15:AN15" si="5">C13*C3*(1-C11)</f>
        <v>1335.5326796597792</v>
      </c>
      <c r="D15" s="452">
        <f t="shared" si="5"/>
        <v>58.991879283358045</v>
      </c>
      <c r="E15" s="452">
        <f t="shared" si="5"/>
        <v>41178.735868786083</v>
      </c>
      <c r="F15" s="452">
        <f t="shared" si="5"/>
        <v>155975.19152485399</v>
      </c>
      <c r="G15" s="452">
        <f t="shared" si="5"/>
        <v>3.1966774254358912</v>
      </c>
      <c r="H15" s="452">
        <f t="shared" si="5"/>
        <v>3884.8109081352591</v>
      </c>
      <c r="I15" s="452">
        <f t="shared" si="5"/>
        <v>514740.86081403203</v>
      </c>
      <c r="J15" s="452">
        <f t="shared" si="5"/>
        <v>150150.57586337393</v>
      </c>
      <c r="K15" s="452">
        <f t="shared" si="5"/>
        <v>0</v>
      </c>
      <c r="L15" s="452">
        <f t="shared" si="5"/>
        <v>1025.583584612157</v>
      </c>
      <c r="M15" s="452">
        <f t="shared" si="5"/>
        <v>74.181079073555239</v>
      </c>
      <c r="N15" s="452">
        <f t="shared" si="5"/>
        <v>84846.445485676042</v>
      </c>
      <c r="O15" s="452">
        <f t="shared" si="5"/>
        <v>0</v>
      </c>
      <c r="P15" s="452">
        <f t="shared" si="5"/>
        <v>92861.25170595794</v>
      </c>
      <c r="Q15" s="452">
        <f t="shared" si="5"/>
        <v>83784.290977978017</v>
      </c>
      <c r="R15" s="452">
        <f t="shared" si="5"/>
        <v>0.43424153090685752</v>
      </c>
      <c r="S15" s="452">
        <f t="shared" si="5"/>
        <v>369.04759840569557</v>
      </c>
      <c r="T15" s="452">
        <f t="shared" si="5"/>
        <v>3.3504668310041126</v>
      </c>
      <c r="U15" s="452">
        <f t="shared" si="5"/>
        <v>1051.459301152488</v>
      </c>
      <c r="V15" s="452">
        <f t="shared" si="5"/>
        <v>32040.024512013963</v>
      </c>
      <c r="W15" s="452">
        <f t="shared" si="5"/>
        <v>0</v>
      </c>
      <c r="X15" s="452">
        <f t="shared" si="5"/>
        <v>945.72566467965976</v>
      </c>
      <c r="Y15" s="452">
        <f t="shared" si="5"/>
        <v>449.02418614800479</v>
      </c>
      <c r="Z15" s="452">
        <f t="shared" si="5"/>
        <v>259033.57790554411</v>
      </c>
      <c r="AA15" s="452">
        <f t="shared" si="5"/>
        <v>112319.75290830266</v>
      </c>
      <c r="AB15" s="452">
        <f t="shared" si="5"/>
        <v>3932.7584833090414</v>
      </c>
      <c r="AC15" s="452">
        <f t="shared" si="5"/>
        <v>93.302753326016088</v>
      </c>
      <c r="AD15" s="452">
        <f t="shared" si="5"/>
        <v>7299.9196852019541</v>
      </c>
      <c r="AE15" s="452">
        <f t="shared" si="5"/>
        <v>235.89813885748478</v>
      </c>
      <c r="AF15" s="452">
        <f t="shared" si="5"/>
        <v>600.75659700147048</v>
      </c>
      <c r="AG15" s="452">
        <f t="shared" si="5"/>
        <v>31.330176382511958</v>
      </c>
      <c r="AH15" s="452">
        <f t="shared" si="5"/>
        <v>447732.54427358351</v>
      </c>
      <c r="AI15" s="452">
        <f t="shared" si="5"/>
        <v>35647.547848863709</v>
      </c>
      <c r="AJ15" s="452">
        <f t="shared" si="5"/>
        <v>0</v>
      </c>
      <c r="AK15" s="452">
        <f t="shared" si="5"/>
        <v>113187.12583695483</v>
      </c>
      <c r="AL15" s="452">
        <f t="shared" si="5"/>
        <v>0</v>
      </c>
      <c r="AM15" s="452">
        <f t="shared" si="5"/>
        <v>237823.37150719407</v>
      </c>
      <c r="AN15" s="452">
        <f t="shared" si="5"/>
        <v>417987.7260856544</v>
      </c>
      <c r="AO15" s="452">
        <f>SUM(B15:AN15)</f>
        <v>2809074.9920176631</v>
      </c>
    </row>
    <row r="16" spans="1:41" s="452" customFormat="1" x14ac:dyDescent="0.25">
      <c r="A16" s="452" t="s">
        <v>1132</v>
      </c>
      <c r="B16" s="714">
        <f>IF(B8&gt;0,B15/B8,0)</f>
        <v>7.0721368332963839E-3</v>
      </c>
      <c r="C16" s="714">
        <f t="shared" ref="C16:AN16" si="6">IF(C8&gt;0,C15/C8,0)</f>
        <v>1.3947428807855761E-2</v>
      </c>
      <c r="D16" s="714">
        <f t="shared" si="6"/>
        <v>1.5347947309027012E-4</v>
      </c>
      <c r="E16" s="714">
        <f t="shared" si="6"/>
        <v>7.8212301795277439E-2</v>
      </c>
      <c r="F16" s="714">
        <f t="shared" si="6"/>
        <v>0.14339040584905302</v>
      </c>
      <c r="G16" s="714">
        <f t="shared" si="6"/>
        <v>1.4681478855700774E-4</v>
      </c>
      <c r="H16" s="714">
        <f t="shared" si="6"/>
        <v>8.1446787309090024E-3</v>
      </c>
      <c r="I16" s="714">
        <f t="shared" si="6"/>
        <v>0.28871280607518746</v>
      </c>
      <c r="J16" s="714">
        <f t="shared" si="6"/>
        <v>0.32753248411502234</v>
      </c>
      <c r="K16" s="714">
        <f t="shared" si="6"/>
        <v>0</v>
      </c>
      <c r="L16" s="714">
        <f t="shared" si="6"/>
        <v>2.0577361545495106E-2</v>
      </c>
      <c r="M16" s="714">
        <f t="shared" si="6"/>
        <v>2.8028918937285336E-4</v>
      </c>
      <c r="N16" s="714">
        <f t="shared" si="6"/>
        <v>0.11022835113121959</v>
      </c>
      <c r="O16" s="714">
        <f t="shared" si="6"/>
        <v>0</v>
      </c>
      <c r="P16" s="714">
        <f t="shared" si="6"/>
        <v>0.38400256146430478</v>
      </c>
      <c r="Q16" s="714">
        <f t="shared" si="6"/>
        <v>0.33946291226361314</v>
      </c>
      <c r="R16" s="714">
        <f t="shared" si="6"/>
        <v>1.0132219864812841E-4</v>
      </c>
      <c r="S16" s="714">
        <f t="shared" si="6"/>
        <v>2.0704313481358302E-3</v>
      </c>
      <c r="T16" s="714">
        <f t="shared" si="6"/>
        <v>5.1581375746780663E-4</v>
      </c>
      <c r="U16" s="714">
        <f t="shared" si="6"/>
        <v>9.8857439234143092E-3</v>
      </c>
      <c r="V16" s="714">
        <f t="shared" si="6"/>
        <v>0.4987316408760531</v>
      </c>
      <c r="W16" s="714">
        <f t="shared" si="6"/>
        <v>0</v>
      </c>
      <c r="X16" s="714">
        <f t="shared" si="6"/>
        <v>1.3010129310530893E-2</v>
      </c>
      <c r="Y16" s="714">
        <f t="shared" si="6"/>
        <v>7.7627290918834261E-4</v>
      </c>
      <c r="Z16" s="714">
        <f t="shared" si="6"/>
        <v>0.14882522315917029</v>
      </c>
      <c r="AA16" s="714">
        <f t="shared" si="6"/>
        <v>0.3617361020338653</v>
      </c>
      <c r="AB16" s="714">
        <f t="shared" si="6"/>
        <v>3.5168653513014967E-3</v>
      </c>
      <c r="AC16" s="714">
        <f t="shared" si="6"/>
        <v>2.0018573292553067E-3</v>
      </c>
      <c r="AD16" s="714">
        <f t="shared" si="6"/>
        <v>0.13408812026557262</v>
      </c>
      <c r="AE16" s="714">
        <f t="shared" si="6"/>
        <v>3.5925492486113529E-3</v>
      </c>
      <c r="AF16" s="714">
        <f t="shared" si="6"/>
        <v>4.5877803720062275E-3</v>
      </c>
      <c r="AG16" s="714">
        <f t="shared" si="6"/>
        <v>1.2159592333815122E-3</v>
      </c>
      <c r="AH16" s="714">
        <f t="shared" si="6"/>
        <v>0.33396403254082979</v>
      </c>
      <c r="AI16" s="714">
        <f t="shared" si="6"/>
        <v>0.27771950059293932</v>
      </c>
      <c r="AJ16" s="714">
        <f t="shared" si="6"/>
        <v>0</v>
      </c>
      <c r="AK16" s="714">
        <f t="shared" si="6"/>
        <v>0.21662230349817777</v>
      </c>
      <c r="AL16" s="714">
        <f t="shared" si="6"/>
        <v>0</v>
      </c>
      <c r="AM16" s="714">
        <f t="shared" si="6"/>
        <v>0.30104046490414826</v>
      </c>
      <c r="AN16" s="714">
        <f t="shared" si="6"/>
        <v>0.44011003993519759</v>
      </c>
      <c r="AO16" s="714">
        <f>AO15/AO8</f>
        <v>0.14297535566678432</v>
      </c>
    </row>
    <row r="17" spans="1:41" x14ac:dyDescent="0.25">
      <c r="A17" s="21" t="s">
        <v>1085</v>
      </c>
      <c r="B17" s="30">
        <f>IF(B12&gt;0,B5/B12,0)</f>
        <v>585.89599761999989</v>
      </c>
      <c r="C17" s="51">
        <f t="shared" ref="C17:AN17" si="7">IF(C12&gt;0,C5/C12,0)</f>
        <v>532.86273515866662</v>
      </c>
      <c r="D17" s="51">
        <f t="shared" si="7"/>
        <v>20232.099524666668</v>
      </c>
      <c r="E17" s="51">
        <f t="shared" si="7"/>
        <v>334.51202373466663</v>
      </c>
      <c r="F17" s="51">
        <f t="shared" si="7"/>
        <v>158.53179380266667</v>
      </c>
      <c r="G17" s="51">
        <f t="shared" si="7"/>
        <v>818235.06509066676</v>
      </c>
      <c r="H17" s="51">
        <f t="shared" si="7"/>
        <v>597.70544712000003</v>
      </c>
      <c r="I17" s="51">
        <f t="shared" si="7"/>
        <v>95.005482731733338</v>
      </c>
      <c r="J17" s="51">
        <f t="shared" si="7"/>
        <v>89.548170600133318</v>
      </c>
      <c r="K17" s="51">
        <f t="shared" si="7"/>
        <v>0</v>
      </c>
      <c r="L17" s="51">
        <f t="shared" si="7"/>
        <v>2202.6504746266669</v>
      </c>
      <c r="M17" s="51">
        <f t="shared" si="7"/>
        <v>42350.913756133334</v>
      </c>
      <c r="N17" s="51">
        <f t="shared" si="7"/>
        <v>183.79016968000002</v>
      </c>
      <c r="O17" s="51">
        <f t="shared" si="7"/>
        <v>0</v>
      </c>
      <c r="P17" s="51">
        <f t="shared" si="7"/>
        <v>76.962704503200001</v>
      </c>
      <c r="Q17" s="51">
        <f t="shared" si="7"/>
        <v>76.550101380266653</v>
      </c>
      <c r="R17" s="51">
        <f t="shared" si="7"/>
        <v>681598.52397999994</v>
      </c>
      <c r="S17" s="51">
        <f t="shared" si="7"/>
        <v>7478.5342000400015</v>
      </c>
      <c r="T17" s="51">
        <f t="shared" si="7"/>
        <v>330316.43093999999</v>
      </c>
      <c r="U17" s="51">
        <f t="shared" si="7"/>
        <v>2035.9504038533335</v>
      </c>
      <c r="V17" s="51">
        <f t="shared" si="7"/>
        <v>70.278186185333269</v>
      </c>
      <c r="W17" s="51">
        <f t="shared" si="7"/>
        <v>0</v>
      </c>
      <c r="X17" s="51">
        <f t="shared" si="7"/>
        <v>970.76183143333333</v>
      </c>
      <c r="Y17" s="51">
        <f t="shared" si="7"/>
        <v>1878.5147378400002</v>
      </c>
      <c r="Z17" s="51">
        <f t="shared" si="7"/>
        <v>174.37177758933333</v>
      </c>
      <c r="AA17" s="51">
        <f t="shared" si="7"/>
        <v>326.84686118666667</v>
      </c>
      <c r="AB17" s="51">
        <f t="shared" si="7"/>
        <v>650.06266772799995</v>
      </c>
      <c r="AC17" s="51">
        <f t="shared" si="7"/>
        <v>6892.3104880133333</v>
      </c>
      <c r="AD17" s="51">
        <f t="shared" si="7"/>
        <v>231.61165004133329</v>
      </c>
      <c r="AE17" s="51">
        <f t="shared" si="7"/>
        <v>883.52760720800006</v>
      </c>
      <c r="AF17" s="51">
        <f t="shared" si="7"/>
        <v>1125.5410890986666</v>
      </c>
      <c r="AG17" s="51">
        <f t="shared" si="7"/>
        <v>2683.3889592533333</v>
      </c>
      <c r="AH17" s="51">
        <f t="shared" si="7"/>
        <v>89.29175952173334</v>
      </c>
      <c r="AI17" s="51">
        <f t="shared" si="7"/>
        <v>121.55620225599999</v>
      </c>
      <c r="AJ17" s="51">
        <f t="shared" si="7"/>
        <v>0</v>
      </c>
      <c r="AK17" s="51">
        <f t="shared" si="7"/>
        <v>122.42433544066668</v>
      </c>
      <c r="AL17" s="51">
        <f t="shared" si="7"/>
        <v>0</v>
      </c>
      <c r="AM17" s="51">
        <f t="shared" si="7"/>
        <v>89.867121316399988</v>
      </c>
      <c r="AN17" s="51">
        <f t="shared" si="7"/>
        <v>71.627906685200017</v>
      </c>
      <c r="AO17" s="314"/>
    </row>
    <row r="18" spans="1:41" x14ac:dyDescent="0.25">
      <c r="A18" s="21" t="s">
        <v>104</v>
      </c>
      <c r="B18" s="21">
        <f>IF(B17=0,0,VLOOKUP(B17, Parameters!$AL$3:$AM$8, 2, TRUE))</f>
        <v>0</v>
      </c>
      <c r="C18" s="21">
        <f>IF(C17=0,0,VLOOKUP(C17, Parameters!$AL$3:$AM$8, 2, TRUE))</f>
        <v>0</v>
      </c>
      <c r="D18" s="21">
        <f>IF(D17=0,0,VLOOKUP(D17, Parameters!$AL$3:$AM$8, 2, TRUE))</f>
        <v>0</v>
      </c>
      <c r="E18" s="21">
        <f>IF(E17=0,0,VLOOKUP(E17, Parameters!$AL$3:$AM$8, 2, TRUE))</f>
        <v>0</v>
      </c>
      <c r="F18" s="21">
        <f>IF(F17=0,0,VLOOKUP(F17, Parameters!$AL$3:$AM$8, 2, TRUE))</f>
        <v>2</v>
      </c>
      <c r="G18" s="21">
        <f>IF(G17=0,0,VLOOKUP(G17, Parameters!$AL$3:$AM$8, 2, TRUE))</f>
        <v>0</v>
      </c>
      <c r="H18" s="21">
        <f>IF(H17=0,0,VLOOKUP(H17, Parameters!$AL$3:$AM$8, 2, TRUE))</f>
        <v>0</v>
      </c>
      <c r="I18" s="21">
        <f>IF(I17=0,0,VLOOKUP(I17, Parameters!$AL$3:$AM$8, 2, TRUE))</f>
        <v>2</v>
      </c>
      <c r="J18" s="21">
        <f>IF(J17=0,0,VLOOKUP(J17, Parameters!$AL$3:$AM$8, 2, TRUE))</f>
        <v>2</v>
      </c>
      <c r="K18" s="21">
        <f>VLOOKUP(K17, Parameters!$AL$3:$AM$8, 2, TRUE)</f>
        <v>8</v>
      </c>
      <c r="L18" s="21">
        <f>IF(L17=0,0,VLOOKUP(L17, Parameters!$AL$3:$AM$8, 2, TRUE))</f>
        <v>0</v>
      </c>
      <c r="M18" s="21">
        <f>IF(M17=0,0,VLOOKUP(M17, Parameters!$AL$3:$AM$8, 2, TRUE))</f>
        <v>0</v>
      </c>
      <c r="N18" s="21">
        <f>IF(N17=0,0,VLOOKUP(N17, Parameters!$AL$3:$AM$8, 2, TRUE))</f>
        <v>1</v>
      </c>
      <c r="O18" s="21">
        <f>VLOOKUP(O17, Parameters!$AL$3:$AM$8, 2, TRUE)</f>
        <v>8</v>
      </c>
      <c r="P18" s="21">
        <f>IF(P17=0,0,VLOOKUP(P17, Parameters!$AL$3:$AM$8, 2, TRUE))</f>
        <v>4</v>
      </c>
      <c r="Q18" s="21">
        <f>IF(Q17=0,0,VLOOKUP(Q17, Parameters!$AL$3:$AM$8, 2, TRUE))</f>
        <v>4</v>
      </c>
      <c r="R18" s="21">
        <f>IF(R17=0,0,VLOOKUP(R17, Parameters!$AL$3:$AM$8, 2, TRUE))</f>
        <v>0</v>
      </c>
      <c r="S18" s="21">
        <f>IF(S17=0,0,VLOOKUP(S17, Parameters!$AL$3:$AM$8, 2, TRUE))</f>
        <v>0</v>
      </c>
      <c r="T18" s="21">
        <f>IF(T17=0,0,VLOOKUP(T17, Parameters!$AL$3:$AM$8, 2, TRUE))</f>
        <v>0</v>
      </c>
      <c r="U18" s="21">
        <f>IF(U17=0,0,VLOOKUP(U17, Parameters!$AL$3:$AM$8, 2, TRUE))</f>
        <v>0</v>
      </c>
      <c r="V18" s="21">
        <f>IF(V17=0,0,VLOOKUP(V17, Parameters!$AL$3:$AM$8, 2, TRUE))</f>
        <v>4</v>
      </c>
      <c r="W18" s="21">
        <f>VLOOKUP(W17, Parameters!$AL$3:$AM$8, 2, TRUE)</f>
        <v>8</v>
      </c>
      <c r="X18" s="21">
        <f>IF(X17=0,0,VLOOKUP(X17, Parameters!$AL$3:$AM$8, 2, TRUE))</f>
        <v>0</v>
      </c>
      <c r="Y18" s="21">
        <f>IF(Y17=0,0,VLOOKUP(Y17, Parameters!$AL$3:$AM$8, 2, TRUE))</f>
        <v>0</v>
      </c>
      <c r="Z18" s="21">
        <f>IF(Z17=0,0,VLOOKUP(Z17, Parameters!$AL$3:$AM$8, 2, TRUE))</f>
        <v>1</v>
      </c>
      <c r="AA18" s="21">
        <f>IF(AA17=0,0,VLOOKUP(AA17, Parameters!$AL$3:$AM$8, 2, TRUE))</f>
        <v>0</v>
      </c>
      <c r="AB18" s="21">
        <f>IF(AB17=0,0,VLOOKUP(AB17, Parameters!$AL$3:$AM$8, 2, TRUE))</f>
        <v>0</v>
      </c>
      <c r="AC18" s="21">
        <f>IF(AC17=0,0,VLOOKUP(AC17, Parameters!$AL$3:$AM$8, 2, TRUE))</f>
        <v>0</v>
      </c>
      <c r="AD18" s="21">
        <f>IF(AD17=0,0,VLOOKUP(AD17, Parameters!$AL$3:$AM$8, 2, TRUE))</f>
        <v>1</v>
      </c>
      <c r="AE18" s="21">
        <f>IF(AE17=0,0,VLOOKUP(AE17, Parameters!$AL$3:$AM$8, 2, TRUE))</f>
        <v>0</v>
      </c>
      <c r="AF18" s="21">
        <f>IF(AF17=0,0,VLOOKUP(AF17, Parameters!$AL$3:$AM$8, 2, TRUE))</f>
        <v>0</v>
      </c>
      <c r="AG18" s="21">
        <f>IF(AG17=0,0,VLOOKUP(AG17, Parameters!$AL$3:$AM$8, 2, TRUE))</f>
        <v>0</v>
      </c>
      <c r="AH18" s="21">
        <f>IF(AH17=0,0,VLOOKUP(AH17, Parameters!$AL$3:$AM$8, 2, TRUE))</f>
        <v>2</v>
      </c>
      <c r="AI18" s="21">
        <f>IF(AI17=0,0,VLOOKUP(AI17, Parameters!$AL$3:$AM$8, 2, TRUE))</f>
        <v>2</v>
      </c>
      <c r="AJ18" s="21">
        <f>VLOOKUP(AJ17, Parameters!$AL$3:$AM$8, 2, TRUE)</f>
        <v>8</v>
      </c>
      <c r="AK18" s="21">
        <f>IF(AK17=0,0,VLOOKUP(AK17, Parameters!$AL$3:$AM$8, 2, TRUE))</f>
        <v>2</v>
      </c>
      <c r="AL18" s="21">
        <f>VLOOKUP(AL17, Parameters!$AL$3:$AM$8, 2, TRUE)</f>
        <v>8</v>
      </c>
      <c r="AM18" s="21">
        <f>IF(AM17=0,0,VLOOKUP(AM17, Parameters!$AL$3:$AM$8, 2, TRUE))</f>
        <v>2</v>
      </c>
      <c r="AN18" s="21">
        <f>IF(AN17=0,0,VLOOKUP(AN17, Parameters!$AL$3:$AM$8, 2, TRUE))</f>
        <v>4</v>
      </c>
      <c r="AO18" s="314"/>
    </row>
    <row r="19" spans="1:41" x14ac:dyDescent="0.25">
      <c r="A19" s="21" t="s">
        <v>103</v>
      </c>
      <c r="B19" s="31">
        <f t="shared" ref="B19:AN19" si="8">B18*0.6</f>
        <v>0</v>
      </c>
      <c r="C19" s="31">
        <f t="shared" si="8"/>
        <v>0</v>
      </c>
      <c r="D19" s="31">
        <f t="shared" si="8"/>
        <v>0</v>
      </c>
      <c r="E19" s="31">
        <f t="shared" si="8"/>
        <v>0</v>
      </c>
      <c r="F19" s="31">
        <f t="shared" si="8"/>
        <v>1.2</v>
      </c>
      <c r="G19" s="31">
        <f t="shared" si="8"/>
        <v>0</v>
      </c>
      <c r="H19" s="31">
        <f t="shared" si="8"/>
        <v>0</v>
      </c>
      <c r="I19" s="31">
        <f t="shared" si="8"/>
        <v>1.2</v>
      </c>
      <c r="J19" s="31">
        <f t="shared" si="8"/>
        <v>1.2</v>
      </c>
      <c r="K19" s="31">
        <f t="shared" si="8"/>
        <v>4.8</v>
      </c>
      <c r="L19" s="31">
        <f t="shared" si="8"/>
        <v>0</v>
      </c>
      <c r="M19" s="31">
        <f t="shared" si="8"/>
        <v>0</v>
      </c>
      <c r="N19" s="31">
        <f t="shared" si="8"/>
        <v>0.6</v>
      </c>
      <c r="O19" s="31">
        <f t="shared" si="8"/>
        <v>4.8</v>
      </c>
      <c r="P19" s="31">
        <f t="shared" si="8"/>
        <v>2.4</v>
      </c>
      <c r="Q19" s="31">
        <f t="shared" si="8"/>
        <v>2.4</v>
      </c>
      <c r="R19" s="31">
        <f t="shared" si="8"/>
        <v>0</v>
      </c>
      <c r="S19" s="31">
        <f t="shared" si="8"/>
        <v>0</v>
      </c>
      <c r="T19" s="31">
        <f t="shared" si="8"/>
        <v>0</v>
      </c>
      <c r="U19" s="31">
        <f t="shared" si="8"/>
        <v>0</v>
      </c>
      <c r="V19" s="31">
        <f t="shared" si="8"/>
        <v>2.4</v>
      </c>
      <c r="W19" s="31">
        <f t="shared" si="8"/>
        <v>4.8</v>
      </c>
      <c r="X19" s="31">
        <f t="shared" si="8"/>
        <v>0</v>
      </c>
      <c r="Y19" s="31">
        <f t="shared" si="8"/>
        <v>0</v>
      </c>
      <c r="Z19" s="31">
        <f t="shared" si="8"/>
        <v>0.6</v>
      </c>
      <c r="AA19" s="31">
        <f t="shared" si="8"/>
        <v>0</v>
      </c>
      <c r="AB19" s="31">
        <f t="shared" si="8"/>
        <v>0</v>
      </c>
      <c r="AC19" s="31">
        <f t="shared" si="8"/>
        <v>0</v>
      </c>
      <c r="AD19" s="31">
        <f t="shared" si="8"/>
        <v>0.6</v>
      </c>
      <c r="AE19" s="31">
        <f t="shared" si="8"/>
        <v>0</v>
      </c>
      <c r="AF19" s="31">
        <f t="shared" si="8"/>
        <v>0</v>
      </c>
      <c r="AG19" s="31">
        <f t="shared" si="8"/>
        <v>0</v>
      </c>
      <c r="AH19" s="31">
        <f t="shared" si="8"/>
        <v>1.2</v>
      </c>
      <c r="AI19" s="31">
        <f t="shared" si="8"/>
        <v>1.2</v>
      </c>
      <c r="AJ19" s="31">
        <f t="shared" si="8"/>
        <v>4.8</v>
      </c>
      <c r="AK19" s="31">
        <f t="shared" si="8"/>
        <v>1.2</v>
      </c>
      <c r="AL19" s="31">
        <f t="shared" si="8"/>
        <v>4.8</v>
      </c>
      <c r="AM19" s="31">
        <f t="shared" si="8"/>
        <v>1.2</v>
      </c>
      <c r="AN19" s="31">
        <f t="shared" si="8"/>
        <v>2.4</v>
      </c>
      <c r="AO19" s="315">
        <f>SUM(B19:AN19)</f>
        <v>43.8</v>
      </c>
    </row>
    <row r="20" spans="1:41" x14ac:dyDescent="0.25">
      <c r="A20" s="55" t="s">
        <v>575</v>
      </c>
      <c r="B20" s="55">
        <f>IFERROR(1/B17,0.00000001)</f>
        <v>1.7067875596729703E-3</v>
      </c>
      <c r="C20" s="55">
        <f t="shared" ref="C20:AN20" si="9">IFERROR(1/C17,0.00000001)</f>
        <v>1.8766559078338201E-3</v>
      </c>
      <c r="D20" s="55">
        <f t="shared" si="9"/>
        <v>4.9426407713189393E-5</v>
      </c>
      <c r="E20" s="55">
        <f t="shared" si="9"/>
        <v>2.9894291656110852E-3</v>
      </c>
      <c r="F20" s="55">
        <f t="shared" si="9"/>
        <v>6.3078829552938483E-3</v>
      </c>
      <c r="G20" s="55">
        <f t="shared" si="9"/>
        <v>1.222142685719772E-6</v>
      </c>
      <c r="H20" s="55">
        <f t="shared" si="9"/>
        <v>1.6730648931148726E-3</v>
      </c>
      <c r="I20" s="55">
        <f t="shared" si="9"/>
        <v>1.052570831963137E-2</v>
      </c>
      <c r="J20" s="55">
        <f t="shared" si="9"/>
        <v>1.1167173972379412E-2</v>
      </c>
      <c r="K20" s="55">
        <f t="shared" si="9"/>
        <v>1E-8</v>
      </c>
      <c r="L20" s="55">
        <f t="shared" si="9"/>
        <v>4.5399849477684048E-4</v>
      </c>
      <c r="M20" s="55">
        <f t="shared" si="9"/>
        <v>2.3612241420769305E-5</v>
      </c>
      <c r="N20" s="55">
        <f t="shared" si="9"/>
        <v>5.440987413750778E-3</v>
      </c>
      <c r="O20" s="55">
        <f t="shared" si="9"/>
        <v>1E-8</v>
      </c>
      <c r="P20" s="55">
        <f t="shared" si="9"/>
        <v>1.2993306387230992E-2</v>
      </c>
      <c r="Q20" s="55">
        <f t="shared" si="9"/>
        <v>1.3063339982169945E-2</v>
      </c>
      <c r="R20" s="55">
        <f t="shared" si="9"/>
        <v>1.4671393273576731E-6</v>
      </c>
      <c r="S20" s="55">
        <f t="shared" si="9"/>
        <v>1.3371604291047452E-4</v>
      </c>
      <c r="T20" s="55">
        <f t="shared" si="9"/>
        <v>3.0274001119297759E-6</v>
      </c>
      <c r="U20" s="55">
        <f t="shared" si="9"/>
        <v>4.911711002917134E-4</v>
      </c>
      <c r="V20" s="55">
        <f t="shared" si="9"/>
        <v>1.422916632143667E-2</v>
      </c>
      <c r="W20" s="55">
        <f t="shared" si="9"/>
        <v>1E-8</v>
      </c>
      <c r="X20" s="55">
        <f t="shared" si="9"/>
        <v>1.0301187867301049E-3</v>
      </c>
      <c r="Y20" s="55">
        <f t="shared" si="9"/>
        <v>5.3233545622849063E-4</v>
      </c>
      <c r="Z20" s="55">
        <f t="shared" si="9"/>
        <v>5.7348730042491233E-3</v>
      </c>
      <c r="AA20" s="55">
        <f t="shared" si="9"/>
        <v>3.0595368007186904E-3</v>
      </c>
      <c r="AB20" s="55">
        <f t="shared" si="9"/>
        <v>1.5383132267771163E-3</v>
      </c>
      <c r="AC20" s="55">
        <f t="shared" si="9"/>
        <v>1.4508922686218739E-4</v>
      </c>
      <c r="AD20" s="55">
        <f t="shared" si="9"/>
        <v>4.3175721075409661E-3</v>
      </c>
      <c r="AE20" s="55">
        <f t="shared" si="9"/>
        <v>1.1318265460431504E-3</v>
      </c>
      <c r="AF20" s="55">
        <f t="shared" si="9"/>
        <v>8.8846156722790115E-4</v>
      </c>
      <c r="AG20" s="55">
        <f t="shared" si="9"/>
        <v>3.7266308208939455E-4</v>
      </c>
      <c r="AH20" s="55">
        <f t="shared" si="9"/>
        <v>1.1199241736933216E-2</v>
      </c>
      <c r="AI20" s="55">
        <f t="shared" si="9"/>
        <v>8.2266472745996001E-3</v>
      </c>
      <c r="AJ20" s="55">
        <f t="shared" si="9"/>
        <v>1E-8</v>
      </c>
      <c r="AK20" s="55">
        <f t="shared" si="9"/>
        <v>8.1683106255018463E-3</v>
      </c>
      <c r="AL20" s="55">
        <f t="shared" si="9"/>
        <v>1E-8</v>
      </c>
      <c r="AM20" s="55">
        <f t="shared" si="9"/>
        <v>1.1127540143177019E-2</v>
      </c>
      <c r="AN20" s="55">
        <f t="shared" si="9"/>
        <v>1.3961039017864012E-2</v>
      </c>
      <c r="AO20" s="314"/>
    </row>
    <row r="21" spans="1:41" s="449" customFormat="1" x14ac:dyDescent="0.25">
      <c r="A21" s="449" t="s">
        <v>85</v>
      </c>
      <c r="B21" s="449">
        <f>VLOOKUP(B20, Parameters!$AO$3:$AQ$8, 1, TRUE)</f>
        <v>1.0000000000000001E-17</v>
      </c>
      <c r="C21" s="449">
        <f>VLOOKUP(C20, Parameters!$AO$3:$AQ$8, 1, TRUE)</f>
        <v>1.0000000000000001E-17</v>
      </c>
      <c r="D21" s="449">
        <f>VLOOKUP(D20, Parameters!$AO$3:$AQ$8, 1, TRUE)</f>
        <v>1.0000000000000001E-17</v>
      </c>
      <c r="E21" s="449">
        <f>VLOOKUP(E20, Parameters!$AO$3:$AQ$8, 1, TRUE)</f>
        <v>1.0000000000000001E-17</v>
      </c>
      <c r="F21" s="449">
        <f>VLOOKUP(F20, Parameters!$AO$3:$AQ$8, 1, TRUE)</f>
        <v>6.2500000000000003E-3</v>
      </c>
      <c r="G21" s="449">
        <f>VLOOKUP(G20, Parameters!$AO$3:$AQ$8, 1, TRUE)</f>
        <v>1.0000000000000001E-17</v>
      </c>
      <c r="H21" s="449">
        <f>VLOOKUP(H20, Parameters!$AO$3:$AQ$8, 1, TRUE)</f>
        <v>1.0000000000000001E-17</v>
      </c>
      <c r="I21" s="449">
        <f>VLOOKUP(I20, Parameters!$AO$3:$AQ$8, 1, TRUE)</f>
        <v>6.2500000000000003E-3</v>
      </c>
      <c r="J21" s="449">
        <f>VLOOKUP(J20, Parameters!$AO$3:$AQ$8, 1, TRUE)</f>
        <v>6.2500000000000003E-3</v>
      </c>
      <c r="K21" s="449">
        <f>VLOOKUP(K20, Parameters!$AO$3:$AQ$8, 1, TRUE)</f>
        <v>1.0000000000000001E-17</v>
      </c>
      <c r="L21" s="449">
        <f>VLOOKUP(L20, Parameters!$AO$3:$AQ$8, 1, TRUE)</f>
        <v>1.0000000000000001E-17</v>
      </c>
      <c r="M21" s="449">
        <f>VLOOKUP(M20, Parameters!$AO$3:$AQ$8, 1, TRUE)</f>
        <v>1.0000000000000001E-17</v>
      </c>
      <c r="N21" s="449">
        <f>VLOOKUP(N20, Parameters!$AO$3:$AQ$8, 1, TRUE)</f>
        <v>3.1250000000000002E-3</v>
      </c>
      <c r="O21" s="449">
        <f>VLOOKUP(O20, Parameters!$AO$3:$AQ$8, 1, TRUE)</f>
        <v>1.0000000000000001E-17</v>
      </c>
      <c r="P21" s="449">
        <f>VLOOKUP(P20, Parameters!$AO$3:$AQ$8, 1, TRUE)</f>
        <v>1.2500000000000001E-2</v>
      </c>
      <c r="Q21" s="449">
        <f>VLOOKUP(Q20, Parameters!$AO$3:$AQ$8, 1, TRUE)</f>
        <v>1.2500000000000001E-2</v>
      </c>
      <c r="R21" s="449">
        <f>VLOOKUP(R20, Parameters!$AO$3:$AQ$8, 1, TRUE)</f>
        <v>1.0000000000000001E-17</v>
      </c>
      <c r="S21" s="449">
        <f>VLOOKUP(S20, Parameters!$AO$3:$AQ$8, 1, TRUE)</f>
        <v>1.0000000000000001E-17</v>
      </c>
      <c r="T21" s="449">
        <f>VLOOKUP(T20, Parameters!$AO$3:$AQ$8, 1, TRUE)</f>
        <v>1.0000000000000001E-17</v>
      </c>
      <c r="U21" s="449">
        <f>VLOOKUP(U20, Parameters!$AO$3:$AQ$8, 1, TRUE)</f>
        <v>1.0000000000000001E-17</v>
      </c>
      <c r="V21" s="449">
        <f>VLOOKUP(V20, Parameters!$AO$3:$AQ$8, 1, TRUE)</f>
        <v>1.2500000000000001E-2</v>
      </c>
      <c r="W21" s="449">
        <f>VLOOKUP(W20, Parameters!$AO$3:$AQ$8, 1, TRUE)</f>
        <v>1.0000000000000001E-17</v>
      </c>
      <c r="X21" s="449">
        <f>VLOOKUP(X20, Parameters!$AO$3:$AQ$8, 1, TRUE)</f>
        <v>1.0000000000000001E-17</v>
      </c>
      <c r="Y21" s="449">
        <f>VLOOKUP(Y20, Parameters!$AO$3:$AQ$8, 1, TRUE)</f>
        <v>1.0000000000000001E-17</v>
      </c>
      <c r="Z21" s="449">
        <f>VLOOKUP(Z20, Parameters!$AO$3:$AQ$8, 1, TRUE)</f>
        <v>3.1250000000000002E-3</v>
      </c>
      <c r="AA21" s="449">
        <f>VLOOKUP(AA20, Parameters!$AO$3:$AQ$8, 1, TRUE)</f>
        <v>1.0000000000000001E-17</v>
      </c>
      <c r="AB21" s="449">
        <f>VLOOKUP(AB20, Parameters!$AO$3:$AQ$8, 1, TRUE)</f>
        <v>1.0000000000000001E-17</v>
      </c>
      <c r="AC21" s="449">
        <f>VLOOKUP(AC20, Parameters!$AO$3:$AQ$8, 1, TRUE)</f>
        <v>1.0000000000000001E-17</v>
      </c>
      <c r="AD21" s="449">
        <f>VLOOKUP(AD20, Parameters!$AO$3:$AQ$8, 1, TRUE)</f>
        <v>3.1250000000000002E-3</v>
      </c>
      <c r="AE21" s="449">
        <f>VLOOKUP(AE20, Parameters!$AO$3:$AQ$8, 1, TRUE)</f>
        <v>1.0000000000000001E-17</v>
      </c>
      <c r="AF21" s="449">
        <f>VLOOKUP(AF20, Parameters!$AO$3:$AQ$8, 1, TRUE)</f>
        <v>1.0000000000000001E-17</v>
      </c>
      <c r="AG21" s="449">
        <f>VLOOKUP(AG20, Parameters!$AO$3:$AQ$8, 1, TRUE)</f>
        <v>1.0000000000000001E-17</v>
      </c>
      <c r="AH21" s="449">
        <f>VLOOKUP(AH20, Parameters!$AO$3:$AQ$8, 1, TRUE)</f>
        <v>6.2500000000000003E-3</v>
      </c>
      <c r="AI21" s="449">
        <f>VLOOKUP(AI20, Parameters!$AO$3:$AQ$8, 1, TRUE)</f>
        <v>6.2500000000000003E-3</v>
      </c>
      <c r="AJ21" s="449">
        <f>VLOOKUP(AJ20, Parameters!$AO$3:$AQ$8, 1, TRUE)</f>
        <v>1.0000000000000001E-17</v>
      </c>
      <c r="AK21" s="449">
        <f>VLOOKUP(AK20, Parameters!$AO$3:$AQ$8, 1, TRUE)</f>
        <v>6.2500000000000003E-3</v>
      </c>
      <c r="AL21" s="449">
        <f>VLOOKUP(AL20, Parameters!$AO$3:$AQ$8, 1, TRUE)</f>
        <v>1.0000000000000001E-17</v>
      </c>
      <c r="AM21" s="449">
        <f>VLOOKUP(AM20, Parameters!$AO$3:$AQ$8, 1, TRUE)</f>
        <v>6.2500000000000003E-3</v>
      </c>
      <c r="AN21" s="449">
        <f>VLOOKUP(AN20, Parameters!$AO$3:$AQ$8, 1, TRUE)</f>
        <v>1.2500000000000001E-2</v>
      </c>
      <c r="AO21" s="450"/>
    </row>
    <row r="22" spans="1:41" x14ac:dyDescent="0.25">
      <c r="A22" s="54" t="s">
        <v>104</v>
      </c>
      <c r="B22" s="21">
        <f>VLOOKUP(B20, Parameters!$AO$3:$AQ$8, 2, TRUE)</f>
        <v>0</v>
      </c>
      <c r="C22" s="21">
        <f>VLOOKUP(C20, Parameters!$AO$3:$AQ$8, 2, TRUE)</f>
        <v>0</v>
      </c>
      <c r="D22" s="21">
        <f>VLOOKUP(D20, Parameters!$AO$3:$AQ$8, 2, TRUE)</f>
        <v>0</v>
      </c>
      <c r="E22" s="21">
        <f>VLOOKUP(E20, Parameters!$AO$3:$AQ$8, 2, TRUE)</f>
        <v>0</v>
      </c>
      <c r="F22" s="21">
        <f>VLOOKUP(F20, Parameters!$AO$3:$AQ$8, 2, TRUE)</f>
        <v>2</v>
      </c>
      <c r="G22" s="21">
        <f>VLOOKUP(G20, Parameters!$AO$3:$AQ$8, 2, TRUE)</f>
        <v>0</v>
      </c>
      <c r="H22" s="21">
        <f>VLOOKUP(H20, Parameters!$AO$3:$AQ$8, 2, TRUE)</f>
        <v>0</v>
      </c>
      <c r="I22" s="21">
        <f>VLOOKUP(I20, Parameters!$AO$3:$AQ$8, 2, TRUE)</f>
        <v>2</v>
      </c>
      <c r="J22" s="21">
        <f>VLOOKUP(J20, Parameters!$AO$3:$AQ$8, 2, TRUE)</f>
        <v>2</v>
      </c>
      <c r="K22" s="21">
        <f>VLOOKUP(K20, Parameters!$AO$3:$AQ$8, 2, TRUE)</f>
        <v>0</v>
      </c>
      <c r="L22" s="21">
        <f>VLOOKUP(L20, Parameters!$AO$3:$AQ$8, 2, TRUE)</f>
        <v>0</v>
      </c>
      <c r="M22" s="21">
        <f>VLOOKUP(M20, Parameters!$AO$3:$AQ$8, 2, TRUE)</f>
        <v>0</v>
      </c>
      <c r="N22" s="21">
        <f>VLOOKUP(N20, Parameters!$AO$3:$AQ$8, 2, TRUE)</f>
        <v>1</v>
      </c>
      <c r="O22" s="21">
        <f>VLOOKUP(O20, Parameters!$AO$3:$AQ$8, 2, TRUE)</f>
        <v>0</v>
      </c>
      <c r="P22" s="21">
        <f>VLOOKUP(P20, Parameters!$AO$3:$AQ$8, 2, TRUE)</f>
        <v>4</v>
      </c>
      <c r="Q22" s="21">
        <f>VLOOKUP(Q20, Parameters!$AO$3:$AQ$8, 2, TRUE)</f>
        <v>4</v>
      </c>
      <c r="R22" s="21">
        <f>VLOOKUP(R20, Parameters!$AO$3:$AQ$8, 2, TRUE)</f>
        <v>0</v>
      </c>
      <c r="S22" s="21">
        <f>VLOOKUP(S20, Parameters!$AO$3:$AQ$8, 2, TRUE)</f>
        <v>0</v>
      </c>
      <c r="T22" s="21">
        <f>VLOOKUP(T20, Parameters!$AO$3:$AQ$8, 2, TRUE)</f>
        <v>0</v>
      </c>
      <c r="U22" s="21">
        <f>VLOOKUP(U20, Parameters!$AO$3:$AQ$8, 2, TRUE)</f>
        <v>0</v>
      </c>
      <c r="V22" s="21">
        <f>VLOOKUP(V20, Parameters!$AO$3:$AQ$8, 2, TRUE)</f>
        <v>4</v>
      </c>
      <c r="W22" s="21">
        <f>VLOOKUP(W20, Parameters!$AO$3:$AQ$8, 2, TRUE)</f>
        <v>0</v>
      </c>
      <c r="X22" s="21">
        <f>VLOOKUP(X20, Parameters!$AO$3:$AQ$8, 2, TRUE)</f>
        <v>0</v>
      </c>
      <c r="Y22" s="21">
        <f>VLOOKUP(Y20, Parameters!$AO$3:$AQ$8, 2, TRUE)</f>
        <v>0</v>
      </c>
      <c r="Z22" s="21">
        <f>VLOOKUP(Z20, Parameters!$AO$3:$AQ$8, 2, TRUE)</f>
        <v>1</v>
      </c>
      <c r="AA22" s="21">
        <f>VLOOKUP(AA20, Parameters!$AO$3:$AQ$8, 2, TRUE)</f>
        <v>0</v>
      </c>
      <c r="AB22" s="21">
        <f>VLOOKUP(AB20, Parameters!$AO$3:$AQ$8, 2, TRUE)</f>
        <v>0</v>
      </c>
      <c r="AC22" s="21">
        <f>VLOOKUP(AC20, Parameters!$AO$3:$AQ$8, 2, TRUE)</f>
        <v>0</v>
      </c>
      <c r="AD22" s="21">
        <f>VLOOKUP(AD20, Parameters!$AO$3:$AQ$8, 2, TRUE)</f>
        <v>1</v>
      </c>
      <c r="AE22" s="21">
        <f>VLOOKUP(AE20, Parameters!$AO$3:$AQ$8, 2, TRUE)</f>
        <v>0</v>
      </c>
      <c r="AF22" s="21">
        <f>VLOOKUP(AF20, Parameters!$AO$3:$AQ$8, 2, TRUE)</f>
        <v>0</v>
      </c>
      <c r="AG22" s="21">
        <f>VLOOKUP(AG20, Parameters!$AO$3:$AQ$8, 2, TRUE)</f>
        <v>0</v>
      </c>
      <c r="AH22" s="21">
        <f>VLOOKUP(AH20, Parameters!$AO$3:$AQ$8, 2, TRUE)</f>
        <v>2</v>
      </c>
      <c r="AI22" s="21">
        <f>VLOOKUP(AI20, Parameters!$AO$3:$AQ$8, 2, TRUE)</f>
        <v>2</v>
      </c>
      <c r="AJ22" s="21">
        <f>VLOOKUP(AJ20, Parameters!$AO$3:$AQ$8, 2, TRUE)</f>
        <v>0</v>
      </c>
      <c r="AK22" s="21">
        <f>VLOOKUP(AK20, Parameters!$AO$3:$AQ$8, 2, TRUE)</f>
        <v>2</v>
      </c>
      <c r="AL22" s="21">
        <f>VLOOKUP(AL20, Parameters!$AO$3:$AQ$8, 2, TRUE)</f>
        <v>0</v>
      </c>
      <c r="AM22" s="21">
        <f>VLOOKUP(AM20, Parameters!$AO$3:$AQ$8, 2, TRUE)</f>
        <v>2</v>
      </c>
      <c r="AN22" s="21">
        <f>VLOOKUP(AN20, Parameters!$AO$3:$AQ$8, 2, TRUE)</f>
        <v>4</v>
      </c>
      <c r="AO22" s="314"/>
    </row>
    <row r="23" spans="1:41" x14ac:dyDescent="0.25">
      <c r="A23" s="54" t="s">
        <v>83</v>
      </c>
      <c r="B23" s="21">
        <f>VLOOKUP(B20, Parameters!$AO$3:$AQ$8, 3, TRUE)</f>
        <v>320.00000000000102</v>
      </c>
      <c r="C23" s="21">
        <f>VLOOKUP(C20, Parameters!$AO$3:$AQ$8, 3, TRUE)</f>
        <v>320.00000000000102</v>
      </c>
      <c r="D23" s="21">
        <f>VLOOKUP(D20, Parameters!$AO$3:$AQ$8, 3, TRUE)</f>
        <v>320.00000000000102</v>
      </c>
      <c r="E23" s="21">
        <f>VLOOKUP(E20, Parameters!$AO$3:$AQ$8, 3, TRUE)</f>
        <v>320.00000000000102</v>
      </c>
      <c r="F23" s="21">
        <f>VLOOKUP(F20, Parameters!$AO$3:$AQ$8, 3, TRUE)</f>
        <v>320</v>
      </c>
      <c r="G23" s="21">
        <f>VLOOKUP(G20, Parameters!$AO$3:$AQ$8, 3, TRUE)</f>
        <v>320.00000000000102</v>
      </c>
      <c r="H23" s="21">
        <f>VLOOKUP(H20, Parameters!$AO$3:$AQ$8, 3, TRUE)</f>
        <v>320.00000000000102</v>
      </c>
      <c r="I23" s="21">
        <f>VLOOKUP(I20, Parameters!$AO$3:$AQ$8, 3, TRUE)</f>
        <v>320</v>
      </c>
      <c r="J23" s="21">
        <f>VLOOKUP(J20, Parameters!$AO$3:$AQ$8, 3, TRUE)</f>
        <v>320</v>
      </c>
      <c r="K23" s="21">
        <f>VLOOKUP(K20, Parameters!$AO$3:$AQ$8, 3, TRUE)</f>
        <v>320.00000000000102</v>
      </c>
      <c r="L23" s="21">
        <f>VLOOKUP(L20, Parameters!$AO$3:$AQ$8, 3, TRUE)</f>
        <v>320.00000000000102</v>
      </c>
      <c r="M23" s="21">
        <f>VLOOKUP(M20, Parameters!$AO$3:$AQ$8, 3, TRUE)</f>
        <v>320.00000000000102</v>
      </c>
      <c r="N23" s="21">
        <f>VLOOKUP(N20, Parameters!$AO$3:$AQ$8, 3, TRUE)</f>
        <v>320</v>
      </c>
      <c r="O23" s="21">
        <f>VLOOKUP(O20, Parameters!$AO$3:$AQ$8, 3, TRUE)</f>
        <v>320.00000000000102</v>
      </c>
      <c r="P23" s="21">
        <f>VLOOKUP(P20, Parameters!$AO$3:$AQ$8, 3, TRUE)</f>
        <v>320</v>
      </c>
      <c r="Q23" s="21">
        <f>VLOOKUP(Q20, Parameters!$AO$3:$AQ$8, 3, TRUE)</f>
        <v>320</v>
      </c>
      <c r="R23" s="21">
        <f>VLOOKUP(R20, Parameters!$AO$3:$AQ$8, 3, TRUE)</f>
        <v>320.00000000000102</v>
      </c>
      <c r="S23" s="21">
        <f>VLOOKUP(S20, Parameters!$AO$3:$AQ$8, 3, TRUE)</f>
        <v>320.00000000000102</v>
      </c>
      <c r="T23" s="21">
        <f>VLOOKUP(T20, Parameters!$AO$3:$AQ$8, 3, TRUE)</f>
        <v>320.00000000000102</v>
      </c>
      <c r="U23" s="21">
        <f>VLOOKUP(U20, Parameters!$AO$3:$AQ$8, 3, TRUE)</f>
        <v>320.00000000000102</v>
      </c>
      <c r="V23" s="21">
        <f>VLOOKUP(V20, Parameters!$AO$3:$AQ$8, 3, TRUE)</f>
        <v>320</v>
      </c>
      <c r="W23" s="21">
        <f>VLOOKUP(W20, Parameters!$AO$3:$AQ$8, 3, TRUE)</f>
        <v>320.00000000000102</v>
      </c>
      <c r="X23" s="21">
        <f>VLOOKUP(X20, Parameters!$AO$3:$AQ$8, 3, TRUE)</f>
        <v>320.00000000000102</v>
      </c>
      <c r="Y23" s="21">
        <f>VLOOKUP(Y20, Parameters!$AO$3:$AQ$8, 3, TRUE)</f>
        <v>320.00000000000102</v>
      </c>
      <c r="Z23" s="21">
        <f>VLOOKUP(Z20, Parameters!$AO$3:$AQ$8, 3, TRUE)</f>
        <v>320</v>
      </c>
      <c r="AA23" s="21">
        <f>VLOOKUP(AA20, Parameters!$AO$3:$AQ$8, 3, TRUE)</f>
        <v>320.00000000000102</v>
      </c>
      <c r="AB23" s="21">
        <f>VLOOKUP(AB20, Parameters!$AO$3:$AQ$8, 3, TRUE)</f>
        <v>320.00000000000102</v>
      </c>
      <c r="AC23" s="21">
        <f>VLOOKUP(AC20, Parameters!$AO$3:$AQ$8, 3, TRUE)</f>
        <v>320.00000000000102</v>
      </c>
      <c r="AD23" s="21">
        <f>VLOOKUP(AD20, Parameters!$AO$3:$AQ$8, 3, TRUE)</f>
        <v>320</v>
      </c>
      <c r="AE23" s="21">
        <f>VLOOKUP(AE20, Parameters!$AO$3:$AQ$8, 3, TRUE)</f>
        <v>320.00000000000102</v>
      </c>
      <c r="AF23" s="21">
        <f>VLOOKUP(AF20, Parameters!$AO$3:$AQ$8, 3, TRUE)</f>
        <v>320.00000000000102</v>
      </c>
      <c r="AG23" s="21">
        <f>VLOOKUP(AG20, Parameters!$AO$3:$AQ$8, 3, TRUE)</f>
        <v>320.00000000000102</v>
      </c>
      <c r="AH23" s="21">
        <f>VLOOKUP(AH20, Parameters!$AO$3:$AQ$8, 3, TRUE)</f>
        <v>320</v>
      </c>
      <c r="AI23" s="21">
        <f>VLOOKUP(AI20, Parameters!$AO$3:$AQ$8, 3, TRUE)</f>
        <v>320</v>
      </c>
      <c r="AJ23" s="21">
        <f>VLOOKUP(AJ20, Parameters!$AO$3:$AQ$8, 3, TRUE)</f>
        <v>320.00000000000102</v>
      </c>
      <c r="AK23" s="21">
        <f>VLOOKUP(AK20, Parameters!$AO$3:$AQ$8, 3, TRUE)</f>
        <v>320</v>
      </c>
      <c r="AL23" s="21">
        <f>VLOOKUP(AL20, Parameters!$AO$3:$AQ$8, 3, TRUE)</f>
        <v>320.00000000000102</v>
      </c>
      <c r="AM23" s="21">
        <f>VLOOKUP(AM20, Parameters!$AO$3:$AQ$8, 3, TRUE)</f>
        <v>320</v>
      </c>
      <c r="AN23" s="21">
        <f>VLOOKUP(AN20, Parameters!$AO$3:$AQ$8, 3, TRUE)</f>
        <v>320</v>
      </c>
      <c r="AO23" s="314"/>
    </row>
    <row r="24" spans="1:41" x14ac:dyDescent="0.25">
      <c r="A24" s="56" t="s">
        <v>102</v>
      </c>
      <c r="B24" s="54">
        <f t="shared" ref="B24:AN24" si="10">B22+B23*(B20-B21)</f>
        <v>0.54617201909534907</v>
      </c>
      <c r="C24" s="54">
        <f t="shared" si="10"/>
        <v>0.60052989050682115</v>
      </c>
      <c r="D24" s="54">
        <f t="shared" si="10"/>
        <v>1.5816450468217457E-2</v>
      </c>
      <c r="E24" s="54">
        <f t="shared" si="10"/>
        <v>0.95661733299554719</v>
      </c>
      <c r="F24" s="54">
        <f t="shared" si="10"/>
        <v>2.0185225456940312</v>
      </c>
      <c r="G24" s="54">
        <f t="shared" si="10"/>
        <v>3.910856594271283E-4</v>
      </c>
      <c r="H24" s="54">
        <f t="shared" si="10"/>
        <v>0.53538076579675775</v>
      </c>
      <c r="I24" s="54">
        <f t="shared" si="10"/>
        <v>3.368226662282038</v>
      </c>
      <c r="J24" s="54">
        <f t="shared" si="10"/>
        <v>3.5734956711614116</v>
      </c>
      <c r="K24" s="54">
        <f t="shared" si="10"/>
        <v>3.1999999968000102E-6</v>
      </c>
      <c r="L24" s="54">
        <f t="shared" si="10"/>
        <v>0.14527951832858624</v>
      </c>
      <c r="M24" s="54">
        <f t="shared" si="10"/>
        <v>7.5559172546430025E-3</v>
      </c>
      <c r="N24" s="54">
        <f t="shared" si="10"/>
        <v>1.741115972400249</v>
      </c>
      <c r="O24" s="54">
        <f t="shared" si="10"/>
        <v>3.1999999968000102E-6</v>
      </c>
      <c r="P24" s="54">
        <f t="shared" si="10"/>
        <v>4.157858043913917</v>
      </c>
      <c r="Q24" s="54">
        <f t="shared" si="10"/>
        <v>4.1802687942943821</v>
      </c>
      <c r="R24" s="54">
        <f t="shared" si="10"/>
        <v>4.694845847512569E-4</v>
      </c>
      <c r="S24" s="54">
        <f t="shared" si="10"/>
        <v>4.278913373134878E-2</v>
      </c>
      <c r="T24" s="54">
        <f t="shared" si="10"/>
        <v>9.6876803581433138E-4</v>
      </c>
      <c r="U24" s="54">
        <f t="shared" si="10"/>
        <v>0.15717475209334561</v>
      </c>
      <c r="V24" s="54">
        <f t="shared" si="10"/>
        <v>4.5533332228597345</v>
      </c>
      <c r="W24" s="54">
        <f t="shared" si="10"/>
        <v>3.1999999968000102E-6</v>
      </c>
      <c r="X24" s="54">
        <f t="shared" si="10"/>
        <v>0.32963801175363144</v>
      </c>
      <c r="Y24" s="54">
        <f t="shared" si="10"/>
        <v>0.17034734599311435</v>
      </c>
      <c r="Z24" s="54">
        <f t="shared" si="10"/>
        <v>1.8351593613597195</v>
      </c>
      <c r="AA24" s="54">
        <f t="shared" si="10"/>
        <v>0.97905177622998085</v>
      </c>
      <c r="AB24" s="54">
        <f t="shared" si="10"/>
        <v>0.49226023256867563</v>
      </c>
      <c r="AC24" s="54">
        <f t="shared" si="10"/>
        <v>4.6428552595896913E-2</v>
      </c>
      <c r="AD24" s="54">
        <f t="shared" si="10"/>
        <v>1.3816230744131091</v>
      </c>
      <c r="AE24" s="54">
        <f t="shared" si="10"/>
        <v>0.36218449473380609</v>
      </c>
      <c r="AF24" s="54">
        <f t="shared" si="10"/>
        <v>0.28430770151292611</v>
      </c>
      <c r="AG24" s="54">
        <f t="shared" si="10"/>
        <v>0.11925218626860344</v>
      </c>
      <c r="AH24" s="54">
        <f t="shared" si="10"/>
        <v>3.5837573558186291</v>
      </c>
      <c r="AI24" s="54">
        <f t="shared" si="10"/>
        <v>2.6325271278718718</v>
      </c>
      <c r="AJ24" s="54">
        <f t="shared" si="10"/>
        <v>3.1999999968000102E-6</v>
      </c>
      <c r="AK24" s="54">
        <f t="shared" si="10"/>
        <v>2.6138594001605906</v>
      </c>
      <c r="AL24" s="54">
        <f t="shared" si="10"/>
        <v>3.1999999968000102E-6</v>
      </c>
      <c r="AM24" s="54">
        <f t="shared" si="10"/>
        <v>3.5608128458166459</v>
      </c>
      <c r="AN24" s="54">
        <f t="shared" si="10"/>
        <v>4.4675324857164833</v>
      </c>
      <c r="AO24" s="314"/>
    </row>
    <row r="25" spans="1:41" x14ac:dyDescent="0.25">
      <c r="A25" s="56" t="s">
        <v>101</v>
      </c>
      <c r="B25" s="54">
        <f t="shared" ref="B25:AN25" si="11">B24*0.6</f>
        <v>0.32770321145720943</v>
      </c>
      <c r="C25" s="54">
        <f t="shared" si="11"/>
        <v>0.3603179343040927</v>
      </c>
      <c r="D25" s="54">
        <f t="shared" si="11"/>
        <v>9.4898702809304743E-3</v>
      </c>
      <c r="E25" s="54">
        <f t="shared" si="11"/>
        <v>0.57397039979732833</v>
      </c>
      <c r="F25" s="54">
        <f t="shared" si="11"/>
        <v>1.2111135274164186</v>
      </c>
      <c r="G25" s="54">
        <f t="shared" si="11"/>
        <v>2.3465139565627697E-4</v>
      </c>
      <c r="H25" s="54">
        <f t="shared" si="11"/>
        <v>0.32122845947805462</v>
      </c>
      <c r="I25" s="54">
        <f t="shared" si="11"/>
        <v>2.0209359973692229</v>
      </c>
      <c r="J25" s="54">
        <f t="shared" si="11"/>
        <v>2.1440974026968469</v>
      </c>
      <c r="K25" s="54">
        <f t="shared" si="11"/>
        <v>1.9199999980800061E-6</v>
      </c>
      <c r="L25" s="54">
        <f t="shared" si="11"/>
        <v>8.7167710997151746E-2</v>
      </c>
      <c r="M25" s="54">
        <f t="shared" si="11"/>
        <v>4.5335503527858013E-3</v>
      </c>
      <c r="N25" s="54">
        <f t="shared" si="11"/>
        <v>1.0446695834401494</v>
      </c>
      <c r="O25" s="54">
        <f t="shared" si="11"/>
        <v>1.9199999980800061E-6</v>
      </c>
      <c r="P25" s="54">
        <f t="shared" si="11"/>
        <v>2.4947148263483503</v>
      </c>
      <c r="Q25" s="54">
        <f t="shared" si="11"/>
        <v>2.508161276576629</v>
      </c>
      <c r="R25" s="54">
        <f t="shared" si="11"/>
        <v>2.8169075085075415E-4</v>
      </c>
      <c r="S25" s="54">
        <f t="shared" si="11"/>
        <v>2.5673480238809266E-2</v>
      </c>
      <c r="T25" s="54">
        <f t="shared" si="11"/>
        <v>5.8126082148859883E-4</v>
      </c>
      <c r="U25" s="54">
        <f t="shared" si="11"/>
        <v>9.4304851256007363E-2</v>
      </c>
      <c r="V25" s="54">
        <f t="shared" si="11"/>
        <v>2.7319999337158407</v>
      </c>
      <c r="W25" s="54">
        <f t="shared" si="11"/>
        <v>1.9199999980800061E-6</v>
      </c>
      <c r="X25" s="54">
        <f t="shared" si="11"/>
        <v>0.19778280705217885</v>
      </c>
      <c r="Y25" s="54">
        <f t="shared" si="11"/>
        <v>0.10220840759586861</v>
      </c>
      <c r="Z25" s="54">
        <f t="shared" si="11"/>
        <v>1.1010956168158317</v>
      </c>
      <c r="AA25" s="54">
        <f t="shared" si="11"/>
        <v>0.58743106573798853</v>
      </c>
      <c r="AB25" s="54">
        <f t="shared" si="11"/>
        <v>0.29535613954120538</v>
      </c>
      <c r="AC25" s="54">
        <f t="shared" si="11"/>
        <v>2.7857131557538148E-2</v>
      </c>
      <c r="AD25" s="54">
        <f t="shared" si="11"/>
        <v>0.82897384464786539</v>
      </c>
      <c r="AE25" s="54">
        <f t="shared" si="11"/>
        <v>0.21731069684028365</v>
      </c>
      <c r="AF25" s="54">
        <f t="shared" si="11"/>
        <v>0.17058462090775567</v>
      </c>
      <c r="AG25" s="54">
        <f t="shared" si="11"/>
        <v>7.1551311761162056E-2</v>
      </c>
      <c r="AH25" s="54">
        <f t="shared" si="11"/>
        <v>2.1502544134911772</v>
      </c>
      <c r="AI25" s="54">
        <f t="shared" si="11"/>
        <v>1.579516276723123</v>
      </c>
      <c r="AJ25" s="54">
        <f t="shared" si="11"/>
        <v>1.9199999980800061E-6</v>
      </c>
      <c r="AK25" s="54">
        <f t="shared" si="11"/>
        <v>1.5683156400963543</v>
      </c>
      <c r="AL25" s="54">
        <f t="shared" si="11"/>
        <v>1.9199999980800061E-6</v>
      </c>
      <c r="AM25" s="54">
        <f t="shared" si="11"/>
        <v>2.1364877074899873</v>
      </c>
      <c r="AN25" s="54">
        <f t="shared" si="11"/>
        <v>2.68051949142989</v>
      </c>
      <c r="AO25" s="314"/>
    </row>
    <row r="26" spans="1:41" x14ac:dyDescent="0.25">
      <c r="AO26" s="314"/>
    </row>
    <row r="27" spans="1:41" ht="21" x14ac:dyDescent="0.35">
      <c r="A27" s="19" t="s">
        <v>21</v>
      </c>
      <c r="AO27" s="314"/>
    </row>
    <row r="28" spans="1:41" s="51" customFormat="1" x14ac:dyDescent="0.25">
      <c r="A28" s="51" t="s">
        <v>1131</v>
      </c>
      <c r="B28" s="267">
        <f ca="1">B12*Main!$C$37*Main!$C$169</f>
        <v>2438.9950241687779</v>
      </c>
      <c r="C28" s="267">
        <f ca="1">C12*Main!$C$37*Main!$C$169</f>
        <v>486.42456109500057</v>
      </c>
      <c r="D28" s="267">
        <f ca="1">D12*Main!$C$37*Main!$C$169</f>
        <v>17.18870645434847</v>
      </c>
      <c r="E28" s="267">
        <f ca="1">E12*Main!$C$37*Main!$C$169</f>
        <v>1587.0922759376856</v>
      </c>
      <c r="F28" s="267">
        <f ca="1">F12*Main!$C$37*Main!$C$169</f>
        <v>2673.3607622835939</v>
      </c>
      <c r="G28" s="267">
        <f ca="1">G12*Main!$C$37*Main!$C$169</f>
        <v>0.93142904688850559</v>
      </c>
      <c r="H28" s="267">
        <f ca="1">H12*Main!$C$37*Main!$C$169</f>
        <v>1131.9333294985479</v>
      </c>
      <c r="I28" s="267">
        <f ca="1">I12*Main!$C$37*Main!$C$169</f>
        <v>6520.9635366430757</v>
      </c>
      <c r="J28" s="267">
        <f ca="1">J12*Main!$C$37*Main!$C$169</f>
        <v>1902.1735104972843</v>
      </c>
      <c r="K28" s="267">
        <f ca="1">K12*Main!$C$37*Main!$C$169</f>
        <v>0</v>
      </c>
      <c r="L28" s="267">
        <f ca="1">L12*Main!$C$37*Main!$C$169</f>
        <v>298.82850647326154</v>
      </c>
      <c r="M28" s="267">
        <f ca="1">M12*Main!$C$37*Main!$C$169</f>
        <v>21.614446058541827</v>
      </c>
      <c r="N28" s="267">
        <f ca="1">N12*Main!$C$37*Main!$C$169</f>
        <v>1545.1286080230759</v>
      </c>
      <c r="O28" s="267">
        <f ca="1">O12*Main!$C$37*Main!$C$169</f>
        <v>0</v>
      </c>
      <c r="P28" s="267">
        <f ca="1">P12*Main!$C$37*Main!$C$169</f>
        <v>1082.2945910166079</v>
      </c>
      <c r="Q28" s="267">
        <f ca="1">Q12*Main!$C$37*Main!$C$169</f>
        <v>938.94513083264474</v>
      </c>
      <c r="R28" s="267">
        <f ca="1">R12*Main!$C$37*Main!$C$169</f>
        <v>0.12652674055682298</v>
      </c>
      <c r="S28" s="267">
        <f ca="1">S12*Main!$C$37*Main!$C$169</f>
        <v>107.5309163521988</v>
      </c>
      <c r="T28" s="267">
        <f ca="1">T12*Main!$C$37*Main!$C$169</f>
        <v>0.97623929840471113</v>
      </c>
      <c r="U28" s="267">
        <f ca="1">U12*Main!$C$37*Main!$C$169</f>
        <v>306.36802040824404</v>
      </c>
      <c r="V28" s="267">
        <f ca="1">V12*Main!$C$37*Main!$C$169</f>
        <v>333.41548920282668</v>
      </c>
      <c r="W28" s="267">
        <f ca="1">W12*Main!$C$37*Main!$C$169</f>
        <v>0</v>
      </c>
      <c r="X28" s="267">
        <f ca="1">X12*Main!$C$37*Main!$C$169</f>
        <v>275.55997594923423</v>
      </c>
      <c r="Y28" s="267">
        <f ca="1">Y12*Main!$C$37*Main!$C$169</f>
        <v>130.83402360395922</v>
      </c>
      <c r="Z28" s="267">
        <f ca="1">Z12*Main!$C$37*Main!$C$169</f>
        <v>4717.2299248293184</v>
      </c>
      <c r="AA28" s="267">
        <f ca="1">AA12*Main!$C$37*Main!$C$169</f>
        <v>2727.2556906975415</v>
      </c>
      <c r="AB28" s="267">
        <f ca="1">AB12*Main!$C$37*Main!$C$169</f>
        <v>1145.9040116478866</v>
      </c>
      <c r="AC28" s="267">
        <f ca="1">AC12*Main!$C$37*Main!$C$169</f>
        <v>27.186006918003116</v>
      </c>
      <c r="AD28" s="267">
        <f ca="1">AD12*Main!$C$37*Main!$C$169</f>
        <v>141.80050783662566</v>
      </c>
      <c r="AE28" s="267">
        <f ca="1">AE12*Main!$C$37*Main!$C$169</f>
        <v>68.734610783832395</v>
      </c>
      <c r="AF28" s="267">
        <f ca="1">AF12*Main!$C$37*Main!$C$169</f>
        <v>175.04492011131251</v>
      </c>
      <c r="AG28" s="267">
        <f ca="1">AG12*Main!$C$37*Main!$C$169</f>
        <v>9.1288023291348264</v>
      </c>
      <c r="AH28" s="267">
        <f ca="1">AH12*Main!$C$37*Main!$C$169</f>
        <v>5672.0727217171398</v>
      </c>
      <c r="AI28" s="267">
        <f ca="1">AI12*Main!$C$37*Main!$C$169</f>
        <v>472.12602760294885</v>
      </c>
      <c r="AJ28" s="267">
        <f ca="1">AJ12*Main!$C$37*Main!$C$169</f>
        <v>0</v>
      </c>
      <c r="AK28" s="267">
        <f ca="1">AK12*Main!$C$37*Main!$C$169</f>
        <v>1499.0817411554435</v>
      </c>
      <c r="AL28" s="267">
        <f ca="1">AL12*Main!$C$37*Main!$C$169</f>
        <v>0</v>
      </c>
      <c r="AM28" s="267">
        <f ca="1">AM12*Main!$C$37*Main!$C$169</f>
        <v>3012.851032085106</v>
      </c>
      <c r="AN28" s="267">
        <f ca="1">AN12*Main!$C$37*Main!$C$169</f>
        <v>4510.7704669205878</v>
      </c>
      <c r="AO28" s="316">
        <f ca="1">SUM(B28:AN28)</f>
        <v>45979.872074219638</v>
      </c>
    </row>
    <row r="29" spans="1:41" s="51" customFormat="1" x14ac:dyDescent="0.25">
      <c r="A29" s="51" t="s">
        <v>578</v>
      </c>
      <c r="B29" s="267">
        <f ca="1">B12*Main!$C$38*Main!$C$169</f>
        <v>270.99944712986411</v>
      </c>
      <c r="C29" s="267">
        <f ca="1">C12*Main!$C$38*Main!$C$169</f>
        <v>54.047173455000042</v>
      </c>
      <c r="D29" s="267">
        <f ca="1">D12*Main!$C$38*Main!$C$169</f>
        <v>1.9098562727053849</v>
      </c>
      <c r="E29" s="267">
        <f ca="1">E12*Main!$C$38*Main!$C$169</f>
        <v>176.34358621529836</v>
      </c>
      <c r="F29" s="267">
        <f ca="1">F12*Main!$C$38*Main!$C$169</f>
        <v>297.04008469817705</v>
      </c>
      <c r="G29" s="267">
        <f ca="1">G12*Main!$C$38*Main!$C$169</f>
        <v>0.10349211632094504</v>
      </c>
      <c r="H29" s="267">
        <f ca="1">H12*Main!$C$38*Main!$C$169</f>
        <v>125.77036994428306</v>
      </c>
      <c r="I29" s="267">
        <f ca="1">I12*Main!$C$38*Main!$C$169</f>
        <v>724.55150407145265</v>
      </c>
      <c r="J29" s="267">
        <f ca="1">J12*Main!$C$38*Main!$C$169</f>
        <v>211.35261227747603</v>
      </c>
      <c r="K29" s="267">
        <f ca="1">K12*Main!$C$38*Main!$C$169</f>
        <v>0</v>
      </c>
      <c r="L29" s="267">
        <f ca="1">L12*Main!$C$38*Main!$C$169</f>
        <v>33.203167385917943</v>
      </c>
      <c r="M29" s="267">
        <f ca="1">M12*Main!$C$38*Main!$C$169</f>
        <v>2.401605117615758</v>
      </c>
      <c r="N29" s="267">
        <f ca="1">N12*Main!$C$38*Main!$C$169</f>
        <v>171.68095644700838</v>
      </c>
      <c r="O29" s="267">
        <f ca="1">O12*Main!$C$38*Main!$C$169</f>
        <v>0</v>
      </c>
      <c r="P29" s="267">
        <f ca="1">P12*Main!$C$38*Main!$C$169</f>
        <v>120.25495455740084</v>
      </c>
      <c r="Q29" s="267">
        <f ca="1">Q12*Main!$C$38*Main!$C$169</f>
        <v>104.32723675918271</v>
      </c>
      <c r="R29" s="267">
        <f ca="1">R12*Main!$C$38*Main!$C$169</f>
        <v>1.4058526728535884E-2</v>
      </c>
      <c r="S29" s="267">
        <f ca="1">S12*Main!$C$38*Main!$C$169</f>
        <v>11.947879594688752</v>
      </c>
      <c r="T29" s="267">
        <f ca="1">T12*Main!$C$38*Main!$C$169</f>
        <v>0.10847103315607898</v>
      </c>
      <c r="U29" s="267">
        <f ca="1">U12*Main!$C$38*Main!$C$169</f>
        <v>34.040891156471545</v>
      </c>
      <c r="V29" s="267">
        <f ca="1">V12*Main!$C$38*Main!$C$169</f>
        <v>37.046165466980732</v>
      </c>
      <c r="W29" s="267">
        <f ca="1">W12*Main!$C$38*Main!$C$169</f>
        <v>0</v>
      </c>
      <c r="X29" s="267">
        <f ca="1">X12*Main!$C$38*Main!$C$169</f>
        <v>30.617775105470457</v>
      </c>
      <c r="Y29" s="267">
        <f ca="1">Y12*Main!$C$38*Main!$C$169</f>
        <v>14.537113733773243</v>
      </c>
      <c r="Z29" s="267">
        <f ca="1">Z12*Main!$C$38*Main!$C$169</f>
        <v>524.13665831436856</v>
      </c>
      <c r="AA29" s="267">
        <f ca="1">AA12*Main!$C$38*Main!$C$169</f>
        <v>303.02841007750453</v>
      </c>
      <c r="AB29" s="267">
        <f ca="1">AB12*Main!$C$38*Main!$C$169</f>
        <v>127.32266796087625</v>
      </c>
      <c r="AC29" s="267">
        <f ca="1">AC12*Main!$C$38*Main!$C$169</f>
        <v>3.0206674353336784</v>
      </c>
      <c r="AD29" s="267">
        <f ca="1">AD12*Main!$C$38*Main!$C$169</f>
        <v>15.755611981847293</v>
      </c>
      <c r="AE29" s="267">
        <f ca="1">AE12*Main!$C$38*Main!$C$169</f>
        <v>7.6371789759813753</v>
      </c>
      <c r="AF29" s="267">
        <f ca="1">AF12*Main!$C$38*Main!$C$169</f>
        <v>19.449435567923608</v>
      </c>
      <c r="AG29" s="267">
        <f ca="1">AG12*Main!$C$38*Main!$C$169</f>
        <v>1.0143113699038693</v>
      </c>
      <c r="AH29" s="267">
        <f ca="1">AH12*Main!$C$38*Main!$C$169</f>
        <v>630.23030241301535</v>
      </c>
      <c r="AI29" s="267">
        <f ca="1">AI12*Main!$C$38*Main!$C$169</f>
        <v>52.458447511438749</v>
      </c>
      <c r="AJ29" s="267">
        <f ca="1">AJ12*Main!$C$38*Main!$C$169</f>
        <v>0</v>
      </c>
      <c r="AK29" s="267">
        <f ca="1">AK12*Main!$C$38*Main!$C$169</f>
        <v>166.56463790616036</v>
      </c>
      <c r="AL29" s="267">
        <f ca="1">AL12*Main!$C$38*Main!$C$169</f>
        <v>0</v>
      </c>
      <c r="AM29" s="267">
        <f ca="1">AM12*Main!$C$38*Main!$C$169</f>
        <v>334.76122578723397</v>
      </c>
      <c r="AN29" s="267">
        <f ca="1">AN12*Main!$C$38*Main!$C$169</f>
        <v>501.1967185467318</v>
      </c>
      <c r="AO29" s="316">
        <f ca="1">SUM(B29:AN29)</f>
        <v>5108.8746749132915</v>
      </c>
    </row>
    <row r="30" spans="1:41" s="51" customFormat="1" x14ac:dyDescent="0.25">
      <c r="A30" s="51" t="s">
        <v>577</v>
      </c>
      <c r="B30" s="51">
        <f ca="1">B12-(B28+B29)</f>
        <v>677.49861782466041</v>
      </c>
      <c r="C30" s="51">
        <f t="shared" ref="C30:AN30" ca="1" si="12">C12-(C28+C29)</f>
        <v>135.11793363750007</v>
      </c>
      <c r="D30" s="51">
        <f t="shared" ca="1" si="12"/>
        <v>4.774640681763465</v>
      </c>
      <c r="E30" s="51">
        <f t="shared" ca="1" si="12"/>
        <v>440.85896553824591</v>
      </c>
      <c r="F30" s="51">
        <f t="shared" ca="1" si="12"/>
        <v>742.60021174544272</v>
      </c>
      <c r="G30" s="51">
        <f t="shared" ca="1" si="12"/>
        <v>0.25873029080236254</v>
      </c>
      <c r="H30" s="51">
        <f t="shared" ca="1" si="12"/>
        <v>314.42592486070771</v>
      </c>
      <c r="I30" s="51">
        <f t="shared" ca="1" si="12"/>
        <v>1811.3787601786316</v>
      </c>
      <c r="J30" s="51">
        <f t="shared" ca="1" si="12"/>
        <v>528.38153069369037</v>
      </c>
      <c r="K30" s="51">
        <f t="shared" ca="1" si="12"/>
        <v>0</v>
      </c>
      <c r="L30" s="51">
        <f t="shared" ca="1" si="12"/>
        <v>83.007918464794898</v>
      </c>
      <c r="M30" s="51">
        <f t="shared" ca="1" si="12"/>
        <v>6.0040127940393937</v>
      </c>
      <c r="N30" s="51">
        <f t="shared" ca="1" si="12"/>
        <v>429.20239111752107</v>
      </c>
      <c r="O30" s="51">
        <f t="shared" ca="1" si="12"/>
        <v>0</v>
      </c>
      <c r="P30" s="51">
        <f t="shared" ca="1" si="12"/>
        <v>300.63738639350186</v>
      </c>
      <c r="Q30" s="51">
        <f t="shared" ca="1" si="12"/>
        <v>260.81809189795695</v>
      </c>
      <c r="R30" s="51">
        <f t="shared" ca="1" si="12"/>
        <v>3.5146316821339729E-2</v>
      </c>
      <c r="S30" s="51">
        <f t="shared" ca="1" si="12"/>
        <v>29.869698986721872</v>
      </c>
      <c r="T30" s="51">
        <f t="shared" ca="1" si="12"/>
        <v>0.27117758289019722</v>
      </c>
      <c r="U30" s="51">
        <f t="shared" ca="1" si="12"/>
        <v>85.102227891178813</v>
      </c>
      <c r="V30" s="51">
        <f t="shared" ca="1" si="12"/>
        <v>92.615413667451833</v>
      </c>
      <c r="W30" s="51">
        <f t="shared" ca="1" si="12"/>
        <v>0</v>
      </c>
      <c r="X30" s="51">
        <f t="shared" ca="1" si="12"/>
        <v>76.544437763676115</v>
      </c>
      <c r="Y30" s="51">
        <f t="shared" ca="1" si="12"/>
        <v>36.342784334433105</v>
      </c>
      <c r="Z30" s="51">
        <f t="shared" ca="1" si="12"/>
        <v>1310.3416457859221</v>
      </c>
      <c r="AA30" s="51">
        <f t="shared" ca="1" si="12"/>
        <v>757.57102519376167</v>
      </c>
      <c r="AB30" s="51">
        <f t="shared" ca="1" si="12"/>
        <v>318.30666990219061</v>
      </c>
      <c r="AC30" s="51">
        <f t="shared" ca="1" si="12"/>
        <v>7.551668588334195</v>
      </c>
      <c r="AD30" s="51">
        <f t="shared" ca="1" si="12"/>
        <v>39.389029954618252</v>
      </c>
      <c r="AE30" s="51">
        <f t="shared" ca="1" si="12"/>
        <v>19.092947439953448</v>
      </c>
      <c r="AF30" s="51">
        <f t="shared" ca="1" si="12"/>
        <v>48.623588919809009</v>
      </c>
      <c r="AG30" s="51">
        <f t="shared" ca="1" si="12"/>
        <v>2.5357784247596733</v>
      </c>
      <c r="AH30" s="51">
        <f t="shared" ca="1" si="12"/>
        <v>1575.5757560325383</v>
      </c>
      <c r="AI30" s="51">
        <f t="shared" ca="1" si="12"/>
        <v>131.14611877859693</v>
      </c>
      <c r="AJ30" s="51">
        <f t="shared" ca="1" si="12"/>
        <v>0</v>
      </c>
      <c r="AK30" s="51">
        <f t="shared" ca="1" si="12"/>
        <v>416.41159476540088</v>
      </c>
      <c r="AL30" s="51">
        <f t="shared" ca="1" si="12"/>
        <v>0</v>
      </c>
      <c r="AM30" s="51">
        <f t="shared" ca="1" si="12"/>
        <v>836.90306446808518</v>
      </c>
      <c r="AN30" s="51">
        <f t="shared" ca="1" si="12"/>
        <v>1252.9917963668286</v>
      </c>
      <c r="AO30" s="316">
        <f ca="1">SUM(B30:AN30)</f>
        <v>12772.186687283231</v>
      </c>
    </row>
    <row r="31" spans="1:41" x14ac:dyDescent="0.25">
      <c r="A31" s="21" t="s">
        <v>522</v>
      </c>
      <c r="B31" s="318">
        <f ca="1">-(B28*'Cost data'!$C$7+'Cost data'!$D$7*B29)</f>
        <v>-83145.029093624107</v>
      </c>
      <c r="C31" s="318">
        <f ca="1">-(C28*'Cost data'!$C$7+'Cost data'!$D$7*C29)</f>
        <v>-16582.151207086044</v>
      </c>
      <c r="D31" s="318">
        <f ca="1">-(D28*'Cost data'!$C$7+'Cost data'!$D$7*D29)</f>
        <v>-585.96080929506263</v>
      </c>
      <c r="E31" s="318">
        <f ca="1">-(E28*'Cost data'!$C$7+'Cost data'!$D$7*E29)</f>
        <v>-54103.773131754228</v>
      </c>
      <c r="F31" s="318">
        <f ca="1">-(F28*'Cost data'!$C$7+'Cost data'!$D$7*F29)</f>
        <v>-91134.52719468977</v>
      </c>
      <c r="G31" s="318">
        <f ca="1">-(G28*'Cost data'!$C$7+'Cost data'!$D$7*G29)</f>
        <v>-31.752297333441501</v>
      </c>
      <c r="H31" s="318">
        <f ca="1">-(H28*'Cost data'!$C$7+'Cost data'!$D$7*H29)</f>
        <v>-38587.462737966969</v>
      </c>
      <c r="I31" s="318">
        <f ca="1">-(I28*'Cost data'!$C$7+'Cost data'!$D$7*I29)</f>
        <v>-222298.81471670084</v>
      </c>
      <c r="J31" s="318">
        <f ca="1">-(J28*'Cost data'!$C$7+'Cost data'!$D$7*J29)</f>
        <v>-64844.852205189833</v>
      </c>
      <c r="K31" s="318">
        <f ca="1">-(K28*'Cost data'!$C$7+'Cost data'!$D$7*K29)</f>
        <v>0</v>
      </c>
      <c r="L31" s="318">
        <f ca="1">-(L28*'Cost data'!$C$7+'Cost data'!$D$7*L29)</f>
        <v>-10187.02564725045</v>
      </c>
      <c r="M31" s="318">
        <f ca="1">-(M28*'Cost data'!$C$7+'Cost data'!$D$7*M29)</f>
        <v>-736.83370756055615</v>
      </c>
      <c r="N31" s="318">
        <f ca="1">-(N28*'Cost data'!$C$7+'Cost data'!$D$7*N29)</f>
        <v>-52673.237048219366</v>
      </c>
      <c r="O31" s="318">
        <f ca="1">-(O28*'Cost data'!$C$7+'Cost data'!$D$7*O29)</f>
        <v>0</v>
      </c>
      <c r="P31" s="318">
        <f ca="1">-(P28*'Cost data'!$C$7+'Cost data'!$D$7*P29)</f>
        <v>-36895.284478333881</v>
      </c>
      <c r="Q31" s="318">
        <f ca="1">-(Q28*'Cost data'!$C$7+'Cost data'!$D$7*Q29)</f>
        <v>-32008.519675846048</v>
      </c>
      <c r="R31" s="318">
        <f ca="1">-(R28*'Cost data'!$C$7+'Cost data'!$D$7*R29)</f>
        <v>-4.3132804374226916</v>
      </c>
      <c r="S31" s="318">
        <f ca="1">-(S28*'Cost data'!$C$7+'Cost data'!$D$7*S29)</f>
        <v>-3665.7152146567632</v>
      </c>
      <c r="T31" s="318">
        <f ca="1">-(T28*'Cost data'!$C$7+'Cost data'!$D$7*T29)</f>
        <v>-33.279873088655378</v>
      </c>
      <c r="U31" s="318">
        <f ca="1">-(U28*'Cost data'!$C$7+'Cost data'!$D$7*U29)</f>
        <v>-10444.046715052564</v>
      </c>
      <c r="V31" s="318">
        <f ca="1">-(V28*'Cost data'!$C$7+'Cost data'!$D$7*V29)</f>
        <v>-11366.091474287317</v>
      </c>
      <c r="W31" s="318">
        <f ca="1">-(W28*'Cost data'!$C$7+'Cost data'!$D$7*W29)</f>
        <v>0</v>
      </c>
      <c r="X31" s="318">
        <f ca="1">-(X28*'Cost data'!$C$7+'Cost data'!$D$7*X29)</f>
        <v>-9393.8044113664291</v>
      </c>
      <c r="Y31" s="318">
        <f ca="1">-(Y28*'Cost data'!$C$7+'Cost data'!$D$7*Y29)</f>
        <v>-4460.1151667762988</v>
      </c>
      <c r="Z31" s="318">
        <f ca="1">-(Z28*'Cost data'!$C$7+'Cost data'!$D$7*Z29)</f>
        <v>-160809.76609409711</v>
      </c>
      <c r="AA31" s="318">
        <f ca="1">-(AA28*'Cost data'!$C$7+'Cost data'!$D$7*AA29)</f>
        <v>-92971.798425902569</v>
      </c>
      <c r="AB31" s="318">
        <f ca="1">-(AB28*'Cost data'!$C$7+'Cost data'!$D$7*AB29)</f>
        <v>-39063.721509409283</v>
      </c>
      <c r="AC31" s="318">
        <f ca="1">-(AC28*'Cost data'!$C$7+'Cost data'!$D$7*AC29)</f>
        <v>-926.76750618102835</v>
      </c>
      <c r="AD31" s="318">
        <f ca="1">-(AD28*'Cost data'!$C$7+'Cost data'!$D$7*AD29)</f>
        <v>-4833.9612146543877</v>
      </c>
      <c r="AE31" s="318">
        <f ca="1">-(AE28*'Cost data'!$C$7+'Cost data'!$D$7*AE29)</f>
        <v>-2343.1541092661128</v>
      </c>
      <c r="AF31" s="318">
        <f ca="1">-(AF28*'Cost data'!$C$7+'Cost data'!$D$7*AF29)</f>
        <v>-5967.2589862319637</v>
      </c>
      <c r="AG31" s="318">
        <f ca="1">-(AG28*'Cost data'!$C$7+'Cost data'!$D$7*AG29)</f>
        <v>-311.1997063235234</v>
      </c>
      <c r="AH31" s="318">
        <f ca="1">-(AH28*'Cost data'!$C$7+'Cost data'!$D$7*AH29)</f>
        <v>-193360.23517680139</v>
      </c>
      <c r="AI31" s="318">
        <f ca="1">-(AI28*'Cost data'!$C$7+'Cost data'!$D$7*AI29)</f>
        <v>-16094.716025213149</v>
      </c>
      <c r="AJ31" s="318">
        <f ca="1">-(AJ28*'Cost data'!$C$7+'Cost data'!$D$7*AJ29)</f>
        <v>0</v>
      </c>
      <c r="AK31" s="318">
        <f ca="1">-(AK28*'Cost data'!$C$7+'Cost data'!$D$7*AK29)</f>
        <v>-51103.505233500182</v>
      </c>
      <c r="AL31" s="318">
        <f ca="1">-(AL28*'Cost data'!$C$7+'Cost data'!$D$7*AL29)</f>
        <v>0</v>
      </c>
      <c r="AM31" s="318">
        <f ca="1">-(AM28*'Cost data'!$C$7+'Cost data'!$D$7*AM29)</f>
        <v>-102707.70716428357</v>
      </c>
      <c r="AN31" s="318">
        <f ca="1">-(AN28*'Cost data'!$C$7+'Cost data'!$D$7*AN29)</f>
        <v>-153771.58952367728</v>
      </c>
      <c r="AO31" s="317">
        <f ca="1">SUM(B31:AN31)</f>
        <v>-1567447.9707620579</v>
      </c>
    </row>
    <row r="32" spans="1:41" s="51" customFormat="1" x14ac:dyDescent="0.25">
      <c r="A32" s="51" t="s">
        <v>576</v>
      </c>
      <c r="B32" s="51">
        <f ca="1">IF(B30&gt;0,B5/B30,0)</f>
        <v>2929.4799880999999</v>
      </c>
      <c r="C32" s="51">
        <f t="shared" ref="C32:AN32" ca="1" si="13">IF(C30&gt;0,C5/C30,0)</f>
        <v>2664.3136757933344</v>
      </c>
      <c r="D32" s="51">
        <f t="shared" ca="1" si="13"/>
        <v>101160.4976233333</v>
      </c>
      <c r="E32" s="51">
        <f t="shared" ca="1" si="13"/>
        <v>1672.5601186733334</v>
      </c>
      <c r="F32" s="51">
        <f t="shared" ca="1" si="13"/>
        <v>792.65896901333326</v>
      </c>
      <c r="G32" s="51">
        <f t="shared" ca="1" si="13"/>
        <v>4091175.325453335</v>
      </c>
      <c r="H32" s="51">
        <f t="shared" ca="1" si="13"/>
        <v>2988.5272356</v>
      </c>
      <c r="I32" s="51">
        <f t="shared" ca="1" si="13"/>
        <v>475.02741365866677</v>
      </c>
      <c r="J32" s="51">
        <f t="shared" ca="1" si="13"/>
        <v>447.74085300066639</v>
      </c>
      <c r="K32" s="51">
        <f t="shared" ca="1" si="13"/>
        <v>0</v>
      </c>
      <c r="L32" s="51">
        <f t="shared" ca="1" si="13"/>
        <v>11013.252373133331</v>
      </c>
      <c r="M32" s="51">
        <f t="shared" ca="1" si="13"/>
        <v>211754.56878066674</v>
      </c>
      <c r="N32" s="51">
        <f t="shared" ca="1" si="13"/>
        <v>918.95084840000015</v>
      </c>
      <c r="O32" s="51">
        <f t="shared" ca="1" si="13"/>
        <v>0</v>
      </c>
      <c r="P32" s="51">
        <f t="shared" ca="1" si="13"/>
        <v>384.81352251600032</v>
      </c>
      <c r="Q32" s="51">
        <f t="shared" ca="1" si="13"/>
        <v>382.75050690133315</v>
      </c>
      <c r="R32" s="51">
        <f t="shared" ca="1" si="13"/>
        <v>3407992.6198999984</v>
      </c>
      <c r="S32" s="51">
        <f t="shared" ca="1" si="13"/>
        <v>37392.671000200025</v>
      </c>
      <c r="T32" s="51">
        <f t="shared" ca="1" si="13"/>
        <v>1651582.1547000017</v>
      </c>
      <c r="U32" s="51">
        <f t="shared" ca="1" si="13"/>
        <v>10179.752019266676</v>
      </c>
      <c r="V32" s="51">
        <f t="shared" ca="1" si="13"/>
        <v>351.39093092666639</v>
      </c>
      <c r="W32" s="51">
        <f t="shared" ca="1" si="13"/>
        <v>0</v>
      </c>
      <c r="X32" s="51">
        <f t="shared" ca="1" si="13"/>
        <v>4853.8091571666691</v>
      </c>
      <c r="Y32" s="51">
        <f t="shared" ca="1" si="13"/>
        <v>9392.5736892000041</v>
      </c>
      <c r="Z32" s="51">
        <f t="shared" ca="1" si="13"/>
        <v>871.85888794666653</v>
      </c>
      <c r="AA32" s="51">
        <f t="shared" ca="1" si="13"/>
        <v>1634.234305933333</v>
      </c>
      <c r="AB32" s="51">
        <f t="shared" ca="1" si="13"/>
        <v>3250.3133386400004</v>
      </c>
      <c r="AC32" s="51">
        <f t="shared" ca="1" si="13"/>
        <v>34461.552440066676</v>
      </c>
      <c r="AD32" s="51">
        <f t="shared" ca="1" si="13"/>
        <v>1158.0582502066661</v>
      </c>
      <c r="AE32" s="51">
        <f t="shared" ca="1" si="13"/>
        <v>4417.638036039999</v>
      </c>
      <c r="AF32" s="51">
        <f t="shared" ca="1" si="13"/>
        <v>5627.705445493335</v>
      </c>
      <c r="AG32" s="51">
        <f t="shared" ca="1" si="13"/>
        <v>13416.944796266667</v>
      </c>
      <c r="AH32" s="51">
        <f t="shared" ca="1" si="13"/>
        <v>446.45879760866683</v>
      </c>
      <c r="AI32" s="51">
        <f t="shared" ca="1" si="13"/>
        <v>607.78101127999992</v>
      </c>
      <c r="AJ32" s="51">
        <f t="shared" ca="1" si="13"/>
        <v>0</v>
      </c>
      <c r="AK32" s="51">
        <f t="shared" ca="1" si="13"/>
        <v>612.12167720333355</v>
      </c>
      <c r="AL32" s="51">
        <f t="shared" ca="1" si="13"/>
        <v>0</v>
      </c>
      <c r="AM32" s="51">
        <f t="shared" ca="1" si="13"/>
        <v>449.33560658199985</v>
      </c>
      <c r="AN32" s="51">
        <f t="shared" ca="1" si="13"/>
        <v>358.13953342600041</v>
      </c>
      <c r="AO32" s="316"/>
    </row>
    <row r="33" spans="1:41" x14ac:dyDescent="0.25">
      <c r="A33" s="51" t="s">
        <v>550</v>
      </c>
      <c r="B33" s="51">
        <f ca="1">IF(B12&gt;0,B15*(B28+B29)/B12,0)</f>
        <v>6696.5318383025087</v>
      </c>
      <c r="C33" s="51">
        <f t="shared" ref="C33:AN33" ca="1" si="14">IF(C12&gt;0,C15*(C28+C29)/C12,0)</f>
        <v>1068.4261437278235</v>
      </c>
      <c r="D33" s="51">
        <f t="shared" ca="1" si="14"/>
        <v>47.193503426686433</v>
      </c>
      <c r="E33" s="51">
        <f t="shared" ca="1" si="14"/>
        <v>32942.988695028864</v>
      </c>
      <c r="F33" s="51">
        <f t="shared" ca="1" si="14"/>
        <v>124780.15321988318</v>
      </c>
      <c r="G33" s="51">
        <f t="shared" ca="1" si="14"/>
        <v>2.5573419403487132</v>
      </c>
      <c r="H33" s="51">
        <f t="shared" ca="1" si="14"/>
        <v>3107.8487265082076</v>
      </c>
      <c r="I33" s="51">
        <f t="shared" ca="1" si="14"/>
        <v>411792.68865122565</v>
      </c>
      <c r="J33" s="51">
        <f t="shared" ca="1" si="14"/>
        <v>120120.46069069914</v>
      </c>
      <c r="K33" s="51">
        <f t="shared" si="14"/>
        <v>0</v>
      </c>
      <c r="L33" s="51">
        <f t="shared" ca="1" si="14"/>
        <v>820.46686768972563</v>
      </c>
      <c r="M33" s="51">
        <f t="shared" ca="1" si="14"/>
        <v>59.3448632588442</v>
      </c>
      <c r="N33" s="51">
        <f t="shared" ca="1" si="14"/>
        <v>67877.15638854084</v>
      </c>
      <c r="O33" s="51">
        <f t="shared" si="14"/>
        <v>0</v>
      </c>
      <c r="P33" s="51">
        <f t="shared" ca="1" si="14"/>
        <v>74289.001364766373</v>
      </c>
      <c r="Q33" s="51">
        <f t="shared" ca="1" si="14"/>
        <v>67027.432782382413</v>
      </c>
      <c r="R33" s="51">
        <f t="shared" ca="1" si="14"/>
        <v>0.34739322472548595</v>
      </c>
      <c r="S33" s="51">
        <f t="shared" ca="1" si="14"/>
        <v>295.23807872455649</v>
      </c>
      <c r="T33" s="51">
        <f t="shared" ca="1" si="14"/>
        <v>2.6803734648032904</v>
      </c>
      <c r="U33" s="51">
        <f t="shared" ca="1" si="14"/>
        <v>841.16744092199053</v>
      </c>
      <c r="V33" s="51">
        <f t="shared" ca="1" si="14"/>
        <v>25632.019609611172</v>
      </c>
      <c r="W33" s="51">
        <f t="shared" si="14"/>
        <v>0</v>
      </c>
      <c r="X33" s="51">
        <f t="shared" ca="1" si="14"/>
        <v>756.58053174372787</v>
      </c>
      <c r="Y33" s="51">
        <f t="shared" ca="1" si="14"/>
        <v>359.21934891840385</v>
      </c>
      <c r="Z33" s="51">
        <f t="shared" ca="1" si="14"/>
        <v>207226.86232443529</v>
      </c>
      <c r="AA33" s="51">
        <f t="shared" ca="1" si="14"/>
        <v>89855.802326642122</v>
      </c>
      <c r="AB33" s="51">
        <f t="shared" ca="1" si="14"/>
        <v>3146.206786647233</v>
      </c>
      <c r="AC33" s="51">
        <f t="shared" ca="1" si="14"/>
        <v>74.642202660812885</v>
      </c>
      <c r="AD33" s="51">
        <f t="shared" ca="1" si="14"/>
        <v>5839.9357481615625</v>
      </c>
      <c r="AE33" s="51">
        <f t="shared" ca="1" si="14"/>
        <v>188.71851108598781</v>
      </c>
      <c r="AF33" s="51">
        <f t="shared" ca="1" si="14"/>
        <v>480.60527760117645</v>
      </c>
      <c r="AG33" s="51">
        <f t="shared" ca="1" si="14"/>
        <v>25.064141106009568</v>
      </c>
      <c r="AH33" s="51">
        <f t="shared" ca="1" si="14"/>
        <v>358186.03541886678</v>
      </c>
      <c r="AI33" s="51">
        <f t="shared" ca="1" si="14"/>
        <v>28518.038279090968</v>
      </c>
      <c r="AJ33" s="51">
        <f t="shared" si="14"/>
        <v>0</v>
      </c>
      <c r="AK33" s="51">
        <f t="shared" ca="1" si="14"/>
        <v>90549.70066956387</v>
      </c>
      <c r="AL33" s="51">
        <f t="shared" si="14"/>
        <v>0</v>
      </c>
      <c r="AM33" s="51">
        <f t="shared" ca="1" si="14"/>
        <v>190258.69720575525</v>
      </c>
      <c r="AN33" s="51">
        <f t="shared" ca="1" si="14"/>
        <v>334390.1808685236</v>
      </c>
      <c r="AO33" s="316">
        <f ca="1">SUM(B33:AN33)</f>
        <v>2247259.9936141307</v>
      </c>
    </row>
    <row r="34" spans="1:41" x14ac:dyDescent="0.25">
      <c r="A34" s="21" t="s">
        <v>87</v>
      </c>
      <c r="B34" s="21">
        <f ca="1">IF(B32=0,0,VLOOKUP(B32, Parameters!$AL$3:$AM$8, 2, TRUE))</f>
        <v>0</v>
      </c>
      <c r="C34" s="21">
        <f ca="1">IF(C32=0,0,VLOOKUP(C32, Parameters!$AL$3:$AM$8, 2, TRUE))</f>
        <v>0</v>
      </c>
      <c r="D34" s="21">
        <f ca="1">IF(D32=0,0,VLOOKUP(D32, Parameters!$AL$3:$AM$8, 2, TRUE))</f>
        <v>0</v>
      </c>
      <c r="E34" s="21">
        <f ca="1">IF(E32=0,0,VLOOKUP(E32, Parameters!$AL$3:$AM$8, 2, TRUE))</f>
        <v>0</v>
      </c>
      <c r="F34" s="21">
        <f ca="1">IF(F32=0,0,VLOOKUP(F32, Parameters!$AL$3:$AM$8, 2, TRUE))</f>
        <v>0</v>
      </c>
      <c r="G34" s="21">
        <f ca="1">IF(G32=0,0,VLOOKUP(G32, Parameters!$AL$3:$AM$8, 2, TRUE))</f>
        <v>0</v>
      </c>
      <c r="H34" s="21">
        <f ca="1">IF(H32=0,0,VLOOKUP(H32, Parameters!$AL$3:$AM$8, 2, TRUE))</f>
        <v>0</v>
      </c>
      <c r="I34" s="21">
        <f ca="1">IF(I32=0,0,VLOOKUP(I32, Parameters!$AL$3:$AM$8, 2, TRUE))</f>
        <v>0</v>
      </c>
      <c r="J34" s="21">
        <f ca="1">IF(J32=0,0,VLOOKUP(J32, Parameters!$AL$3:$AM$8, 2, TRUE))</f>
        <v>0</v>
      </c>
      <c r="K34" s="21">
        <v>0</v>
      </c>
      <c r="L34" s="21">
        <f ca="1">IF(L32=0,0,VLOOKUP(L32, Parameters!$AL$3:$AM$8, 2, TRUE))</f>
        <v>0</v>
      </c>
      <c r="M34" s="21">
        <f ca="1">IF(M32=0,0,VLOOKUP(M32, Parameters!$AL$3:$AM$8, 2, TRUE))</f>
        <v>0</v>
      </c>
      <c r="N34" s="21">
        <f ca="1">IF(N32=0,0,VLOOKUP(N32, Parameters!$AL$3:$AM$8, 2, TRUE))</f>
        <v>0</v>
      </c>
      <c r="O34" s="21">
        <v>0</v>
      </c>
      <c r="P34" s="21">
        <f ca="1">IF(P32=0,0,VLOOKUP(P32, Parameters!$AL$3:$AM$8, 2, TRUE))</f>
        <v>0</v>
      </c>
      <c r="Q34" s="21">
        <f ca="1">IF(Q32=0,0,VLOOKUP(Q32, Parameters!$AL$3:$AM$8, 2, TRUE))</f>
        <v>0</v>
      </c>
      <c r="R34" s="21">
        <f ca="1">IF(R32=0,0,VLOOKUP(R32, Parameters!$AL$3:$AM$8, 2, TRUE))</f>
        <v>0</v>
      </c>
      <c r="S34" s="21">
        <f ca="1">IF(S32=0,0,VLOOKUP(S32, Parameters!$AL$3:$AM$8, 2, TRUE))</f>
        <v>0</v>
      </c>
      <c r="T34" s="21">
        <f ca="1">IF(T32=0,0,VLOOKUP(T32, Parameters!$AL$3:$AM$8, 2, TRUE))</f>
        <v>0</v>
      </c>
      <c r="U34" s="21">
        <f ca="1">IF(U32=0,0,VLOOKUP(U32, Parameters!$AL$3:$AM$8, 2, TRUE))</f>
        <v>0</v>
      </c>
      <c r="V34" s="21">
        <f ca="1">IF(V32=0,0,VLOOKUP(V32, Parameters!$AL$3:$AM$8, 2, TRUE))</f>
        <v>0</v>
      </c>
      <c r="W34" s="21">
        <v>0</v>
      </c>
      <c r="X34" s="21">
        <f ca="1">IF(X32=0,0,VLOOKUP(X32, Parameters!$AL$3:$AM$8, 2, TRUE))</f>
        <v>0</v>
      </c>
      <c r="Y34" s="21">
        <f ca="1">IF(Y32=0,0,VLOOKUP(Y32, Parameters!$AL$3:$AM$8, 2, TRUE))</f>
        <v>0</v>
      </c>
      <c r="Z34" s="21">
        <f ca="1">IF(Z32=0,0,VLOOKUP(Z32, Parameters!$AL$3:$AM$8, 2, TRUE))</f>
        <v>0</v>
      </c>
      <c r="AA34" s="21">
        <f ca="1">IF(AA32=0,0,VLOOKUP(AA32, Parameters!$AL$3:$AM$8, 2, TRUE))</f>
        <v>0</v>
      </c>
      <c r="AB34" s="21">
        <f ca="1">IF(AB32=0,0,VLOOKUP(AB32, Parameters!$AL$3:$AM$8, 2, TRUE))</f>
        <v>0</v>
      </c>
      <c r="AC34" s="21">
        <f ca="1">IF(AC32=0,0,VLOOKUP(AC32, Parameters!$AL$3:$AM$8, 2, TRUE))</f>
        <v>0</v>
      </c>
      <c r="AD34" s="21">
        <f ca="1">IF(AD32=0,0,VLOOKUP(AD32, Parameters!$AL$3:$AM$8, 2, TRUE))</f>
        <v>0</v>
      </c>
      <c r="AE34" s="21">
        <f ca="1">IF(AE32=0,0,VLOOKUP(AE32, Parameters!$AL$3:$AM$8, 2, TRUE))</f>
        <v>0</v>
      </c>
      <c r="AF34" s="21">
        <f ca="1">IF(AF32=0,0,VLOOKUP(AF32, Parameters!$AL$3:$AM$8, 2, TRUE))</f>
        <v>0</v>
      </c>
      <c r="AG34" s="21">
        <f ca="1">IF(AG32=0,0,VLOOKUP(AG32, Parameters!$AL$3:$AM$8, 2, TRUE))</f>
        <v>0</v>
      </c>
      <c r="AH34" s="21">
        <f ca="1">IF(AH32=0,0,VLOOKUP(AH32, Parameters!$AL$3:$AM$8, 2, TRUE))</f>
        <v>0</v>
      </c>
      <c r="AI34" s="21">
        <f ca="1">IF(AI32=0,0,VLOOKUP(AI32, Parameters!$AL$3:$AM$8, 2, TRUE))</f>
        <v>0</v>
      </c>
      <c r="AJ34" s="21">
        <v>0</v>
      </c>
      <c r="AK34" s="21">
        <f ca="1">IF(AK32=0,0,VLOOKUP(AK32, Parameters!$AL$3:$AM$8, 2, TRUE))</f>
        <v>0</v>
      </c>
      <c r="AL34" s="21">
        <v>0</v>
      </c>
      <c r="AM34" s="21">
        <f ca="1">IF(AM32=0,0,VLOOKUP(AM32, Parameters!$AL$3:$AM$8, 2, TRUE))</f>
        <v>0</v>
      </c>
      <c r="AN34" s="21">
        <f ca="1">IF(AN32=0,0,VLOOKUP(AN32, Parameters!$AL$3:$AM$8, 2, TRUE))</f>
        <v>0</v>
      </c>
      <c r="AO34" s="314"/>
    </row>
    <row r="35" spans="1:41" x14ac:dyDescent="0.25">
      <c r="A35" s="21" t="s">
        <v>86</v>
      </c>
      <c r="B35" s="31">
        <f t="shared" ref="B35:AN35" ca="1" si="15">B34*0.6</f>
        <v>0</v>
      </c>
      <c r="C35" s="31">
        <f t="shared" ca="1" si="15"/>
        <v>0</v>
      </c>
      <c r="D35" s="31">
        <f t="shared" ca="1" si="15"/>
        <v>0</v>
      </c>
      <c r="E35" s="31">
        <f t="shared" ca="1" si="15"/>
        <v>0</v>
      </c>
      <c r="F35" s="31">
        <f t="shared" ca="1" si="15"/>
        <v>0</v>
      </c>
      <c r="G35" s="31">
        <f t="shared" ca="1" si="15"/>
        <v>0</v>
      </c>
      <c r="H35" s="31">
        <f t="shared" ca="1" si="15"/>
        <v>0</v>
      </c>
      <c r="I35" s="31">
        <f t="shared" ca="1" si="15"/>
        <v>0</v>
      </c>
      <c r="J35" s="31">
        <f t="shared" ca="1" si="15"/>
        <v>0</v>
      </c>
      <c r="K35" s="31">
        <f t="shared" si="15"/>
        <v>0</v>
      </c>
      <c r="L35" s="31">
        <f t="shared" ca="1" si="15"/>
        <v>0</v>
      </c>
      <c r="M35" s="31">
        <f t="shared" ca="1" si="15"/>
        <v>0</v>
      </c>
      <c r="N35" s="31">
        <f t="shared" ca="1" si="15"/>
        <v>0</v>
      </c>
      <c r="O35" s="31">
        <f t="shared" si="15"/>
        <v>0</v>
      </c>
      <c r="P35" s="31">
        <f t="shared" ca="1" si="15"/>
        <v>0</v>
      </c>
      <c r="Q35" s="31">
        <f t="shared" ca="1" si="15"/>
        <v>0</v>
      </c>
      <c r="R35" s="31">
        <f t="shared" ca="1" si="15"/>
        <v>0</v>
      </c>
      <c r="S35" s="31">
        <f t="shared" ca="1" si="15"/>
        <v>0</v>
      </c>
      <c r="T35" s="31">
        <f t="shared" ca="1" si="15"/>
        <v>0</v>
      </c>
      <c r="U35" s="31">
        <f t="shared" ca="1" si="15"/>
        <v>0</v>
      </c>
      <c r="V35" s="31">
        <f t="shared" ca="1" si="15"/>
        <v>0</v>
      </c>
      <c r="W35" s="31">
        <f t="shared" si="15"/>
        <v>0</v>
      </c>
      <c r="X35" s="31">
        <f t="shared" ca="1" si="15"/>
        <v>0</v>
      </c>
      <c r="Y35" s="31">
        <f t="shared" ca="1" si="15"/>
        <v>0</v>
      </c>
      <c r="Z35" s="31">
        <f t="shared" ca="1" si="15"/>
        <v>0</v>
      </c>
      <c r="AA35" s="31">
        <f t="shared" ca="1" si="15"/>
        <v>0</v>
      </c>
      <c r="AB35" s="31">
        <f t="shared" ca="1" si="15"/>
        <v>0</v>
      </c>
      <c r="AC35" s="31">
        <f t="shared" ca="1" si="15"/>
        <v>0</v>
      </c>
      <c r="AD35" s="31">
        <f t="shared" ca="1" si="15"/>
        <v>0</v>
      </c>
      <c r="AE35" s="31">
        <f t="shared" ca="1" si="15"/>
        <v>0</v>
      </c>
      <c r="AF35" s="31">
        <f t="shared" ca="1" si="15"/>
        <v>0</v>
      </c>
      <c r="AG35" s="31">
        <f t="shared" ca="1" si="15"/>
        <v>0</v>
      </c>
      <c r="AH35" s="31">
        <f t="shared" ca="1" si="15"/>
        <v>0</v>
      </c>
      <c r="AI35" s="31">
        <f t="shared" ca="1" si="15"/>
        <v>0</v>
      </c>
      <c r="AJ35" s="31">
        <f t="shared" si="15"/>
        <v>0</v>
      </c>
      <c r="AK35" s="31">
        <f t="shared" ca="1" si="15"/>
        <v>0</v>
      </c>
      <c r="AL35" s="31">
        <f t="shared" si="15"/>
        <v>0</v>
      </c>
      <c r="AM35" s="31">
        <f t="shared" ca="1" si="15"/>
        <v>0</v>
      </c>
      <c r="AN35" s="31">
        <f t="shared" ca="1" si="15"/>
        <v>0</v>
      </c>
      <c r="AO35" s="315">
        <f ca="1">SUM(B35:AN35)</f>
        <v>0</v>
      </c>
    </row>
    <row r="36" spans="1:41" x14ac:dyDescent="0.25">
      <c r="A36" s="55" t="s">
        <v>575</v>
      </c>
      <c r="B36" s="55">
        <f ca="1">IFERROR(1/B32,0.0000001)</f>
        <v>3.4135751193459398E-4</v>
      </c>
      <c r="C36" s="55">
        <f t="shared" ref="C36:AN36" ca="1" si="16">IFERROR(1/C32,0.0000001)</f>
        <v>3.7533118156676386E-4</v>
      </c>
      <c r="D36" s="55">
        <f t="shared" ca="1" si="16"/>
        <v>9.8852815426378812E-6</v>
      </c>
      <c r="E36" s="55">
        <f t="shared" ca="1" si="16"/>
        <v>5.9788583312221698E-4</v>
      </c>
      <c r="F36" s="55">
        <f t="shared" ca="1" si="16"/>
        <v>1.2615765910587698E-3</v>
      </c>
      <c r="G36" s="55">
        <f t="shared" ca="1" si="16"/>
        <v>2.4442853714395437E-7</v>
      </c>
      <c r="H36" s="55">
        <f t="shared" ca="1" si="16"/>
        <v>3.3461297862297451E-4</v>
      </c>
      <c r="I36" s="55">
        <f t="shared" ca="1" si="16"/>
        <v>2.1051416639262734E-3</v>
      </c>
      <c r="J36" s="55">
        <f t="shared" ca="1" si="16"/>
        <v>2.2334347944758834E-3</v>
      </c>
      <c r="K36" s="55">
        <f t="shared" ca="1" si="16"/>
        <v>9.9999999999999995E-8</v>
      </c>
      <c r="L36" s="55">
        <f t="shared" ca="1" si="16"/>
        <v>9.0799698955368121E-5</v>
      </c>
      <c r="M36" s="55">
        <f t="shared" ca="1" si="16"/>
        <v>4.7224482841538594E-6</v>
      </c>
      <c r="N36" s="55">
        <f t="shared" ca="1" si="16"/>
        <v>1.0881974827501556E-3</v>
      </c>
      <c r="O36" s="55">
        <f t="shared" ca="1" si="16"/>
        <v>9.9999999999999995E-8</v>
      </c>
      <c r="P36" s="55">
        <f t="shared" ca="1" si="16"/>
        <v>2.5986612774461962E-3</v>
      </c>
      <c r="Q36" s="55">
        <f t="shared" ca="1" si="16"/>
        <v>2.6126679964339895E-3</v>
      </c>
      <c r="R36" s="55">
        <f t="shared" ca="1" si="16"/>
        <v>2.9342786547153476E-7</v>
      </c>
      <c r="S36" s="55">
        <f t="shared" ca="1" si="16"/>
        <v>2.6743208582094889E-5</v>
      </c>
      <c r="T36" s="55">
        <f t="shared" ca="1" si="16"/>
        <v>6.054800223859545E-7</v>
      </c>
      <c r="U36" s="55">
        <f t="shared" ca="1" si="16"/>
        <v>9.8234220058342596E-5</v>
      </c>
      <c r="V36" s="55">
        <f t="shared" ca="1" si="16"/>
        <v>2.8458332642873336E-3</v>
      </c>
      <c r="W36" s="55">
        <f t="shared" ca="1" si="16"/>
        <v>9.9999999999999995E-8</v>
      </c>
      <c r="X36" s="55">
        <f t="shared" ca="1" si="16"/>
        <v>2.0602375734602089E-4</v>
      </c>
      <c r="Y36" s="55">
        <f t="shared" ca="1" si="16"/>
        <v>1.064670912456981E-4</v>
      </c>
      <c r="Z36" s="55">
        <f t="shared" ca="1" si="16"/>
        <v>1.1469746008498248E-3</v>
      </c>
      <c r="AA36" s="55">
        <f t="shared" ca="1" si="16"/>
        <v>6.1190736014373815E-4</v>
      </c>
      <c r="AB36" s="55">
        <f t="shared" ca="1" si="16"/>
        <v>3.0766264535542318E-4</v>
      </c>
      <c r="AC36" s="55">
        <f t="shared" ca="1" si="16"/>
        <v>2.9017845372437471E-5</v>
      </c>
      <c r="AD36" s="55">
        <f t="shared" ca="1" si="16"/>
        <v>8.6351442150819338E-4</v>
      </c>
      <c r="AE36" s="55">
        <f t="shared" ca="1" si="16"/>
        <v>2.2636530920863015E-4</v>
      </c>
      <c r="AF36" s="55">
        <f t="shared" ca="1" si="16"/>
        <v>1.7769231344558017E-4</v>
      </c>
      <c r="AG36" s="55">
        <f t="shared" ca="1" si="16"/>
        <v>7.4532616417878909E-5</v>
      </c>
      <c r="AH36" s="55">
        <f t="shared" ca="1" si="16"/>
        <v>2.2398483473866429E-3</v>
      </c>
      <c r="AI36" s="55">
        <f t="shared" ca="1" si="16"/>
        <v>1.6453294549199199E-3</v>
      </c>
      <c r="AJ36" s="55">
        <f t="shared" ca="1" si="16"/>
        <v>9.9999999999999995E-8</v>
      </c>
      <c r="AK36" s="55">
        <f t="shared" ca="1" si="16"/>
        <v>1.633662125100369E-3</v>
      </c>
      <c r="AL36" s="55">
        <f t="shared" ca="1" si="16"/>
        <v>9.9999999999999995E-8</v>
      </c>
      <c r="AM36" s="55">
        <f t="shared" ca="1" si="16"/>
        <v>2.2255080286354041E-3</v>
      </c>
      <c r="AN36" s="55">
        <f t="shared" ca="1" si="16"/>
        <v>2.7922078035728E-3</v>
      </c>
      <c r="AO36" s="314"/>
    </row>
    <row r="37" spans="1:41" s="349" customFormat="1" x14ac:dyDescent="0.25">
      <c r="A37" s="349" t="s">
        <v>85</v>
      </c>
      <c r="B37" s="349">
        <f ca="1">VLOOKUP(B36, Parameters!$AO$3:$AQ$8, 1, TRUE)</f>
        <v>1.0000000000000001E-17</v>
      </c>
      <c r="C37" s="349">
        <f ca="1">VLOOKUP(C36, Parameters!$AO$3:$AQ$8, 1, TRUE)</f>
        <v>1.0000000000000001E-17</v>
      </c>
      <c r="D37" s="349">
        <f ca="1">VLOOKUP(D36, Parameters!$AO$3:$AQ$8, 1, TRUE)</f>
        <v>1.0000000000000001E-17</v>
      </c>
      <c r="E37" s="349">
        <f ca="1">VLOOKUP(E36, Parameters!$AO$3:$AQ$8, 1, TRUE)</f>
        <v>1.0000000000000001E-17</v>
      </c>
      <c r="F37" s="349">
        <f ca="1">VLOOKUP(F36, Parameters!$AO$3:$AQ$8, 1, TRUE)</f>
        <v>1.0000000000000001E-17</v>
      </c>
      <c r="G37" s="349">
        <f ca="1">VLOOKUP(G36, Parameters!$AO$3:$AQ$8, 1, TRUE)</f>
        <v>1.0000000000000001E-17</v>
      </c>
      <c r="H37" s="349">
        <f ca="1">VLOOKUP(H36, Parameters!$AO$3:$AQ$8, 1, TRUE)</f>
        <v>1.0000000000000001E-17</v>
      </c>
      <c r="I37" s="349">
        <f ca="1">VLOOKUP(I36, Parameters!$AO$3:$AQ$8, 1, TRUE)</f>
        <v>1.0000000000000001E-17</v>
      </c>
      <c r="J37" s="349">
        <f ca="1">VLOOKUP(J36, Parameters!$AO$3:$AQ$8, 1, TRUE)</f>
        <v>1.0000000000000001E-17</v>
      </c>
      <c r="K37" s="349">
        <f ca="1">VLOOKUP(K36, Parameters!$AO$3:$AQ$8, 1, TRUE)</f>
        <v>1.0000000000000001E-17</v>
      </c>
      <c r="L37" s="349">
        <f ca="1">VLOOKUP(L36, Parameters!$AO$3:$AQ$8, 1, TRUE)</f>
        <v>1.0000000000000001E-17</v>
      </c>
      <c r="M37" s="349">
        <f ca="1">VLOOKUP(M36, Parameters!$AO$3:$AQ$8, 1, TRUE)</f>
        <v>1.0000000000000001E-17</v>
      </c>
      <c r="N37" s="349">
        <f ca="1">VLOOKUP(N36, Parameters!$AO$3:$AQ$8, 1, TRUE)</f>
        <v>1.0000000000000001E-17</v>
      </c>
      <c r="O37" s="349">
        <f ca="1">VLOOKUP(O36, Parameters!$AO$3:$AQ$8, 1, TRUE)</f>
        <v>1.0000000000000001E-17</v>
      </c>
      <c r="P37" s="349">
        <f ca="1">VLOOKUP(P36, Parameters!$AO$3:$AQ$8, 1, TRUE)</f>
        <v>1.0000000000000001E-17</v>
      </c>
      <c r="Q37" s="349">
        <f ca="1">VLOOKUP(Q36, Parameters!$AO$3:$AQ$8, 1, TRUE)</f>
        <v>1.0000000000000001E-17</v>
      </c>
      <c r="R37" s="349">
        <f ca="1">VLOOKUP(R36, Parameters!$AO$3:$AQ$8, 1, TRUE)</f>
        <v>1.0000000000000001E-17</v>
      </c>
      <c r="S37" s="349">
        <f ca="1">VLOOKUP(S36, Parameters!$AO$3:$AQ$8, 1, TRUE)</f>
        <v>1.0000000000000001E-17</v>
      </c>
      <c r="T37" s="349">
        <f ca="1">VLOOKUP(T36, Parameters!$AO$3:$AQ$8, 1, TRUE)</f>
        <v>1.0000000000000001E-17</v>
      </c>
      <c r="U37" s="349">
        <f ca="1">VLOOKUP(U36, Parameters!$AO$3:$AQ$8, 1, TRUE)</f>
        <v>1.0000000000000001E-17</v>
      </c>
      <c r="V37" s="349">
        <f ca="1">VLOOKUP(V36, Parameters!$AO$3:$AQ$8, 1, TRUE)</f>
        <v>1.0000000000000001E-17</v>
      </c>
      <c r="W37" s="349">
        <f ca="1">VLOOKUP(W36, Parameters!$AO$3:$AQ$8, 1, TRUE)</f>
        <v>1.0000000000000001E-17</v>
      </c>
      <c r="X37" s="349">
        <f ca="1">VLOOKUP(X36, Parameters!$AO$3:$AQ$8, 1, TRUE)</f>
        <v>1.0000000000000001E-17</v>
      </c>
      <c r="Y37" s="349">
        <f ca="1">VLOOKUP(Y36, Parameters!$AO$3:$AQ$8, 1, TRUE)</f>
        <v>1.0000000000000001E-17</v>
      </c>
      <c r="Z37" s="349">
        <f ca="1">VLOOKUP(Z36, Parameters!$AO$3:$AQ$8, 1, TRUE)</f>
        <v>1.0000000000000001E-17</v>
      </c>
      <c r="AA37" s="349">
        <f ca="1">VLOOKUP(AA36, Parameters!$AO$3:$AQ$8, 1, TRUE)</f>
        <v>1.0000000000000001E-17</v>
      </c>
      <c r="AB37" s="349">
        <f ca="1">VLOOKUP(AB36, Parameters!$AO$3:$AQ$8, 1, TRUE)</f>
        <v>1.0000000000000001E-17</v>
      </c>
      <c r="AC37" s="349">
        <f ca="1">VLOOKUP(AC36, Parameters!$AO$3:$AQ$8, 1, TRUE)</f>
        <v>1.0000000000000001E-17</v>
      </c>
      <c r="AD37" s="349">
        <f ca="1">VLOOKUP(AD36, Parameters!$AO$3:$AQ$8, 1, TRUE)</f>
        <v>1.0000000000000001E-17</v>
      </c>
      <c r="AE37" s="349">
        <f ca="1">VLOOKUP(AE36, Parameters!$AO$3:$AQ$8, 1, TRUE)</f>
        <v>1.0000000000000001E-17</v>
      </c>
      <c r="AF37" s="349">
        <f ca="1">VLOOKUP(AF36, Parameters!$AO$3:$AQ$8, 1, TRUE)</f>
        <v>1.0000000000000001E-17</v>
      </c>
      <c r="AG37" s="349">
        <f ca="1">VLOOKUP(AG36, Parameters!$AO$3:$AQ$8, 1, TRUE)</f>
        <v>1.0000000000000001E-17</v>
      </c>
      <c r="AH37" s="349">
        <f ca="1">VLOOKUP(AH36, Parameters!$AO$3:$AQ$8, 1, TRUE)</f>
        <v>1.0000000000000001E-17</v>
      </c>
      <c r="AI37" s="349">
        <f ca="1">VLOOKUP(AI36, Parameters!$AO$3:$AQ$8, 1, TRUE)</f>
        <v>1.0000000000000001E-17</v>
      </c>
      <c r="AJ37" s="349">
        <f ca="1">VLOOKUP(AJ36, Parameters!$AO$3:$AQ$8, 1, TRUE)</f>
        <v>1.0000000000000001E-17</v>
      </c>
      <c r="AK37" s="349">
        <f ca="1">VLOOKUP(AK36, Parameters!$AO$3:$AQ$8, 1, TRUE)</f>
        <v>1.0000000000000001E-17</v>
      </c>
      <c r="AL37" s="349">
        <f ca="1">VLOOKUP(AL36, Parameters!$AO$3:$AQ$8, 1, TRUE)</f>
        <v>1.0000000000000001E-17</v>
      </c>
      <c r="AM37" s="349">
        <f ca="1">VLOOKUP(AM36, Parameters!$AO$3:$AQ$8, 1, TRUE)</f>
        <v>1.0000000000000001E-17</v>
      </c>
      <c r="AN37" s="349">
        <f ca="1">VLOOKUP(AN36, Parameters!$AO$3:$AQ$8, 1, TRUE)</f>
        <v>1.0000000000000001E-17</v>
      </c>
      <c r="AO37" s="448"/>
    </row>
    <row r="38" spans="1:41" x14ac:dyDescent="0.25">
      <c r="A38" s="54" t="s">
        <v>84</v>
      </c>
      <c r="B38" s="21">
        <f ca="1">VLOOKUP(B36, Parameters!$AO$3:$AQ$8, 2, TRUE)</f>
        <v>0</v>
      </c>
      <c r="C38" s="21">
        <f ca="1">VLOOKUP(C36, Parameters!$AO$3:$AQ$8, 2, TRUE)</f>
        <v>0</v>
      </c>
      <c r="D38" s="21">
        <f ca="1">VLOOKUP(D36, Parameters!$AO$3:$AQ$8, 2, TRUE)</f>
        <v>0</v>
      </c>
      <c r="E38" s="21">
        <f ca="1">VLOOKUP(E36, Parameters!$AO$3:$AQ$8, 2, TRUE)</f>
        <v>0</v>
      </c>
      <c r="F38" s="21">
        <f ca="1">VLOOKUP(F36, Parameters!$AO$3:$AQ$8, 2, TRUE)</f>
        <v>0</v>
      </c>
      <c r="G38" s="21">
        <f ca="1">VLOOKUP(G36, Parameters!$AO$3:$AQ$8, 2, TRUE)</f>
        <v>0</v>
      </c>
      <c r="H38" s="21">
        <f ca="1">VLOOKUP(H36, Parameters!$AO$3:$AQ$8, 2, TRUE)</f>
        <v>0</v>
      </c>
      <c r="I38" s="21">
        <f ca="1">VLOOKUP(I36, Parameters!$AO$3:$AQ$8, 2, TRUE)</f>
        <v>0</v>
      </c>
      <c r="J38" s="21">
        <f ca="1">VLOOKUP(J36, Parameters!$AO$3:$AQ$8, 2, TRUE)</f>
        <v>0</v>
      </c>
      <c r="K38" s="21">
        <f ca="1">VLOOKUP(K36, Parameters!$AO$3:$AQ$8, 2, TRUE)</f>
        <v>0</v>
      </c>
      <c r="L38" s="21">
        <f ca="1">VLOOKUP(L36, Parameters!$AO$3:$AQ$8, 2, TRUE)</f>
        <v>0</v>
      </c>
      <c r="M38" s="21">
        <f ca="1">VLOOKUP(M36, Parameters!$AO$3:$AQ$8, 2, TRUE)</f>
        <v>0</v>
      </c>
      <c r="N38" s="21">
        <f ca="1">VLOOKUP(N36, Parameters!$AO$3:$AQ$8, 2, TRUE)</f>
        <v>0</v>
      </c>
      <c r="O38" s="21">
        <f ca="1">VLOOKUP(O36, Parameters!$AO$3:$AQ$8, 2, TRUE)</f>
        <v>0</v>
      </c>
      <c r="P38" s="21">
        <f ca="1">VLOOKUP(P36, Parameters!$AO$3:$AQ$8, 2, TRUE)</f>
        <v>0</v>
      </c>
      <c r="Q38" s="21">
        <f ca="1">VLOOKUP(Q36, Parameters!$AO$3:$AQ$8, 2, TRUE)</f>
        <v>0</v>
      </c>
      <c r="R38" s="21">
        <f ca="1">VLOOKUP(R36, Parameters!$AO$3:$AQ$8, 2, TRUE)</f>
        <v>0</v>
      </c>
      <c r="S38" s="21">
        <f ca="1">VLOOKUP(S36, Parameters!$AO$3:$AQ$8, 2, TRUE)</f>
        <v>0</v>
      </c>
      <c r="T38" s="21">
        <f ca="1">VLOOKUP(T36, Parameters!$AO$3:$AQ$8, 2, TRUE)</f>
        <v>0</v>
      </c>
      <c r="U38" s="21">
        <f ca="1">VLOOKUP(U36, Parameters!$AO$3:$AQ$8, 2, TRUE)</f>
        <v>0</v>
      </c>
      <c r="V38" s="21">
        <f ca="1">VLOOKUP(V36, Parameters!$AO$3:$AQ$8, 2, TRUE)</f>
        <v>0</v>
      </c>
      <c r="W38" s="21">
        <f ca="1">VLOOKUP(W36, Parameters!$AO$3:$AQ$8, 2, TRUE)</f>
        <v>0</v>
      </c>
      <c r="X38" s="21">
        <f ca="1">VLOOKUP(X36, Parameters!$AO$3:$AQ$8, 2, TRUE)</f>
        <v>0</v>
      </c>
      <c r="Y38" s="21">
        <f ca="1">VLOOKUP(Y36, Parameters!$AO$3:$AQ$8, 2, TRUE)</f>
        <v>0</v>
      </c>
      <c r="Z38" s="21">
        <f ca="1">VLOOKUP(Z36, Parameters!$AO$3:$AQ$8, 2, TRUE)</f>
        <v>0</v>
      </c>
      <c r="AA38" s="21">
        <f ca="1">VLOOKUP(AA36, Parameters!$AO$3:$AQ$8, 2, TRUE)</f>
        <v>0</v>
      </c>
      <c r="AB38" s="21">
        <f ca="1">VLOOKUP(AB36, Parameters!$AO$3:$AQ$8, 2, TRUE)</f>
        <v>0</v>
      </c>
      <c r="AC38" s="21">
        <f ca="1">VLOOKUP(AC36, Parameters!$AO$3:$AQ$8, 2, TRUE)</f>
        <v>0</v>
      </c>
      <c r="AD38" s="21">
        <f ca="1">VLOOKUP(AD36, Parameters!$AO$3:$AQ$8, 2, TRUE)</f>
        <v>0</v>
      </c>
      <c r="AE38" s="21">
        <f ca="1">VLOOKUP(AE36, Parameters!$AO$3:$AQ$8, 2, TRUE)</f>
        <v>0</v>
      </c>
      <c r="AF38" s="21">
        <f ca="1">VLOOKUP(AF36, Parameters!$AO$3:$AQ$8, 2, TRUE)</f>
        <v>0</v>
      </c>
      <c r="AG38" s="21">
        <f ca="1">VLOOKUP(AG36, Parameters!$AO$3:$AQ$8, 2, TRUE)</f>
        <v>0</v>
      </c>
      <c r="AH38" s="21">
        <f ca="1">VLOOKUP(AH36, Parameters!$AO$3:$AQ$8, 2, TRUE)</f>
        <v>0</v>
      </c>
      <c r="AI38" s="21">
        <f ca="1">VLOOKUP(AI36, Parameters!$AO$3:$AQ$8, 2, TRUE)</f>
        <v>0</v>
      </c>
      <c r="AJ38" s="21">
        <f ca="1">VLOOKUP(AJ36, Parameters!$AO$3:$AQ$8, 2, TRUE)</f>
        <v>0</v>
      </c>
      <c r="AK38" s="21">
        <f ca="1">VLOOKUP(AK36, Parameters!$AO$3:$AQ$8, 2, TRUE)</f>
        <v>0</v>
      </c>
      <c r="AL38" s="21">
        <f ca="1">VLOOKUP(AL36, Parameters!$AO$3:$AQ$8, 2, TRUE)</f>
        <v>0</v>
      </c>
      <c r="AM38" s="21">
        <f ca="1">VLOOKUP(AM36, Parameters!$AO$3:$AQ$8, 2, TRUE)</f>
        <v>0</v>
      </c>
      <c r="AN38" s="21">
        <f ca="1">VLOOKUP(AN36, Parameters!$AO$3:$AQ$8, 2, TRUE)</f>
        <v>0</v>
      </c>
      <c r="AO38" s="314"/>
    </row>
    <row r="39" spans="1:41" x14ac:dyDescent="0.25">
      <c r="A39" s="54" t="s">
        <v>83</v>
      </c>
      <c r="B39" s="21">
        <f ca="1">VLOOKUP(B36, Parameters!$AO$3:$AQ$8, 3, TRUE)</f>
        <v>320.00000000000102</v>
      </c>
      <c r="C39" s="21">
        <f ca="1">VLOOKUP(C36, Parameters!$AO$3:$AQ$8, 3, TRUE)</f>
        <v>320.00000000000102</v>
      </c>
      <c r="D39" s="21">
        <f ca="1">VLOOKUP(D36, Parameters!$AO$3:$AQ$8, 3, TRUE)</f>
        <v>320.00000000000102</v>
      </c>
      <c r="E39" s="21">
        <f ca="1">VLOOKUP(E36, Parameters!$AO$3:$AQ$8, 3, TRUE)</f>
        <v>320.00000000000102</v>
      </c>
      <c r="F39" s="21">
        <f ca="1">VLOOKUP(F36, Parameters!$AO$3:$AQ$8, 3, TRUE)</f>
        <v>320.00000000000102</v>
      </c>
      <c r="G39" s="21">
        <f ca="1">VLOOKUP(G36, Parameters!$AO$3:$AQ$8, 3, TRUE)</f>
        <v>320.00000000000102</v>
      </c>
      <c r="H39" s="21">
        <f ca="1">VLOOKUP(H36, Parameters!$AO$3:$AQ$8, 3, TRUE)</f>
        <v>320.00000000000102</v>
      </c>
      <c r="I39" s="21">
        <f ca="1">VLOOKUP(I36, Parameters!$AO$3:$AQ$8, 3, TRUE)</f>
        <v>320.00000000000102</v>
      </c>
      <c r="J39" s="21">
        <f ca="1">VLOOKUP(J36, Parameters!$AO$3:$AQ$8, 3, TRUE)</f>
        <v>320.00000000000102</v>
      </c>
      <c r="K39" s="21">
        <f ca="1">VLOOKUP(K36, Parameters!$AO$3:$AQ$8, 3, TRUE)</f>
        <v>320.00000000000102</v>
      </c>
      <c r="L39" s="21">
        <f ca="1">VLOOKUP(L36, Parameters!$AO$3:$AQ$8, 3, TRUE)</f>
        <v>320.00000000000102</v>
      </c>
      <c r="M39" s="21">
        <f ca="1">VLOOKUP(M36, Parameters!$AO$3:$AQ$8, 3, TRUE)</f>
        <v>320.00000000000102</v>
      </c>
      <c r="N39" s="21">
        <f ca="1">VLOOKUP(N36, Parameters!$AO$3:$AQ$8, 3, TRUE)</f>
        <v>320.00000000000102</v>
      </c>
      <c r="O39" s="21">
        <f ca="1">VLOOKUP(O36, Parameters!$AO$3:$AQ$8, 3, TRUE)</f>
        <v>320.00000000000102</v>
      </c>
      <c r="P39" s="21">
        <f ca="1">VLOOKUP(P36, Parameters!$AO$3:$AQ$8, 3, TRUE)</f>
        <v>320.00000000000102</v>
      </c>
      <c r="Q39" s="21">
        <f ca="1">VLOOKUP(Q36, Parameters!$AO$3:$AQ$8, 3, TRUE)</f>
        <v>320.00000000000102</v>
      </c>
      <c r="R39" s="21">
        <f ca="1">VLOOKUP(R36, Parameters!$AO$3:$AQ$8, 3, TRUE)</f>
        <v>320.00000000000102</v>
      </c>
      <c r="S39" s="21">
        <f ca="1">VLOOKUP(S36, Parameters!$AO$3:$AQ$8, 3, TRUE)</f>
        <v>320.00000000000102</v>
      </c>
      <c r="T39" s="21">
        <f ca="1">VLOOKUP(T36, Parameters!$AO$3:$AQ$8, 3, TRUE)</f>
        <v>320.00000000000102</v>
      </c>
      <c r="U39" s="21">
        <f ca="1">VLOOKUP(U36, Parameters!$AO$3:$AQ$8, 3, TRUE)</f>
        <v>320.00000000000102</v>
      </c>
      <c r="V39" s="21">
        <f ca="1">VLOOKUP(V36, Parameters!$AO$3:$AQ$8, 3, TRUE)</f>
        <v>320.00000000000102</v>
      </c>
      <c r="W39" s="21">
        <f ca="1">VLOOKUP(W36, Parameters!$AO$3:$AQ$8, 3, TRUE)</f>
        <v>320.00000000000102</v>
      </c>
      <c r="X39" s="21">
        <f ca="1">VLOOKUP(X36, Parameters!$AO$3:$AQ$8, 3, TRUE)</f>
        <v>320.00000000000102</v>
      </c>
      <c r="Y39" s="21">
        <f ca="1">VLOOKUP(Y36, Parameters!$AO$3:$AQ$8, 3, TRUE)</f>
        <v>320.00000000000102</v>
      </c>
      <c r="Z39" s="21">
        <f ca="1">VLOOKUP(Z36, Parameters!$AO$3:$AQ$8, 3, TRUE)</f>
        <v>320.00000000000102</v>
      </c>
      <c r="AA39" s="21">
        <f ca="1">VLOOKUP(AA36, Parameters!$AO$3:$AQ$8, 3, TRUE)</f>
        <v>320.00000000000102</v>
      </c>
      <c r="AB39" s="21">
        <f ca="1">VLOOKUP(AB36, Parameters!$AO$3:$AQ$8, 3, TRUE)</f>
        <v>320.00000000000102</v>
      </c>
      <c r="AC39" s="21">
        <f ca="1">VLOOKUP(AC36, Parameters!$AO$3:$AQ$8, 3, TRUE)</f>
        <v>320.00000000000102</v>
      </c>
      <c r="AD39" s="21">
        <f ca="1">VLOOKUP(AD36, Parameters!$AO$3:$AQ$8, 3, TRUE)</f>
        <v>320.00000000000102</v>
      </c>
      <c r="AE39" s="21">
        <f ca="1">VLOOKUP(AE36, Parameters!$AO$3:$AQ$8, 3, TRUE)</f>
        <v>320.00000000000102</v>
      </c>
      <c r="AF39" s="21">
        <f ca="1">VLOOKUP(AF36, Parameters!$AO$3:$AQ$8, 3, TRUE)</f>
        <v>320.00000000000102</v>
      </c>
      <c r="AG39" s="21">
        <f ca="1">VLOOKUP(AG36, Parameters!$AO$3:$AQ$8, 3, TRUE)</f>
        <v>320.00000000000102</v>
      </c>
      <c r="AH39" s="21">
        <f ca="1">VLOOKUP(AH36, Parameters!$AO$3:$AQ$8, 3, TRUE)</f>
        <v>320.00000000000102</v>
      </c>
      <c r="AI39" s="21">
        <f ca="1">VLOOKUP(AI36, Parameters!$AO$3:$AQ$8, 3, TRUE)</f>
        <v>320.00000000000102</v>
      </c>
      <c r="AJ39" s="21">
        <f ca="1">VLOOKUP(AJ36, Parameters!$AO$3:$AQ$8, 3, TRUE)</f>
        <v>320.00000000000102</v>
      </c>
      <c r="AK39" s="21">
        <f ca="1">VLOOKUP(AK36, Parameters!$AO$3:$AQ$8, 3, TRUE)</f>
        <v>320.00000000000102</v>
      </c>
      <c r="AL39" s="21">
        <f ca="1">VLOOKUP(AL36, Parameters!$AO$3:$AQ$8, 3, TRUE)</f>
        <v>320.00000000000102</v>
      </c>
      <c r="AM39" s="21">
        <f ca="1">VLOOKUP(AM36, Parameters!$AO$3:$AQ$8, 3, TRUE)</f>
        <v>320.00000000000102</v>
      </c>
      <c r="AN39" s="21">
        <f ca="1">VLOOKUP(AN36, Parameters!$AO$3:$AQ$8, 3, TRUE)</f>
        <v>320.00000000000102</v>
      </c>
      <c r="AO39" s="314"/>
    </row>
    <row r="40" spans="1:41" x14ac:dyDescent="0.25">
      <c r="A40" s="155" t="s">
        <v>387</v>
      </c>
      <c r="B40" s="54">
        <f t="shared" ref="B40:J40" ca="1" si="17">B38+B39*(B36-B37)</f>
        <v>0.10923440381906722</v>
      </c>
      <c r="C40" s="54">
        <f t="shared" ca="1" si="17"/>
        <v>0.12010597810136163</v>
      </c>
      <c r="D40" s="54">
        <f t="shared" ca="1" si="17"/>
        <v>3.1632900936409323E-3</v>
      </c>
      <c r="E40" s="54">
        <f t="shared" ca="1" si="17"/>
        <v>0.19132346659910685</v>
      </c>
      <c r="F40" s="54">
        <f t="shared" ca="1" si="17"/>
        <v>0.40370450913880446</v>
      </c>
      <c r="G40" s="54">
        <f t="shared" ca="1" si="17"/>
        <v>7.8217131882865644E-5</v>
      </c>
      <c r="H40" s="54">
        <f t="shared" ca="1" si="17"/>
        <v>0.107076153159349</v>
      </c>
      <c r="I40" s="54">
        <f t="shared" ca="1" si="17"/>
        <v>0.67364533245640645</v>
      </c>
      <c r="J40" s="54">
        <f t="shared" ca="1" si="17"/>
        <v>0.71469913423228182</v>
      </c>
      <c r="K40" s="55">
        <v>0</v>
      </c>
      <c r="L40" s="54">
        <f ca="1">L38+L39*(L36-L37)</f>
        <v>2.9055903665714693E-2</v>
      </c>
      <c r="M40" s="54">
        <f ca="1">M38+M39*(M36-M37)</f>
        <v>1.5111834509260399E-3</v>
      </c>
      <c r="N40" s="54">
        <f ca="1">N38+N39*(N36-N37)</f>
        <v>0.34822319448004768</v>
      </c>
      <c r="O40" s="55">
        <v>0</v>
      </c>
      <c r="P40" s="54">
        <f t="shared" ref="P40:V40" ca="1" si="18">P38+P39*(P36-P37)</f>
        <v>0.83157160878278225</v>
      </c>
      <c r="Q40" s="54">
        <f t="shared" ca="1" si="18"/>
        <v>0.83605375885887612</v>
      </c>
      <c r="R40" s="54">
        <f t="shared" ca="1" si="18"/>
        <v>9.3896916947691411E-5</v>
      </c>
      <c r="S40" s="54">
        <f t="shared" ca="1" si="18"/>
        <v>8.5578267462671932E-3</v>
      </c>
      <c r="T40" s="54">
        <f t="shared" ca="1" si="18"/>
        <v>1.9375360716030607E-4</v>
      </c>
      <c r="U40" s="54">
        <f t="shared" ca="1" si="18"/>
        <v>3.1434950418666528E-2</v>
      </c>
      <c r="V40" s="54">
        <f t="shared" ca="1" si="18"/>
        <v>0.91066664457194646</v>
      </c>
      <c r="W40" s="55">
        <v>0</v>
      </c>
      <c r="X40" s="54">
        <f t="shared" ref="X40:AI40" ca="1" si="19">X38+X39*(X36-X37)</f>
        <v>6.5927602350723688E-2</v>
      </c>
      <c r="Y40" s="54">
        <f t="shared" ca="1" si="19"/>
        <v>3.4069469198620299E-2</v>
      </c>
      <c r="Z40" s="54">
        <f t="shared" ca="1" si="19"/>
        <v>0.36703187227194189</v>
      </c>
      <c r="AA40" s="54">
        <f t="shared" ca="1" si="19"/>
        <v>0.19581035524599363</v>
      </c>
      <c r="AB40" s="54">
        <f t="shared" ca="1" si="19"/>
        <v>9.8452046513732544E-2</v>
      </c>
      <c r="AC40" s="54">
        <f t="shared" ca="1" si="19"/>
        <v>9.2857105191768204E-3</v>
      </c>
      <c r="AD40" s="54">
        <f t="shared" ca="1" si="19"/>
        <v>0.27632461488261956</v>
      </c>
      <c r="AE40" s="54">
        <f t="shared" ca="1" si="19"/>
        <v>7.2436898946758685E-2</v>
      </c>
      <c r="AF40" s="54">
        <f t="shared" ca="1" si="19"/>
        <v>5.6861540302582635E-2</v>
      </c>
      <c r="AG40" s="54">
        <f t="shared" ca="1" si="19"/>
        <v>2.3850437253718125E-2</v>
      </c>
      <c r="AH40" s="54">
        <f t="shared" ca="1" si="19"/>
        <v>0.71675147116372484</v>
      </c>
      <c r="AI40" s="54">
        <f t="shared" ca="1" si="19"/>
        <v>0.52650542557437285</v>
      </c>
      <c r="AJ40" s="55">
        <v>0</v>
      </c>
      <c r="AK40" s="54">
        <f ca="1">AK38+AK39*(AK36-AK37)</f>
        <v>0.52277188003211661</v>
      </c>
      <c r="AL40" s="55">
        <v>0</v>
      </c>
      <c r="AM40" s="54">
        <f ca="1">AM38+AM39*(AM36-AM37)</f>
        <v>0.71216256916332843</v>
      </c>
      <c r="AN40" s="54">
        <f ca="1">AN38+AN39*(AN36-AN37)</f>
        <v>0.89350649714329566</v>
      </c>
      <c r="AO40" s="314"/>
    </row>
    <row r="41" spans="1:41" x14ac:dyDescent="0.25">
      <c r="A41" s="155" t="s">
        <v>386</v>
      </c>
      <c r="B41" s="54">
        <f t="shared" ref="B41:J41" ca="1" si="20">B40*0.6</f>
        <v>6.5540642291440326E-2</v>
      </c>
      <c r="C41" s="54">
        <f t="shared" ca="1" si="20"/>
        <v>7.2063586860816972E-2</v>
      </c>
      <c r="D41" s="54">
        <f t="shared" ca="1" si="20"/>
        <v>1.8979740561845594E-3</v>
      </c>
      <c r="E41" s="54">
        <f t="shared" ca="1" si="20"/>
        <v>0.1147940799594641</v>
      </c>
      <c r="F41" s="54">
        <f t="shared" ca="1" si="20"/>
        <v>0.24222270548328267</v>
      </c>
      <c r="G41" s="54">
        <f t="shared" ca="1" si="20"/>
        <v>4.6930279129719385E-5</v>
      </c>
      <c r="H41" s="54">
        <f t="shared" ca="1" si="20"/>
        <v>6.42456918956094E-2</v>
      </c>
      <c r="I41" s="54">
        <f t="shared" ca="1" si="20"/>
        <v>0.40418719947384385</v>
      </c>
      <c r="J41" s="54">
        <f t="shared" ca="1" si="20"/>
        <v>0.42881948053936908</v>
      </c>
      <c r="K41" s="55">
        <v>0</v>
      </c>
      <c r="L41" s="54">
        <f ca="1">L40*0.6</f>
        <v>1.7433542199428814E-2</v>
      </c>
      <c r="M41" s="54">
        <f ca="1">M40*0.6</f>
        <v>9.0671007055562387E-4</v>
      </c>
      <c r="N41" s="54">
        <f ca="1">N40*0.6</f>
        <v>0.2089339166880286</v>
      </c>
      <c r="O41" s="55">
        <v>0</v>
      </c>
      <c r="P41" s="54">
        <f t="shared" ref="P41:V41" ca="1" si="21">P40*0.6</f>
        <v>0.4989429652696693</v>
      </c>
      <c r="Q41" s="54">
        <f t="shared" ca="1" si="21"/>
        <v>0.50163225531532563</v>
      </c>
      <c r="R41" s="54">
        <f t="shared" ca="1" si="21"/>
        <v>5.6338150168614843E-5</v>
      </c>
      <c r="S41" s="54">
        <f t="shared" ca="1" si="21"/>
        <v>5.1346960477603159E-3</v>
      </c>
      <c r="T41" s="54">
        <f t="shared" ca="1" si="21"/>
        <v>1.1625216429618363E-4</v>
      </c>
      <c r="U41" s="54">
        <f t="shared" ca="1" si="21"/>
        <v>1.8860970251199916E-2</v>
      </c>
      <c r="V41" s="54">
        <f t="shared" ca="1" si="21"/>
        <v>0.54639998674316781</v>
      </c>
      <c r="W41" s="55">
        <v>0</v>
      </c>
      <c r="X41" s="54">
        <f t="shared" ref="X41:AI41" ca="1" si="22">X40*0.6</f>
        <v>3.9556561410434211E-2</v>
      </c>
      <c r="Y41" s="54">
        <f t="shared" ca="1" si="22"/>
        <v>2.0441681519172177E-2</v>
      </c>
      <c r="Z41" s="54">
        <f t="shared" ca="1" si="22"/>
        <v>0.22021912336316513</v>
      </c>
      <c r="AA41" s="54">
        <f t="shared" ca="1" si="22"/>
        <v>0.11748621314759618</v>
      </c>
      <c r="AB41" s="54">
        <f t="shared" ca="1" si="22"/>
        <v>5.9071227908239522E-2</v>
      </c>
      <c r="AC41" s="54">
        <f t="shared" ca="1" si="22"/>
        <v>5.5714263115060917E-3</v>
      </c>
      <c r="AD41" s="54">
        <f t="shared" ca="1" si="22"/>
        <v>0.16579476892957173</v>
      </c>
      <c r="AE41" s="54">
        <f t="shared" ca="1" si="22"/>
        <v>4.3462139368055208E-2</v>
      </c>
      <c r="AF41" s="54">
        <f t="shared" ca="1" si="22"/>
        <v>3.4116924181549581E-2</v>
      </c>
      <c r="AG41" s="54">
        <f t="shared" ca="1" si="22"/>
        <v>1.4310262352230874E-2</v>
      </c>
      <c r="AH41" s="54">
        <f t="shared" ca="1" si="22"/>
        <v>0.43005088269823488</v>
      </c>
      <c r="AI41" s="54">
        <f t="shared" ca="1" si="22"/>
        <v>0.31590325534462371</v>
      </c>
      <c r="AJ41" s="55">
        <v>0</v>
      </c>
      <c r="AK41" s="54">
        <f ca="1">AK40*0.6</f>
        <v>0.31366312801926993</v>
      </c>
      <c r="AL41" s="55">
        <v>0</v>
      </c>
      <c r="AM41" s="54">
        <f ca="1">AM40*0.6</f>
        <v>0.42729754149799704</v>
      </c>
      <c r="AN41" s="54">
        <f ca="1">AN40*0.6</f>
        <v>0.53610389828597738</v>
      </c>
      <c r="AO41" s="314"/>
    </row>
  </sheetData>
  <sheetProtection algorithmName="SHA-512" hashValue="HExJClDhD3mIUToMKX3LUDXxuDfyEjaWiisxRNaHRQp33pVM+MJgZr7ZnxY2fvhS8iHOOSH7jD75Bl+48Isujw==" saltValue="Pl4L0FNtI0j+yNt0tvR73A==" spinCount="100000" sheet="1" objects="1" scenarios="1"/>
  <pageMargins left="0.7" right="0.7" top="0.75" bottom="0.75" header="0.3" footer="0.3"/>
  <pageSetup orientation="portrait" horizontalDpi="1200" verticalDpi="1200" r:id="rId1"/>
  <legacyDrawing r:id="rId2"/>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5"/>
  <dimension ref="A1:AS189"/>
  <sheetViews>
    <sheetView topLeftCell="AL61" zoomScaleNormal="100" workbookViewId="0">
      <selection activeCell="AL77" sqref="AL77"/>
    </sheetView>
  </sheetViews>
  <sheetFormatPr defaultColWidth="19.7109375" defaultRowHeight="15" x14ac:dyDescent="0.25"/>
  <cols>
    <col min="1" max="1" width="62.28515625" style="21" customWidth="1"/>
    <col min="2" max="2" width="8.7109375" style="21" customWidth="1"/>
    <col min="3" max="3" width="7.42578125" style="21" customWidth="1"/>
    <col min="4" max="4" width="25.28515625" style="21" bestFit="1" customWidth="1"/>
    <col min="5" max="16384" width="19.7109375" style="21"/>
  </cols>
  <sheetData>
    <row r="1" spans="1:42" ht="71.25" customHeight="1" x14ac:dyDescent="0.25"/>
    <row r="3" spans="1:42" x14ac:dyDescent="0.25">
      <c r="A3" s="395" t="s">
        <v>62</v>
      </c>
      <c r="B3" s="395"/>
      <c r="C3" s="395"/>
      <c r="D3" s="395">
        <v>1</v>
      </c>
      <c r="E3" s="395">
        <v>2</v>
      </c>
      <c r="F3" s="395">
        <v>3</v>
      </c>
      <c r="G3" s="395">
        <v>4</v>
      </c>
      <c r="H3" s="395">
        <v>5</v>
      </c>
      <c r="I3" s="395">
        <v>6</v>
      </c>
      <c r="J3" s="395">
        <v>7</v>
      </c>
      <c r="K3" s="395">
        <v>8</v>
      </c>
      <c r="L3" s="395">
        <v>9</v>
      </c>
      <c r="M3" s="395">
        <v>10</v>
      </c>
      <c r="N3" s="395">
        <v>11</v>
      </c>
      <c r="O3" s="395">
        <v>12</v>
      </c>
      <c r="P3" s="395">
        <v>13</v>
      </c>
      <c r="Q3" s="395">
        <v>14</v>
      </c>
      <c r="R3" s="395">
        <v>15</v>
      </c>
      <c r="S3" s="395">
        <v>16</v>
      </c>
      <c r="T3" s="395">
        <v>17</v>
      </c>
      <c r="U3" s="395">
        <v>18</v>
      </c>
      <c r="V3" s="395">
        <v>19</v>
      </c>
      <c r="W3" s="395">
        <v>20</v>
      </c>
      <c r="X3" s="395">
        <v>21</v>
      </c>
      <c r="Y3" s="395">
        <v>22</v>
      </c>
      <c r="Z3" s="395">
        <v>23</v>
      </c>
      <c r="AA3" s="395">
        <v>24</v>
      </c>
      <c r="AB3" s="395">
        <v>25</v>
      </c>
      <c r="AC3" s="395">
        <v>26</v>
      </c>
      <c r="AD3" s="395">
        <v>27</v>
      </c>
      <c r="AE3" s="395">
        <v>28</v>
      </c>
      <c r="AF3" s="395">
        <v>29</v>
      </c>
      <c r="AG3" s="395">
        <v>30</v>
      </c>
      <c r="AH3" s="395">
        <v>31</v>
      </c>
      <c r="AI3" s="395">
        <v>32</v>
      </c>
      <c r="AJ3" s="395">
        <v>33</v>
      </c>
      <c r="AK3" s="395">
        <v>34</v>
      </c>
      <c r="AL3" s="395">
        <v>35</v>
      </c>
      <c r="AM3" s="395">
        <v>36</v>
      </c>
      <c r="AN3" s="395">
        <v>37</v>
      </c>
      <c r="AO3" s="395">
        <v>38</v>
      </c>
      <c r="AP3" s="395">
        <v>39</v>
      </c>
    </row>
    <row r="4" spans="1:42" ht="16.5" customHeight="1" x14ac:dyDescent="0.25">
      <c r="A4" s="395" t="s">
        <v>61</v>
      </c>
      <c r="B4" s="395"/>
      <c r="C4" s="395"/>
      <c r="D4" s="404" t="s">
        <v>60</v>
      </c>
      <c r="E4" s="404" t="s">
        <v>59</v>
      </c>
      <c r="F4" s="404" t="s">
        <v>58</v>
      </c>
      <c r="G4" s="404" t="s">
        <v>57</v>
      </c>
      <c r="H4" s="404" t="s">
        <v>56</v>
      </c>
      <c r="I4" s="404" t="s">
        <v>55</v>
      </c>
      <c r="J4" s="404" t="s">
        <v>54</v>
      </c>
      <c r="K4" s="404" t="s">
        <v>53</v>
      </c>
      <c r="L4" s="404" t="s">
        <v>52</v>
      </c>
      <c r="M4" s="404" t="s">
        <v>51</v>
      </c>
      <c r="N4" s="404" t="s">
        <v>50</v>
      </c>
      <c r="O4" s="404" t="s">
        <v>49</v>
      </c>
      <c r="P4" s="404" t="s">
        <v>48</v>
      </c>
      <c r="Q4" s="404" t="s">
        <v>47</v>
      </c>
      <c r="R4" s="404" t="s">
        <v>46</v>
      </c>
      <c r="S4" s="404" t="s">
        <v>45</v>
      </c>
      <c r="T4" s="404" t="s">
        <v>44</v>
      </c>
      <c r="U4" s="404" t="s">
        <v>43</v>
      </c>
      <c r="V4" s="404" t="s">
        <v>42</v>
      </c>
      <c r="W4" s="404" t="s">
        <v>41</v>
      </c>
      <c r="X4" s="404" t="s">
        <v>40</v>
      </c>
      <c r="Y4" s="404" t="s">
        <v>39</v>
      </c>
      <c r="Z4" s="404" t="s">
        <v>38</v>
      </c>
      <c r="AA4" s="404" t="s">
        <v>37</v>
      </c>
      <c r="AB4" s="404" t="s">
        <v>36</v>
      </c>
      <c r="AC4" s="404" t="s">
        <v>35</v>
      </c>
      <c r="AD4" s="404" t="s">
        <v>34</v>
      </c>
      <c r="AE4" s="404" t="s">
        <v>33</v>
      </c>
      <c r="AF4" s="404" t="s">
        <v>32</v>
      </c>
      <c r="AG4" s="404" t="s">
        <v>31</v>
      </c>
      <c r="AH4" s="404" t="s">
        <v>30</v>
      </c>
      <c r="AI4" s="404" t="s">
        <v>29</v>
      </c>
      <c r="AJ4" s="404" t="s">
        <v>28</v>
      </c>
      <c r="AK4" s="404" t="s">
        <v>27</v>
      </c>
      <c r="AL4" s="404" t="s">
        <v>26</v>
      </c>
      <c r="AM4" s="404" t="s">
        <v>25</v>
      </c>
      <c r="AN4" s="404" t="s">
        <v>24</v>
      </c>
      <c r="AO4" s="404" t="s">
        <v>23</v>
      </c>
      <c r="AP4" s="404" t="s">
        <v>22</v>
      </c>
    </row>
    <row r="5" spans="1:42" ht="16.5" customHeight="1" x14ac:dyDescent="0.25">
      <c r="A5" s="395" t="str">
        <f>INDEX(watershed_list,Main!B7)</f>
        <v>Statewide</v>
      </c>
      <c r="B5" s="395"/>
      <c r="C5" s="395"/>
      <c r="D5" s="16">
        <f>Watersheds!B122</f>
        <v>1</v>
      </c>
      <c r="E5" s="16">
        <f>Watersheds!C122</f>
        <v>1</v>
      </c>
      <c r="F5" s="16">
        <f>Watersheds!D122</f>
        <v>1</v>
      </c>
      <c r="G5" s="16">
        <f>Watersheds!E122</f>
        <v>1</v>
      </c>
      <c r="H5" s="16">
        <f>Watersheds!F122</f>
        <v>1</v>
      </c>
      <c r="I5" s="16">
        <f>Watersheds!G122</f>
        <v>1</v>
      </c>
      <c r="J5" s="16">
        <f>Watersheds!H122</f>
        <v>1</v>
      </c>
      <c r="K5" s="16">
        <f>Watersheds!I122</f>
        <v>1</v>
      </c>
      <c r="L5" s="16">
        <f>Watersheds!J122</f>
        <v>1</v>
      </c>
      <c r="M5" s="16">
        <f>Watersheds!K122</f>
        <v>1</v>
      </c>
      <c r="N5" s="16">
        <f>Watersheds!L122</f>
        <v>1</v>
      </c>
      <c r="O5" s="16">
        <f>Watersheds!M122</f>
        <v>1</v>
      </c>
      <c r="P5" s="16">
        <f>Watersheds!N122</f>
        <v>1</v>
      </c>
      <c r="Q5" s="16">
        <f>Watersheds!O122</f>
        <v>1</v>
      </c>
      <c r="R5" s="16">
        <f>Watersheds!P122</f>
        <v>1</v>
      </c>
      <c r="S5" s="16">
        <f>Watersheds!Q122</f>
        <v>1</v>
      </c>
      <c r="T5" s="16">
        <f>Watersheds!R122</f>
        <v>1</v>
      </c>
      <c r="U5" s="16">
        <f>Watersheds!S122</f>
        <v>1</v>
      </c>
      <c r="V5" s="16">
        <f>Watersheds!T122</f>
        <v>1</v>
      </c>
      <c r="W5" s="16">
        <f>Watersheds!U122</f>
        <v>1</v>
      </c>
      <c r="X5" s="16">
        <f>Watersheds!V122</f>
        <v>1</v>
      </c>
      <c r="Y5" s="16">
        <f>Watersheds!W122</f>
        <v>1</v>
      </c>
      <c r="Z5" s="16">
        <f>Watersheds!X122</f>
        <v>1</v>
      </c>
      <c r="AA5" s="16">
        <f>Watersheds!Y122</f>
        <v>1</v>
      </c>
      <c r="AB5" s="16">
        <f>Watersheds!Z122</f>
        <v>1</v>
      </c>
      <c r="AC5" s="16">
        <f>Watersheds!AA122</f>
        <v>1</v>
      </c>
      <c r="AD5" s="16">
        <f>Watersheds!AB122</f>
        <v>1</v>
      </c>
      <c r="AE5" s="16">
        <f>Watersheds!AC122</f>
        <v>1</v>
      </c>
      <c r="AF5" s="16">
        <f>Watersheds!AD122</f>
        <v>1</v>
      </c>
      <c r="AG5" s="16">
        <f>Watersheds!AE122</f>
        <v>1</v>
      </c>
      <c r="AH5" s="16">
        <f>Watersheds!AF122</f>
        <v>1</v>
      </c>
      <c r="AI5" s="16">
        <f>Watersheds!AG122</f>
        <v>1</v>
      </c>
      <c r="AJ5" s="16">
        <f>Watersheds!AH122</f>
        <v>1</v>
      </c>
      <c r="AK5" s="16">
        <f>Watersheds!AI122</f>
        <v>1</v>
      </c>
      <c r="AL5" s="16">
        <f>Watersheds!AJ122</f>
        <v>1</v>
      </c>
      <c r="AM5" s="16">
        <f>Watersheds!AK122</f>
        <v>1</v>
      </c>
      <c r="AN5" s="16">
        <f>Watersheds!AL122</f>
        <v>1</v>
      </c>
      <c r="AO5" s="16">
        <f>Watersheds!AM122</f>
        <v>1</v>
      </c>
      <c r="AP5" s="16">
        <f>Watersheds!AN122</f>
        <v>1</v>
      </c>
    </row>
    <row r="6" spans="1:42" x14ac:dyDescent="0.25">
      <c r="A6" s="391" t="s">
        <v>665</v>
      </c>
      <c r="B6" s="391"/>
      <c r="C6" s="391"/>
      <c r="D6" s="391" t="s">
        <v>640</v>
      </c>
      <c r="E6" s="391" t="s">
        <v>640</v>
      </c>
      <c r="F6" s="391" t="s">
        <v>637</v>
      </c>
      <c r="G6" s="391" t="s">
        <v>640</v>
      </c>
      <c r="H6" s="391" t="s">
        <v>639</v>
      </c>
      <c r="I6" s="391" t="s">
        <v>636</v>
      </c>
      <c r="J6" s="391" t="s">
        <v>640</v>
      </c>
      <c r="K6" s="391" t="s">
        <v>639</v>
      </c>
      <c r="L6" s="391" t="s">
        <v>639</v>
      </c>
      <c r="M6" s="391" t="s">
        <v>641</v>
      </c>
      <c r="N6" s="391" t="s">
        <v>355</v>
      </c>
      <c r="O6" s="391" t="s">
        <v>355</v>
      </c>
      <c r="P6" s="391" t="s">
        <v>639</v>
      </c>
      <c r="Q6" s="391" t="s">
        <v>641</v>
      </c>
      <c r="R6" s="391" t="s">
        <v>637</v>
      </c>
      <c r="S6" s="391" t="s">
        <v>641</v>
      </c>
      <c r="T6" s="391" t="s">
        <v>355</v>
      </c>
      <c r="U6" s="391" t="s">
        <v>355</v>
      </c>
      <c r="V6" s="391" t="s">
        <v>355</v>
      </c>
      <c r="W6" s="391" t="s">
        <v>641</v>
      </c>
      <c r="X6" s="391" t="s">
        <v>639</v>
      </c>
      <c r="Y6" s="391" t="s">
        <v>641</v>
      </c>
      <c r="Z6" s="391" t="s">
        <v>641</v>
      </c>
      <c r="AA6" s="391" t="s">
        <v>637</v>
      </c>
      <c r="AB6" s="391" t="s">
        <v>638</v>
      </c>
      <c r="AC6" s="391" t="s">
        <v>355</v>
      </c>
      <c r="AD6" s="391" t="s">
        <v>640</v>
      </c>
      <c r="AE6" s="391" t="s">
        <v>355</v>
      </c>
      <c r="AF6" s="391" t="s">
        <v>638</v>
      </c>
      <c r="AG6" s="391" t="s">
        <v>638</v>
      </c>
      <c r="AH6" s="391" t="s">
        <v>638</v>
      </c>
      <c r="AI6" s="391" t="s">
        <v>637</v>
      </c>
      <c r="AJ6" s="391" t="s">
        <v>638</v>
      </c>
      <c r="AK6" s="391" t="s">
        <v>639</v>
      </c>
      <c r="AL6" s="391" t="s">
        <v>641</v>
      </c>
      <c r="AM6" s="391" t="s">
        <v>637</v>
      </c>
      <c r="AN6" s="391" t="s">
        <v>641</v>
      </c>
      <c r="AO6" s="391" t="s">
        <v>638</v>
      </c>
      <c r="AP6" s="391" t="s">
        <v>638</v>
      </c>
    </row>
    <row r="7" spans="1:42" x14ac:dyDescent="0.25">
      <c r="A7" s="51" t="s">
        <v>762</v>
      </c>
      <c r="B7" s="391"/>
      <c r="C7" s="391"/>
      <c r="D7" s="437">
        <f>'Manure Rate'!B9</f>
        <v>1183611.8269754259</v>
      </c>
      <c r="E7" s="437">
        <f>'Manure Rate'!C9</f>
        <v>95754.758676922065</v>
      </c>
      <c r="F7" s="437">
        <f>'Manure Rate'!D9</f>
        <v>384363.31644598179</v>
      </c>
      <c r="G7" s="437">
        <f>'Manure Rate'!E9</f>
        <v>526499.4754478957</v>
      </c>
      <c r="H7" s="437">
        <f>'Manure Rate'!F9</f>
        <v>1087765.8836466991</v>
      </c>
      <c r="I7" s="437">
        <f>'Manure Rate'!G9</f>
        <v>21773.538325770438</v>
      </c>
      <c r="J7" s="437">
        <f>'Manure Rate'!H9</f>
        <v>476975.34015582805</v>
      </c>
      <c r="K7" s="437">
        <f>'Manure Rate'!I9</f>
        <v>1782881.9850823716</v>
      </c>
      <c r="L7" s="437">
        <f>'Manure Rate'!J9</f>
        <v>458429.5700289816</v>
      </c>
      <c r="M7" s="437">
        <f>'Manure Rate'!K9</f>
        <v>819176.20611457271</v>
      </c>
      <c r="N7" s="437">
        <f>'Manure Rate'!L9</f>
        <v>49840.38319707138</v>
      </c>
      <c r="O7" s="437">
        <f>'Manure Rate'!M9</f>
        <v>264659.08028609771</v>
      </c>
      <c r="P7" s="437">
        <f>'Manure Rate'!N9</f>
        <v>769733.41808108822</v>
      </c>
      <c r="Q7" s="437">
        <f>'Manure Rate'!O9</f>
        <v>828673.71056960034</v>
      </c>
      <c r="R7" s="437">
        <f>'Manure Rate'!P9</f>
        <v>241824.56323169585</v>
      </c>
      <c r="S7" s="437">
        <f>'Manure Rate'!Q9</f>
        <v>246814.27028150437</v>
      </c>
      <c r="T7" s="437">
        <f>'Manure Rate'!R9</f>
        <v>4285.7491912003497</v>
      </c>
      <c r="U7" s="437">
        <f>'Manure Rate'!S9</f>
        <v>178246.72078017835</v>
      </c>
      <c r="V7" s="437">
        <f>'Manure Rate'!T9</f>
        <v>6495.4972264640001</v>
      </c>
      <c r="W7" s="437">
        <f>'Manure Rate'!U9</f>
        <v>106361.17112664781</v>
      </c>
      <c r="X7" s="437">
        <f>'Manure Rate'!V9</f>
        <v>64243.015453628868</v>
      </c>
      <c r="Y7" s="437">
        <f>'Manure Rate'!W9</f>
        <v>534860.91880764207</v>
      </c>
      <c r="Z7" s="437">
        <f>'Manure Rate'!X9</f>
        <v>72691.488463081871</v>
      </c>
      <c r="AA7" s="437">
        <f>'Manure Rate'!Y9</f>
        <v>578435.98666543269</v>
      </c>
      <c r="AB7" s="437">
        <f>'Manure Rate'!Z9</f>
        <v>1740522.0190968886</v>
      </c>
      <c r="AC7" s="437">
        <f>'Manure Rate'!AA9</f>
        <v>310501.91638817242</v>
      </c>
      <c r="AD7" s="437">
        <f>'Manure Rate'!AB9</f>
        <v>1118256.7685890032</v>
      </c>
      <c r="AE7" s="437">
        <f>'Manure Rate'!AC9</f>
        <v>46608.093375328011</v>
      </c>
      <c r="AF7" s="437">
        <f>'Manure Rate'!AD9</f>
        <v>54441.211277657247</v>
      </c>
      <c r="AG7" s="437">
        <f>'Manure Rate'!AE9</f>
        <v>65663.160762143409</v>
      </c>
      <c r="AH7" s="437">
        <f>'Manure Rate'!AF9</f>
        <v>130947.11348153764</v>
      </c>
      <c r="AI7" s="437">
        <f>'Manure Rate'!AG9</f>
        <v>25765.811486446426</v>
      </c>
      <c r="AJ7" s="437">
        <f>'Manure Rate'!AH9</f>
        <v>1340660.9713842301</v>
      </c>
      <c r="AK7" s="437">
        <f>'Manure Rate'!AI9</f>
        <v>128358.10151161565</v>
      </c>
      <c r="AL7" s="437">
        <f>'Manure Rate'!AJ9</f>
        <v>574366.93169227615</v>
      </c>
      <c r="AM7" s="437">
        <f>'Manure Rate'!AK9</f>
        <v>522509.1045987652</v>
      </c>
      <c r="AN7" s="437">
        <f>'Manure Rate'!AL9</f>
        <v>1064528.7062601969</v>
      </c>
      <c r="AO7" s="437">
        <f>'Manure Rate'!AM9</f>
        <v>790004.66459855286</v>
      </c>
      <c r="AP7" s="437">
        <f>'Manure Rate'!AN9</f>
        <v>949734.58489426749</v>
      </c>
    </row>
    <row r="8" spans="1:42" x14ac:dyDescent="0.25">
      <c r="A8" s="391" t="s">
        <v>1257</v>
      </c>
      <c r="B8" s="391"/>
      <c r="C8" s="391"/>
      <c r="D8" s="120">
        <v>3554185.7545500002</v>
      </c>
      <c r="E8" s="120">
        <v>107547.224756</v>
      </c>
      <c r="F8" s="120">
        <v>3080235.90319</v>
      </c>
      <c r="G8" s="120">
        <v>2744807.2665900001</v>
      </c>
      <c r="H8" s="120">
        <v>1870297.32489</v>
      </c>
      <c r="I8" s="120">
        <v>8.1200361172399997</v>
      </c>
      <c r="J8" s="120">
        <v>3014735.1125599998</v>
      </c>
      <c r="K8" s="120">
        <v>2741764.2293799999</v>
      </c>
      <c r="L8" s="120">
        <v>817045.54437100003</v>
      </c>
      <c r="M8" s="120">
        <v>421466.795965</v>
      </c>
      <c r="N8" s="120">
        <v>34195.386273800003</v>
      </c>
      <c r="O8" s="120">
        <v>304059.70015599998</v>
      </c>
      <c r="P8" s="120">
        <v>3186754.7826299998</v>
      </c>
      <c r="Q8" s="120">
        <v>177076.875688</v>
      </c>
      <c r="R8" s="120">
        <v>856255.48587400001</v>
      </c>
      <c r="S8" s="120">
        <v>62817.369314099997</v>
      </c>
      <c r="T8" s="120">
        <v>9445.7412198300008</v>
      </c>
      <c r="U8" s="120">
        <v>432444.81224300002</v>
      </c>
      <c r="V8" s="120">
        <v>2827.41829783</v>
      </c>
      <c r="W8" s="120">
        <v>29399.818206899999</v>
      </c>
      <c r="X8" s="120">
        <v>116185.03441599999</v>
      </c>
      <c r="Y8" s="120">
        <v>106876.607836</v>
      </c>
      <c r="Z8" s="120">
        <v>18434.841513300002</v>
      </c>
      <c r="AA8" s="120">
        <v>2964830.6741399998</v>
      </c>
      <c r="AB8" s="120">
        <v>5279410.0985899996</v>
      </c>
      <c r="AC8" s="120">
        <v>121601.243292</v>
      </c>
      <c r="AD8" s="120">
        <v>4131058.5769699998</v>
      </c>
      <c r="AE8" s="120">
        <v>39128.173180500002</v>
      </c>
      <c r="AF8" s="120">
        <v>270394.57679800002</v>
      </c>
      <c r="AG8" s="120">
        <v>241303.49337899999</v>
      </c>
      <c r="AH8" s="120">
        <v>545674.77014299994</v>
      </c>
      <c r="AI8" s="120">
        <v>232871.82756000001</v>
      </c>
      <c r="AJ8" s="120">
        <v>3557114.4866999998</v>
      </c>
      <c r="AK8" s="120">
        <v>222774.20793900001</v>
      </c>
      <c r="AL8" s="120">
        <v>109958.224042</v>
      </c>
      <c r="AM8" s="120">
        <v>1506386.0556600001</v>
      </c>
      <c r="AN8" s="120">
        <v>442069.90990199998</v>
      </c>
      <c r="AO8" s="120">
        <v>2555637.7017000001</v>
      </c>
      <c r="AP8" s="120">
        <v>2737078.6544400002</v>
      </c>
    </row>
    <row r="9" spans="1:42" x14ac:dyDescent="0.25">
      <c r="A9" s="391" t="s">
        <v>748</v>
      </c>
      <c r="B9" s="391"/>
      <c r="C9" s="391"/>
      <c r="D9" s="120">
        <v>4661588.4614599999</v>
      </c>
      <c r="E9" s="120">
        <v>148339.58816799999</v>
      </c>
      <c r="F9" s="120">
        <v>4329213.3119799998</v>
      </c>
      <c r="G9" s="120">
        <v>2766423.46594</v>
      </c>
      <c r="H9" s="120">
        <v>2924189.73532</v>
      </c>
      <c r="I9" s="120">
        <v>154.20401704700001</v>
      </c>
      <c r="J9" s="120">
        <v>3794616.6418699999</v>
      </c>
      <c r="K9" s="120">
        <v>2768555.84846</v>
      </c>
      <c r="L9" s="120">
        <v>674805.23758199997</v>
      </c>
      <c r="M9" s="120">
        <v>635708.23619900004</v>
      </c>
      <c r="N9" s="120">
        <v>107883.35498400001</v>
      </c>
      <c r="O9" s="120">
        <v>688165.12731699995</v>
      </c>
      <c r="P9" s="120">
        <v>3834046.5353899999</v>
      </c>
      <c r="Q9" s="120">
        <v>520665.83226699999</v>
      </c>
      <c r="R9" s="120">
        <v>500350.145517</v>
      </c>
      <c r="S9" s="120">
        <v>89590.122880700001</v>
      </c>
      <c r="T9" s="120">
        <v>8088.1381153000002</v>
      </c>
      <c r="U9" s="120">
        <v>894478.08015199995</v>
      </c>
      <c r="V9" s="120">
        <v>4829.9991222199997</v>
      </c>
      <c r="W9" s="120">
        <v>72383.907189399994</v>
      </c>
      <c r="X9" s="120">
        <v>46196.416742499998</v>
      </c>
      <c r="Y9" s="120">
        <v>148718.26041700001</v>
      </c>
      <c r="Z9" s="120">
        <v>105319.238159</v>
      </c>
      <c r="AA9" s="120">
        <v>3434431.9593799999</v>
      </c>
      <c r="AB9" s="120">
        <v>4380684.4903199999</v>
      </c>
      <c r="AC9" s="120">
        <v>388678.56763300003</v>
      </c>
      <c r="AD9" s="120">
        <v>5521647.5938799996</v>
      </c>
      <c r="AE9" s="120">
        <v>134497.48758799999</v>
      </c>
      <c r="AF9" s="120">
        <v>109487.76890900001</v>
      </c>
      <c r="AG9" s="120">
        <v>247320.404182</v>
      </c>
      <c r="AH9" s="120">
        <v>548001.27645200002</v>
      </c>
      <c r="AI9" s="120">
        <v>334042.76597000001</v>
      </c>
      <c r="AJ9" s="120">
        <v>2914208.8982699998</v>
      </c>
      <c r="AK9" s="120">
        <v>449608.63771099999</v>
      </c>
      <c r="AL9" s="120">
        <v>49455.627711499998</v>
      </c>
      <c r="AM9" s="120">
        <v>1241682.0439800001</v>
      </c>
      <c r="AN9" s="120">
        <v>627808.49839800003</v>
      </c>
      <c r="AO9" s="120">
        <v>1212880.6839699999</v>
      </c>
      <c r="AP9" s="120">
        <v>1487730.04605</v>
      </c>
    </row>
    <row r="10" spans="1:42" s="324" customFormat="1" x14ac:dyDescent="0.25">
      <c r="A10" s="436" t="s">
        <v>747</v>
      </c>
      <c r="B10" s="436"/>
      <c r="C10" s="436"/>
      <c r="D10" s="436">
        <f t="shared" ref="D10:AP10" si="0">D8/(D8+D9)</f>
        <v>0.43260509126747815</v>
      </c>
      <c r="E10" s="436">
        <f t="shared" si="0"/>
        <v>0.42029217343037606</v>
      </c>
      <c r="F10" s="436">
        <f t="shared" si="0"/>
        <v>0.41571725694314354</v>
      </c>
      <c r="G10" s="436">
        <f t="shared" si="0"/>
        <v>0.49803889544830615</v>
      </c>
      <c r="H10" s="436">
        <f t="shared" si="0"/>
        <v>0.39009330954541788</v>
      </c>
      <c r="I10" s="436">
        <f t="shared" si="0"/>
        <v>5.0023616087408317E-2</v>
      </c>
      <c r="J10" s="436">
        <f t="shared" si="0"/>
        <v>0.44273452470694968</v>
      </c>
      <c r="K10" s="436">
        <f t="shared" si="0"/>
        <v>0.4975689598152615</v>
      </c>
      <c r="L10" s="436">
        <f t="shared" si="0"/>
        <v>0.54767243095277651</v>
      </c>
      <c r="M10" s="436">
        <f t="shared" si="0"/>
        <v>0.39867267305989279</v>
      </c>
      <c r="N10" s="436">
        <f t="shared" si="0"/>
        <v>0.2406791189946772</v>
      </c>
      <c r="O10" s="436">
        <f t="shared" si="0"/>
        <v>0.30644234223646649</v>
      </c>
      <c r="P10" s="436">
        <f t="shared" si="0"/>
        <v>0.45390186081048733</v>
      </c>
      <c r="Q10" s="436">
        <f t="shared" si="0"/>
        <v>0.2537853476204589</v>
      </c>
      <c r="R10" s="436">
        <f t="shared" si="0"/>
        <v>0.63117494580649469</v>
      </c>
      <c r="S10" s="436">
        <f t="shared" si="0"/>
        <v>0.41216719998128326</v>
      </c>
      <c r="T10" s="436">
        <f t="shared" si="0"/>
        <v>0.53871371185411243</v>
      </c>
      <c r="U10" s="436">
        <f t="shared" si="0"/>
        <v>0.32590048353334861</v>
      </c>
      <c r="V10" s="436">
        <f t="shared" si="0"/>
        <v>0.36923914979830602</v>
      </c>
      <c r="W10" s="436">
        <f t="shared" si="0"/>
        <v>0.28884596326603634</v>
      </c>
      <c r="X10" s="436">
        <f t="shared" si="0"/>
        <v>0.71550681181308184</v>
      </c>
      <c r="Y10" s="436">
        <f t="shared" si="0"/>
        <v>0.41814848852993564</v>
      </c>
      <c r="Z10" s="436">
        <f t="shared" si="0"/>
        <v>0.14896350538192635</v>
      </c>
      <c r="AA10" s="436">
        <f t="shared" si="0"/>
        <v>0.46330817219626369</v>
      </c>
      <c r="AB10" s="436">
        <f t="shared" si="0"/>
        <v>0.54651743313682233</v>
      </c>
      <c r="AC10" s="436">
        <f t="shared" si="0"/>
        <v>0.23830306566816678</v>
      </c>
      <c r="AD10" s="436">
        <f t="shared" si="0"/>
        <v>0.42796895542571212</v>
      </c>
      <c r="AE10" s="436">
        <f t="shared" si="0"/>
        <v>0.22535939104456856</v>
      </c>
      <c r="AF10" s="436">
        <f t="shared" si="0"/>
        <v>0.71178505622515309</v>
      </c>
      <c r="AG10" s="436">
        <f t="shared" si="0"/>
        <v>0.49384300396170366</v>
      </c>
      <c r="AH10" s="436">
        <f t="shared" si="0"/>
        <v>0.49893638234272236</v>
      </c>
      <c r="AI10" s="436">
        <f t="shared" si="0"/>
        <v>0.41077056441602594</v>
      </c>
      <c r="AJ10" s="436">
        <f t="shared" si="0"/>
        <v>0.54967342459837365</v>
      </c>
      <c r="AK10" s="436">
        <f t="shared" si="0"/>
        <v>0.33132048115183799</v>
      </c>
      <c r="AL10" s="436">
        <f t="shared" si="0"/>
        <v>0.68976580662530673</v>
      </c>
      <c r="AM10" s="436">
        <f t="shared" si="0"/>
        <v>0.54816183625774717</v>
      </c>
      <c r="AN10" s="436">
        <f t="shared" si="0"/>
        <v>0.41319640294866206</v>
      </c>
      <c r="AO10" s="436">
        <f t="shared" si="0"/>
        <v>0.67815450003321043</v>
      </c>
      <c r="AP10" s="436">
        <f t="shared" si="0"/>
        <v>0.6478586010586822</v>
      </c>
    </row>
    <row r="11" spans="1:42" s="324" customFormat="1" ht="14.25" customHeight="1" x14ac:dyDescent="0.25">
      <c r="A11" s="436" t="s">
        <v>746</v>
      </c>
      <c r="B11" s="436"/>
      <c r="C11" s="436"/>
      <c r="D11" s="436">
        <f t="shared" ref="D11:AP11" si="1">D9/(D8+D9)</f>
        <v>0.56739490873252174</v>
      </c>
      <c r="E11" s="436">
        <f t="shared" si="1"/>
        <v>0.57970782656962394</v>
      </c>
      <c r="F11" s="436">
        <f t="shared" si="1"/>
        <v>0.58428274305685646</v>
      </c>
      <c r="G11" s="436">
        <f t="shared" si="1"/>
        <v>0.50196110455169396</v>
      </c>
      <c r="H11" s="436">
        <f t="shared" si="1"/>
        <v>0.60990669045458212</v>
      </c>
      <c r="I11" s="436">
        <f t="shared" si="1"/>
        <v>0.94997638391259165</v>
      </c>
      <c r="J11" s="436">
        <f t="shared" si="1"/>
        <v>0.55726547529305037</v>
      </c>
      <c r="K11" s="436">
        <f t="shared" si="1"/>
        <v>0.50243104018473839</v>
      </c>
      <c r="L11" s="436">
        <f t="shared" si="1"/>
        <v>0.45232756904722349</v>
      </c>
      <c r="M11" s="436">
        <f t="shared" si="1"/>
        <v>0.60132732694010727</v>
      </c>
      <c r="N11" s="436">
        <f t="shared" si="1"/>
        <v>0.75932088100532269</v>
      </c>
      <c r="O11" s="436">
        <f t="shared" si="1"/>
        <v>0.69355765776353351</v>
      </c>
      <c r="P11" s="436">
        <f t="shared" si="1"/>
        <v>0.54609813918951267</v>
      </c>
      <c r="Q11" s="436">
        <f t="shared" si="1"/>
        <v>0.7462146523795411</v>
      </c>
      <c r="R11" s="436">
        <f t="shared" si="1"/>
        <v>0.36882505419350525</v>
      </c>
      <c r="S11" s="436">
        <f t="shared" si="1"/>
        <v>0.58783280001871674</v>
      </c>
      <c r="T11" s="436">
        <f t="shared" si="1"/>
        <v>0.46128628814588751</v>
      </c>
      <c r="U11" s="436">
        <f t="shared" si="1"/>
        <v>0.67409951646665134</v>
      </c>
      <c r="V11" s="436">
        <f t="shared" si="1"/>
        <v>0.63076085020169392</v>
      </c>
      <c r="W11" s="436">
        <f t="shared" si="1"/>
        <v>0.7111540367339636</v>
      </c>
      <c r="X11" s="436">
        <f t="shared" si="1"/>
        <v>0.28449318818691816</v>
      </c>
      <c r="Y11" s="436">
        <f t="shared" si="1"/>
        <v>0.58185151147006431</v>
      </c>
      <c r="Z11" s="436">
        <f t="shared" si="1"/>
        <v>0.85103649461807374</v>
      </c>
      <c r="AA11" s="436">
        <f t="shared" si="1"/>
        <v>0.53669182780373637</v>
      </c>
      <c r="AB11" s="436">
        <f t="shared" si="1"/>
        <v>0.45348256686317773</v>
      </c>
      <c r="AC11" s="436">
        <f t="shared" si="1"/>
        <v>0.76169693433183328</v>
      </c>
      <c r="AD11" s="436">
        <f t="shared" si="1"/>
        <v>0.57203104457428788</v>
      </c>
      <c r="AE11" s="436">
        <f t="shared" si="1"/>
        <v>0.7746406089554313</v>
      </c>
      <c r="AF11" s="436">
        <f t="shared" si="1"/>
        <v>0.28821494377484702</v>
      </c>
      <c r="AG11" s="436">
        <f t="shared" si="1"/>
        <v>0.50615699603829634</v>
      </c>
      <c r="AH11" s="436">
        <f t="shared" si="1"/>
        <v>0.50106361765727758</v>
      </c>
      <c r="AI11" s="436">
        <f t="shared" si="1"/>
        <v>0.58922943558397411</v>
      </c>
      <c r="AJ11" s="436">
        <f t="shared" si="1"/>
        <v>0.45032657540162624</v>
      </c>
      <c r="AK11" s="436">
        <f t="shared" si="1"/>
        <v>0.66867951884816201</v>
      </c>
      <c r="AL11" s="436">
        <f t="shared" si="1"/>
        <v>0.31023419337469321</v>
      </c>
      <c r="AM11" s="436">
        <f t="shared" si="1"/>
        <v>0.45183816374225289</v>
      </c>
      <c r="AN11" s="436">
        <f t="shared" si="1"/>
        <v>0.586803597051338</v>
      </c>
      <c r="AO11" s="436">
        <f t="shared" si="1"/>
        <v>0.32184549996678957</v>
      </c>
      <c r="AP11" s="436">
        <f t="shared" si="1"/>
        <v>0.35214139894131796</v>
      </c>
    </row>
    <row r="12" spans="1:42" x14ac:dyDescent="0.25">
      <c r="A12" s="413" t="s">
        <v>744</v>
      </c>
      <c r="B12" s="413"/>
      <c r="C12" s="413"/>
      <c r="D12" s="391"/>
      <c r="E12" s="391"/>
      <c r="F12" s="391"/>
      <c r="G12" s="391"/>
      <c r="H12" s="391"/>
      <c r="I12" s="391"/>
      <c r="J12" s="391"/>
      <c r="K12" s="391"/>
      <c r="L12" s="391"/>
      <c r="M12" s="391"/>
      <c r="N12" s="391"/>
      <c r="O12" s="391"/>
      <c r="P12" s="391"/>
      <c r="Q12" s="391"/>
      <c r="R12" s="391"/>
      <c r="S12" s="391"/>
      <c r="T12" s="391"/>
      <c r="U12" s="391"/>
      <c r="V12" s="391"/>
      <c r="W12" s="391"/>
      <c r="X12" s="391"/>
      <c r="Y12" s="391"/>
      <c r="Z12" s="391"/>
      <c r="AA12" s="391"/>
      <c r="AB12" s="391"/>
      <c r="AC12" s="391"/>
      <c r="AD12" s="391"/>
      <c r="AE12" s="391"/>
      <c r="AF12" s="391"/>
      <c r="AG12" s="391"/>
      <c r="AH12" s="391"/>
      <c r="AI12" s="391"/>
      <c r="AJ12" s="391"/>
      <c r="AK12" s="391"/>
      <c r="AL12" s="391"/>
      <c r="AM12" s="391"/>
      <c r="AN12" s="391"/>
      <c r="AO12" s="391"/>
      <c r="AP12" s="391"/>
    </row>
    <row r="13" spans="1:42" s="163" customFormat="1" ht="14.25" customHeight="1" x14ac:dyDescent="0.25">
      <c r="A13" s="403" t="s">
        <v>722</v>
      </c>
      <c r="B13" s="403"/>
      <c r="C13" s="403">
        <v>0</v>
      </c>
      <c r="D13" s="392"/>
      <c r="E13" s="392"/>
      <c r="F13" s="392"/>
      <c r="G13" s="392"/>
      <c r="H13" s="392"/>
      <c r="I13" s="392"/>
      <c r="J13" s="392"/>
      <c r="K13" s="392"/>
      <c r="L13" s="392"/>
      <c r="M13" s="392"/>
      <c r="N13" s="392"/>
      <c r="O13" s="392"/>
      <c r="P13" s="392"/>
      <c r="Q13" s="392"/>
      <c r="R13" s="392"/>
      <c r="S13" s="392"/>
      <c r="T13" s="392"/>
      <c r="U13" s="392"/>
      <c r="V13" s="392"/>
      <c r="W13" s="392"/>
      <c r="X13" s="392"/>
      <c r="Y13" s="392"/>
      <c r="Z13" s="392"/>
      <c r="AA13" s="392"/>
      <c r="AB13" s="392"/>
      <c r="AC13" s="392"/>
      <c r="AD13" s="392"/>
      <c r="AE13" s="392"/>
      <c r="AF13" s="392"/>
      <c r="AG13" s="392"/>
      <c r="AH13" s="392"/>
      <c r="AI13" s="392"/>
      <c r="AJ13" s="392"/>
      <c r="AK13" s="392"/>
      <c r="AL13" s="392"/>
      <c r="AM13" s="392"/>
      <c r="AN13" s="392"/>
      <c r="AO13" s="392"/>
      <c r="AP13" s="392"/>
    </row>
    <row r="14" spans="1:42" s="163" customFormat="1" ht="14.25" customHeight="1" x14ac:dyDescent="0.25">
      <c r="A14" s="402" t="s">
        <v>721</v>
      </c>
      <c r="B14" s="402"/>
      <c r="C14" s="402">
        <v>1</v>
      </c>
      <c r="D14" s="416">
        <v>0.55000000000000004</v>
      </c>
      <c r="E14" s="416">
        <v>0.55000000000000004</v>
      </c>
      <c r="F14" s="416">
        <v>0.65999999999999992</v>
      </c>
      <c r="G14" s="416">
        <v>0.55000000000000004</v>
      </c>
      <c r="H14" s="416">
        <v>0.8600000000000001</v>
      </c>
      <c r="I14" s="416">
        <v>0.73</v>
      </c>
      <c r="J14" s="416">
        <v>0.55000000000000004</v>
      </c>
      <c r="K14" s="416">
        <v>0.8600000000000001</v>
      </c>
      <c r="L14" s="416">
        <v>0.8600000000000001</v>
      </c>
      <c r="M14" s="416">
        <v>0.57000000000000006</v>
      </c>
      <c r="N14" s="416">
        <v>0.73</v>
      </c>
      <c r="O14" s="416">
        <v>0.73</v>
      </c>
      <c r="P14" s="416">
        <v>0.8600000000000001</v>
      </c>
      <c r="Q14" s="416">
        <v>0.57000000000000006</v>
      </c>
      <c r="R14" s="416">
        <v>0.65999999999999992</v>
      </c>
      <c r="S14" s="416">
        <v>0.57000000000000006</v>
      </c>
      <c r="T14" s="416">
        <v>0.73</v>
      </c>
      <c r="U14" s="416">
        <v>0.73</v>
      </c>
      <c r="V14" s="416">
        <v>0.73</v>
      </c>
      <c r="W14" s="416">
        <v>0.57000000000000006</v>
      </c>
      <c r="X14" s="416">
        <v>0.8600000000000001</v>
      </c>
      <c r="Y14" s="416">
        <v>0.57000000000000006</v>
      </c>
      <c r="Z14" s="416">
        <v>0.57000000000000006</v>
      </c>
      <c r="AA14" s="416">
        <v>0.65999999999999992</v>
      </c>
      <c r="AB14" s="416">
        <v>0.86</v>
      </c>
      <c r="AC14" s="416">
        <v>0.73</v>
      </c>
      <c r="AD14" s="416">
        <v>0.55000000000000004</v>
      </c>
      <c r="AE14" s="416">
        <v>0.73</v>
      </c>
      <c r="AF14" s="416">
        <v>0.86</v>
      </c>
      <c r="AG14" s="416">
        <v>0.86</v>
      </c>
      <c r="AH14" s="416">
        <v>0.86</v>
      </c>
      <c r="AI14" s="416">
        <v>0.65999999999999992</v>
      </c>
      <c r="AJ14" s="416">
        <v>0.86</v>
      </c>
      <c r="AK14" s="416">
        <v>0.8600000000000001</v>
      </c>
      <c r="AL14" s="416">
        <v>0.57000000000000006</v>
      </c>
      <c r="AM14" s="416">
        <v>0.65999999999999992</v>
      </c>
      <c r="AN14" s="416">
        <v>0.57000000000000006</v>
      </c>
      <c r="AO14" s="416">
        <v>0.86</v>
      </c>
      <c r="AP14" s="416">
        <v>0.86</v>
      </c>
    </row>
    <row r="15" spans="1:42" s="163" customFormat="1" ht="14.25" customHeight="1" x14ac:dyDescent="0.25">
      <c r="A15" s="401" t="s">
        <v>720</v>
      </c>
      <c r="B15" s="401"/>
      <c r="C15" s="401">
        <v>2</v>
      </c>
      <c r="D15" s="416">
        <v>0.22</v>
      </c>
      <c r="E15" s="416">
        <v>0.22</v>
      </c>
      <c r="F15" s="416">
        <v>0.15000000000000002</v>
      </c>
      <c r="G15" s="416">
        <v>0.22</v>
      </c>
      <c r="H15" s="416">
        <v>7.0000000000000007E-2</v>
      </c>
      <c r="I15" s="416">
        <v>0.125</v>
      </c>
      <c r="J15" s="416">
        <v>0.22</v>
      </c>
      <c r="K15" s="416">
        <v>7.0000000000000007E-2</v>
      </c>
      <c r="L15" s="416">
        <v>7.0000000000000007E-2</v>
      </c>
      <c r="M15" s="416">
        <v>0.21000000000000002</v>
      </c>
      <c r="N15" s="416">
        <v>0.125</v>
      </c>
      <c r="O15" s="416">
        <v>0.125</v>
      </c>
      <c r="P15" s="416">
        <v>7.0000000000000007E-2</v>
      </c>
      <c r="Q15" s="416">
        <v>0.21000000000000002</v>
      </c>
      <c r="R15" s="416">
        <v>0.15000000000000002</v>
      </c>
      <c r="S15" s="416">
        <v>0.21000000000000002</v>
      </c>
      <c r="T15" s="416">
        <v>0.125</v>
      </c>
      <c r="U15" s="416">
        <v>0.125</v>
      </c>
      <c r="V15" s="416">
        <v>0.125</v>
      </c>
      <c r="W15" s="416">
        <v>0.21000000000000002</v>
      </c>
      <c r="X15" s="416">
        <v>7.0000000000000007E-2</v>
      </c>
      <c r="Y15" s="416">
        <v>0.21000000000000002</v>
      </c>
      <c r="Z15" s="416">
        <v>0.21000000000000002</v>
      </c>
      <c r="AA15" s="416">
        <v>0.15000000000000002</v>
      </c>
      <c r="AB15" s="416">
        <v>5.5E-2</v>
      </c>
      <c r="AC15" s="416">
        <v>0.125</v>
      </c>
      <c r="AD15" s="416">
        <v>0.22</v>
      </c>
      <c r="AE15" s="416">
        <v>0.125</v>
      </c>
      <c r="AF15" s="416">
        <v>5.5E-2</v>
      </c>
      <c r="AG15" s="416">
        <v>5.5E-2</v>
      </c>
      <c r="AH15" s="416">
        <v>5.5E-2</v>
      </c>
      <c r="AI15" s="416">
        <v>0.15000000000000002</v>
      </c>
      <c r="AJ15" s="416">
        <v>5.5E-2</v>
      </c>
      <c r="AK15" s="416">
        <v>7.0000000000000007E-2</v>
      </c>
      <c r="AL15" s="416">
        <v>0.21000000000000002</v>
      </c>
      <c r="AM15" s="416">
        <v>0.15000000000000002</v>
      </c>
      <c r="AN15" s="416">
        <v>0.21000000000000002</v>
      </c>
      <c r="AO15" s="416">
        <v>5.5E-2</v>
      </c>
      <c r="AP15" s="416">
        <v>5.5E-2</v>
      </c>
    </row>
    <row r="16" spans="1:42" s="163" customFormat="1" ht="14.25" customHeight="1" x14ac:dyDescent="0.25">
      <c r="A16" s="401" t="s">
        <v>719</v>
      </c>
      <c r="B16" s="401"/>
      <c r="C16" s="401">
        <v>4</v>
      </c>
      <c r="D16" s="416">
        <v>0.23</v>
      </c>
      <c r="E16" s="416">
        <v>0.23</v>
      </c>
      <c r="F16" s="416">
        <v>0.17</v>
      </c>
      <c r="G16" s="416">
        <v>0.23</v>
      </c>
      <c r="H16" s="416">
        <v>7.0000000000000007E-2</v>
      </c>
      <c r="I16" s="416">
        <v>0.14000000000000001</v>
      </c>
      <c r="J16" s="416">
        <v>0.23</v>
      </c>
      <c r="K16" s="416">
        <v>7.0000000000000007E-2</v>
      </c>
      <c r="L16" s="416">
        <v>7.0000000000000007E-2</v>
      </c>
      <c r="M16" s="416">
        <v>0.21000000000000002</v>
      </c>
      <c r="N16" s="416">
        <v>0.14000000000000001</v>
      </c>
      <c r="O16" s="416">
        <v>0.14000000000000001</v>
      </c>
      <c r="P16" s="416">
        <v>7.0000000000000007E-2</v>
      </c>
      <c r="Q16" s="416">
        <v>0.21000000000000002</v>
      </c>
      <c r="R16" s="416">
        <v>0.17</v>
      </c>
      <c r="S16" s="416">
        <v>0.21000000000000002</v>
      </c>
      <c r="T16" s="416">
        <v>0.14000000000000001</v>
      </c>
      <c r="U16" s="416">
        <v>0.14000000000000001</v>
      </c>
      <c r="V16" s="416">
        <v>0.14000000000000001</v>
      </c>
      <c r="W16" s="416">
        <v>0.21000000000000002</v>
      </c>
      <c r="X16" s="416">
        <v>7.0000000000000007E-2</v>
      </c>
      <c r="Y16" s="416">
        <v>0.21000000000000002</v>
      </c>
      <c r="Z16" s="416">
        <v>0.21000000000000002</v>
      </c>
      <c r="AA16" s="416">
        <v>0.17</v>
      </c>
      <c r="AB16" s="416">
        <v>6.5000000000000002E-2</v>
      </c>
      <c r="AC16" s="416">
        <v>0.14000000000000001</v>
      </c>
      <c r="AD16" s="416">
        <v>0.23</v>
      </c>
      <c r="AE16" s="416">
        <v>0.14000000000000001</v>
      </c>
      <c r="AF16" s="416">
        <v>6.5000000000000002E-2</v>
      </c>
      <c r="AG16" s="416">
        <v>6.5000000000000002E-2</v>
      </c>
      <c r="AH16" s="416">
        <v>6.5000000000000002E-2</v>
      </c>
      <c r="AI16" s="416">
        <v>0.17</v>
      </c>
      <c r="AJ16" s="416">
        <v>6.5000000000000002E-2</v>
      </c>
      <c r="AK16" s="416">
        <v>7.0000000000000007E-2</v>
      </c>
      <c r="AL16" s="416">
        <v>0.21000000000000002</v>
      </c>
      <c r="AM16" s="416">
        <v>0.17</v>
      </c>
      <c r="AN16" s="416">
        <v>0.21000000000000002</v>
      </c>
      <c r="AO16" s="416">
        <v>6.5000000000000002E-2</v>
      </c>
      <c r="AP16" s="416">
        <v>6.5000000000000002E-2</v>
      </c>
    </row>
    <row r="17" spans="1:42" s="163" customFormat="1" ht="14.25" customHeight="1" x14ac:dyDescent="0.25">
      <c r="A17" s="400" t="s">
        <v>741</v>
      </c>
      <c r="B17" s="400"/>
      <c r="C17" s="400">
        <v>8</v>
      </c>
      <c r="D17" s="416">
        <v>0.01</v>
      </c>
      <c r="E17" s="416">
        <v>0.01</v>
      </c>
      <c r="F17" s="416">
        <v>0.02</v>
      </c>
      <c r="G17" s="416">
        <v>0.01</v>
      </c>
      <c r="H17" s="416">
        <v>0</v>
      </c>
      <c r="I17" s="416">
        <v>1.4999999999999999E-2</v>
      </c>
      <c r="J17" s="416">
        <v>0.01</v>
      </c>
      <c r="K17" s="416">
        <v>0</v>
      </c>
      <c r="L17" s="416">
        <v>0</v>
      </c>
      <c r="M17" s="416">
        <v>0</v>
      </c>
      <c r="N17" s="416">
        <v>1.4999999999999999E-2</v>
      </c>
      <c r="O17" s="416">
        <v>1.4999999999999999E-2</v>
      </c>
      <c r="P17" s="416">
        <v>0</v>
      </c>
      <c r="Q17" s="416">
        <v>0</v>
      </c>
      <c r="R17" s="416">
        <v>0.02</v>
      </c>
      <c r="S17" s="416">
        <v>0</v>
      </c>
      <c r="T17" s="416">
        <v>1.4999999999999999E-2</v>
      </c>
      <c r="U17" s="416">
        <v>1.4999999999999999E-2</v>
      </c>
      <c r="V17" s="416">
        <v>1.4999999999999999E-2</v>
      </c>
      <c r="W17" s="416">
        <v>0</v>
      </c>
      <c r="X17" s="416">
        <v>0</v>
      </c>
      <c r="Y17" s="416">
        <v>0</v>
      </c>
      <c r="Z17" s="416">
        <v>0</v>
      </c>
      <c r="AA17" s="416">
        <v>0.02</v>
      </c>
      <c r="AB17" s="416">
        <v>0.01</v>
      </c>
      <c r="AC17" s="416">
        <v>1.4999999999999999E-2</v>
      </c>
      <c r="AD17" s="416">
        <v>0.01</v>
      </c>
      <c r="AE17" s="416">
        <v>1.4999999999999999E-2</v>
      </c>
      <c r="AF17" s="416">
        <v>0.01</v>
      </c>
      <c r="AG17" s="416">
        <v>0.01</v>
      </c>
      <c r="AH17" s="416">
        <v>0.01</v>
      </c>
      <c r="AI17" s="416">
        <v>0.02</v>
      </c>
      <c r="AJ17" s="416">
        <v>0.01</v>
      </c>
      <c r="AK17" s="416">
        <v>0</v>
      </c>
      <c r="AL17" s="416">
        <v>0</v>
      </c>
      <c r="AM17" s="416">
        <v>0.02</v>
      </c>
      <c r="AN17" s="416">
        <v>0</v>
      </c>
      <c r="AO17" s="416">
        <v>0.01</v>
      </c>
      <c r="AP17" s="416">
        <v>0.01</v>
      </c>
    </row>
    <row r="18" spans="1:42" s="163" customFormat="1" ht="14.25" customHeight="1" x14ac:dyDescent="0.25">
      <c r="A18" s="394" t="s">
        <v>750</v>
      </c>
      <c r="B18" s="383"/>
      <c r="C18" s="417"/>
      <c r="D18" s="416">
        <f>SUM(D14:D17)</f>
        <v>1.01</v>
      </c>
      <c r="E18" s="416">
        <f t="shared" ref="E18:AP18" si="2">SUM(E14:E17)</f>
        <v>1.01</v>
      </c>
      <c r="F18" s="416">
        <f t="shared" si="2"/>
        <v>1</v>
      </c>
      <c r="G18" s="416">
        <f t="shared" si="2"/>
        <v>1.01</v>
      </c>
      <c r="H18" s="416">
        <f t="shared" si="2"/>
        <v>1.0000000000000002</v>
      </c>
      <c r="I18" s="416">
        <f t="shared" si="2"/>
        <v>1.01</v>
      </c>
      <c r="J18" s="416">
        <f t="shared" si="2"/>
        <v>1.01</v>
      </c>
      <c r="K18" s="416">
        <f t="shared" si="2"/>
        <v>1.0000000000000002</v>
      </c>
      <c r="L18" s="416">
        <f t="shared" si="2"/>
        <v>1.0000000000000002</v>
      </c>
      <c r="M18" s="416">
        <f t="shared" si="2"/>
        <v>0.99</v>
      </c>
      <c r="N18" s="416">
        <f t="shared" si="2"/>
        <v>1.01</v>
      </c>
      <c r="O18" s="416">
        <f t="shared" si="2"/>
        <v>1.01</v>
      </c>
      <c r="P18" s="416">
        <f t="shared" si="2"/>
        <v>1.0000000000000002</v>
      </c>
      <c r="Q18" s="416">
        <f t="shared" si="2"/>
        <v>0.99</v>
      </c>
      <c r="R18" s="416">
        <f t="shared" si="2"/>
        <v>1</v>
      </c>
      <c r="S18" s="416">
        <f t="shared" si="2"/>
        <v>0.99</v>
      </c>
      <c r="T18" s="416">
        <f t="shared" si="2"/>
        <v>1.01</v>
      </c>
      <c r="U18" s="416">
        <f t="shared" si="2"/>
        <v>1.01</v>
      </c>
      <c r="V18" s="416">
        <f t="shared" si="2"/>
        <v>1.01</v>
      </c>
      <c r="W18" s="416">
        <f t="shared" si="2"/>
        <v>0.99</v>
      </c>
      <c r="X18" s="416">
        <f t="shared" si="2"/>
        <v>1.0000000000000002</v>
      </c>
      <c r="Y18" s="416">
        <f t="shared" si="2"/>
        <v>0.99</v>
      </c>
      <c r="Z18" s="416">
        <f t="shared" si="2"/>
        <v>0.99</v>
      </c>
      <c r="AA18" s="416">
        <f t="shared" si="2"/>
        <v>1</v>
      </c>
      <c r="AB18" s="416">
        <f t="shared" si="2"/>
        <v>0.99</v>
      </c>
      <c r="AC18" s="416">
        <f t="shared" si="2"/>
        <v>1.01</v>
      </c>
      <c r="AD18" s="416">
        <f t="shared" si="2"/>
        <v>1.01</v>
      </c>
      <c r="AE18" s="416">
        <f t="shared" si="2"/>
        <v>1.01</v>
      </c>
      <c r="AF18" s="416">
        <f t="shared" si="2"/>
        <v>0.99</v>
      </c>
      <c r="AG18" s="416">
        <f t="shared" si="2"/>
        <v>0.99</v>
      </c>
      <c r="AH18" s="416">
        <f t="shared" si="2"/>
        <v>0.99</v>
      </c>
      <c r="AI18" s="416">
        <f t="shared" si="2"/>
        <v>1</v>
      </c>
      <c r="AJ18" s="416">
        <f t="shared" si="2"/>
        <v>0.99</v>
      </c>
      <c r="AK18" s="416">
        <f t="shared" si="2"/>
        <v>1.0000000000000002</v>
      </c>
      <c r="AL18" s="416">
        <f t="shared" si="2"/>
        <v>0.99</v>
      </c>
      <c r="AM18" s="416">
        <f t="shared" si="2"/>
        <v>1</v>
      </c>
      <c r="AN18" s="416">
        <f t="shared" si="2"/>
        <v>0.99</v>
      </c>
      <c r="AO18" s="416">
        <f t="shared" si="2"/>
        <v>0.99</v>
      </c>
      <c r="AP18" s="416">
        <f t="shared" si="2"/>
        <v>0.99</v>
      </c>
    </row>
    <row r="19" spans="1:42" s="163" customFormat="1" ht="14.25" customHeight="1" x14ac:dyDescent="0.25">
      <c r="A19" s="383"/>
      <c r="B19" s="383"/>
      <c r="C19" s="417"/>
      <c r="D19" s="415">
        <f>D18-D14</f>
        <v>0.45999999999999996</v>
      </c>
      <c r="E19" s="415">
        <f t="shared" ref="E19:AP19" si="3">E18-E14</f>
        <v>0.45999999999999996</v>
      </c>
      <c r="F19" s="415">
        <f t="shared" si="3"/>
        <v>0.34000000000000008</v>
      </c>
      <c r="G19" s="415">
        <f t="shared" si="3"/>
        <v>0.45999999999999996</v>
      </c>
      <c r="H19" s="415">
        <f t="shared" si="3"/>
        <v>0.14000000000000012</v>
      </c>
      <c r="I19" s="415">
        <f t="shared" si="3"/>
        <v>0.28000000000000003</v>
      </c>
      <c r="J19" s="415">
        <f t="shared" si="3"/>
        <v>0.45999999999999996</v>
      </c>
      <c r="K19" s="415">
        <f t="shared" si="3"/>
        <v>0.14000000000000012</v>
      </c>
      <c r="L19" s="415">
        <f t="shared" si="3"/>
        <v>0.14000000000000012</v>
      </c>
      <c r="M19" s="415">
        <f t="shared" si="3"/>
        <v>0.41999999999999993</v>
      </c>
      <c r="N19" s="415">
        <f t="shared" si="3"/>
        <v>0.28000000000000003</v>
      </c>
      <c r="O19" s="415">
        <f t="shared" si="3"/>
        <v>0.28000000000000003</v>
      </c>
      <c r="P19" s="415">
        <f t="shared" si="3"/>
        <v>0.14000000000000012</v>
      </c>
      <c r="Q19" s="415">
        <f t="shared" si="3"/>
        <v>0.41999999999999993</v>
      </c>
      <c r="R19" s="415">
        <f t="shared" si="3"/>
        <v>0.34000000000000008</v>
      </c>
      <c r="S19" s="415">
        <f t="shared" si="3"/>
        <v>0.41999999999999993</v>
      </c>
      <c r="T19" s="415">
        <f t="shared" si="3"/>
        <v>0.28000000000000003</v>
      </c>
      <c r="U19" s="415">
        <f t="shared" si="3"/>
        <v>0.28000000000000003</v>
      </c>
      <c r="V19" s="415">
        <f t="shared" si="3"/>
        <v>0.28000000000000003</v>
      </c>
      <c r="W19" s="415">
        <f t="shared" si="3"/>
        <v>0.41999999999999993</v>
      </c>
      <c r="X19" s="415">
        <f t="shared" si="3"/>
        <v>0.14000000000000012</v>
      </c>
      <c r="Y19" s="415">
        <f t="shared" si="3"/>
        <v>0.41999999999999993</v>
      </c>
      <c r="Z19" s="415">
        <f t="shared" si="3"/>
        <v>0.41999999999999993</v>
      </c>
      <c r="AA19" s="415">
        <f t="shared" si="3"/>
        <v>0.34000000000000008</v>
      </c>
      <c r="AB19" s="415">
        <f t="shared" si="3"/>
        <v>0.13</v>
      </c>
      <c r="AC19" s="415">
        <f t="shared" si="3"/>
        <v>0.28000000000000003</v>
      </c>
      <c r="AD19" s="415">
        <f t="shared" si="3"/>
        <v>0.45999999999999996</v>
      </c>
      <c r="AE19" s="415">
        <f t="shared" si="3"/>
        <v>0.28000000000000003</v>
      </c>
      <c r="AF19" s="415">
        <f t="shared" si="3"/>
        <v>0.13</v>
      </c>
      <c r="AG19" s="415">
        <f t="shared" si="3"/>
        <v>0.13</v>
      </c>
      <c r="AH19" s="415">
        <f t="shared" si="3"/>
        <v>0.13</v>
      </c>
      <c r="AI19" s="415">
        <f t="shared" si="3"/>
        <v>0.34000000000000008</v>
      </c>
      <c r="AJ19" s="415">
        <f t="shared" si="3"/>
        <v>0.13</v>
      </c>
      <c r="AK19" s="415">
        <f t="shared" si="3"/>
        <v>0.14000000000000012</v>
      </c>
      <c r="AL19" s="415">
        <f t="shared" si="3"/>
        <v>0.41999999999999993</v>
      </c>
      <c r="AM19" s="415">
        <f t="shared" si="3"/>
        <v>0.34000000000000008</v>
      </c>
      <c r="AN19" s="415">
        <f t="shared" si="3"/>
        <v>0.41999999999999993</v>
      </c>
      <c r="AO19" s="415">
        <f t="shared" si="3"/>
        <v>0.13</v>
      </c>
      <c r="AP19" s="415">
        <f t="shared" si="3"/>
        <v>0.13</v>
      </c>
    </row>
    <row r="20" spans="1:42" s="163" customFormat="1" ht="14.25" customHeight="1" x14ac:dyDescent="0.25">
      <c r="A20" s="414" t="s">
        <v>743</v>
      </c>
      <c r="B20" s="414"/>
      <c r="C20" s="414"/>
      <c r="D20" s="416"/>
      <c r="E20" s="416"/>
      <c r="F20" s="416"/>
      <c r="G20" s="416"/>
      <c r="H20" s="416"/>
      <c r="I20" s="416"/>
      <c r="J20" s="416"/>
      <c r="K20" s="416"/>
      <c r="L20" s="416"/>
      <c r="M20" s="416"/>
      <c r="N20" s="416"/>
      <c r="O20" s="416"/>
      <c r="P20" s="416"/>
      <c r="Q20" s="416"/>
      <c r="R20" s="416"/>
      <c r="S20" s="416"/>
      <c r="T20" s="416"/>
      <c r="U20" s="416"/>
      <c r="V20" s="416"/>
      <c r="W20" s="416"/>
      <c r="X20" s="416"/>
      <c r="Y20" s="416"/>
      <c r="Z20" s="416"/>
      <c r="AA20" s="416"/>
      <c r="AB20" s="416"/>
      <c r="AC20" s="416"/>
      <c r="AD20" s="416"/>
      <c r="AE20" s="416"/>
      <c r="AF20" s="416"/>
      <c r="AG20" s="416"/>
      <c r="AH20" s="416"/>
      <c r="AI20" s="416"/>
      <c r="AJ20" s="416"/>
      <c r="AK20" s="416"/>
      <c r="AL20" s="416"/>
      <c r="AM20" s="416"/>
      <c r="AN20" s="416"/>
      <c r="AO20" s="416"/>
      <c r="AP20" s="416"/>
    </row>
    <row r="21" spans="1:42" s="163" customFormat="1" ht="14.25" customHeight="1" x14ac:dyDescent="0.25">
      <c r="A21" s="399" t="s">
        <v>722</v>
      </c>
      <c r="B21" s="399"/>
      <c r="C21" s="399">
        <v>0</v>
      </c>
      <c r="D21" s="415"/>
      <c r="E21" s="415"/>
      <c r="F21" s="415"/>
      <c r="G21" s="415"/>
      <c r="H21" s="415"/>
      <c r="I21" s="415"/>
      <c r="J21" s="415"/>
      <c r="K21" s="415"/>
      <c r="L21" s="415"/>
      <c r="M21" s="415"/>
      <c r="N21" s="415"/>
      <c r="O21" s="415"/>
      <c r="P21" s="415"/>
      <c r="Q21" s="415"/>
      <c r="R21" s="415"/>
      <c r="S21" s="415"/>
      <c r="T21" s="415"/>
      <c r="U21" s="415"/>
      <c r="V21" s="415"/>
      <c r="W21" s="415"/>
      <c r="X21" s="415"/>
      <c r="Y21" s="415"/>
      <c r="Z21" s="415"/>
      <c r="AA21" s="415"/>
      <c r="AB21" s="415"/>
      <c r="AC21" s="415"/>
      <c r="AD21" s="415"/>
      <c r="AE21" s="415"/>
      <c r="AF21" s="415"/>
      <c r="AG21" s="415"/>
      <c r="AH21" s="415"/>
      <c r="AI21" s="415"/>
      <c r="AJ21" s="415"/>
      <c r="AK21" s="415"/>
      <c r="AL21" s="415"/>
      <c r="AM21" s="415"/>
      <c r="AN21" s="415"/>
      <c r="AO21" s="415"/>
      <c r="AP21" s="415"/>
    </row>
    <row r="22" spans="1:42" s="163" customFormat="1" ht="14.25" customHeight="1" x14ac:dyDescent="0.25">
      <c r="A22" s="398" t="s">
        <v>721</v>
      </c>
      <c r="B22" s="398"/>
      <c r="C22" s="398">
        <v>1</v>
      </c>
      <c r="D22" s="415"/>
      <c r="E22" s="415"/>
      <c r="F22" s="415"/>
      <c r="G22" s="415"/>
      <c r="H22" s="415"/>
      <c r="I22" s="415"/>
      <c r="J22" s="415"/>
      <c r="K22" s="415"/>
      <c r="L22" s="415"/>
      <c r="M22" s="415"/>
      <c r="N22" s="415"/>
      <c r="O22" s="415"/>
      <c r="P22" s="415"/>
      <c r="Q22" s="415"/>
      <c r="R22" s="415"/>
      <c r="S22" s="415"/>
      <c r="T22" s="415"/>
      <c r="U22" s="415"/>
      <c r="V22" s="415"/>
      <c r="W22" s="415"/>
      <c r="X22" s="415"/>
      <c r="Y22" s="415"/>
      <c r="Z22" s="415"/>
      <c r="AA22" s="415"/>
      <c r="AB22" s="415"/>
      <c r="AC22" s="415"/>
      <c r="AD22" s="415"/>
      <c r="AE22" s="415"/>
      <c r="AF22" s="415"/>
      <c r="AG22" s="415"/>
      <c r="AH22" s="415"/>
      <c r="AI22" s="415"/>
      <c r="AJ22" s="415"/>
      <c r="AK22" s="415"/>
      <c r="AL22" s="415"/>
      <c r="AM22" s="415"/>
      <c r="AN22" s="415"/>
      <c r="AO22" s="415"/>
      <c r="AP22" s="415"/>
    </row>
    <row r="23" spans="1:42" s="163" customFormat="1" ht="14.25" customHeight="1" x14ac:dyDescent="0.25">
      <c r="A23" s="398" t="s">
        <v>720</v>
      </c>
      <c r="B23" s="398"/>
      <c r="C23" s="398">
        <v>2</v>
      </c>
      <c r="D23" s="416">
        <v>0.43500000000000005</v>
      </c>
      <c r="E23" s="416">
        <v>0.43500000000000005</v>
      </c>
      <c r="F23" s="416">
        <v>0.39</v>
      </c>
      <c r="G23" s="416">
        <v>0.43500000000000005</v>
      </c>
      <c r="H23" s="416">
        <v>0.435</v>
      </c>
      <c r="I23" s="416">
        <v>0.41500000000000004</v>
      </c>
      <c r="J23" s="416">
        <v>0.43500000000000005</v>
      </c>
      <c r="K23" s="416">
        <v>0.435</v>
      </c>
      <c r="L23" s="416">
        <v>0.435</v>
      </c>
      <c r="M23" s="416">
        <v>0.42500000000000004</v>
      </c>
      <c r="N23" s="416">
        <v>0.41500000000000004</v>
      </c>
      <c r="O23" s="416">
        <v>0.41500000000000004</v>
      </c>
      <c r="P23" s="416">
        <v>0.435</v>
      </c>
      <c r="Q23" s="416">
        <v>0.42500000000000004</v>
      </c>
      <c r="R23" s="416">
        <v>0.39</v>
      </c>
      <c r="S23" s="416">
        <v>0.42500000000000004</v>
      </c>
      <c r="T23" s="416">
        <v>0.41500000000000004</v>
      </c>
      <c r="U23" s="416">
        <v>0.41500000000000004</v>
      </c>
      <c r="V23" s="416">
        <v>0.41500000000000004</v>
      </c>
      <c r="W23" s="416">
        <v>0.42500000000000004</v>
      </c>
      <c r="X23" s="416">
        <v>0.435</v>
      </c>
      <c r="Y23" s="416">
        <v>0.42500000000000004</v>
      </c>
      <c r="Z23" s="416">
        <v>0.42500000000000004</v>
      </c>
      <c r="AA23" s="416">
        <v>0.39</v>
      </c>
      <c r="AB23" s="416">
        <v>0.44</v>
      </c>
      <c r="AC23" s="416">
        <v>0.41500000000000004</v>
      </c>
      <c r="AD23" s="416">
        <v>0.43500000000000005</v>
      </c>
      <c r="AE23" s="416">
        <v>0.41500000000000004</v>
      </c>
      <c r="AF23" s="416">
        <v>0.44</v>
      </c>
      <c r="AG23" s="416">
        <v>0.44</v>
      </c>
      <c r="AH23" s="416">
        <v>0.44</v>
      </c>
      <c r="AI23" s="416">
        <v>0.39</v>
      </c>
      <c r="AJ23" s="416">
        <v>0.44</v>
      </c>
      <c r="AK23" s="416">
        <v>0.435</v>
      </c>
      <c r="AL23" s="416">
        <v>0.42500000000000004</v>
      </c>
      <c r="AM23" s="416">
        <v>0.39</v>
      </c>
      <c r="AN23" s="416">
        <v>0.42500000000000004</v>
      </c>
      <c r="AO23" s="416">
        <v>0.44</v>
      </c>
      <c r="AP23" s="416">
        <v>0.44</v>
      </c>
    </row>
    <row r="24" spans="1:42" s="163" customFormat="1" ht="14.25" customHeight="1" x14ac:dyDescent="0.25">
      <c r="A24" s="398" t="s">
        <v>719</v>
      </c>
      <c r="B24" s="398"/>
      <c r="C24" s="398">
        <v>4</v>
      </c>
      <c r="D24" s="416">
        <v>0.5</v>
      </c>
      <c r="E24" s="416">
        <v>0.5</v>
      </c>
      <c r="F24" s="416">
        <v>0.5</v>
      </c>
      <c r="G24" s="416">
        <v>0.5</v>
      </c>
      <c r="H24" s="416">
        <v>0.5</v>
      </c>
      <c r="I24" s="416">
        <v>0.5</v>
      </c>
      <c r="J24" s="416">
        <v>0.5</v>
      </c>
      <c r="K24" s="416">
        <v>0.5</v>
      </c>
      <c r="L24" s="416">
        <v>0.5</v>
      </c>
      <c r="M24" s="416">
        <v>0.49500000000000005</v>
      </c>
      <c r="N24" s="416">
        <v>0.5</v>
      </c>
      <c r="O24" s="416">
        <v>0.5</v>
      </c>
      <c r="P24" s="416">
        <v>0.5</v>
      </c>
      <c r="Q24" s="416">
        <v>0.49500000000000005</v>
      </c>
      <c r="R24" s="416">
        <v>0.5</v>
      </c>
      <c r="S24" s="416">
        <v>0.49500000000000005</v>
      </c>
      <c r="T24" s="416">
        <v>0.5</v>
      </c>
      <c r="U24" s="416">
        <v>0.5</v>
      </c>
      <c r="V24" s="416">
        <v>0.5</v>
      </c>
      <c r="W24" s="416">
        <v>0.49500000000000005</v>
      </c>
      <c r="X24" s="416">
        <v>0.5</v>
      </c>
      <c r="Y24" s="416">
        <v>0.49500000000000005</v>
      </c>
      <c r="Z24" s="416">
        <v>0.49500000000000005</v>
      </c>
      <c r="AA24" s="416">
        <v>0.5</v>
      </c>
      <c r="AB24" s="416">
        <v>0.495</v>
      </c>
      <c r="AC24" s="416">
        <v>0.5</v>
      </c>
      <c r="AD24" s="416">
        <v>0.5</v>
      </c>
      <c r="AE24" s="416">
        <v>0.5</v>
      </c>
      <c r="AF24" s="416">
        <v>0.495</v>
      </c>
      <c r="AG24" s="416">
        <v>0.495</v>
      </c>
      <c r="AH24" s="416">
        <v>0.495</v>
      </c>
      <c r="AI24" s="416">
        <v>0.5</v>
      </c>
      <c r="AJ24" s="416">
        <v>0.495</v>
      </c>
      <c r="AK24" s="416">
        <v>0.5</v>
      </c>
      <c r="AL24" s="416">
        <v>0.49500000000000005</v>
      </c>
      <c r="AM24" s="416">
        <v>0.5</v>
      </c>
      <c r="AN24" s="416">
        <v>0.49500000000000005</v>
      </c>
      <c r="AO24" s="416">
        <v>0.495</v>
      </c>
      <c r="AP24" s="416">
        <v>0.495</v>
      </c>
    </row>
    <row r="25" spans="1:42" s="163" customFormat="1" ht="14.25" customHeight="1" x14ac:dyDescent="0.25">
      <c r="A25" s="397" t="s">
        <v>741</v>
      </c>
      <c r="B25" s="397"/>
      <c r="C25" s="397">
        <v>8</v>
      </c>
      <c r="D25" s="416">
        <v>6.5000000000000002E-2</v>
      </c>
      <c r="E25" s="416">
        <v>6.5000000000000002E-2</v>
      </c>
      <c r="F25" s="416">
        <v>0.11</v>
      </c>
      <c r="G25" s="416">
        <v>6.5000000000000002E-2</v>
      </c>
      <c r="H25" s="416">
        <v>6.5000000000000002E-2</v>
      </c>
      <c r="I25" s="416">
        <v>8.5000000000000006E-2</v>
      </c>
      <c r="J25" s="416">
        <v>6.5000000000000002E-2</v>
      </c>
      <c r="K25" s="416">
        <v>6.5000000000000002E-2</v>
      </c>
      <c r="L25" s="416">
        <v>6.5000000000000002E-2</v>
      </c>
      <c r="M25" s="416">
        <v>7.0000000000000007E-2</v>
      </c>
      <c r="N25" s="416">
        <v>8.5000000000000006E-2</v>
      </c>
      <c r="O25" s="416">
        <v>8.5000000000000006E-2</v>
      </c>
      <c r="P25" s="416">
        <v>6.5000000000000002E-2</v>
      </c>
      <c r="Q25" s="416">
        <v>7.0000000000000007E-2</v>
      </c>
      <c r="R25" s="416">
        <v>0.11</v>
      </c>
      <c r="S25" s="416">
        <v>7.0000000000000007E-2</v>
      </c>
      <c r="T25" s="416">
        <v>8.5000000000000006E-2</v>
      </c>
      <c r="U25" s="416">
        <v>8.5000000000000006E-2</v>
      </c>
      <c r="V25" s="416">
        <v>8.5000000000000006E-2</v>
      </c>
      <c r="W25" s="416">
        <v>7.0000000000000007E-2</v>
      </c>
      <c r="X25" s="416">
        <v>6.5000000000000002E-2</v>
      </c>
      <c r="Y25" s="416">
        <v>7.0000000000000007E-2</v>
      </c>
      <c r="Z25" s="416">
        <v>7.0000000000000007E-2</v>
      </c>
      <c r="AA25" s="416">
        <v>0.11</v>
      </c>
      <c r="AB25" s="416">
        <v>5.5E-2</v>
      </c>
      <c r="AC25" s="416">
        <v>8.5000000000000006E-2</v>
      </c>
      <c r="AD25" s="416">
        <v>6.5000000000000002E-2</v>
      </c>
      <c r="AE25" s="416">
        <v>8.5000000000000006E-2</v>
      </c>
      <c r="AF25" s="416">
        <v>5.5E-2</v>
      </c>
      <c r="AG25" s="416">
        <v>5.5E-2</v>
      </c>
      <c r="AH25" s="416">
        <v>5.5E-2</v>
      </c>
      <c r="AI25" s="416">
        <v>0.11</v>
      </c>
      <c r="AJ25" s="416">
        <v>5.5E-2</v>
      </c>
      <c r="AK25" s="416">
        <v>6.5000000000000002E-2</v>
      </c>
      <c r="AL25" s="416">
        <v>7.0000000000000007E-2</v>
      </c>
      <c r="AM25" s="416">
        <v>0.11</v>
      </c>
      <c r="AN25" s="416">
        <v>7.0000000000000007E-2</v>
      </c>
      <c r="AO25" s="416">
        <v>5.5E-2</v>
      </c>
      <c r="AP25" s="416">
        <v>5.5E-2</v>
      </c>
    </row>
    <row r="26" spans="1:42" s="163" customFormat="1" ht="14.25" customHeight="1" x14ac:dyDescent="0.25">
      <c r="A26" s="394" t="s">
        <v>750</v>
      </c>
      <c r="B26" s="383"/>
      <c r="C26" s="418"/>
      <c r="D26" s="419">
        <f>SUM(D22:D25)</f>
        <v>1</v>
      </c>
      <c r="E26" s="419">
        <f t="shared" ref="E26:AP26" si="4">SUM(E22:E25)</f>
        <v>1</v>
      </c>
      <c r="F26" s="419">
        <f t="shared" si="4"/>
        <v>1</v>
      </c>
      <c r="G26" s="419">
        <f t="shared" si="4"/>
        <v>1</v>
      </c>
      <c r="H26" s="419">
        <f t="shared" si="4"/>
        <v>1</v>
      </c>
      <c r="I26" s="419">
        <f t="shared" si="4"/>
        <v>1</v>
      </c>
      <c r="J26" s="419">
        <f t="shared" si="4"/>
        <v>1</v>
      </c>
      <c r="K26" s="419">
        <f t="shared" si="4"/>
        <v>1</v>
      </c>
      <c r="L26" s="419">
        <f t="shared" si="4"/>
        <v>1</v>
      </c>
      <c r="M26" s="419">
        <f t="shared" si="4"/>
        <v>0.99000000000000021</v>
      </c>
      <c r="N26" s="419">
        <f t="shared" si="4"/>
        <v>1</v>
      </c>
      <c r="O26" s="419">
        <f t="shared" si="4"/>
        <v>1</v>
      </c>
      <c r="P26" s="419">
        <f t="shared" si="4"/>
        <v>1</v>
      </c>
      <c r="Q26" s="419">
        <f t="shared" si="4"/>
        <v>0.99000000000000021</v>
      </c>
      <c r="R26" s="419">
        <f t="shared" si="4"/>
        <v>1</v>
      </c>
      <c r="S26" s="419">
        <f t="shared" si="4"/>
        <v>0.99000000000000021</v>
      </c>
      <c r="T26" s="419">
        <f t="shared" si="4"/>
        <v>1</v>
      </c>
      <c r="U26" s="419">
        <f t="shared" si="4"/>
        <v>1</v>
      </c>
      <c r="V26" s="419">
        <f t="shared" si="4"/>
        <v>1</v>
      </c>
      <c r="W26" s="419">
        <f t="shared" si="4"/>
        <v>0.99000000000000021</v>
      </c>
      <c r="X26" s="419">
        <f t="shared" si="4"/>
        <v>1</v>
      </c>
      <c r="Y26" s="419">
        <f t="shared" si="4"/>
        <v>0.99000000000000021</v>
      </c>
      <c r="Z26" s="419">
        <f t="shared" si="4"/>
        <v>0.99000000000000021</v>
      </c>
      <c r="AA26" s="419">
        <f t="shared" si="4"/>
        <v>1</v>
      </c>
      <c r="AB26" s="419">
        <f t="shared" si="4"/>
        <v>0.9900000000000001</v>
      </c>
      <c r="AC26" s="419">
        <f t="shared" si="4"/>
        <v>1</v>
      </c>
      <c r="AD26" s="419">
        <f t="shared" si="4"/>
        <v>1</v>
      </c>
      <c r="AE26" s="419">
        <f t="shared" si="4"/>
        <v>1</v>
      </c>
      <c r="AF26" s="419">
        <f t="shared" si="4"/>
        <v>0.9900000000000001</v>
      </c>
      <c r="AG26" s="419">
        <f t="shared" si="4"/>
        <v>0.9900000000000001</v>
      </c>
      <c r="AH26" s="419">
        <f t="shared" si="4"/>
        <v>0.9900000000000001</v>
      </c>
      <c r="AI26" s="419">
        <f t="shared" si="4"/>
        <v>1</v>
      </c>
      <c r="AJ26" s="419">
        <f t="shared" si="4"/>
        <v>0.9900000000000001</v>
      </c>
      <c r="AK26" s="419">
        <f t="shared" si="4"/>
        <v>1</v>
      </c>
      <c r="AL26" s="419">
        <f t="shared" si="4"/>
        <v>0.99000000000000021</v>
      </c>
      <c r="AM26" s="419">
        <f t="shared" si="4"/>
        <v>1</v>
      </c>
      <c r="AN26" s="419">
        <f t="shared" si="4"/>
        <v>0.99000000000000021</v>
      </c>
      <c r="AO26" s="419">
        <f t="shared" si="4"/>
        <v>0.9900000000000001</v>
      </c>
      <c r="AP26" s="419">
        <f t="shared" si="4"/>
        <v>0.9900000000000001</v>
      </c>
    </row>
    <row r="27" spans="1:42" s="324" customFormat="1" ht="14.25" customHeight="1" x14ac:dyDescent="0.25">
      <c r="A27" s="820"/>
      <c r="B27" s="820"/>
      <c r="C27" s="820"/>
      <c r="D27" s="436">
        <f>D26-D23</f>
        <v>0.56499999999999995</v>
      </c>
      <c r="E27" s="436">
        <f t="shared" ref="E27:AP27" si="5">E26-E23</f>
        <v>0.56499999999999995</v>
      </c>
      <c r="F27" s="436">
        <f t="shared" si="5"/>
        <v>0.61</v>
      </c>
      <c r="G27" s="436">
        <f t="shared" si="5"/>
        <v>0.56499999999999995</v>
      </c>
      <c r="H27" s="436">
        <f t="shared" si="5"/>
        <v>0.56499999999999995</v>
      </c>
      <c r="I27" s="436">
        <f t="shared" si="5"/>
        <v>0.58499999999999996</v>
      </c>
      <c r="J27" s="436">
        <f t="shared" si="5"/>
        <v>0.56499999999999995</v>
      </c>
      <c r="K27" s="436">
        <f t="shared" si="5"/>
        <v>0.56499999999999995</v>
      </c>
      <c r="L27" s="436">
        <f t="shared" si="5"/>
        <v>0.56499999999999995</v>
      </c>
      <c r="M27" s="436">
        <f t="shared" si="5"/>
        <v>0.56500000000000017</v>
      </c>
      <c r="N27" s="436">
        <f t="shared" si="5"/>
        <v>0.58499999999999996</v>
      </c>
      <c r="O27" s="436">
        <f t="shared" si="5"/>
        <v>0.58499999999999996</v>
      </c>
      <c r="P27" s="436">
        <f t="shared" si="5"/>
        <v>0.56499999999999995</v>
      </c>
      <c r="Q27" s="436">
        <f t="shared" si="5"/>
        <v>0.56500000000000017</v>
      </c>
      <c r="R27" s="436">
        <f t="shared" si="5"/>
        <v>0.61</v>
      </c>
      <c r="S27" s="436">
        <f t="shared" si="5"/>
        <v>0.56500000000000017</v>
      </c>
      <c r="T27" s="436">
        <f t="shared" si="5"/>
        <v>0.58499999999999996</v>
      </c>
      <c r="U27" s="436">
        <f t="shared" si="5"/>
        <v>0.58499999999999996</v>
      </c>
      <c r="V27" s="436">
        <f t="shared" si="5"/>
        <v>0.58499999999999996</v>
      </c>
      <c r="W27" s="436">
        <f t="shared" si="5"/>
        <v>0.56500000000000017</v>
      </c>
      <c r="X27" s="436">
        <f t="shared" si="5"/>
        <v>0.56499999999999995</v>
      </c>
      <c r="Y27" s="436">
        <f t="shared" si="5"/>
        <v>0.56500000000000017</v>
      </c>
      <c r="Z27" s="436">
        <f t="shared" si="5"/>
        <v>0.56500000000000017</v>
      </c>
      <c r="AA27" s="436">
        <f t="shared" si="5"/>
        <v>0.61</v>
      </c>
      <c r="AB27" s="436">
        <f t="shared" si="5"/>
        <v>0.55000000000000004</v>
      </c>
      <c r="AC27" s="436">
        <f t="shared" si="5"/>
        <v>0.58499999999999996</v>
      </c>
      <c r="AD27" s="436">
        <f t="shared" si="5"/>
        <v>0.56499999999999995</v>
      </c>
      <c r="AE27" s="436">
        <f t="shared" si="5"/>
        <v>0.58499999999999996</v>
      </c>
      <c r="AF27" s="436">
        <f t="shared" si="5"/>
        <v>0.55000000000000004</v>
      </c>
      <c r="AG27" s="436">
        <f t="shared" si="5"/>
        <v>0.55000000000000004</v>
      </c>
      <c r="AH27" s="436">
        <f t="shared" si="5"/>
        <v>0.55000000000000004</v>
      </c>
      <c r="AI27" s="436">
        <f t="shared" si="5"/>
        <v>0.61</v>
      </c>
      <c r="AJ27" s="436">
        <f t="shared" si="5"/>
        <v>0.55000000000000004</v>
      </c>
      <c r="AK27" s="436">
        <f t="shared" si="5"/>
        <v>0.56499999999999995</v>
      </c>
      <c r="AL27" s="436">
        <f t="shared" si="5"/>
        <v>0.56500000000000017</v>
      </c>
      <c r="AM27" s="436">
        <f t="shared" si="5"/>
        <v>0.61</v>
      </c>
      <c r="AN27" s="436">
        <f t="shared" si="5"/>
        <v>0.56500000000000017</v>
      </c>
      <c r="AO27" s="436">
        <f t="shared" si="5"/>
        <v>0.55000000000000004</v>
      </c>
      <c r="AP27" s="436">
        <f t="shared" si="5"/>
        <v>0.55000000000000004</v>
      </c>
    </row>
    <row r="28" spans="1:42" s="324" customFormat="1" ht="14.25" customHeight="1" x14ac:dyDescent="0.25">
      <c r="A28" s="820" t="s">
        <v>1256</v>
      </c>
      <c r="B28" s="820"/>
      <c r="C28" s="820"/>
      <c r="D28" s="821">
        <v>19673046.524218429</v>
      </c>
      <c r="E28" s="821">
        <v>425228.4421439062</v>
      </c>
      <c r="F28" s="821">
        <v>14908854.564605907</v>
      </c>
      <c r="G28" s="821">
        <v>12921362.924794784</v>
      </c>
      <c r="H28" s="821">
        <v>19855673.855352983</v>
      </c>
      <c r="I28" s="821">
        <v>0</v>
      </c>
      <c r="J28" s="821">
        <v>15642697.407704437</v>
      </c>
      <c r="K28" s="821">
        <v>29023098.007256158</v>
      </c>
      <c r="L28" s="821">
        <v>3566233.6019253056</v>
      </c>
      <c r="M28" s="821">
        <v>2860823.3569973195</v>
      </c>
      <c r="N28" s="821">
        <v>242706.48049825779</v>
      </c>
      <c r="O28" s="821">
        <v>1475549.4715098513</v>
      </c>
      <c r="P28" s="821">
        <v>29678747.662895575</v>
      </c>
      <c r="Q28" s="821">
        <v>1739150.1283427344</v>
      </c>
      <c r="R28" s="821">
        <v>5072540.9845214766</v>
      </c>
      <c r="S28" s="821">
        <v>435856.57472999993</v>
      </c>
      <c r="T28" s="821">
        <v>40349.203312500002</v>
      </c>
      <c r="U28" s="821">
        <v>3034320.7040688517</v>
      </c>
      <c r="V28" s="821">
        <v>22594.411769999999</v>
      </c>
      <c r="W28" s="821">
        <v>104126.14664364845</v>
      </c>
      <c r="X28" s="821">
        <v>793238.65761984384</v>
      </c>
      <c r="Y28" s="821">
        <v>534717.75025593746</v>
      </c>
      <c r="Z28" s="821">
        <v>147469.00119656252</v>
      </c>
      <c r="AA28" s="821">
        <v>19393951.554426469</v>
      </c>
      <c r="AB28" s="821">
        <v>33565805.549890012</v>
      </c>
      <c r="AC28" s="821">
        <v>1053697.8518878361</v>
      </c>
      <c r="AD28" s="821">
        <v>24899675.066322185</v>
      </c>
      <c r="AE28" s="821">
        <v>221561.47591668749</v>
      </c>
      <c r="AF28" s="821">
        <v>1432959.0687947343</v>
      </c>
      <c r="AG28" s="821">
        <v>1040950.0824909844</v>
      </c>
      <c r="AH28" s="821">
        <v>2661907.1140967109</v>
      </c>
      <c r="AI28" s="821">
        <v>779949.69867548451</v>
      </c>
      <c r="AJ28" s="821">
        <v>25772024.164501291</v>
      </c>
      <c r="AK28" s="821">
        <v>3283177.1687068124</v>
      </c>
      <c r="AL28" s="821">
        <v>814568.80548749992</v>
      </c>
      <c r="AM28" s="821">
        <v>10374737.026484812</v>
      </c>
      <c r="AN28" s="821">
        <v>1785453.067331953</v>
      </c>
      <c r="AO28" s="821">
        <v>23500202.076442063</v>
      </c>
      <c r="AP28" s="821">
        <v>21660525.475665726</v>
      </c>
    </row>
    <row r="29" spans="1:42" s="324" customFormat="1" ht="14.25" customHeight="1" x14ac:dyDescent="0.25">
      <c r="A29" s="820"/>
      <c r="B29" s="820"/>
      <c r="C29" s="820"/>
      <c r="D29" s="436"/>
      <c r="E29" s="436"/>
      <c r="F29" s="436"/>
      <c r="G29" s="436"/>
      <c r="H29" s="436"/>
      <c r="I29" s="436"/>
      <c r="J29" s="436"/>
      <c r="K29" s="436"/>
      <c r="L29" s="436"/>
      <c r="M29" s="436"/>
      <c r="N29" s="436"/>
      <c r="O29" s="436"/>
      <c r="P29" s="436"/>
      <c r="Q29" s="436"/>
      <c r="R29" s="436"/>
      <c r="S29" s="436"/>
      <c r="T29" s="436"/>
      <c r="U29" s="436"/>
      <c r="V29" s="436"/>
      <c r="W29" s="436"/>
      <c r="X29" s="436"/>
      <c r="Y29" s="436"/>
      <c r="Z29" s="436"/>
      <c r="AA29" s="436"/>
      <c r="AB29" s="436"/>
      <c r="AC29" s="436"/>
      <c r="AD29" s="436"/>
      <c r="AE29" s="436"/>
      <c r="AF29" s="436"/>
      <c r="AG29" s="436"/>
      <c r="AH29" s="436"/>
      <c r="AI29" s="436"/>
      <c r="AJ29" s="436"/>
      <c r="AK29" s="436"/>
      <c r="AL29" s="436"/>
      <c r="AM29" s="436"/>
      <c r="AN29" s="436"/>
      <c r="AO29" s="436"/>
      <c r="AP29" s="436"/>
    </row>
    <row r="30" spans="1:42" s="324" customFormat="1" ht="14.25" customHeight="1" x14ac:dyDescent="0.4">
      <c r="A30" s="826" t="s">
        <v>1254</v>
      </c>
      <c r="B30" s="820"/>
      <c r="C30" s="820"/>
      <c r="D30" s="436"/>
      <c r="E30" s="436"/>
      <c r="F30" s="436"/>
      <c r="G30" s="436"/>
      <c r="H30" s="436"/>
      <c r="I30" s="436"/>
      <c r="J30" s="436"/>
      <c r="K30" s="436"/>
      <c r="L30" s="436"/>
      <c r="M30" s="436"/>
      <c r="N30" s="436"/>
      <c r="O30" s="436"/>
      <c r="P30" s="436"/>
      <c r="Q30" s="436"/>
      <c r="R30" s="436"/>
      <c r="S30" s="436"/>
      <c r="T30" s="436"/>
      <c r="U30" s="436"/>
      <c r="V30" s="436"/>
      <c r="W30" s="436"/>
      <c r="X30" s="436"/>
      <c r="Y30" s="436"/>
      <c r="Z30" s="436"/>
      <c r="AA30" s="436"/>
      <c r="AB30" s="436"/>
      <c r="AC30" s="436"/>
      <c r="AD30" s="436"/>
      <c r="AE30" s="436"/>
      <c r="AF30" s="436"/>
      <c r="AG30" s="436"/>
      <c r="AH30" s="436"/>
      <c r="AI30" s="436"/>
      <c r="AJ30" s="436"/>
      <c r="AK30" s="436"/>
      <c r="AL30" s="436"/>
      <c r="AM30" s="436"/>
      <c r="AN30" s="436"/>
      <c r="AO30" s="436"/>
      <c r="AP30" s="436"/>
    </row>
    <row r="31" spans="1:42" s="324" customFormat="1" ht="14.25" customHeight="1" x14ac:dyDescent="0.25">
      <c r="A31" s="21" t="s">
        <v>1246</v>
      </c>
      <c r="B31" s="820"/>
      <c r="C31" s="820"/>
      <c r="D31" s="16">
        <v>0.41650903800827072</v>
      </c>
      <c r="E31" s="16">
        <v>0.3456098607940124</v>
      </c>
      <c r="F31" s="16">
        <v>0.46041235903702338</v>
      </c>
      <c r="G31" s="16">
        <v>0.25306376891645022</v>
      </c>
      <c r="H31" s="16">
        <v>0.74001459253967405</v>
      </c>
      <c r="I31" s="16">
        <v>0.42976185440754339</v>
      </c>
      <c r="J31" s="16">
        <v>0.27057583506494987</v>
      </c>
      <c r="K31" s="16">
        <v>0.66397138055814608</v>
      </c>
      <c r="L31" s="16">
        <v>0.3346099829853334</v>
      </c>
      <c r="M31" s="16">
        <v>0.46827463441375416</v>
      </c>
      <c r="N31" s="16">
        <v>0.67987198723466491</v>
      </c>
      <c r="O31" s="16">
        <v>0.45490195809007855</v>
      </c>
      <c r="P31" s="16">
        <v>0.66273490701076609</v>
      </c>
      <c r="Q31" s="16">
        <v>0.67168616014482385</v>
      </c>
      <c r="R31" s="16">
        <v>0.38436465577446943</v>
      </c>
      <c r="S31" s="16">
        <v>0.33137023698665052</v>
      </c>
      <c r="T31" s="16">
        <v>0</v>
      </c>
      <c r="U31" s="16">
        <v>0.52728032987201046</v>
      </c>
      <c r="V31" s="16">
        <v>0.29509297110079491</v>
      </c>
      <c r="W31" s="16">
        <v>0.94490332916925857</v>
      </c>
      <c r="X31" s="16">
        <v>0.64166077653234899</v>
      </c>
      <c r="Y31" s="16">
        <v>0.68020488187982975</v>
      </c>
      <c r="Z31" s="16">
        <v>0.691562015994441</v>
      </c>
      <c r="AA31" s="16">
        <v>0.38432422231794205</v>
      </c>
      <c r="AB31" s="16">
        <v>0.40194956539040616</v>
      </c>
      <c r="AC31" s="16">
        <v>0.51178666223209479</v>
      </c>
      <c r="AD31" s="16">
        <v>0.30105835586802615</v>
      </c>
      <c r="AE31" s="16">
        <v>0.63157268717327442</v>
      </c>
      <c r="AF31" s="16">
        <v>0.62320448311880727</v>
      </c>
      <c r="AG31" s="16">
        <v>0.71856153113945442</v>
      </c>
      <c r="AH31" s="16">
        <v>0.30790157079467012</v>
      </c>
      <c r="AI31" s="16">
        <v>0.70460215551419603</v>
      </c>
      <c r="AJ31" s="16">
        <v>0.32589858179841658</v>
      </c>
      <c r="AK31" s="16">
        <v>0.22357875484462578</v>
      </c>
      <c r="AL31" s="16">
        <v>0.1603621288732954</v>
      </c>
      <c r="AM31" s="16">
        <v>0.40480332193167112</v>
      </c>
      <c r="AN31" s="16">
        <v>0.57649906718026955</v>
      </c>
      <c r="AO31" s="16">
        <v>0.4799525067637358</v>
      </c>
      <c r="AP31" s="16">
        <v>0.39831940952457651</v>
      </c>
    </row>
    <row r="32" spans="1:42" s="324" customFormat="1" ht="14.25" customHeight="1" x14ac:dyDescent="0.25">
      <c r="A32" s="21" t="s">
        <v>1247</v>
      </c>
      <c r="B32" s="820"/>
      <c r="C32" s="820"/>
      <c r="D32" s="16">
        <v>0.38429804194017203</v>
      </c>
      <c r="E32" s="16">
        <v>0.48350218095211767</v>
      </c>
      <c r="F32" s="16">
        <v>0.51399181249775383</v>
      </c>
      <c r="G32" s="16">
        <v>0.65553372514218666</v>
      </c>
      <c r="H32" s="16">
        <v>0.16859080176973573</v>
      </c>
      <c r="I32" s="16">
        <v>0.43427777903954001</v>
      </c>
      <c r="J32" s="16">
        <v>0.62465013449376283</v>
      </c>
      <c r="K32" s="16">
        <v>0.13723414281024601</v>
      </c>
      <c r="L32" s="16">
        <v>0.58543103236824978</v>
      </c>
      <c r="M32" s="16">
        <v>0.37154199777875391</v>
      </c>
      <c r="N32" s="16">
        <v>0.31942827075451313</v>
      </c>
      <c r="O32" s="16">
        <v>0.3402305232393556</v>
      </c>
      <c r="P32" s="16">
        <v>0.22920688084719204</v>
      </c>
      <c r="Q32" s="16">
        <v>0.21770408823260862</v>
      </c>
      <c r="R32" s="16">
        <v>0.42901303572366806</v>
      </c>
      <c r="S32" s="16">
        <v>0.65844357918693874</v>
      </c>
      <c r="T32" s="16">
        <v>0</v>
      </c>
      <c r="U32" s="16">
        <v>0.40265417710010321</v>
      </c>
      <c r="V32" s="16">
        <v>0.70490702889920498</v>
      </c>
      <c r="W32" s="16">
        <v>0</v>
      </c>
      <c r="X32" s="16">
        <v>4.139932748803319E-2</v>
      </c>
      <c r="Y32" s="16">
        <v>0.13472932375288432</v>
      </c>
      <c r="Z32" s="16">
        <v>0.3084197411532314</v>
      </c>
      <c r="AA32" s="16">
        <v>0.57676292688433128</v>
      </c>
      <c r="AB32" s="16">
        <v>0.4863559254121369</v>
      </c>
      <c r="AC32" s="16">
        <v>0.38096666273947022</v>
      </c>
      <c r="AD32" s="16">
        <v>0.51496628586710214</v>
      </c>
      <c r="AE32" s="16">
        <v>0.36704655745552434</v>
      </c>
      <c r="AF32" s="16">
        <v>0.1665577775830076</v>
      </c>
      <c r="AG32" s="16">
        <v>0.18241382160985439</v>
      </c>
      <c r="AH32" s="16">
        <v>0.68391792077983671</v>
      </c>
      <c r="AI32" s="16">
        <v>0.28919846005794725</v>
      </c>
      <c r="AJ32" s="16">
        <v>0.4454515547824146</v>
      </c>
      <c r="AK32" s="16">
        <v>0.65831036510610696</v>
      </c>
      <c r="AL32" s="16">
        <v>0.82376547951930201</v>
      </c>
      <c r="AM32" s="16">
        <v>0.46046550599321368</v>
      </c>
      <c r="AN32" s="16">
        <v>0.38040541926286298</v>
      </c>
      <c r="AO32" s="16">
        <v>0.17572007427566189</v>
      </c>
      <c r="AP32" s="16">
        <v>0.33748607759093741</v>
      </c>
    </row>
    <row r="33" spans="1:42" s="324" customFormat="1" ht="14.25" customHeight="1" x14ac:dyDescent="0.25">
      <c r="A33" s="21" t="s">
        <v>1248</v>
      </c>
      <c r="B33" s="820"/>
      <c r="C33" s="820"/>
      <c r="D33" s="16">
        <v>3.0125976124299868E-2</v>
      </c>
      <c r="E33" s="16">
        <v>1.2902407844560202E-2</v>
      </c>
      <c r="F33" s="16">
        <v>1.052419865405888E-2</v>
      </c>
      <c r="G33" s="16">
        <v>9.4201316818885005E-3</v>
      </c>
      <c r="H33" s="16">
        <v>8.6309250760537165E-2</v>
      </c>
      <c r="I33" s="16">
        <v>6.0580336762407379E-2</v>
      </c>
      <c r="J33" s="16">
        <v>8.2260590811690879E-3</v>
      </c>
      <c r="K33" s="16">
        <v>0.15527163644456932</v>
      </c>
      <c r="L33" s="16">
        <v>6.4920619490958453E-2</v>
      </c>
      <c r="M33" s="16">
        <v>2.7092390142668107E-2</v>
      </c>
      <c r="N33" s="16">
        <v>5.4167978465502042E-4</v>
      </c>
      <c r="O33" s="16">
        <v>2.7700837843618892E-3</v>
      </c>
      <c r="P33" s="16">
        <v>0.10413460054255985</v>
      </c>
      <c r="Q33" s="16">
        <v>7.6256513745645528E-3</v>
      </c>
      <c r="R33" s="16">
        <v>0.11740440554807886</v>
      </c>
      <c r="S33" s="16">
        <v>1.0186183826410664E-2</v>
      </c>
      <c r="T33" s="16">
        <v>2.8001815579064986E-2</v>
      </c>
      <c r="U33" s="16">
        <v>3.5986301581554477E-3</v>
      </c>
      <c r="V33" s="16">
        <v>0</v>
      </c>
      <c r="W33" s="16">
        <v>5.500617942905231E-2</v>
      </c>
      <c r="X33" s="16">
        <v>0.31677983692255657</v>
      </c>
      <c r="Y33" s="16">
        <v>7.1288621894406351E-2</v>
      </c>
      <c r="Z33" s="16">
        <v>0</v>
      </c>
      <c r="AA33" s="16">
        <v>2.2914498159249432E-2</v>
      </c>
      <c r="AB33" s="16">
        <v>6.658511653040404E-2</v>
      </c>
      <c r="AC33" s="16">
        <v>1.0030304778735673E-2</v>
      </c>
      <c r="AD33" s="16">
        <v>9.2181611617738243E-3</v>
      </c>
      <c r="AE33" s="16">
        <v>1.3439036012452981E-3</v>
      </c>
      <c r="AF33" s="16">
        <v>0.18323423244924789</v>
      </c>
      <c r="AG33" s="16">
        <v>9.875167357755002E-2</v>
      </c>
      <c r="AH33" s="16">
        <v>8.0034009556337778E-3</v>
      </c>
      <c r="AI33" s="16">
        <v>6.1230216408689805E-3</v>
      </c>
      <c r="AJ33" s="16">
        <v>8.1515780259485651E-2</v>
      </c>
      <c r="AK33" s="16">
        <v>1.7074516443092169E-2</v>
      </c>
      <c r="AL33" s="16">
        <v>1.5860474486861901E-2</v>
      </c>
      <c r="AM33" s="16">
        <v>0.10942826737917093</v>
      </c>
      <c r="AN33" s="16">
        <v>1.4856721589552495E-2</v>
      </c>
      <c r="AO33" s="16">
        <v>0.27792071744162755</v>
      </c>
      <c r="AP33" s="16">
        <v>0.1956941560824374</v>
      </c>
    </row>
    <row r="34" spans="1:42" s="324" customFormat="1" ht="14.25" customHeight="1" x14ac:dyDescent="0.25">
      <c r="A34" s="21" t="s">
        <v>1249</v>
      </c>
      <c r="B34" s="820"/>
      <c r="C34" s="820"/>
      <c r="D34" s="16">
        <v>0.1690669439272573</v>
      </c>
      <c r="E34" s="16">
        <v>0.15798555040930973</v>
      </c>
      <c r="F34" s="16">
        <v>1.5071629811163945E-2</v>
      </c>
      <c r="G34" s="16">
        <v>8.1982374259474633E-2</v>
      </c>
      <c r="H34" s="16">
        <v>5.085354930053021E-3</v>
      </c>
      <c r="I34" s="16">
        <v>7.5380029790509173E-2</v>
      </c>
      <c r="J34" s="16">
        <v>9.6547971360118168E-2</v>
      </c>
      <c r="K34" s="16">
        <v>4.3522840187038558E-2</v>
      </c>
      <c r="L34" s="16">
        <v>1.5038365155458422E-2</v>
      </c>
      <c r="M34" s="16">
        <v>0.13309097766482392</v>
      </c>
      <c r="N34" s="16">
        <v>1.5806222616687737E-4</v>
      </c>
      <c r="O34" s="16">
        <v>0.20209743488620391</v>
      </c>
      <c r="P34" s="16">
        <v>3.9236115994820686E-3</v>
      </c>
      <c r="Q34" s="16">
        <v>0.10298410024800297</v>
      </c>
      <c r="R34" s="16">
        <v>6.9217902953783716E-2</v>
      </c>
      <c r="S34" s="16">
        <v>0</v>
      </c>
      <c r="T34" s="16">
        <v>0.971998184420935</v>
      </c>
      <c r="U34" s="16">
        <v>6.6466862869730914E-2</v>
      </c>
      <c r="V34" s="16">
        <v>0</v>
      </c>
      <c r="W34" s="16">
        <v>9.0491401689152262E-5</v>
      </c>
      <c r="X34" s="16">
        <v>1.6005905706117929E-4</v>
      </c>
      <c r="Y34" s="16">
        <v>0.11377717247287966</v>
      </c>
      <c r="Z34" s="16">
        <v>1.8242852327654546E-5</v>
      </c>
      <c r="AA34" s="16">
        <v>1.5998352638477265E-2</v>
      </c>
      <c r="AB34" s="16">
        <v>4.5109392667052939E-2</v>
      </c>
      <c r="AC34" s="16">
        <v>9.7216370249699313E-2</v>
      </c>
      <c r="AD34" s="16">
        <v>0.17475719710309789</v>
      </c>
      <c r="AE34" s="16">
        <v>3.6851769956047775E-5</v>
      </c>
      <c r="AF34" s="16">
        <v>2.7003506848937264E-2</v>
      </c>
      <c r="AG34" s="16">
        <v>2.7297367314116361E-4</v>
      </c>
      <c r="AH34" s="16">
        <v>1.7710746985932779E-4</v>
      </c>
      <c r="AI34" s="16">
        <v>7.6362786987749232E-5</v>
      </c>
      <c r="AJ34" s="16">
        <v>0.14713408315968313</v>
      </c>
      <c r="AK34" s="16">
        <v>0.10103636360617507</v>
      </c>
      <c r="AL34" s="16">
        <v>1.1917120540716475E-5</v>
      </c>
      <c r="AM34" s="16">
        <v>2.5302904695944317E-2</v>
      </c>
      <c r="AN34" s="16">
        <v>2.8238791967314936E-2</v>
      </c>
      <c r="AO34" s="16">
        <v>6.6406701518974653E-2</v>
      </c>
      <c r="AP34" s="16">
        <v>6.8500356802048579E-2</v>
      </c>
    </row>
    <row r="35" spans="1:42" s="163" customFormat="1" ht="14.25" customHeight="1" x14ac:dyDescent="0.25">
      <c r="A35" s="34"/>
      <c r="B35" s="34"/>
      <c r="C35" s="817"/>
      <c r="D35" s="419"/>
      <c r="E35" s="419"/>
      <c r="F35" s="419"/>
      <c r="G35" s="419"/>
      <c r="H35" s="419"/>
      <c r="I35" s="419"/>
      <c r="J35" s="419"/>
      <c r="K35" s="419"/>
      <c r="L35" s="419"/>
      <c r="M35" s="419"/>
      <c r="N35" s="419"/>
      <c r="O35" s="419"/>
      <c r="P35" s="419"/>
      <c r="Q35" s="419"/>
      <c r="R35" s="419"/>
      <c r="S35" s="419"/>
      <c r="T35" s="419"/>
      <c r="U35" s="419"/>
      <c r="V35" s="419"/>
      <c r="W35" s="419"/>
      <c r="X35" s="419"/>
      <c r="Y35" s="419"/>
      <c r="Z35" s="419"/>
      <c r="AA35" s="419"/>
      <c r="AB35" s="419"/>
      <c r="AC35" s="419"/>
      <c r="AD35" s="419"/>
      <c r="AE35" s="419"/>
      <c r="AF35" s="419"/>
      <c r="AG35" s="419"/>
      <c r="AH35" s="419"/>
      <c r="AI35" s="419"/>
      <c r="AJ35" s="419"/>
      <c r="AK35" s="419"/>
      <c r="AL35" s="419"/>
      <c r="AM35" s="419"/>
      <c r="AN35" s="419"/>
      <c r="AO35" s="419"/>
      <c r="AP35" s="419"/>
    </row>
    <row r="36" spans="1:42" s="163" customFormat="1" ht="14.25" customHeight="1" x14ac:dyDescent="0.25">
      <c r="A36" s="34" t="s">
        <v>1255</v>
      </c>
      <c r="B36" s="34"/>
      <c r="C36" s="817"/>
      <c r="D36" s="422"/>
      <c r="E36" s="422"/>
      <c r="F36" s="422"/>
      <c r="G36" s="422"/>
      <c r="H36" s="422"/>
      <c r="I36" s="422"/>
      <c r="J36" s="422"/>
      <c r="K36" s="422"/>
      <c r="L36" s="422"/>
      <c r="M36" s="422"/>
      <c r="N36" s="422"/>
      <c r="O36" s="422"/>
      <c r="P36" s="422"/>
      <c r="Q36" s="422"/>
      <c r="R36" s="422"/>
      <c r="S36" s="422"/>
      <c r="T36" s="422"/>
      <c r="U36" s="422"/>
      <c r="V36" s="422"/>
      <c r="W36" s="422"/>
      <c r="X36" s="422"/>
      <c r="Y36" s="422"/>
      <c r="Z36" s="422"/>
      <c r="AA36" s="422"/>
      <c r="AB36" s="422"/>
      <c r="AC36" s="422"/>
      <c r="AD36" s="422"/>
      <c r="AE36" s="422"/>
      <c r="AF36" s="422"/>
      <c r="AG36" s="422"/>
      <c r="AH36" s="422"/>
      <c r="AI36" s="422"/>
      <c r="AJ36" s="422"/>
      <c r="AK36" s="422"/>
      <c r="AL36" s="422"/>
      <c r="AM36" s="422"/>
      <c r="AN36" s="422"/>
      <c r="AO36" s="422"/>
      <c r="AP36" s="422"/>
    </row>
    <row r="37" spans="1:42" s="163" customFormat="1" ht="14.25" customHeight="1" x14ac:dyDescent="0.25">
      <c r="A37" s="35" t="s">
        <v>1250</v>
      </c>
      <c r="B37" s="34"/>
      <c r="C37" s="817"/>
      <c r="D37" s="422">
        <f t="shared" ref="D37:AP37" si="6">$B178*D$31+$C178*D$32+$D178*D$33+$E178*D$34</f>
        <v>0.57177778576544425</v>
      </c>
      <c r="E37" s="422">
        <f t="shared" si="6"/>
        <v>0.56419075960650555</v>
      </c>
      <c r="F37" s="422">
        <f t="shared" si="6"/>
        <v>0.54151578889004259</v>
      </c>
      <c r="G37" s="422">
        <f t="shared" si="6"/>
        <v>0.54779303934674428</v>
      </c>
      <c r="H37" s="422">
        <f t="shared" si="6"/>
        <v>0.56380988334737203</v>
      </c>
      <c r="I37" s="422">
        <f t="shared" si="6"/>
        <v>0.56256612734506939</v>
      </c>
      <c r="J37" s="422">
        <f t="shared" si="6"/>
        <v>0.55051115415790741</v>
      </c>
      <c r="K37" s="422">
        <f t="shared" si="6"/>
        <v>0.58415189974671344</v>
      </c>
      <c r="L37" s="422">
        <f t="shared" si="6"/>
        <v>0.55060410286230432</v>
      </c>
      <c r="M37" s="422">
        <f t="shared" si="6"/>
        <v>0.56609357473378841</v>
      </c>
      <c r="N37" s="422">
        <f t="shared" si="6"/>
        <v>0.54214633852199323</v>
      </c>
      <c r="O37" s="422">
        <f t="shared" si="6"/>
        <v>0.57236286890881904</v>
      </c>
      <c r="P37" s="422">
        <f t="shared" si="6"/>
        <v>0.56568528982725463</v>
      </c>
      <c r="Q37" s="422">
        <f t="shared" si="6"/>
        <v>0.56153014310629812</v>
      </c>
      <c r="R37" s="422">
        <f t="shared" si="6"/>
        <v>0.57313824065959174</v>
      </c>
      <c r="S37" s="422">
        <f t="shared" si="6"/>
        <v>0.53557614728560865</v>
      </c>
      <c r="T37" s="422">
        <f t="shared" si="6"/>
        <v>0.70140009077895327</v>
      </c>
      <c r="U37" s="422">
        <f t="shared" si="6"/>
        <v>0.55062340103458818</v>
      </c>
      <c r="V37" s="422">
        <f t="shared" si="6"/>
        <v>0.53237732427751983</v>
      </c>
      <c r="W37" s="422">
        <f t="shared" si="6"/>
        <v>0.56101480959606387</v>
      </c>
      <c r="X37" s="422">
        <f t="shared" si="6"/>
        <v>0.61234499305586965</v>
      </c>
      <c r="Y37" s="422">
        <f t="shared" si="6"/>
        <v>0.57795606715599113</v>
      </c>
      <c r="Z37" s="422">
        <f t="shared" si="6"/>
        <v>0.54229224289901845</v>
      </c>
      <c r="AA37" s="422">
        <f t="shared" si="6"/>
        <v>0.54256357935551314</v>
      </c>
      <c r="AB37" s="422">
        <f t="shared" si="6"/>
        <v>0.55792453407083542</v>
      </c>
      <c r="AC37" s="422">
        <f t="shared" si="6"/>
        <v>0.55706434992471532</v>
      </c>
      <c r="AD37" s="422">
        <f t="shared" si="6"/>
        <v>0.56518305465114183</v>
      </c>
      <c r="AE37" s="422">
        <f t="shared" si="6"/>
        <v>0.54109814454935445</v>
      </c>
      <c r="AF37" s="422">
        <f t="shared" si="6"/>
        <v>0.58653342807761499</v>
      </c>
      <c r="AG37" s="422">
        <f t="shared" si="6"/>
        <v>0.56523093522623491</v>
      </c>
      <c r="AH37" s="422">
        <f t="shared" si="6"/>
        <v>0.5345292982921096</v>
      </c>
      <c r="AI37" s="422">
        <f t="shared" si="6"/>
        <v>0.54400609724477333</v>
      </c>
      <c r="AJ37" s="422">
        <f t="shared" si="6"/>
        <v>0.57723697965628917</v>
      </c>
      <c r="AK37" s="422">
        <f t="shared" si="6"/>
        <v>0.552112598701892</v>
      </c>
      <c r="AL37" s="422">
        <f t="shared" si="6"/>
        <v>0.532579745477471</v>
      </c>
      <c r="AM37" s="422">
        <f t="shared" si="6"/>
        <v>0.56416945153039555</v>
      </c>
      <c r="AN37" s="422">
        <f t="shared" si="6"/>
        <v>0.54769702763143635</v>
      </c>
      <c r="AO37" s="422">
        <f t="shared" si="6"/>
        <v>0.6111521468592801</v>
      </c>
      <c r="AP37" s="422">
        <f t="shared" si="6"/>
        <v>0.59097673279702134</v>
      </c>
    </row>
    <row r="38" spans="1:42" s="163" customFormat="1" ht="14.25" customHeight="1" x14ac:dyDescent="0.25">
      <c r="A38" s="35" t="s">
        <v>1251</v>
      </c>
      <c r="B38" s="34"/>
      <c r="C38" s="817"/>
      <c r="D38" s="422">
        <f t="shared" ref="D38:AP38" si="7">$B179*D$31+$C179*D$32+$D179*D$33+$E179*D$34</f>
        <v>0.52645753931125461</v>
      </c>
      <c r="E38" s="422">
        <f t="shared" si="7"/>
        <v>0.51823624697389514</v>
      </c>
      <c r="F38" s="422">
        <f t="shared" si="7"/>
        <v>0.50212309718798609</v>
      </c>
      <c r="G38" s="422">
        <f t="shared" si="7"/>
        <v>0.50159906762907425</v>
      </c>
      <c r="H38" s="422">
        <f t="shared" si="7"/>
        <v>0.52786765174958561</v>
      </c>
      <c r="I38" s="422">
        <f t="shared" si="7"/>
        <v>0.51839665612237473</v>
      </c>
      <c r="J38" s="422">
        <f t="shared" si="7"/>
        <v>0.50445054779646981</v>
      </c>
      <c r="K38" s="422">
        <f t="shared" si="7"/>
        <v>0.54189953143376268</v>
      </c>
      <c r="L38" s="422">
        <f t="shared" si="7"/>
        <v>0.50534736233350319</v>
      </c>
      <c r="M38" s="422">
        <f t="shared" si="7"/>
        <v>0.52311854664537827</v>
      </c>
      <c r="N38" s="422">
        <f t="shared" si="7"/>
        <v>0.5091121026579728</v>
      </c>
      <c r="O38" s="422">
        <f t="shared" si="7"/>
        <v>0.52854447779969782</v>
      </c>
      <c r="P38" s="422">
        <f t="shared" si="7"/>
        <v>0.52694884218540872</v>
      </c>
      <c r="Q38" s="422">
        <f t="shared" si="7"/>
        <v>0.52536641203499046</v>
      </c>
      <c r="R38" s="422">
        <f t="shared" si="7"/>
        <v>0.52514668920270491</v>
      </c>
      <c r="S38" s="422">
        <f t="shared" si="7"/>
        <v>0.49335109401895433</v>
      </c>
      <c r="T38" s="422">
        <f t="shared" si="7"/>
        <v>0.62570004538947666</v>
      </c>
      <c r="U38" s="422">
        <f t="shared" si="7"/>
        <v>0.51196380620173731</v>
      </c>
      <c r="V38" s="422">
        <f t="shared" si="7"/>
        <v>0.4897546485550397</v>
      </c>
      <c r="W38" s="422">
        <f t="shared" si="7"/>
        <v>0.53188482156880046</v>
      </c>
      <c r="X38" s="422">
        <f t="shared" si="7"/>
        <v>0.56254351914662393</v>
      </c>
      <c r="Y38" s="422">
        <f t="shared" si="7"/>
        <v>0.53855232879644466</v>
      </c>
      <c r="Z38" s="422">
        <f t="shared" si="7"/>
        <v>0.50958083722757119</v>
      </c>
      <c r="AA38" s="422">
        <f t="shared" si="7"/>
        <v>0.50062600118953737</v>
      </c>
      <c r="AB38" s="422">
        <f t="shared" si="7"/>
        <v>0.51351628256239901</v>
      </c>
      <c r="AC38" s="422">
        <f t="shared" si="7"/>
        <v>0.51692709198533837</v>
      </c>
      <c r="AD38" s="422">
        <f t="shared" si="7"/>
        <v>0.5178796755621764</v>
      </c>
      <c r="AE38" s="422">
        <f t="shared" si="7"/>
        <v>0.506819345254375</v>
      </c>
      <c r="AF38" s="422">
        <f t="shared" si="7"/>
        <v>0.54227674086189936</v>
      </c>
      <c r="AG38" s="422">
        <f t="shared" si="7"/>
        <v>0.52825056548401517</v>
      </c>
      <c r="AH38" s="422">
        <f t="shared" si="7"/>
        <v>0.49182223982744822</v>
      </c>
      <c r="AI38" s="422">
        <f t="shared" si="7"/>
        <v>0.51131309098091005</v>
      </c>
      <c r="AJ38" s="422">
        <f t="shared" si="7"/>
        <v>0.52763030310928327</v>
      </c>
      <c r="AK38" s="422">
        <f t="shared" si="7"/>
        <v>0.50432243266069865</v>
      </c>
      <c r="AL38" s="422">
        <f t="shared" si="7"/>
        <v>0.48579547704694664</v>
      </c>
      <c r="AM38" s="422">
        <f t="shared" si="7"/>
        <v>0.51818554859233013</v>
      </c>
      <c r="AN38" s="422">
        <f t="shared" si="7"/>
        <v>0.51066069843228235</v>
      </c>
      <c r="AO38" s="422">
        <f t="shared" si="7"/>
        <v>0.55759475611831788</v>
      </c>
      <c r="AP38" s="422">
        <f t="shared" si="7"/>
        <v>0.53943750131096269</v>
      </c>
    </row>
    <row r="39" spans="1:42" s="163" customFormat="1" ht="14.25" customHeight="1" x14ac:dyDescent="0.25">
      <c r="A39" s="35" t="s">
        <v>1252</v>
      </c>
      <c r="B39" s="34"/>
      <c r="C39" s="817"/>
      <c r="D39" s="422">
        <f t="shared" ref="D39:AP39" si="8">$B180*D$31+$C180*D$32+$D180*D$33+$E180*D$34</f>
        <v>0.26761108430087283</v>
      </c>
      <c r="E39" s="422">
        <f t="shared" si="8"/>
        <v>0.25871224181871211</v>
      </c>
      <c r="F39" s="422">
        <f t="shared" si="8"/>
        <v>0.22836715520275097</v>
      </c>
      <c r="G39" s="422">
        <f t="shared" si="8"/>
        <v>0.23456180176297445</v>
      </c>
      <c r="H39" s="422">
        <f t="shared" si="8"/>
        <v>0.2512184559735775</v>
      </c>
      <c r="I39" s="422">
        <f t="shared" si="8"/>
        <v>0.24942015068236556</v>
      </c>
      <c r="J39" s="422">
        <f t="shared" si="8"/>
        <v>0.23889969345545239</v>
      </c>
      <c r="K39" s="422">
        <f t="shared" si="8"/>
        <v>0.26737002454135228</v>
      </c>
      <c r="L39" s="422">
        <f t="shared" si="8"/>
        <v>0.23022818336177503</v>
      </c>
      <c r="M39" s="422">
        <f t="shared" si="8"/>
        <v>0.26075033465829389</v>
      </c>
      <c r="N39" s="422">
        <f t="shared" si="8"/>
        <v>0.23411436688597317</v>
      </c>
      <c r="O39" s="422">
        <f t="shared" si="8"/>
        <v>0.27368496919370916</v>
      </c>
      <c r="P39" s="422">
        <f t="shared" si="8"/>
        <v>0.24973783833179281</v>
      </c>
      <c r="Q39" s="422">
        <f t="shared" si="8"/>
        <v>0.26047418077542661</v>
      </c>
      <c r="R39" s="422">
        <f t="shared" si="8"/>
        <v>0.25413336935938124</v>
      </c>
      <c r="S39" s="422">
        <f t="shared" si="8"/>
        <v>0.21809643942329413</v>
      </c>
      <c r="T39" s="422">
        <f t="shared" si="8"/>
        <v>0.4471998184420935</v>
      </c>
      <c r="U39" s="422">
        <f t="shared" si="8"/>
        <v>0.2435205267347566</v>
      </c>
      <c r="V39" s="422">
        <f t="shared" si="8"/>
        <v>0.21475464855503973</v>
      </c>
      <c r="W39" s="422">
        <f t="shared" si="8"/>
        <v>0.25551871622324307</v>
      </c>
      <c r="X39" s="422">
        <f t="shared" si="8"/>
        <v>0.27964002912926622</v>
      </c>
      <c r="Y39" s="422">
        <f t="shared" si="8"/>
        <v>0.27314783049637237</v>
      </c>
      <c r="Z39" s="422">
        <f t="shared" si="8"/>
        <v>0.23458266151280399</v>
      </c>
      <c r="AA39" s="422">
        <f t="shared" si="8"/>
        <v>0.22665297399940385</v>
      </c>
      <c r="AB39" s="422">
        <f t="shared" si="8"/>
        <v>0.24136259391584414</v>
      </c>
      <c r="AC39" s="422">
        <f t="shared" si="8"/>
        <v>0.25139797139083991</v>
      </c>
      <c r="AD39" s="422">
        <f t="shared" si="8"/>
        <v>0.26012494124344188</v>
      </c>
      <c r="AE39" s="422">
        <f t="shared" si="8"/>
        <v>0.23178943284133957</v>
      </c>
      <c r="AF39" s="422">
        <f t="shared" si="8"/>
        <v>0.26539623573556187</v>
      </c>
      <c r="AG39" s="422">
        <f t="shared" si="8"/>
        <v>0.25080907101189054</v>
      </c>
      <c r="AH39" s="422">
        <f t="shared" si="8"/>
        <v>0.21663986555054338</v>
      </c>
      <c r="AI39" s="422">
        <f t="shared" si="8"/>
        <v>0.23616765171858708</v>
      </c>
      <c r="AJ39" s="422">
        <f t="shared" si="8"/>
        <v>0.26530581691876443</v>
      </c>
      <c r="AK39" s="422">
        <f t="shared" si="8"/>
        <v>0.23899920611023889</v>
      </c>
      <c r="AL39" s="422">
        <f t="shared" si="8"/>
        <v>0.21040015689682923</v>
      </c>
      <c r="AM39" s="422">
        <f t="shared" si="8"/>
        <v>0.24298013237744528</v>
      </c>
      <c r="AN39" s="422">
        <f t="shared" si="8"/>
        <v>0.23811315958927506</v>
      </c>
      <c r="AO39" s="422">
        <f t="shared" si="8"/>
        <v>0.28228740833417454</v>
      </c>
      <c r="AP39" s="422">
        <f t="shared" si="8"/>
        <v>0.26639518308910659</v>
      </c>
    </row>
    <row r="40" spans="1:42" s="163" customFormat="1" ht="14.25" customHeight="1" x14ac:dyDescent="0.25">
      <c r="A40" s="817" t="s">
        <v>718</v>
      </c>
      <c r="B40" s="34"/>
      <c r="C40" s="817"/>
      <c r="D40" s="422">
        <f t="shared" ref="D40:AP40" si="9">$B181*D$31+$C181*D$32+$D181*D$33+$E181*D$34</f>
        <v>0.26761108430087283</v>
      </c>
      <c r="E40" s="422">
        <f t="shared" si="9"/>
        <v>0.25871224181871211</v>
      </c>
      <c r="F40" s="422">
        <f t="shared" si="9"/>
        <v>0.22836715520275097</v>
      </c>
      <c r="G40" s="422">
        <f t="shared" si="9"/>
        <v>0.23456180176297445</v>
      </c>
      <c r="H40" s="422">
        <f t="shared" si="9"/>
        <v>0.2512184559735775</v>
      </c>
      <c r="I40" s="422">
        <f t="shared" si="9"/>
        <v>0.24942015068236556</v>
      </c>
      <c r="J40" s="422">
        <f t="shared" si="9"/>
        <v>0.23889969345545239</v>
      </c>
      <c r="K40" s="422">
        <f t="shared" si="9"/>
        <v>0.26737002454135228</v>
      </c>
      <c r="L40" s="422">
        <f t="shared" si="9"/>
        <v>0.23022818336177503</v>
      </c>
      <c r="M40" s="422">
        <f t="shared" si="9"/>
        <v>0.26075033465829389</v>
      </c>
      <c r="N40" s="422">
        <f t="shared" si="9"/>
        <v>0.23411436688597317</v>
      </c>
      <c r="O40" s="422">
        <f t="shared" si="9"/>
        <v>0.27368496919370916</v>
      </c>
      <c r="P40" s="422">
        <f t="shared" si="9"/>
        <v>0.24973783833179281</v>
      </c>
      <c r="Q40" s="422">
        <f t="shared" si="9"/>
        <v>0.26047418077542661</v>
      </c>
      <c r="R40" s="422">
        <f t="shared" si="9"/>
        <v>0.25413336935938124</v>
      </c>
      <c r="S40" s="422">
        <f t="shared" si="9"/>
        <v>0.21809643942329413</v>
      </c>
      <c r="T40" s="422">
        <f t="shared" si="9"/>
        <v>0.4471998184420935</v>
      </c>
      <c r="U40" s="422">
        <f t="shared" si="9"/>
        <v>0.2435205267347566</v>
      </c>
      <c r="V40" s="422">
        <f t="shared" si="9"/>
        <v>0.21475464855503973</v>
      </c>
      <c r="W40" s="422">
        <f t="shared" si="9"/>
        <v>0.25551871622324307</v>
      </c>
      <c r="X40" s="422">
        <f t="shared" si="9"/>
        <v>0.27964002912926622</v>
      </c>
      <c r="Y40" s="422">
        <f t="shared" si="9"/>
        <v>0.27314783049637237</v>
      </c>
      <c r="Z40" s="422">
        <f t="shared" si="9"/>
        <v>0.23458266151280399</v>
      </c>
      <c r="AA40" s="422">
        <f t="shared" si="9"/>
        <v>0.22665297399940385</v>
      </c>
      <c r="AB40" s="422">
        <f t="shared" si="9"/>
        <v>0.24136259391584414</v>
      </c>
      <c r="AC40" s="422">
        <f t="shared" si="9"/>
        <v>0.25139797139083991</v>
      </c>
      <c r="AD40" s="422">
        <f t="shared" si="9"/>
        <v>0.26012494124344188</v>
      </c>
      <c r="AE40" s="422">
        <f t="shared" si="9"/>
        <v>0.23178943284133957</v>
      </c>
      <c r="AF40" s="422">
        <f t="shared" si="9"/>
        <v>0.26539623573556187</v>
      </c>
      <c r="AG40" s="422">
        <f t="shared" si="9"/>
        <v>0.25080907101189054</v>
      </c>
      <c r="AH40" s="422">
        <f t="shared" si="9"/>
        <v>0.21663986555054338</v>
      </c>
      <c r="AI40" s="422">
        <f t="shared" si="9"/>
        <v>0.23616765171858708</v>
      </c>
      <c r="AJ40" s="422">
        <f t="shared" si="9"/>
        <v>0.26530581691876443</v>
      </c>
      <c r="AK40" s="422">
        <f t="shared" si="9"/>
        <v>0.23899920611023889</v>
      </c>
      <c r="AL40" s="422">
        <f t="shared" si="9"/>
        <v>0.21040015689682923</v>
      </c>
      <c r="AM40" s="422">
        <f t="shared" si="9"/>
        <v>0.24298013237744528</v>
      </c>
      <c r="AN40" s="422">
        <f t="shared" si="9"/>
        <v>0.23811315958927506</v>
      </c>
      <c r="AO40" s="422">
        <f t="shared" si="9"/>
        <v>0.28228740833417454</v>
      </c>
      <c r="AP40" s="422">
        <f t="shared" si="9"/>
        <v>0.26639518308910659</v>
      </c>
    </row>
    <row r="41" spans="1:42" s="163" customFormat="1" ht="14.25" customHeight="1" x14ac:dyDescent="0.25">
      <c r="A41" s="817"/>
      <c r="B41" s="34"/>
      <c r="C41" s="817"/>
      <c r="D41" s="422"/>
      <c r="E41" s="422"/>
      <c r="F41" s="422"/>
      <c r="G41" s="422"/>
      <c r="H41" s="422"/>
      <c r="I41" s="422"/>
      <c r="J41" s="422"/>
      <c r="K41" s="422"/>
      <c r="L41" s="422"/>
      <c r="M41" s="422"/>
      <c r="N41" s="422"/>
      <c r="O41" s="422"/>
      <c r="P41" s="422"/>
      <c r="Q41" s="422"/>
      <c r="R41" s="422"/>
      <c r="S41" s="422"/>
      <c r="T41" s="422"/>
      <c r="U41" s="422"/>
      <c r="V41" s="422"/>
      <c r="W41" s="422"/>
      <c r="X41" s="422"/>
      <c r="Y41" s="422"/>
      <c r="Z41" s="422"/>
      <c r="AA41" s="422"/>
      <c r="AB41" s="422"/>
      <c r="AC41" s="422"/>
      <c r="AD41" s="422"/>
      <c r="AE41" s="422"/>
      <c r="AF41" s="422"/>
      <c r="AG41" s="422"/>
      <c r="AH41" s="422"/>
      <c r="AI41" s="422"/>
      <c r="AJ41" s="422"/>
      <c r="AK41" s="422"/>
      <c r="AL41" s="422"/>
      <c r="AM41" s="422"/>
      <c r="AN41" s="422"/>
      <c r="AO41" s="422"/>
      <c r="AP41" s="422"/>
    </row>
    <row r="42" spans="1:42" s="163" customFormat="1" ht="14.25" customHeight="1" x14ac:dyDescent="0.25">
      <c r="A42" s="824" t="s">
        <v>1258</v>
      </c>
      <c r="B42" s="34"/>
      <c r="C42" s="817"/>
      <c r="D42" s="422"/>
      <c r="E42" s="422"/>
      <c r="F42" s="422"/>
      <c r="G42" s="422"/>
      <c r="H42" s="422"/>
      <c r="I42" s="422"/>
      <c r="J42" s="422"/>
      <c r="K42" s="422"/>
      <c r="L42" s="422"/>
      <c r="M42" s="422"/>
      <c r="N42" s="422"/>
      <c r="O42" s="422"/>
      <c r="P42" s="422"/>
      <c r="Q42" s="422"/>
      <c r="R42" s="422"/>
      <c r="S42" s="422"/>
      <c r="T42" s="422"/>
      <c r="U42" s="422"/>
      <c r="V42" s="422"/>
      <c r="W42" s="422"/>
      <c r="X42" s="422"/>
      <c r="Y42" s="422"/>
      <c r="Z42" s="422"/>
      <c r="AA42" s="422"/>
      <c r="AB42" s="422"/>
      <c r="AC42" s="422"/>
      <c r="AD42" s="422"/>
      <c r="AE42" s="422"/>
      <c r="AF42" s="422"/>
      <c r="AG42" s="422"/>
      <c r="AH42" s="422"/>
      <c r="AI42" s="422"/>
      <c r="AJ42" s="422"/>
      <c r="AK42" s="422"/>
      <c r="AL42" s="422"/>
      <c r="AM42" s="422"/>
      <c r="AN42" s="422"/>
      <c r="AO42" s="422"/>
      <c r="AP42" s="422"/>
    </row>
    <row r="43" spans="1:42" s="163" customFormat="1" ht="14.25" customHeight="1" x14ac:dyDescent="0.25">
      <c r="A43" s="35" t="s">
        <v>1250</v>
      </c>
      <c r="B43" s="34"/>
      <c r="C43" s="817"/>
      <c r="D43" s="641">
        <f t="shared" ref="D43:AP43" si="10">D$10*D$28*D14*D37</f>
        <v>2676413.5090083396</v>
      </c>
      <c r="E43" s="641">
        <f t="shared" si="10"/>
        <v>55457.752670495785</v>
      </c>
      <c r="F43" s="641">
        <f t="shared" si="10"/>
        <v>2215120.6746738646</v>
      </c>
      <c r="G43" s="641">
        <f t="shared" si="10"/>
        <v>1938879.3491279103</v>
      </c>
      <c r="H43" s="641">
        <f t="shared" si="10"/>
        <v>3755642.7010012143</v>
      </c>
      <c r="I43" s="641">
        <f t="shared" si="10"/>
        <v>0</v>
      </c>
      <c r="J43" s="641">
        <f t="shared" si="10"/>
        <v>2096929.5825386851</v>
      </c>
      <c r="K43" s="641">
        <f t="shared" si="10"/>
        <v>7254730.6481531775</v>
      </c>
      <c r="L43" s="641">
        <f t="shared" si="10"/>
        <v>924844.16724570515</v>
      </c>
      <c r="M43" s="641">
        <f t="shared" si="10"/>
        <v>368019.29769489629</v>
      </c>
      <c r="N43" s="641">
        <f t="shared" si="10"/>
        <v>23118.474583045761</v>
      </c>
      <c r="O43" s="641">
        <f t="shared" si="10"/>
        <v>188928.2318153118</v>
      </c>
      <c r="P43" s="641">
        <f t="shared" si="10"/>
        <v>6553614.1929048095</v>
      </c>
      <c r="Q43" s="641">
        <f t="shared" si="10"/>
        <v>141270.52120239244</v>
      </c>
      <c r="R43" s="641">
        <f t="shared" si="10"/>
        <v>1211096.1899618455</v>
      </c>
      <c r="S43" s="641">
        <f t="shared" si="10"/>
        <v>54841.978216337469</v>
      </c>
      <c r="T43" s="641">
        <f t="shared" si="10"/>
        <v>11129.65421963788</v>
      </c>
      <c r="U43" s="641">
        <f t="shared" si="10"/>
        <v>397487.98896906496</v>
      </c>
      <c r="V43" s="641">
        <f t="shared" si="10"/>
        <v>3242.2850278283354</v>
      </c>
      <c r="W43" s="641">
        <f t="shared" si="10"/>
        <v>9617.7897943348871</v>
      </c>
      <c r="X43" s="641">
        <f t="shared" si="10"/>
        <v>298890.60628439987</v>
      </c>
      <c r="Y43" s="641">
        <f t="shared" si="10"/>
        <v>73658.829809438495</v>
      </c>
      <c r="Z43" s="641">
        <f t="shared" si="10"/>
        <v>6790.2985622892111</v>
      </c>
      <c r="AA43" s="641">
        <f t="shared" si="10"/>
        <v>3217591.0127278641</v>
      </c>
      <c r="AB43" s="641">
        <f t="shared" si="10"/>
        <v>8801871.1138378102</v>
      </c>
      <c r="AC43" s="641">
        <f t="shared" si="10"/>
        <v>102111.33408620852</v>
      </c>
      <c r="AD43" s="641">
        <f t="shared" si="10"/>
        <v>3312514.3494923096</v>
      </c>
      <c r="AE43" s="641">
        <f t="shared" si="10"/>
        <v>19722.811082594111</v>
      </c>
      <c r="AF43" s="641">
        <f t="shared" si="10"/>
        <v>514486.36695936619</v>
      </c>
      <c r="AG43" s="641">
        <f t="shared" si="10"/>
        <v>249886.72414278117</v>
      </c>
      <c r="AH43" s="641">
        <f t="shared" si="10"/>
        <v>610531.44430856302</v>
      </c>
      <c r="AI43" s="641">
        <f t="shared" si="10"/>
        <v>115030.66016475634</v>
      </c>
      <c r="AJ43" s="641">
        <f t="shared" si="10"/>
        <v>7032437.2732152725</v>
      </c>
      <c r="AK43" s="641">
        <f t="shared" si="10"/>
        <v>516498.07958676503</v>
      </c>
      <c r="AL43" s="641">
        <f t="shared" si="10"/>
        <v>170564.61465574388</v>
      </c>
      <c r="AM43" s="641">
        <f t="shared" si="10"/>
        <v>2117577.8975181025</v>
      </c>
      <c r="AN43" s="641">
        <f t="shared" si="10"/>
        <v>230313.93240283002</v>
      </c>
      <c r="AO43" s="641">
        <f t="shared" si="10"/>
        <v>8376219.2699265536</v>
      </c>
      <c r="AP43" s="641">
        <f t="shared" si="10"/>
        <v>7132110.300702475</v>
      </c>
    </row>
    <row r="44" spans="1:42" s="163" customFormat="1" ht="14.25" customHeight="1" x14ac:dyDescent="0.25">
      <c r="A44" s="35" t="s">
        <v>1251</v>
      </c>
      <c r="B44" s="34"/>
      <c r="C44" s="817"/>
      <c r="D44" s="641">
        <f t="shared" ref="D44:AP44" si="11">D$10*D$28*D15*D38</f>
        <v>985710.25682340225</v>
      </c>
      <c r="E44" s="641">
        <f t="shared" si="11"/>
        <v>20376.241276698034</v>
      </c>
      <c r="F44" s="641">
        <f t="shared" si="11"/>
        <v>466813.91073992773</v>
      </c>
      <c r="G44" s="641">
        <f t="shared" si="11"/>
        <v>710151.46517933276</v>
      </c>
      <c r="H44" s="641">
        <f t="shared" si="11"/>
        <v>286204.34405277378</v>
      </c>
      <c r="I44" s="641">
        <f t="shared" si="11"/>
        <v>0</v>
      </c>
      <c r="J44" s="641">
        <f t="shared" si="11"/>
        <v>768592.80224418209</v>
      </c>
      <c r="K44" s="641">
        <f t="shared" si="11"/>
        <v>547789.70190201956</v>
      </c>
      <c r="L44" s="641">
        <f t="shared" si="11"/>
        <v>69090.559665807537</v>
      </c>
      <c r="M44" s="641">
        <f t="shared" si="11"/>
        <v>125293.03329465901</v>
      </c>
      <c r="N44" s="641">
        <f t="shared" si="11"/>
        <v>3717.4335993612772</v>
      </c>
      <c r="O44" s="641">
        <f t="shared" si="11"/>
        <v>29874.04980767041</v>
      </c>
      <c r="P44" s="641">
        <f t="shared" si="11"/>
        <v>496905.75784986425</v>
      </c>
      <c r="Q44" s="641">
        <f t="shared" si="11"/>
        <v>48695.094844253268</v>
      </c>
      <c r="R44" s="641">
        <f t="shared" si="11"/>
        <v>252201.23386436174</v>
      </c>
      <c r="S44" s="641">
        <f t="shared" si="11"/>
        <v>18611.973255170811</v>
      </c>
      <c r="T44" s="641">
        <f t="shared" si="11"/>
        <v>1700.0793542809399</v>
      </c>
      <c r="U44" s="641">
        <f t="shared" si="11"/>
        <v>63284.267472488835</v>
      </c>
      <c r="V44" s="641">
        <f t="shared" si="11"/>
        <v>510.73704731210614</v>
      </c>
      <c r="W44" s="641">
        <f t="shared" si="11"/>
        <v>3359.4098491385298</v>
      </c>
      <c r="X44" s="641">
        <f t="shared" si="11"/>
        <v>22349.705731717157</v>
      </c>
      <c r="Y44" s="641">
        <f t="shared" si="11"/>
        <v>25287.292681029776</v>
      </c>
      <c r="Z44" s="641">
        <f t="shared" si="11"/>
        <v>2350.7855095845821</v>
      </c>
      <c r="AA44" s="641">
        <f t="shared" si="11"/>
        <v>674746.94690861402</v>
      </c>
      <c r="AB44" s="641">
        <f t="shared" si="11"/>
        <v>518105.26123630186</v>
      </c>
      <c r="AC44" s="641">
        <f t="shared" si="11"/>
        <v>16225.012164786001</v>
      </c>
      <c r="AD44" s="641">
        <f t="shared" si="11"/>
        <v>1214108.4857322981</v>
      </c>
      <c r="AE44" s="641">
        <f t="shared" si="11"/>
        <v>3163.2470120064113</v>
      </c>
      <c r="AF44" s="641">
        <f t="shared" si="11"/>
        <v>30420.497894794866</v>
      </c>
      <c r="AG44" s="641">
        <f t="shared" si="11"/>
        <v>14935.558586887086</v>
      </c>
      <c r="AH44" s="641">
        <f t="shared" si="11"/>
        <v>35926.004791850035</v>
      </c>
      <c r="AI44" s="641">
        <f t="shared" si="11"/>
        <v>24572.202200199659</v>
      </c>
      <c r="AJ44" s="641">
        <f t="shared" si="11"/>
        <v>411098.30859024008</v>
      </c>
      <c r="AK44" s="641">
        <f t="shared" si="11"/>
        <v>38401.565441110048</v>
      </c>
      <c r="AL44" s="641">
        <f t="shared" si="11"/>
        <v>57319.474178424702</v>
      </c>
      <c r="AM44" s="641">
        <f t="shared" si="11"/>
        <v>442040.89486034523</v>
      </c>
      <c r="AN44" s="641">
        <f t="shared" si="11"/>
        <v>79114.611634731744</v>
      </c>
      <c r="AO44" s="641">
        <f t="shared" si="11"/>
        <v>488744.1981996175</v>
      </c>
      <c r="AP44" s="641">
        <f t="shared" si="11"/>
        <v>416344.70104792132</v>
      </c>
    </row>
    <row r="45" spans="1:42" s="163" customFormat="1" ht="14.25" customHeight="1" x14ac:dyDescent="0.25">
      <c r="A45" s="35" t="s">
        <v>1252</v>
      </c>
      <c r="B45" s="34"/>
      <c r="C45" s="817"/>
      <c r="D45" s="641">
        <f t="shared" ref="D45:AP45" si="12">D$10*D$28*D16*D39</f>
        <v>523835.80402690877</v>
      </c>
      <c r="E45" s="641">
        <f t="shared" si="12"/>
        <v>10634.533004121518</v>
      </c>
      <c r="F45" s="641">
        <f t="shared" si="12"/>
        <v>240616.21699671677</v>
      </c>
      <c r="G45" s="641">
        <f t="shared" si="12"/>
        <v>347181.60857779504</v>
      </c>
      <c r="H45" s="641">
        <f t="shared" si="12"/>
        <v>136208.03087205812</v>
      </c>
      <c r="I45" s="641">
        <f t="shared" si="12"/>
        <v>0</v>
      </c>
      <c r="J45" s="641">
        <f t="shared" si="12"/>
        <v>380538.37802123727</v>
      </c>
      <c r="K45" s="641">
        <f t="shared" si="12"/>
        <v>270276.19982163684</v>
      </c>
      <c r="L45" s="641">
        <f t="shared" si="12"/>
        <v>31476.554989535427</v>
      </c>
      <c r="M45" s="641">
        <f t="shared" si="12"/>
        <v>62452.766340326685</v>
      </c>
      <c r="N45" s="641">
        <f t="shared" si="12"/>
        <v>1914.5904449978577</v>
      </c>
      <c r="O45" s="641">
        <f t="shared" si="12"/>
        <v>17325.330590116097</v>
      </c>
      <c r="P45" s="641">
        <f t="shared" si="12"/>
        <v>235499.46386708773</v>
      </c>
      <c r="Q45" s="641">
        <f t="shared" si="12"/>
        <v>24142.79757285626</v>
      </c>
      <c r="R45" s="641">
        <f t="shared" si="12"/>
        <v>138320.30310990775</v>
      </c>
      <c r="S45" s="641">
        <f t="shared" si="12"/>
        <v>8227.8222280345817</v>
      </c>
      <c r="T45" s="641">
        <f t="shared" si="12"/>
        <v>1360.8888256834696</v>
      </c>
      <c r="U45" s="641">
        <f t="shared" si="12"/>
        <v>33713.98547653031</v>
      </c>
      <c r="V45" s="641">
        <f t="shared" si="12"/>
        <v>250.82994939187486</v>
      </c>
      <c r="W45" s="641">
        <f t="shared" si="12"/>
        <v>1613.8683735846389</v>
      </c>
      <c r="X45" s="641">
        <f t="shared" si="12"/>
        <v>11110.024645433552</v>
      </c>
      <c r="Y45" s="641">
        <f t="shared" si="12"/>
        <v>12825.437317087093</v>
      </c>
      <c r="Z45" s="641">
        <f t="shared" si="12"/>
        <v>1082.1708376718523</v>
      </c>
      <c r="AA45" s="641">
        <f t="shared" si="12"/>
        <v>346215.58228537778</v>
      </c>
      <c r="AB45" s="641">
        <f t="shared" si="12"/>
        <v>287795.77595383499</v>
      </c>
      <c r="AC45" s="641">
        <f t="shared" si="12"/>
        <v>8837.6241681500869</v>
      </c>
      <c r="AD45" s="641">
        <f t="shared" si="12"/>
        <v>637552.24239748076</v>
      </c>
      <c r="AE45" s="641">
        <f t="shared" si="12"/>
        <v>1620.2856229567785</v>
      </c>
      <c r="AF45" s="641">
        <f t="shared" si="12"/>
        <v>17595.060583981689</v>
      </c>
      <c r="AG45" s="641">
        <f t="shared" si="12"/>
        <v>8380.6056593015855</v>
      </c>
      <c r="AH45" s="641">
        <f t="shared" si="12"/>
        <v>18702.075452351022</v>
      </c>
      <c r="AI45" s="641">
        <f t="shared" si="12"/>
        <v>12862.791857558228</v>
      </c>
      <c r="AJ45" s="641">
        <f t="shared" si="12"/>
        <v>244294.336630737</v>
      </c>
      <c r="AK45" s="641">
        <f t="shared" si="12"/>
        <v>18198.563179898214</v>
      </c>
      <c r="AL45" s="641">
        <f t="shared" si="12"/>
        <v>24825.316270325922</v>
      </c>
      <c r="AM45" s="641">
        <f t="shared" si="12"/>
        <v>234912.20374634402</v>
      </c>
      <c r="AN45" s="641">
        <f t="shared" si="12"/>
        <v>36889.915757874784</v>
      </c>
      <c r="AO45" s="641">
        <f t="shared" si="12"/>
        <v>292418.67697993433</v>
      </c>
      <c r="AP45" s="641">
        <f t="shared" si="12"/>
        <v>242990.30239426359</v>
      </c>
    </row>
    <row r="46" spans="1:42" s="163" customFormat="1" ht="14.25" customHeight="1" x14ac:dyDescent="0.25">
      <c r="A46" s="817" t="s">
        <v>718</v>
      </c>
      <c r="B46" s="34"/>
      <c r="C46" s="817"/>
      <c r="D46" s="641">
        <f t="shared" ref="D46:AP46" si="13">D$10*D$28*D17*D40</f>
        <v>22775.469740300381</v>
      </c>
      <c r="E46" s="641">
        <f t="shared" si="13"/>
        <v>462.37100017919647</v>
      </c>
      <c r="F46" s="641">
        <f t="shared" si="13"/>
        <v>28307.790234907854</v>
      </c>
      <c r="G46" s="641">
        <f t="shared" si="13"/>
        <v>15094.852546860653</v>
      </c>
      <c r="H46" s="641">
        <f t="shared" si="13"/>
        <v>0</v>
      </c>
      <c r="I46" s="641">
        <f t="shared" si="13"/>
        <v>0</v>
      </c>
      <c r="J46" s="641">
        <f t="shared" si="13"/>
        <v>16545.146870488577</v>
      </c>
      <c r="K46" s="641">
        <f t="shared" si="13"/>
        <v>0</v>
      </c>
      <c r="L46" s="641">
        <f t="shared" si="13"/>
        <v>0</v>
      </c>
      <c r="M46" s="641">
        <f t="shared" si="13"/>
        <v>0</v>
      </c>
      <c r="N46" s="641">
        <f t="shared" si="13"/>
        <v>205.13469053548471</v>
      </c>
      <c r="O46" s="641">
        <f t="shared" si="13"/>
        <v>1856.2854203695817</v>
      </c>
      <c r="P46" s="641">
        <f t="shared" si="13"/>
        <v>0</v>
      </c>
      <c r="Q46" s="641">
        <f t="shared" si="13"/>
        <v>0</v>
      </c>
      <c r="R46" s="641">
        <f t="shared" si="13"/>
        <v>16272.976836459735</v>
      </c>
      <c r="S46" s="641">
        <f t="shared" si="13"/>
        <v>0</v>
      </c>
      <c r="T46" s="641">
        <f t="shared" si="13"/>
        <v>145.80951703751458</v>
      </c>
      <c r="U46" s="641">
        <f t="shared" si="13"/>
        <v>3612.2127296282474</v>
      </c>
      <c r="V46" s="641">
        <f t="shared" si="13"/>
        <v>26.874637434843731</v>
      </c>
      <c r="W46" s="641">
        <f t="shared" si="13"/>
        <v>0</v>
      </c>
      <c r="X46" s="641">
        <f t="shared" si="13"/>
        <v>0</v>
      </c>
      <c r="Y46" s="641">
        <f t="shared" si="13"/>
        <v>0</v>
      </c>
      <c r="Z46" s="641">
        <f t="shared" si="13"/>
        <v>0</v>
      </c>
      <c r="AA46" s="641">
        <f t="shared" si="13"/>
        <v>40731.244974750327</v>
      </c>
      <c r="AB46" s="641">
        <f t="shared" si="13"/>
        <v>44276.273223666918</v>
      </c>
      <c r="AC46" s="641">
        <f t="shared" si="13"/>
        <v>946.88830373036637</v>
      </c>
      <c r="AD46" s="641">
        <f t="shared" si="13"/>
        <v>27719.662712933947</v>
      </c>
      <c r="AE46" s="641">
        <f t="shared" si="13"/>
        <v>173.60203103108338</v>
      </c>
      <c r="AF46" s="641">
        <f t="shared" si="13"/>
        <v>2706.9323975356447</v>
      </c>
      <c r="AG46" s="641">
        <f t="shared" si="13"/>
        <v>1289.3239475848591</v>
      </c>
      <c r="AH46" s="641">
        <f t="shared" si="13"/>
        <v>2877.2423772847728</v>
      </c>
      <c r="AI46" s="641">
        <f t="shared" si="13"/>
        <v>1513.2696303009677</v>
      </c>
      <c r="AJ46" s="641">
        <f t="shared" si="13"/>
        <v>37583.744097036455</v>
      </c>
      <c r="AK46" s="641">
        <f t="shared" si="13"/>
        <v>0</v>
      </c>
      <c r="AL46" s="641">
        <f t="shared" si="13"/>
        <v>0</v>
      </c>
      <c r="AM46" s="641">
        <f t="shared" si="13"/>
        <v>27636.72985251106</v>
      </c>
      <c r="AN46" s="641">
        <f t="shared" si="13"/>
        <v>0</v>
      </c>
      <c r="AO46" s="641">
        <f t="shared" si="13"/>
        <v>44987.488766143739</v>
      </c>
      <c r="AP46" s="641">
        <f t="shared" si="13"/>
        <v>37383.123445271318</v>
      </c>
    </row>
    <row r="47" spans="1:42" s="163" customFormat="1" ht="14.25" customHeight="1" x14ac:dyDescent="0.25">
      <c r="A47" s="824" t="s">
        <v>1259</v>
      </c>
      <c r="B47" s="34"/>
      <c r="C47" s="817"/>
      <c r="D47" s="422"/>
      <c r="E47" s="422"/>
      <c r="F47" s="422"/>
      <c r="G47" s="422"/>
      <c r="H47" s="422"/>
      <c r="I47" s="422"/>
      <c r="J47" s="422"/>
      <c r="K47" s="422"/>
      <c r="L47" s="422"/>
      <c r="M47" s="422"/>
      <c r="N47" s="422"/>
      <c r="O47" s="422"/>
      <c r="P47" s="422"/>
      <c r="Q47" s="422"/>
      <c r="R47" s="422"/>
      <c r="S47" s="422"/>
      <c r="T47" s="422"/>
      <c r="U47" s="422"/>
      <c r="V47" s="422"/>
      <c r="W47" s="422"/>
      <c r="X47" s="422"/>
      <c r="Y47" s="422"/>
      <c r="Z47" s="422"/>
      <c r="AA47" s="422"/>
      <c r="AB47" s="422"/>
      <c r="AC47" s="422"/>
      <c r="AD47" s="422"/>
      <c r="AE47" s="422"/>
      <c r="AF47" s="422"/>
      <c r="AG47" s="422"/>
      <c r="AH47" s="422"/>
      <c r="AI47" s="422"/>
      <c r="AJ47" s="422"/>
      <c r="AK47" s="422"/>
      <c r="AL47" s="422"/>
      <c r="AM47" s="422"/>
      <c r="AN47" s="422"/>
      <c r="AO47" s="422"/>
      <c r="AP47" s="422"/>
    </row>
    <row r="48" spans="1:42" s="163" customFormat="1" ht="14.25" customHeight="1" x14ac:dyDescent="0.25">
      <c r="A48" s="35" t="s">
        <v>1251</v>
      </c>
      <c r="B48" s="34"/>
      <c r="C48" s="817"/>
      <c r="D48" s="641">
        <f t="shared" ref="D48:AP48" si="14">D$11*D$28*D23*D38</f>
        <v>2556287.2859847923</v>
      </c>
      <c r="E48" s="641">
        <f t="shared" si="14"/>
        <v>55571.038343254273</v>
      </c>
      <c r="F48" s="641">
        <f t="shared" si="14"/>
        <v>1705855.1215832015</v>
      </c>
      <c r="G48" s="641">
        <f t="shared" si="14"/>
        <v>1415221.3397428067</v>
      </c>
      <c r="H48" s="641">
        <f t="shared" si="14"/>
        <v>2780752.4837762411</v>
      </c>
      <c r="I48" s="641">
        <f t="shared" si="14"/>
        <v>0</v>
      </c>
      <c r="J48" s="641">
        <f t="shared" si="14"/>
        <v>1912853.1789484096</v>
      </c>
      <c r="K48" s="641">
        <f t="shared" si="14"/>
        <v>3437385.6777738528</v>
      </c>
      <c r="L48" s="641">
        <f t="shared" si="14"/>
        <v>354602.75580292428</v>
      </c>
      <c r="M48" s="641">
        <f t="shared" si="14"/>
        <v>382464.41255796119</v>
      </c>
      <c r="N48" s="641">
        <f t="shared" si="14"/>
        <v>38937.515195422042</v>
      </c>
      <c r="O48" s="641">
        <f t="shared" si="14"/>
        <v>224473.96746655396</v>
      </c>
      <c r="P48" s="641">
        <f t="shared" si="14"/>
        <v>3715129.6951842145</v>
      </c>
      <c r="Q48" s="641">
        <f t="shared" si="14"/>
        <v>289769.1050313788</v>
      </c>
      <c r="R48" s="641">
        <f t="shared" si="14"/>
        <v>383169.75246058771</v>
      </c>
      <c r="S48" s="641">
        <f t="shared" si="14"/>
        <v>53720.796410117</v>
      </c>
      <c r="T48" s="641">
        <f t="shared" si="14"/>
        <v>4833.0333565723749</v>
      </c>
      <c r="U48" s="641">
        <f t="shared" si="14"/>
        <v>434583.11840144428</v>
      </c>
      <c r="V48" s="641">
        <f t="shared" si="14"/>
        <v>2896.6260541493511</v>
      </c>
      <c r="W48" s="641">
        <f t="shared" si="14"/>
        <v>16739.019047420505</v>
      </c>
      <c r="X48" s="641">
        <f t="shared" si="14"/>
        <v>55223.143654466265</v>
      </c>
      <c r="Y48" s="641">
        <f t="shared" si="14"/>
        <v>71212.069341653681</v>
      </c>
      <c r="Z48" s="641">
        <f t="shared" si="14"/>
        <v>27180.093162583962</v>
      </c>
      <c r="AA48" s="641">
        <f t="shared" si="14"/>
        <v>2032213.3394804969</v>
      </c>
      <c r="AB48" s="641">
        <f t="shared" si="14"/>
        <v>3439256.4924740037</v>
      </c>
      <c r="AC48" s="641">
        <f t="shared" si="14"/>
        <v>172177.22067205491</v>
      </c>
      <c r="AD48" s="641">
        <f t="shared" si="14"/>
        <v>3208716.9087646264</v>
      </c>
      <c r="AE48" s="641">
        <f t="shared" si="14"/>
        <v>36099.051415579452</v>
      </c>
      <c r="AF48" s="641">
        <f t="shared" si="14"/>
        <v>98542.581232025856</v>
      </c>
      <c r="AG48" s="641">
        <f t="shared" si="14"/>
        <v>122463.81798016098</v>
      </c>
      <c r="AH48" s="641">
        <f t="shared" si="14"/>
        <v>288633.41405497142</v>
      </c>
      <c r="AI48" s="641">
        <f t="shared" si="14"/>
        <v>91643.685862843544</v>
      </c>
      <c r="AJ48" s="641">
        <f t="shared" si="14"/>
        <v>2694377.9368065377</v>
      </c>
      <c r="AK48" s="641">
        <f t="shared" si="14"/>
        <v>481625.95548465569</v>
      </c>
      <c r="AL48" s="641">
        <f t="shared" si="14"/>
        <v>52174.684873928665</v>
      </c>
      <c r="AM48" s="641">
        <f t="shared" si="14"/>
        <v>947348.80441547767</v>
      </c>
      <c r="AN48" s="641">
        <f t="shared" si="14"/>
        <v>227385.39741340149</v>
      </c>
      <c r="AO48" s="641">
        <f t="shared" si="14"/>
        <v>1855625.770442816</v>
      </c>
      <c r="AP48" s="641">
        <f t="shared" si="14"/>
        <v>1810422.2770738811</v>
      </c>
    </row>
    <row r="49" spans="1:43" s="163" customFormat="1" ht="14.25" customHeight="1" x14ac:dyDescent="0.25">
      <c r="A49" s="35" t="s">
        <v>1252</v>
      </c>
      <c r="B49" s="34"/>
      <c r="C49" s="817"/>
      <c r="D49" s="641">
        <f t="shared" ref="D49:AP49" si="15">D$11*D$28*D24*D39</f>
        <v>1493589.1689087863</v>
      </c>
      <c r="E49" s="641">
        <f t="shared" si="15"/>
        <v>31887.351767104421</v>
      </c>
      <c r="F49" s="641">
        <f t="shared" si="15"/>
        <v>994651.59625260346</v>
      </c>
      <c r="G49" s="641">
        <f t="shared" si="15"/>
        <v>760686.4570935485</v>
      </c>
      <c r="H49" s="641">
        <f t="shared" si="15"/>
        <v>1521141.3578993671</v>
      </c>
      <c r="I49" s="641">
        <f t="shared" si="15"/>
        <v>0</v>
      </c>
      <c r="J49" s="641">
        <f t="shared" si="15"/>
        <v>1041260.4642340663</v>
      </c>
      <c r="K49" s="641">
        <f t="shared" si="15"/>
        <v>1949408.9287928122</v>
      </c>
      <c r="L49" s="641">
        <f t="shared" si="15"/>
        <v>185691.20616795259</v>
      </c>
      <c r="M49" s="641">
        <f t="shared" si="15"/>
        <v>222040.42854106802</v>
      </c>
      <c r="N49" s="641">
        <f t="shared" si="15"/>
        <v>21572.713992636716</v>
      </c>
      <c r="O49" s="641">
        <f t="shared" si="15"/>
        <v>140041.67514799768</v>
      </c>
      <c r="P49" s="641">
        <f t="shared" si="15"/>
        <v>2023814.1152410894</v>
      </c>
      <c r="Q49" s="641">
        <f t="shared" si="15"/>
        <v>167328.81108784411</v>
      </c>
      <c r="R49" s="641">
        <f t="shared" si="15"/>
        <v>237726.5448935045</v>
      </c>
      <c r="S49" s="641">
        <f t="shared" si="15"/>
        <v>27659.937294030784</v>
      </c>
      <c r="T49" s="641">
        <f t="shared" si="15"/>
        <v>4161.7609632327385</v>
      </c>
      <c r="U49" s="641">
        <f t="shared" si="15"/>
        <v>249052.59708090386</v>
      </c>
      <c r="V49" s="641">
        <f t="shared" si="15"/>
        <v>1530.3062316589767</v>
      </c>
      <c r="W49" s="641">
        <f t="shared" si="15"/>
        <v>9365.9404520870175</v>
      </c>
      <c r="X49" s="641">
        <f t="shared" si="15"/>
        <v>31553.321765682631</v>
      </c>
      <c r="Y49" s="641">
        <f t="shared" si="15"/>
        <v>42066.823776398349</v>
      </c>
      <c r="Z49" s="641">
        <f t="shared" si="15"/>
        <v>14573.035781479128</v>
      </c>
      <c r="AA49" s="641">
        <f t="shared" si="15"/>
        <v>1179567.2743368023</v>
      </c>
      <c r="AB49" s="641">
        <f t="shared" si="15"/>
        <v>1818581.7731546515</v>
      </c>
      <c r="AC49" s="641">
        <f t="shared" si="15"/>
        <v>100885.80775406498</v>
      </c>
      <c r="AD49" s="641">
        <f t="shared" si="15"/>
        <v>1852530.1211572292</v>
      </c>
      <c r="AE49" s="641">
        <f t="shared" si="15"/>
        <v>19891.070053406773</v>
      </c>
      <c r="AF49" s="641">
        <f t="shared" si="15"/>
        <v>54256.308018508586</v>
      </c>
      <c r="AG49" s="641">
        <f t="shared" si="15"/>
        <v>65412.927558410207</v>
      </c>
      <c r="AH49" s="641">
        <f t="shared" si="15"/>
        <v>143030.72598084717</v>
      </c>
      <c r="AI49" s="641">
        <f t="shared" si="15"/>
        <v>54267.703639880187</v>
      </c>
      <c r="AJ49" s="641">
        <f t="shared" si="15"/>
        <v>1524151.2898802052</v>
      </c>
      <c r="AK49" s="641">
        <f t="shared" si="15"/>
        <v>262348.63142082206</v>
      </c>
      <c r="AL49" s="641">
        <f t="shared" si="15"/>
        <v>26318.958293616113</v>
      </c>
      <c r="AM49" s="641">
        <f t="shared" si="15"/>
        <v>569509.24172545492</v>
      </c>
      <c r="AN49" s="641">
        <f t="shared" si="15"/>
        <v>123489.43479530688</v>
      </c>
      <c r="AO49" s="641">
        <f t="shared" si="15"/>
        <v>1056855.8201225523</v>
      </c>
      <c r="AP49" s="641">
        <f t="shared" si="15"/>
        <v>1005813.9161577033</v>
      </c>
    </row>
    <row r="50" spans="1:43" s="163" customFormat="1" ht="14.25" customHeight="1" x14ac:dyDescent="0.25">
      <c r="A50" s="817" t="s">
        <v>718</v>
      </c>
      <c r="B50" s="34"/>
      <c r="C50" s="817"/>
      <c r="D50" s="641">
        <f t="shared" ref="D50:AP50" si="16">D$11*D$28*D25*D40</f>
        <v>194166.59195814221</v>
      </c>
      <c r="E50" s="641">
        <f t="shared" si="16"/>
        <v>4145.3557297235748</v>
      </c>
      <c r="F50" s="641">
        <f t="shared" si="16"/>
        <v>218823.35117557275</v>
      </c>
      <c r="G50" s="641">
        <f t="shared" si="16"/>
        <v>98889.239422161307</v>
      </c>
      <c r="H50" s="641">
        <f t="shared" si="16"/>
        <v>197748.37652691774</v>
      </c>
      <c r="I50" s="641">
        <f t="shared" si="16"/>
        <v>0</v>
      </c>
      <c r="J50" s="641">
        <f t="shared" si="16"/>
        <v>135363.86035042861</v>
      </c>
      <c r="K50" s="641">
        <f t="shared" si="16"/>
        <v>253423.16074306559</v>
      </c>
      <c r="L50" s="641">
        <f t="shared" si="16"/>
        <v>24139.856801833837</v>
      </c>
      <c r="M50" s="641">
        <f t="shared" si="16"/>
        <v>31399.65656136315</v>
      </c>
      <c r="N50" s="641">
        <f t="shared" si="16"/>
        <v>3667.3613787482423</v>
      </c>
      <c r="O50" s="641">
        <f t="shared" si="16"/>
        <v>23807.084775159608</v>
      </c>
      <c r="P50" s="641">
        <f t="shared" si="16"/>
        <v>263095.83498134161</v>
      </c>
      <c r="Q50" s="641">
        <f t="shared" si="16"/>
        <v>23662.660153836539</v>
      </c>
      <c r="R50" s="641">
        <f t="shared" si="16"/>
        <v>52299.839876570986</v>
      </c>
      <c r="S50" s="641">
        <f t="shared" si="16"/>
        <v>3911.5062840043533</v>
      </c>
      <c r="T50" s="641">
        <f t="shared" si="16"/>
        <v>707.49936374956565</v>
      </c>
      <c r="U50" s="641">
        <f t="shared" si="16"/>
        <v>42338.94150375366</v>
      </c>
      <c r="V50" s="641">
        <f t="shared" si="16"/>
        <v>260.1520593820261</v>
      </c>
      <c r="W50" s="641">
        <f t="shared" si="16"/>
        <v>1324.4764275678613</v>
      </c>
      <c r="X50" s="641">
        <f t="shared" si="16"/>
        <v>4101.9318295387429</v>
      </c>
      <c r="Y50" s="641">
        <f t="shared" si="16"/>
        <v>5948.8437663593622</v>
      </c>
      <c r="Z50" s="641">
        <f t="shared" si="16"/>
        <v>2060.8333428354322</v>
      </c>
      <c r="AA50" s="641">
        <f t="shared" si="16"/>
        <v>259504.80035409651</v>
      </c>
      <c r="AB50" s="641">
        <f t="shared" si="16"/>
        <v>202064.64146162794</v>
      </c>
      <c r="AC50" s="641">
        <f t="shared" si="16"/>
        <v>17150.587318191047</v>
      </c>
      <c r="AD50" s="641">
        <f t="shared" si="16"/>
        <v>240828.9157504398</v>
      </c>
      <c r="AE50" s="641">
        <f t="shared" si="16"/>
        <v>3381.4819090791516</v>
      </c>
      <c r="AF50" s="641">
        <f t="shared" si="16"/>
        <v>6028.4786687231763</v>
      </c>
      <c r="AG50" s="641">
        <f t="shared" si="16"/>
        <v>7268.1030620455786</v>
      </c>
      <c r="AH50" s="641">
        <f t="shared" si="16"/>
        <v>15892.302886760797</v>
      </c>
      <c r="AI50" s="641">
        <f t="shared" si="16"/>
        <v>11938.894800773642</v>
      </c>
      <c r="AJ50" s="641">
        <f t="shared" si="16"/>
        <v>169350.14332002279</v>
      </c>
      <c r="AK50" s="641">
        <f t="shared" si="16"/>
        <v>34105.322084706866</v>
      </c>
      <c r="AL50" s="641">
        <f t="shared" si="16"/>
        <v>3721.8728900063193</v>
      </c>
      <c r="AM50" s="641">
        <f t="shared" si="16"/>
        <v>125292.03317960007</v>
      </c>
      <c r="AN50" s="641">
        <f t="shared" si="16"/>
        <v>17463.152395295925</v>
      </c>
      <c r="AO50" s="641">
        <f t="shared" si="16"/>
        <v>117428.42445806139</v>
      </c>
      <c r="AP50" s="641">
        <f t="shared" si="16"/>
        <v>111757.10179530036</v>
      </c>
    </row>
    <row r="51" spans="1:43" s="163" customFormat="1" ht="14.25" customHeight="1" x14ac:dyDescent="0.25">
      <c r="A51" s="817"/>
      <c r="B51" s="34"/>
      <c r="C51" s="817"/>
      <c r="D51" s="641"/>
      <c r="E51" s="641"/>
      <c r="F51" s="641"/>
      <c r="G51" s="641"/>
      <c r="H51" s="641"/>
      <c r="I51" s="641"/>
      <c r="J51" s="641"/>
      <c r="K51" s="641"/>
      <c r="L51" s="641"/>
      <c r="M51" s="641"/>
      <c r="N51" s="641"/>
      <c r="O51" s="641"/>
      <c r="P51" s="641"/>
      <c r="Q51" s="641"/>
      <c r="R51" s="641"/>
      <c r="S51" s="641"/>
      <c r="T51" s="641"/>
      <c r="U51" s="641"/>
      <c r="V51" s="641"/>
      <c r="W51" s="641"/>
      <c r="X51" s="641"/>
      <c r="Y51" s="641"/>
      <c r="Z51" s="641"/>
      <c r="AA51" s="641"/>
      <c r="AB51" s="641"/>
      <c r="AC51" s="641"/>
      <c r="AD51" s="641"/>
      <c r="AE51" s="641"/>
      <c r="AF51" s="641"/>
      <c r="AG51" s="641"/>
      <c r="AH51" s="641"/>
      <c r="AI51" s="641"/>
      <c r="AJ51" s="641"/>
      <c r="AK51" s="641"/>
      <c r="AL51" s="641"/>
      <c r="AM51" s="641"/>
      <c r="AN51" s="641"/>
      <c r="AO51" s="641"/>
      <c r="AP51" s="641"/>
    </row>
    <row r="52" spans="1:43" s="163" customFormat="1" ht="14.25" customHeight="1" x14ac:dyDescent="0.25">
      <c r="A52" s="817" t="s">
        <v>1261</v>
      </c>
      <c r="B52" s="34"/>
      <c r="C52" s="817"/>
      <c r="D52" s="641">
        <f>SUM(D43:D50)</f>
        <v>8452778.0864506718</v>
      </c>
      <c r="E52" s="641">
        <f t="shared" ref="E52:AP52" si="17">SUM(E43:E50)</f>
        <v>178534.64379157679</v>
      </c>
      <c r="F52" s="641">
        <f t="shared" si="17"/>
        <v>5870188.6616567951</v>
      </c>
      <c r="G52" s="641">
        <f t="shared" si="17"/>
        <v>5286104.3116904143</v>
      </c>
      <c r="H52" s="641">
        <f t="shared" si="17"/>
        <v>8677697.2941285726</v>
      </c>
      <c r="I52" s="641">
        <f t="shared" si="17"/>
        <v>0</v>
      </c>
      <c r="J52" s="641">
        <f t="shared" si="17"/>
        <v>6352083.4132074974</v>
      </c>
      <c r="K52" s="641">
        <f t="shared" si="17"/>
        <v>13713014.317186564</v>
      </c>
      <c r="L52" s="641">
        <f t="shared" si="17"/>
        <v>1589845.1006737587</v>
      </c>
      <c r="M52" s="641">
        <f t="shared" si="17"/>
        <v>1191669.5949902744</v>
      </c>
      <c r="N52" s="641">
        <f t="shared" si="17"/>
        <v>93133.223884747378</v>
      </c>
      <c r="O52" s="641">
        <f t="shared" si="17"/>
        <v>626306.62502317911</v>
      </c>
      <c r="P52" s="641">
        <f t="shared" si="17"/>
        <v>13288059.060028408</v>
      </c>
      <c r="Q52" s="641">
        <f t="shared" si="17"/>
        <v>694868.98989256145</v>
      </c>
      <c r="R52" s="641">
        <f t="shared" si="17"/>
        <v>2291086.8410032382</v>
      </c>
      <c r="S52" s="641">
        <f t="shared" si="17"/>
        <v>166974.013687695</v>
      </c>
      <c r="T52" s="641">
        <f t="shared" si="17"/>
        <v>24038.725600194484</v>
      </c>
      <c r="U52" s="641">
        <f t="shared" si="17"/>
        <v>1224073.1116338142</v>
      </c>
      <c r="V52" s="641">
        <f t="shared" si="17"/>
        <v>8717.8110071575138</v>
      </c>
      <c r="W52" s="641">
        <f t="shared" si="17"/>
        <v>42020.503944133437</v>
      </c>
      <c r="X52" s="641">
        <f t="shared" si="17"/>
        <v>423228.7339112382</v>
      </c>
      <c r="Y52" s="641">
        <f t="shared" si="17"/>
        <v>230999.29669196677</v>
      </c>
      <c r="Z52" s="641">
        <f t="shared" si="17"/>
        <v>54037.217196444166</v>
      </c>
      <c r="AA52" s="641">
        <f t="shared" si="17"/>
        <v>7750570.2010680018</v>
      </c>
      <c r="AB52" s="641">
        <f t="shared" si="17"/>
        <v>15111951.331341896</v>
      </c>
      <c r="AC52" s="641">
        <f t="shared" si="17"/>
        <v>418334.47446718591</v>
      </c>
      <c r="AD52" s="641">
        <f t="shared" si="17"/>
        <v>10493970.686007317</v>
      </c>
      <c r="AE52" s="641">
        <f t="shared" si="17"/>
        <v>84051.549126653757</v>
      </c>
      <c r="AF52" s="641">
        <f t="shared" si="17"/>
        <v>724036.22575493599</v>
      </c>
      <c r="AG52" s="641">
        <f t="shared" si="17"/>
        <v>469637.06093717145</v>
      </c>
      <c r="AH52" s="641">
        <f t="shared" si="17"/>
        <v>1115593.2098526282</v>
      </c>
      <c r="AI52" s="641">
        <f t="shared" si="17"/>
        <v>311829.20815631252</v>
      </c>
      <c r="AJ52" s="641">
        <f t="shared" si="17"/>
        <v>12113293.032540051</v>
      </c>
      <c r="AK52" s="641">
        <f t="shared" si="17"/>
        <v>1351178.1171979581</v>
      </c>
      <c r="AL52" s="641">
        <f t="shared" si="17"/>
        <v>334924.92116204562</v>
      </c>
      <c r="AM52" s="641">
        <f t="shared" si="17"/>
        <v>4464317.8052978357</v>
      </c>
      <c r="AN52" s="641">
        <f t="shared" si="17"/>
        <v>714656.44439944078</v>
      </c>
      <c r="AO52" s="641">
        <f t="shared" si="17"/>
        <v>12232279.648895679</v>
      </c>
      <c r="AP52" s="641">
        <f t="shared" si="17"/>
        <v>10756821.722616818</v>
      </c>
      <c r="AQ52" s="453">
        <f>SUM(D52:AP52)</f>
        <v>148926905.21610281</v>
      </c>
    </row>
    <row r="53" spans="1:43" s="163" customFormat="1" ht="14.25" customHeight="1" x14ac:dyDescent="0.25">
      <c r="A53" s="827" t="s">
        <v>1262</v>
      </c>
      <c r="B53" s="34"/>
      <c r="C53" s="817"/>
      <c r="D53" s="828">
        <f>D52*D5</f>
        <v>8452778.0864506718</v>
      </c>
      <c r="E53" s="641">
        <f t="shared" ref="E53:AP53" si="18">E52*E5</f>
        <v>178534.64379157679</v>
      </c>
      <c r="F53" s="641">
        <f t="shared" si="18"/>
        <v>5870188.6616567951</v>
      </c>
      <c r="G53" s="641">
        <f t="shared" si="18"/>
        <v>5286104.3116904143</v>
      </c>
      <c r="H53" s="641">
        <f t="shared" si="18"/>
        <v>8677697.2941285726</v>
      </c>
      <c r="I53" s="641">
        <f t="shared" si="18"/>
        <v>0</v>
      </c>
      <c r="J53" s="641">
        <f t="shared" si="18"/>
        <v>6352083.4132074974</v>
      </c>
      <c r="K53" s="641">
        <f t="shared" si="18"/>
        <v>13713014.317186564</v>
      </c>
      <c r="L53" s="641">
        <f t="shared" si="18"/>
        <v>1589845.1006737587</v>
      </c>
      <c r="M53" s="641">
        <f t="shared" si="18"/>
        <v>1191669.5949902744</v>
      </c>
      <c r="N53" s="641">
        <f t="shared" si="18"/>
        <v>93133.223884747378</v>
      </c>
      <c r="O53" s="641">
        <f t="shared" si="18"/>
        <v>626306.62502317911</v>
      </c>
      <c r="P53" s="641">
        <f t="shared" si="18"/>
        <v>13288059.060028408</v>
      </c>
      <c r="Q53" s="641">
        <f t="shared" si="18"/>
        <v>694868.98989256145</v>
      </c>
      <c r="R53" s="641">
        <f t="shared" si="18"/>
        <v>2291086.8410032382</v>
      </c>
      <c r="S53" s="641">
        <f t="shared" si="18"/>
        <v>166974.013687695</v>
      </c>
      <c r="T53" s="641">
        <f t="shared" si="18"/>
        <v>24038.725600194484</v>
      </c>
      <c r="U53" s="641">
        <f t="shared" si="18"/>
        <v>1224073.1116338142</v>
      </c>
      <c r="V53" s="641">
        <f t="shared" si="18"/>
        <v>8717.8110071575138</v>
      </c>
      <c r="W53" s="641">
        <f t="shared" si="18"/>
        <v>42020.503944133437</v>
      </c>
      <c r="X53" s="641">
        <f t="shared" si="18"/>
        <v>423228.7339112382</v>
      </c>
      <c r="Y53" s="641">
        <f t="shared" si="18"/>
        <v>230999.29669196677</v>
      </c>
      <c r="Z53" s="641">
        <f t="shared" si="18"/>
        <v>54037.217196444166</v>
      </c>
      <c r="AA53" s="641">
        <f t="shared" si="18"/>
        <v>7750570.2010680018</v>
      </c>
      <c r="AB53" s="641">
        <f t="shared" si="18"/>
        <v>15111951.331341896</v>
      </c>
      <c r="AC53" s="641">
        <f t="shared" si="18"/>
        <v>418334.47446718591</v>
      </c>
      <c r="AD53" s="641">
        <f t="shared" si="18"/>
        <v>10493970.686007317</v>
      </c>
      <c r="AE53" s="641">
        <f t="shared" si="18"/>
        <v>84051.549126653757</v>
      </c>
      <c r="AF53" s="641">
        <f t="shared" si="18"/>
        <v>724036.22575493599</v>
      </c>
      <c r="AG53" s="641">
        <f t="shared" si="18"/>
        <v>469637.06093717145</v>
      </c>
      <c r="AH53" s="641">
        <f t="shared" si="18"/>
        <v>1115593.2098526282</v>
      </c>
      <c r="AI53" s="641">
        <f t="shared" si="18"/>
        <v>311829.20815631252</v>
      </c>
      <c r="AJ53" s="641">
        <f t="shared" si="18"/>
        <v>12113293.032540051</v>
      </c>
      <c r="AK53" s="641">
        <f t="shared" si="18"/>
        <v>1351178.1171979581</v>
      </c>
      <c r="AL53" s="641">
        <f t="shared" si="18"/>
        <v>334924.92116204562</v>
      </c>
      <c r="AM53" s="641">
        <f t="shared" si="18"/>
        <v>4464317.8052978357</v>
      </c>
      <c r="AN53" s="641">
        <f t="shared" si="18"/>
        <v>714656.44439944078</v>
      </c>
      <c r="AO53" s="641">
        <f t="shared" si="18"/>
        <v>12232279.648895679</v>
      </c>
      <c r="AP53" s="641">
        <f t="shared" si="18"/>
        <v>10756821.722616818</v>
      </c>
      <c r="AQ53" s="453">
        <f>SUM(D53:AP53)</f>
        <v>148926905.21610281</v>
      </c>
    </row>
    <row r="54" spans="1:43" s="163" customFormat="1" ht="14.25" customHeight="1" x14ac:dyDescent="0.25">
      <c r="A54" s="817" t="s">
        <v>1260</v>
      </c>
      <c r="B54" s="34"/>
      <c r="C54" s="817"/>
      <c r="D54" s="825">
        <f>D52/D28</f>
        <v>0.42966289313883904</v>
      </c>
      <c r="E54" s="825">
        <f t="shared" ref="E54:AP54" si="19">E52/E28</f>
        <v>0.4198558377032478</v>
      </c>
      <c r="F54" s="825">
        <f t="shared" si="19"/>
        <v>0.39373840801913845</v>
      </c>
      <c r="G54" s="825">
        <f t="shared" si="19"/>
        <v>0.4090980450326116</v>
      </c>
      <c r="H54" s="825">
        <f t="shared" si="19"/>
        <v>0.43703867002172336</v>
      </c>
      <c r="I54" s="825" t="e">
        <f t="shared" si="19"/>
        <v>#DIV/0!</v>
      </c>
      <c r="J54" s="825">
        <f t="shared" si="19"/>
        <v>0.40607340586150636</v>
      </c>
      <c r="K54" s="825">
        <f t="shared" si="19"/>
        <v>0.47248623540319951</v>
      </c>
      <c r="L54" s="825">
        <f t="shared" si="19"/>
        <v>0.4458050924693906</v>
      </c>
      <c r="M54" s="825">
        <f t="shared" si="19"/>
        <v>0.4165477718418219</v>
      </c>
      <c r="N54" s="825">
        <f t="shared" si="19"/>
        <v>0.38372780031893672</v>
      </c>
      <c r="O54" s="825">
        <f t="shared" si="19"/>
        <v>0.42445654118415482</v>
      </c>
      <c r="P54" s="825">
        <f t="shared" si="19"/>
        <v>0.44772977657144081</v>
      </c>
      <c r="Q54" s="825">
        <f t="shared" si="19"/>
        <v>0.39954514482008169</v>
      </c>
      <c r="R54" s="825">
        <f t="shared" si="19"/>
        <v>0.45166453026093595</v>
      </c>
      <c r="S54" s="825">
        <f t="shared" si="19"/>
        <v>0.38309394275199449</v>
      </c>
      <c r="T54" s="825">
        <f t="shared" si="19"/>
        <v>0.59576704437054884</v>
      </c>
      <c r="U54" s="825">
        <f t="shared" si="19"/>
        <v>0.40340927377663199</v>
      </c>
      <c r="V54" s="825">
        <f t="shared" si="19"/>
        <v>0.3858392551176168</v>
      </c>
      <c r="W54" s="825">
        <f t="shared" si="19"/>
        <v>0.40355381715930072</v>
      </c>
      <c r="X54" s="825">
        <f t="shared" si="19"/>
        <v>0.53354527019794928</v>
      </c>
      <c r="Y54" s="825">
        <f t="shared" si="19"/>
        <v>0.43200229762599279</v>
      </c>
      <c r="Z54" s="825">
        <f t="shared" si="19"/>
        <v>0.36643102454065962</v>
      </c>
      <c r="AA54" s="825">
        <f t="shared" si="19"/>
        <v>0.39963852540917655</v>
      </c>
      <c r="AB54" s="825">
        <f t="shared" si="19"/>
        <v>0.45021864018369773</v>
      </c>
      <c r="AC54" s="825">
        <f t="shared" si="19"/>
        <v>0.39701559011218018</v>
      </c>
      <c r="AD54" s="825">
        <f t="shared" si="19"/>
        <v>0.42145010559598972</v>
      </c>
      <c r="AE54" s="825">
        <f t="shared" si="19"/>
        <v>0.37935994413694546</v>
      </c>
      <c r="AF54" s="825">
        <f t="shared" si="19"/>
        <v>0.50527348723500165</v>
      </c>
      <c r="AG54" s="825">
        <f t="shared" si="19"/>
        <v>0.45116194218778877</v>
      </c>
      <c r="AH54" s="825">
        <f t="shared" si="19"/>
        <v>0.4190954687880582</v>
      </c>
      <c r="AI54" s="825">
        <f t="shared" si="19"/>
        <v>0.39980681919085659</v>
      </c>
      <c r="AJ54" s="825">
        <f t="shared" si="19"/>
        <v>0.47001713777783327</v>
      </c>
      <c r="AK54" s="825">
        <f t="shared" si="19"/>
        <v>0.4115459043991111</v>
      </c>
      <c r="AL54" s="825">
        <f t="shared" si="19"/>
        <v>0.41116836159911757</v>
      </c>
      <c r="AM54" s="825">
        <f t="shared" si="19"/>
        <v>0.43030659899149698</v>
      </c>
      <c r="AN54" s="825">
        <f t="shared" si="19"/>
        <v>0.40026616071592952</v>
      </c>
      <c r="AO54" s="825">
        <f t="shared" si="19"/>
        <v>0.52051806231734543</v>
      </c>
      <c r="AP54" s="825">
        <f t="shared" si="19"/>
        <v>0.49660945366729209</v>
      </c>
    </row>
    <row r="55" spans="1:43" s="163" customFormat="1" ht="14.25" customHeight="1" x14ac:dyDescent="0.25">
      <c r="A55" s="817"/>
      <c r="B55" s="34"/>
      <c r="C55" s="817"/>
      <c r="D55" s="825"/>
      <c r="E55" s="422"/>
      <c r="F55" s="422"/>
      <c r="G55" s="422"/>
      <c r="H55" s="422"/>
      <c r="I55" s="422"/>
      <c r="J55" s="422"/>
      <c r="K55" s="422"/>
      <c r="L55" s="422"/>
      <c r="M55" s="422"/>
      <c r="N55" s="422"/>
      <c r="O55" s="422"/>
      <c r="P55" s="422"/>
      <c r="Q55" s="422"/>
      <c r="R55" s="422"/>
      <c r="S55" s="422"/>
      <c r="T55" s="422"/>
      <c r="U55" s="422"/>
      <c r="V55" s="422"/>
      <c r="W55" s="422"/>
      <c r="X55" s="422"/>
      <c r="Y55" s="422"/>
      <c r="Z55" s="422"/>
      <c r="AA55" s="422"/>
      <c r="AB55" s="422"/>
      <c r="AC55" s="422"/>
      <c r="AD55" s="422"/>
      <c r="AE55" s="422"/>
      <c r="AF55" s="422"/>
      <c r="AG55" s="422"/>
      <c r="AH55" s="422"/>
      <c r="AI55" s="422"/>
      <c r="AJ55" s="422"/>
      <c r="AK55" s="422"/>
      <c r="AL55" s="422"/>
      <c r="AM55" s="422"/>
      <c r="AN55" s="422"/>
      <c r="AO55" s="422"/>
      <c r="AP55" s="422"/>
    </row>
    <row r="56" spans="1:43" s="432" customFormat="1" ht="14.25" customHeight="1" x14ac:dyDescent="0.25">
      <c r="A56" s="822" t="s">
        <v>761</v>
      </c>
      <c r="B56" s="822"/>
      <c r="C56" s="823"/>
      <c r="D56" s="431">
        <f t="shared" ref="D56:AP56" si="20">D7*(D10*(D14*$B$108+D15*$B$107+D16*AVERAGE($B$106:$B$107)+D17*$B$106)+D11*(D23*$B$107+D24*AVERAGE($B$106:$B$107)+D25*$B$106))</f>
        <v>110844086.59374152</v>
      </c>
      <c r="E56" s="431">
        <f t="shared" si="20"/>
        <v>8963716.256436266</v>
      </c>
      <c r="F56" s="431">
        <f t="shared" si="20"/>
        <v>35810809.115816429</v>
      </c>
      <c r="G56" s="431">
        <f t="shared" si="20"/>
        <v>49412022.205899492</v>
      </c>
      <c r="H56" s="431">
        <f t="shared" si="20"/>
        <v>101789587.91333832</v>
      </c>
      <c r="I56" s="431">
        <f t="shared" si="20"/>
        <v>2011471.1756999039</v>
      </c>
      <c r="J56" s="431">
        <f t="shared" si="20"/>
        <v>44683119.246543333</v>
      </c>
      <c r="K56" s="431">
        <f t="shared" si="20"/>
        <v>167453764.1219798</v>
      </c>
      <c r="L56" s="431">
        <f t="shared" si="20"/>
        <v>43131132.718684569</v>
      </c>
      <c r="M56" s="431">
        <f t="shared" si="20"/>
        <v>75593599.337841257</v>
      </c>
      <c r="N56" s="431">
        <f t="shared" si="20"/>
        <v>4640019.2095195092</v>
      </c>
      <c r="O56" s="431">
        <f t="shared" si="20"/>
        <v>24704495.500907239</v>
      </c>
      <c r="P56" s="431">
        <f t="shared" si="20"/>
        <v>72187418.681856975</v>
      </c>
      <c r="Q56" s="431">
        <f t="shared" si="20"/>
        <v>76193212.957251862</v>
      </c>
      <c r="R56" s="431">
        <f t="shared" si="20"/>
        <v>22672626.617808379</v>
      </c>
      <c r="S56" s="431">
        <f t="shared" si="20"/>
        <v>22783705.614931878</v>
      </c>
      <c r="T56" s="431">
        <f t="shared" si="20"/>
        <v>403790.60124900466</v>
      </c>
      <c r="U56" s="431">
        <f t="shared" si="20"/>
        <v>16651396.098613746</v>
      </c>
      <c r="V56" s="431">
        <f t="shared" si="20"/>
        <v>607851.69069363852</v>
      </c>
      <c r="W56" s="431">
        <f t="shared" si="20"/>
        <v>9788079.3309821337</v>
      </c>
      <c r="X56" s="431">
        <f t="shared" si="20"/>
        <v>6079019.3521305742</v>
      </c>
      <c r="Y56" s="431">
        <f t="shared" si="20"/>
        <v>49380994.767796949</v>
      </c>
      <c r="Z56" s="431">
        <f t="shared" si="20"/>
        <v>6666122.2149750162</v>
      </c>
      <c r="AA56" s="431">
        <f t="shared" si="20"/>
        <v>53967440.559923433</v>
      </c>
      <c r="AB56" s="431">
        <f t="shared" si="20"/>
        <v>162125535.74215645</v>
      </c>
      <c r="AC56" s="431">
        <f t="shared" si="20"/>
        <v>28904206.764042087</v>
      </c>
      <c r="AD56" s="431">
        <f t="shared" si="20"/>
        <v>104707718.56314746</v>
      </c>
      <c r="AE56" s="431">
        <f t="shared" si="20"/>
        <v>4336418.8754017865</v>
      </c>
      <c r="AF56" s="431">
        <f t="shared" si="20"/>
        <v>5098929.7695720829</v>
      </c>
      <c r="AG56" s="431">
        <f t="shared" si="20"/>
        <v>6105659.5998680834</v>
      </c>
      <c r="AH56" s="431">
        <f t="shared" si="20"/>
        <v>12178123.851844816</v>
      </c>
      <c r="AI56" s="431">
        <f t="shared" si="20"/>
        <v>2400231.685513922</v>
      </c>
      <c r="AJ56" s="431">
        <f t="shared" si="20"/>
        <v>124892519.79883455</v>
      </c>
      <c r="AK56" s="431">
        <f t="shared" si="20"/>
        <v>11987022.880188206</v>
      </c>
      <c r="AL56" s="431">
        <f t="shared" si="20"/>
        <v>53388071.373821259</v>
      </c>
      <c r="AM56" s="431">
        <f t="shared" si="20"/>
        <v>48870387.389728054</v>
      </c>
      <c r="AN56" s="431">
        <f t="shared" si="20"/>
        <v>98270379.955156907</v>
      </c>
      <c r="AO56" s="431">
        <f t="shared" si="20"/>
        <v>73909077.993064255</v>
      </c>
      <c r="AP56" s="431">
        <f t="shared" si="20"/>
        <v>88763558.354083285</v>
      </c>
    </row>
    <row r="57" spans="1:43" ht="14.25" customHeight="1" x14ac:dyDescent="0.25">
      <c r="A57" s="295" t="s">
        <v>740</v>
      </c>
      <c r="B57" s="295"/>
      <c r="C57" s="295"/>
      <c r="D57" s="421">
        <f t="shared" ref="D57:AP57" si="21">(SUMPRODUCT($C$14:$C$17*D14:D17)*D8+SUMPRODUCT($C$23:$C$25*D23:D25)*D9)/(D8+D9)</f>
        <v>2.7843528722255306</v>
      </c>
      <c r="E57" s="421">
        <f t="shared" si="21"/>
        <v>2.8015909571974738</v>
      </c>
      <c r="F57" s="421">
        <f t="shared" si="21"/>
        <v>2.8867659020857532</v>
      </c>
      <c r="G57" s="421">
        <f t="shared" si="21"/>
        <v>2.6927455463723722</v>
      </c>
      <c r="H57" s="421">
        <f t="shared" si="21"/>
        <v>2.5669031168591685</v>
      </c>
      <c r="I57" s="421">
        <f t="shared" si="21"/>
        <v>3.4174563102382951</v>
      </c>
      <c r="J57" s="421">
        <f t="shared" si="21"/>
        <v>2.7701716654102704</v>
      </c>
      <c r="K57" s="421">
        <f t="shared" si="21"/>
        <v>2.3401294947897981</v>
      </c>
      <c r="L57" s="421">
        <f t="shared" si="21"/>
        <v>2.2344111706896417</v>
      </c>
      <c r="M57" s="421">
        <f t="shared" si="21"/>
        <v>2.7680706300265676</v>
      </c>
      <c r="N57" s="421">
        <f t="shared" si="21"/>
        <v>3.0647436298598469</v>
      </c>
      <c r="O57" s="421">
        <f t="shared" si="21"/>
        <v>2.943081666862537</v>
      </c>
      <c r="P57" s="421">
        <f t="shared" si="21"/>
        <v>2.4322670736898719</v>
      </c>
      <c r="Q57" s="421">
        <f t="shared" si="21"/>
        <v>2.9940948577120845</v>
      </c>
      <c r="R57" s="421">
        <f t="shared" si="21"/>
        <v>2.48601460079992</v>
      </c>
      <c r="S57" s="421">
        <f t="shared" si="21"/>
        <v>2.7470191680291984</v>
      </c>
      <c r="T57" s="421">
        <f t="shared" si="21"/>
        <v>2.5133796330698921</v>
      </c>
      <c r="U57" s="421">
        <f t="shared" si="21"/>
        <v>2.907084105463305</v>
      </c>
      <c r="V57" s="421">
        <f t="shared" si="21"/>
        <v>2.8269075728731341</v>
      </c>
      <c r="W57" s="421">
        <f t="shared" si="21"/>
        <v>2.9394002973049833</v>
      </c>
      <c r="X57" s="421">
        <f t="shared" si="21"/>
        <v>1.8802806270743975</v>
      </c>
      <c r="Y57" s="421">
        <f t="shared" si="21"/>
        <v>2.7376883578933007</v>
      </c>
      <c r="Z57" s="421">
        <f t="shared" si="21"/>
        <v>3.1576169316041951</v>
      </c>
      <c r="AA57" s="421">
        <f t="shared" si="21"/>
        <v>2.7982467997149501</v>
      </c>
      <c r="AB57" s="421">
        <f t="shared" si="21"/>
        <v>2.2124303080577237</v>
      </c>
      <c r="AC57" s="421">
        <f t="shared" si="21"/>
        <v>3.0691393285138919</v>
      </c>
      <c r="AD57" s="421">
        <f t="shared" si="21"/>
        <v>2.7908434624040033</v>
      </c>
      <c r="AE57" s="421">
        <f t="shared" si="21"/>
        <v>3.0930851265675479</v>
      </c>
      <c r="AF57" s="421">
        <f t="shared" si="21"/>
        <v>1.8835477381119456</v>
      </c>
      <c r="AG57" s="421">
        <f t="shared" si="21"/>
        <v>2.3172524221162094</v>
      </c>
      <c r="AH57" s="421">
        <f t="shared" si="21"/>
        <v>2.3071165991379821</v>
      </c>
      <c r="AI57" s="421">
        <f t="shared" si="21"/>
        <v>2.8959667501861923</v>
      </c>
      <c r="AJ57" s="421">
        <f t="shared" si="21"/>
        <v>2.206149885049236</v>
      </c>
      <c r="AK57" s="421">
        <f t="shared" si="21"/>
        <v>2.6909137847696218</v>
      </c>
      <c r="AL57" s="421">
        <f t="shared" si="21"/>
        <v>2.3139653416645212</v>
      </c>
      <c r="AM57" s="421">
        <f t="shared" si="21"/>
        <v>2.6404189845605903</v>
      </c>
      <c r="AN57" s="421">
        <f t="shared" si="21"/>
        <v>2.7454136114000871</v>
      </c>
      <c r="AO57" s="421">
        <f t="shared" si="21"/>
        <v>1.9504725449339113</v>
      </c>
      <c r="AP57" s="421">
        <f t="shared" si="21"/>
        <v>2.010761383893223</v>
      </c>
    </row>
    <row r="58" spans="1:43" ht="24.75" customHeight="1" x14ac:dyDescent="0.35">
      <c r="A58" s="396" t="s">
        <v>745</v>
      </c>
      <c r="B58" s="396"/>
      <c r="C58" s="396"/>
      <c r="D58" s="395"/>
      <c r="E58" s="395"/>
      <c r="F58" s="395"/>
      <c r="G58" s="395"/>
      <c r="H58" s="395"/>
      <c r="I58" s="395"/>
      <c r="J58" s="395"/>
      <c r="K58" s="395"/>
      <c r="L58" s="395"/>
      <c r="M58" s="395"/>
      <c r="N58" s="395"/>
      <c r="O58" s="395"/>
      <c r="P58" s="395"/>
      <c r="Q58" s="395"/>
      <c r="R58" s="395"/>
      <c r="S58" s="395"/>
      <c r="T58" s="395"/>
      <c r="U58" s="395"/>
      <c r="V58" s="395"/>
      <c r="W58" s="395"/>
      <c r="X58" s="395"/>
      <c r="Y58" s="395"/>
      <c r="Z58" s="395"/>
      <c r="AA58" s="395"/>
      <c r="AB58" s="395"/>
      <c r="AC58" s="395"/>
      <c r="AD58" s="395"/>
      <c r="AE58" s="395"/>
      <c r="AF58" s="395"/>
      <c r="AG58" s="395"/>
      <c r="AH58" s="395"/>
      <c r="AI58" s="395"/>
      <c r="AJ58" s="395"/>
      <c r="AK58" s="395"/>
      <c r="AL58" s="395"/>
      <c r="AM58" s="395"/>
      <c r="AN58" s="395"/>
      <c r="AO58" s="395"/>
      <c r="AP58" s="395"/>
    </row>
    <row r="59" spans="1:43" x14ac:dyDescent="0.25">
      <c r="A59" s="413" t="s">
        <v>744</v>
      </c>
      <c r="B59" s="413"/>
      <c r="C59" s="413"/>
      <c r="D59" s="395"/>
      <c r="E59" s="395"/>
      <c r="F59" s="395"/>
      <c r="G59" s="395"/>
      <c r="H59" s="395"/>
      <c r="I59" s="395"/>
      <c r="J59" s="395"/>
      <c r="K59" s="395"/>
      <c r="L59" s="395"/>
      <c r="M59" s="395"/>
      <c r="N59" s="395"/>
      <c r="O59" s="395"/>
      <c r="P59" s="395"/>
      <c r="Q59" s="395"/>
      <c r="R59" s="395"/>
      <c r="S59" s="395"/>
      <c r="T59" s="395"/>
      <c r="U59" s="395"/>
      <c r="V59" s="395"/>
      <c r="W59" s="395"/>
      <c r="X59" s="395"/>
      <c r="Y59" s="395"/>
      <c r="Z59" s="395"/>
      <c r="AA59" s="395"/>
      <c r="AB59" s="395"/>
      <c r="AC59" s="395"/>
      <c r="AD59" s="395"/>
      <c r="AE59" s="395"/>
      <c r="AF59" s="395"/>
      <c r="AG59" s="395"/>
      <c r="AH59" s="395"/>
      <c r="AI59" s="395"/>
      <c r="AJ59" s="395"/>
      <c r="AK59" s="395"/>
      <c r="AL59" s="395"/>
      <c r="AM59" s="395"/>
      <c r="AN59" s="395"/>
      <c r="AO59" s="395"/>
      <c r="AP59" s="395"/>
    </row>
    <row r="60" spans="1:43" s="163" customFormat="1" ht="15" customHeight="1" x14ac:dyDescent="0.25">
      <c r="A60" s="394" t="s">
        <v>722</v>
      </c>
      <c r="B60" s="394"/>
      <c r="C60" s="403">
        <v>0</v>
      </c>
      <c r="D60" s="392"/>
      <c r="E60" s="392"/>
      <c r="F60" s="392"/>
      <c r="G60" s="392"/>
      <c r="H60" s="392"/>
      <c r="I60" s="392"/>
      <c r="J60" s="392"/>
      <c r="K60" s="392"/>
      <c r="L60" s="392"/>
      <c r="M60" s="392"/>
      <c r="N60" s="392"/>
      <c r="O60" s="392"/>
      <c r="P60" s="392"/>
      <c r="Q60" s="392"/>
      <c r="R60" s="392"/>
      <c r="S60" s="392"/>
      <c r="T60" s="392"/>
      <c r="U60" s="392"/>
      <c r="V60" s="392"/>
      <c r="W60" s="392"/>
      <c r="X60" s="392"/>
      <c r="Y60" s="392"/>
      <c r="Z60" s="392"/>
      <c r="AA60" s="392"/>
      <c r="AB60" s="392"/>
      <c r="AC60" s="392"/>
      <c r="AD60" s="392"/>
      <c r="AE60" s="392"/>
      <c r="AF60" s="392"/>
      <c r="AG60" s="392"/>
      <c r="AH60" s="392"/>
      <c r="AI60" s="392"/>
      <c r="AJ60" s="392"/>
      <c r="AK60" s="392"/>
      <c r="AL60" s="392"/>
      <c r="AM60" s="392"/>
      <c r="AN60" s="392"/>
      <c r="AO60" s="392"/>
      <c r="AP60" s="392"/>
    </row>
    <row r="61" spans="1:43" s="163" customFormat="1" x14ac:dyDescent="0.25">
      <c r="A61" s="402" t="s">
        <v>721</v>
      </c>
      <c r="B61" s="402"/>
      <c r="C61" s="402">
        <v>1</v>
      </c>
      <c r="D61" s="416">
        <f ca="1">D14+D15*$B$62*Main!$C$170+D16*$B$63*Main!$C$170+D17*$B$64*Main!$C$170</f>
        <v>0.78</v>
      </c>
      <c r="E61" s="416">
        <f ca="1">E14+E15*$B$62*Main!$C$170+E16*$B$63*Main!$C$170+E17*$B$64*Main!$C$170</f>
        <v>0.78</v>
      </c>
      <c r="F61" s="416">
        <f ca="1">F14+F15*$B$62*Main!$C$170+F16*$B$63*Main!$C$170+F17*$B$64*Main!$C$170</f>
        <v>0.82999999999999985</v>
      </c>
      <c r="G61" s="416">
        <f ca="1">G14+G15*$B$62*Main!$C$170+G16*$B$63*Main!$C$170+G17*$B$64*Main!$C$170</f>
        <v>0.78</v>
      </c>
      <c r="H61" s="416">
        <f ca="1">H14+H15*$B$62*Main!$C$170+H16*$B$63*Main!$C$170+H17*$B$64*Main!$C$170</f>
        <v>0.93000000000000016</v>
      </c>
      <c r="I61" s="416">
        <f ca="1">I14+I15*$B$62*Main!$C$170+I16*$B$63*Main!$C$170+I17*$B$64*Main!$C$170</f>
        <v>0.87</v>
      </c>
      <c r="J61" s="416">
        <f ca="1">J14+J15*$B$62*Main!$C$170+J16*$B$63*Main!$C$170+J17*$B$64*Main!$C$170</f>
        <v>0.78</v>
      </c>
      <c r="K61" s="416">
        <f ca="1">K14+K15*$B$62*Main!$C$170+K16*$B$63*Main!$C$170+K17*$B$64*Main!$C$170</f>
        <v>0.93000000000000016</v>
      </c>
      <c r="L61" s="416">
        <f ca="1">L14+L15*$B$62*Main!$C$170+L16*$B$63*Main!$C$170+L17*$B$64*Main!$C$170</f>
        <v>0.93000000000000016</v>
      </c>
      <c r="M61" s="416">
        <f ca="1">M14+M15*$B$62*Main!$C$170+M16*$B$63*Main!$C$170+M17*$B$64*Main!$C$170</f>
        <v>0.78</v>
      </c>
      <c r="N61" s="416">
        <f ca="1">N14+N15*$B$62*Main!$C$170+N16*$B$63*Main!$C$170+N17*$B$64*Main!$C$170</f>
        <v>0.87</v>
      </c>
      <c r="O61" s="416">
        <f ca="1">O14+O15*$B$62*Main!$C$170+O16*$B$63*Main!$C$170+O17*$B$64*Main!$C$170</f>
        <v>0.87</v>
      </c>
      <c r="P61" s="416">
        <f ca="1">P14+P15*$B$62*Main!$C$170+P16*$B$63*Main!$C$170+P17*$B$64*Main!$C$170</f>
        <v>0.93000000000000016</v>
      </c>
      <c r="Q61" s="416">
        <f ca="1">Q14+Q15*$B$62*Main!$C$170+Q16*$B$63*Main!$C$170+Q17*$B$64*Main!$C$170</f>
        <v>0.78</v>
      </c>
      <c r="R61" s="416">
        <f ca="1">R14+R15*$B$62*Main!$C$170+R16*$B$63*Main!$C$170+R17*$B$64*Main!$C$170</f>
        <v>0.82999999999999985</v>
      </c>
      <c r="S61" s="416">
        <f ca="1">S14+S15*$B$62*Main!$C$170+S16*$B$63*Main!$C$170+S17*$B$64*Main!$C$170</f>
        <v>0.78</v>
      </c>
      <c r="T61" s="416">
        <f ca="1">T14+T15*$B$62*Main!$C$170+T16*$B$63*Main!$C$170+T17*$B$64*Main!$C$170</f>
        <v>0.87</v>
      </c>
      <c r="U61" s="416">
        <f ca="1">U14+U15*$B$62*Main!$C$170+U16*$B$63*Main!$C$170+U17*$B$64*Main!$C$170</f>
        <v>0.87</v>
      </c>
      <c r="V61" s="416">
        <f ca="1">V14+V15*$B$62*Main!$C$170+V16*$B$63*Main!$C$170+V17*$B$64*Main!$C$170</f>
        <v>0.87</v>
      </c>
      <c r="W61" s="416">
        <f ca="1">W14+W15*$B$62*Main!$C$170+W16*$B$63*Main!$C$170+W17*$B$64*Main!$C$170</f>
        <v>0.78</v>
      </c>
      <c r="X61" s="416">
        <f ca="1">X14+X15*$B$62*Main!$C$170+X16*$B$63*Main!$C$170+X17*$B$64*Main!$C$170</f>
        <v>0.93000000000000016</v>
      </c>
      <c r="Y61" s="416">
        <f ca="1">Y14+Y15*$B$62*Main!$C$170+Y16*$B$63*Main!$C$170+Y17*$B$64*Main!$C$170</f>
        <v>0.78</v>
      </c>
      <c r="Z61" s="416">
        <f ca="1">Z14+Z15*$B$62*Main!$C$170+Z16*$B$63*Main!$C$170+Z17*$B$64*Main!$C$170</f>
        <v>0.78</v>
      </c>
      <c r="AA61" s="416">
        <f ca="1">AA14+AA15*$B$62*Main!$C$170+AA16*$B$63*Main!$C$170+AA17*$B$64*Main!$C$170</f>
        <v>0.82999999999999985</v>
      </c>
      <c r="AB61" s="416">
        <f ca="1">AB14+AB15*$B$62*Main!$C$170+AB16*$B$63*Main!$C$170+AB17*$B$64*Main!$C$170</f>
        <v>0.92499999999999993</v>
      </c>
      <c r="AC61" s="416">
        <f ca="1">AC14+AC15*$B$62*Main!$C$170+AC16*$B$63*Main!$C$170+AC17*$B$64*Main!$C$170</f>
        <v>0.87</v>
      </c>
      <c r="AD61" s="416">
        <f ca="1">AD14+AD15*$B$62*Main!$C$170+AD16*$B$63*Main!$C$170+AD17*$B$64*Main!$C$170</f>
        <v>0.78</v>
      </c>
      <c r="AE61" s="416">
        <f ca="1">AE14+AE15*$B$62*Main!$C$170+AE16*$B$63*Main!$C$170+AE17*$B$64*Main!$C$170</f>
        <v>0.87</v>
      </c>
      <c r="AF61" s="416">
        <f ca="1">AF14+AF15*$B$62*Main!$C$170+AF16*$B$63*Main!$C$170+AF17*$B$64*Main!$C$170</f>
        <v>0.92499999999999993</v>
      </c>
      <c r="AG61" s="416">
        <f ca="1">AG14+AG15*$B$62*Main!$C$170+AG16*$B$63*Main!$C$170+AG17*$B$64*Main!$C$170</f>
        <v>0.92499999999999993</v>
      </c>
      <c r="AH61" s="416">
        <f ca="1">AH14+AH15*$B$62*Main!$C$170+AH16*$B$63*Main!$C$170+AH17*$B$64*Main!$C$170</f>
        <v>0.92499999999999993</v>
      </c>
      <c r="AI61" s="416">
        <f ca="1">AI14+AI15*$B$62*Main!$C$170+AI16*$B$63*Main!$C$170+AI17*$B$64*Main!$C$170</f>
        <v>0.82999999999999985</v>
      </c>
      <c r="AJ61" s="416">
        <f ca="1">AJ14+AJ15*$B$62*Main!$C$170+AJ16*$B$63*Main!$C$170+AJ17*$B$64*Main!$C$170</f>
        <v>0.92499999999999993</v>
      </c>
      <c r="AK61" s="416">
        <f ca="1">AK14+AK15*$B$62*Main!$C$170+AK16*$B$63*Main!$C$170+AK17*$B$64*Main!$C$170</f>
        <v>0.93000000000000016</v>
      </c>
      <c r="AL61" s="416">
        <f ca="1">AL14+AL15*$B$62*Main!$C$170+AL16*$B$63*Main!$C$170+AL17*$B$64*Main!$C$170</f>
        <v>0.78</v>
      </c>
      <c r="AM61" s="416">
        <f ca="1">AM14+AM15*$B$62*Main!$C$170+AM16*$B$63*Main!$C$170+AM17*$B$64*Main!$C$170</f>
        <v>0.82999999999999985</v>
      </c>
      <c r="AN61" s="416">
        <f ca="1">AN14+AN15*$B$62*Main!$C$170+AN16*$B$63*Main!$C$170+AN17*$B$64*Main!$C$170</f>
        <v>0.78</v>
      </c>
      <c r="AO61" s="416">
        <f ca="1">AO14+AO15*$B$62*Main!$C$170+AO16*$B$63*Main!$C$170+AO17*$B$64*Main!$C$170</f>
        <v>0.92499999999999993</v>
      </c>
      <c r="AP61" s="416">
        <f ca="1">AP14+AP15*$B$62*Main!$C$170+AP16*$B$63*Main!$C$170+AP17*$B$64*Main!$C$170</f>
        <v>0.92499999999999993</v>
      </c>
    </row>
    <row r="62" spans="1:43" s="163" customFormat="1" ht="15" customHeight="1" x14ac:dyDescent="0.25">
      <c r="A62" s="401" t="s">
        <v>720</v>
      </c>
      <c r="B62" s="622">
        <v>1</v>
      </c>
      <c r="C62" s="401">
        <v>2</v>
      </c>
      <c r="D62" s="415">
        <f ca="1">D15*$B$62*(1-Main!$C$170)</f>
        <v>0.11</v>
      </c>
      <c r="E62" s="415">
        <f ca="1">E15*$B$62*(1-Main!$C$170)</f>
        <v>0.11</v>
      </c>
      <c r="F62" s="415">
        <f ca="1">F15*$B$62*(1-Main!$C$170)</f>
        <v>7.5000000000000011E-2</v>
      </c>
      <c r="G62" s="415">
        <f ca="1">G15*$B$62*(1-Main!$C$170)</f>
        <v>0.11</v>
      </c>
      <c r="H62" s="415">
        <f ca="1">H15*$B$62*(1-Main!$C$170)</f>
        <v>3.5000000000000003E-2</v>
      </c>
      <c r="I62" s="415">
        <f ca="1">I15*$B$62*(1-Main!$C$170)</f>
        <v>6.25E-2</v>
      </c>
      <c r="J62" s="415">
        <f ca="1">J15*$B$62*(1-Main!$C$170)</f>
        <v>0.11</v>
      </c>
      <c r="K62" s="415">
        <f ca="1">K15*$B$62*(1-Main!$C$170)</f>
        <v>3.5000000000000003E-2</v>
      </c>
      <c r="L62" s="415">
        <f ca="1">L15*$B$62*(1-Main!$C$170)</f>
        <v>3.5000000000000003E-2</v>
      </c>
      <c r="M62" s="415">
        <f ca="1">M15*$B$62*(1-Main!$C$170)</f>
        <v>0.10500000000000001</v>
      </c>
      <c r="N62" s="415">
        <f ca="1">N15*$B$62*(1-Main!$C$170)</f>
        <v>6.25E-2</v>
      </c>
      <c r="O62" s="415">
        <f ca="1">O15*$B$62*(1-Main!$C$170)</f>
        <v>6.25E-2</v>
      </c>
      <c r="P62" s="415">
        <f ca="1">P15*$B$62*(1-Main!$C$170)</f>
        <v>3.5000000000000003E-2</v>
      </c>
      <c r="Q62" s="415">
        <f ca="1">Q15*$B$62*(1-Main!$C$170)</f>
        <v>0.10500000000000001</v>
      </c>
      <c r="R62" s="415">
        <f ca="1">R15*$B$62*(1-Main!$C$170)</f>
        <v>7.5000000000000011E-2</v>
      </c>
      <c r="S62" s="415">
        <f ca="1">S15*$B$62*(1-Main!$C$170)</f>
        <v>0.10500000000000001</v>
      </c>
      <c r="T62" s="415">
        <f ca="1">T15*$B$62*(1-Main!$C$170)</f>
        <v>6.25E-2</v>
      </c>
      <c r="U62" s="415">
        <f ca="1">U15*$B$62*(1-Main!$C$170)</f>
        <v>6.25E-2</v>
      </c>
      <c r="V62" s="415">
        <f ca="1">V15*$B$62*(1-Main!$C$170)</f>
        <v>6.25E-2</v>
      </c>
      <c r="W62" s="415">
        <f ca="1">W15*$B$62*(1-Main!$C$170)</f>
        <v>0.10500000000000001</v>
      </c>
      <c r="X62" s="415">
        <f ca="1">X15*$B$62*(1-Main!$C$170)</f>
        <v>3.5000000000000003E-2</v>
      </c>
      <c r="Y62" s="415">
        <f ca="1">Y15*$B$62*(1-Main!$C$170)</f>
        <v>0.10500000000000001</v>
      </c>
      <c r="Z62" s="415">
        <f ca="1">Z15*$B$62*(1-Main!$C$170)</f>
        <v>0.10500000000000001</v>
      </c>
      <c r="AA62" s="415">
        <f ca="1">AA15*$B$62*(1-Main!$C$170)</f>
        <v>7.5000000000000011E-2</v>
      </c>
      <c r="AB62" s="415">
        <f ca="1">AB15*$B$62*(1-Main!$C$170)</f>
        <v>2.75E-2</v>
      </c>
      <c r="AC62" s="415">
        <f ca="1">AC15*$B$62*(1-Main!$C$170)</f>
        <v>6.25E-2</v>
      </c>
      <c r="AD62" s="415">
        <f ca="1">AD15*$B$62*(1-Main!$C$170)</f>
        <v>0.11</v>
      </c>
      <c r="AE62" s="415">
        <f ca="1">AE15*$B$62*(1-Main!$C$170)</f>
        <v>6.25E-2</v>
      </c>
      <c r="AF62" s="415">
        <f ca="1">AF15*$B$62*(1-Main!$C$170)</f>
        <v>2.75E-2</v>
      </c>
      <c r="AG62" s="415">
        <f ca="1">AG15*$B$62*(1-Main!$C$170)</f>
        <v>2.75E-2</v>
      </c>
      <c r="AH62" s="415">
        <f ca="1">AH15*$B$62*(1-Main!$C$170)</f>
        <v>2.75E-2</v>
      </c>
      <c r="AI62" s="415">
        <f ca="1">AI15*$B$62*(1-Main!$C$170)</f>
        <v>7.5000000000000011E-2</v>
      </c>
      <c r="AJ62" s="415">
        <f ca="1">AJ15*$B$62*(1-Main!$C$170)</f>
        <v>2.75E-2</v>
      </c>
      <c r="AK62" s="415">
        <f ca="1">AK15*$B$62*(1-Main!$C$170)</f>
        <v>3.5000000000000003E-2</v>
      </c>
      <c r="AL62" s="415">
        <f ca="1">AL15*$B$62*(1-Main!$C$170)</f>
        <v>0.10500000000000001</v>
      </c>
      <c r="AM62" s="415">
        <f ca="1">AM15*$B$62*(1-Main!$C$170)</f>
        <v>7.5000000000000011E-2</v>
      </c>
      <c r="AN62" s="415">
        <f ca="1">AN15*$B$62*(1-Main!$C$170)</f>
        <v>0.10500000000000001</v>
      </c>
      <c r="AO62" s="415">
        <f ca="1">AO15*$B$62*(1-Main!$C$170)</f>
        <v>2.75E-2</v>
      </c>
      <c r="AP62" s="415">
        <f ca="1">AP15*$B$62*(1-Main!$C$170)</f>
        <v>2.75E-2</v>
      </c>
    </row>
    <row r="63" spans="1:43" s="163" customFormat="1" ht="30" x14ac:dyDescent="0.25">
      <c r="A63" s="401" t="s">
        <v>719</v>
      </c>
      <c r="B63" s="622">
        <v>1</v>
      </c>
      <c r="C63" s="401">
        <v>4</v>
      </c>
      <c r="D63" s="415">
        <f ca="1">D16*$B$63*(1-Main!$C$170)</f>
        <v>0.115</v>
      </c>
      <c r="E63" s="415">
        <f ca="1">E16*$B$63*(1-Main!$C$170)</f>
        <v>0.115</v>
      </c>
      <c r="F63" s="415">
        <f ca="1">F16*$B$63*(1-Main!$C$170)</f>
        <v>8.5000000000000006E-2</v>
      </c>
      <c r="G63" s="415">
        <f ca="1">G16*$B$63*(1-Main!$C$170)</f>
        <v>0.115</v>
      </c>
      <c r="H63" s="415">
        <f ca="1">H16*$B$63*(1-Main!$C$170)</f>
        <v>3.5000000000000003E-2</v>
      </c>
      <c r="I63" s="415">
        <f ca="1">I16*$B$63*(1-Main!$C$170)</f>
        <v>7.0000000000000007E-2</v>
      </c>
      <c r="J63" s="415">
        <f ca="1">J16*$B$63*(1-Main!$C$170)</f>
        <v>0.115</v>
      </c>
      <c r="K63" s="415">
        <f ca="1">K16*$B$63*(1-Main!$C$170)</f>
        <v>3.5000000000000003E-2</v>
      </c>
      <c r="L63" s="415">
        <f ca="1">L16*$B$63*(1-Main!$C$170)</f>
        <v>3.5000000000000003E-2</v>
      </c>
      <c r="M63" s="415">
        <f ca="1">M16*$B$63*(1-Main!$C$170)</f>
        <v>0.10500000000000001</v>
      </c>
      <c r="N63" s="415">
        <f ca="1">N16*$B$63*(1-Main!$C$170)</f>
        <v>7.0000000000000007E-2</v>
      </c>
      <c r="O63" s="415">
        <f ca="1">O16*$B$63*(1-Main!$C$170)</f>
        <v>7.0000000000000007E-2</v>
      </c>
      <c r="P63" s="415">
        <f ca="1">P16*$B$63*(1-Main!$C$170)</f>
        <v>3.5000000000000003E-2</v>
      </c>
      <c r="Q63" s="415">
        <f ca="1">Q16*$B$63*(1-Main!$C$170)</f>
        <v>0.10500000000000001</v>
      </c>
      <c r="R63" s="415">
        <f ca="1">R16*$B$63*(1-Main!$C$170)</f>
        <v>8.5000000000000006E-2</v>
      </c>
      <c r="S63" s="415">
        <f ca="1">S16*$B$63*(1-Main!$C$170)</f>
        <v>0.10500000000000001</v>
      </c>
      <c r="T63" s="415">
        <f ca="1">T16*$B$63*(1-Main!$C$170)</f>
        <v>7.0000000000000007E-2</v>
      </c>
      <c r="U63" s="415">
        <f ca="1">U16*$B$63*(1-Main!$C$170)</f>
        <v>7.0000000000000007E-2</v>
      </c>
      <c r="V63" s="415">
        <f ca="1">V16*$B$63*(1-Main!$C$170)</f>
        <v>7.0000000000000007E-2</v>
      </c>
      <c r="W63" s="415">
        <f ca="1">W16*$B$63*(1-Main!$C$170)</f>
        <v>0.10500000000000001</v>
      </c>
      <c r="X63" s="415">
        <f ca="1">X16*$B$63*(1-Main!$C$170)</f>
        <v>3.5000000000000003E-2</v>
      </c>
      <c r="Y63" s="415">
        <f ca="1">Y16*$B$63*(1-Main!$C$170)</f>
        <v>0.10500000000000001</v>
      </c>
      <c r="Z63" s="415">
        <f ca="1">Z16*$B$63*(1-Main!$C$170)</f>
        <v>0.10500000000000001</v>
      </c>
      <c r="AA63" s="415">
        <f ca="1">AA16*$B$63*(1-Main!$C$170)</f>
        <v>8.5000000000000006E-2</v>
      </c>
      <c r="AB63" s="415">
        <f ca="1">AB16*$B$63*(1-Main!$C$170)</f>
        <v>3.2500000000000001E-2</v>
      </c>
      <c r="AC63" s="415">
        <f ca="1">AC16*$B$63*(1-Main!$C$170)</f>
        <v>7.0000000000000007E-2</v>
      </c>
      <c r="AD63" s="415">
        <f ca="1">AD16*$B$63*(1-Main!$C$170)</f>
        <v>0.115</v>
      </c>
      <c r="AE63" s="415">
        <f ca="1">AE16*$B$63*(1-Main!$C$170)</f>
        <v>7.0000000000000007E-2</v>
      </c>
      <c r="AF63" s="415">
        <f ca="1">AF16*$B$63*(1-Main!$C$170)</f>
        <v>3.2500000000000001E-2</v>
      </c>
      <c r="AG63" s="415">
        <f ca="1">AG16*$B$63*(1-Main!$C$170)</f>
        <v>3.2500000000000001E-2</v>
      </c>
      <c r="AH63" s="415">
        <f ca="1">AH16*$B$63*(1-Main!$C$170)</f>
        <v>3.2500000000000001E-2</v>
      </c>
      <c r="AI63" s="415">
        <f ca="1">AI16*$B$63*(1-Main!$C$170)</f>
        <v>8.5000000000000006E-2</v>
      </c>
      <c r="AJ63" s="415">
        <f ca="1">AJ16*$B$63*(1-Main!$C$170)</f>
        <v>3.2500000000000001E-2</v>
      </c>
      <c r="AK63" s="415">
        <f ca="1">AK16*$B$63*(1-Main!$C$170)</f>
        <v>3.5000000000000003E-2</v>
      </c>
      <c r="AL63" s="415">
        <f ca="1">AL16*$B$63*(1-Main!$C$170)</f>
        <v>0.10500000000000001</v>
      </c>
      <c r="AM63" s="415">
        <f ca="1">AM16*$B$63*(1-Main!$C$170)</f>
        <v>8.5000000000000006E-2</v>
      </c>
      <c r="AN63" s="415">
        <f ca="1">AN16*$B$63*(1-Main!$C$170)</f>
        <v>0.10500000000000001</v>
      </c>
      <c r="AO63" s="415">
        <f ca="1">AO16*$B$63*(1-Main!$C$170)</f>
        <v>3.2500000000000001E-2</v>
      </c>
      <c r="AP63" s="415">
        <f ca="1">AP16*$B$63*(1-Main!$C$170)</f>
        <v>3.2500000000000001E-2</v>
      </c>
    </row>
    <row r="64" spans="1:43" s="163" customFormat="1" x14ac:dyDescent="0.25">
      <c r="A64" s="400" t="s">
        <v>741</v>
      </c>
      <c r="B64" s="622">
        <v>1</v>
      </c>
      <c r="C64" s="400">
        <v>8</v>
      </c>
      <c r="D64" s="415">
        <f ca="1">D17*$B$64*(1-Main!$C$170)</f>
        <v>5.0000000000000001E-3</v>
      </c>
      <c r="E64" s="415">
        <f ca="1">E17*$B$64*(1-Main!$C$170)</f>
        <v>5.0000000000000001E-3</v>
      </c>
      <c r="F64" s="415">
        <f ca="1">F17*$B$64*(1-Main!$C$170)</f>
        <v>0.01</v>
      </c>
      <c r="G64" s="415">
        <f ca="1">G17*$B$64*(1-Main!$C$170)</f>
        <v>5.0000000000000001E-3</v>
      </c>
      <c r="H64" s="415">
        <f ca="1">H17*$B$64*(1-Main!$C$170)</f>
        <v>0</v>
      </c>
      <c r="I64" s="415">
        <f ca="1">I17*$B$64*(1-Main!$C$170)</f>
        <v>7.4999999999999997E-3</v>
      </c>
      <c r="J64" s="415">
        <f ca="1">J17*$B$64*(1-Main!$C$170)</f>
        <v>5.0000000000000001E-3</v>
      </c>
      <c r="K64" s="415">
        <f ca="1">K17*$B$64*(1-Main!$C$170)</f>
        <v>0</v>
      </c>
      <c r="L64" s="415">
        <f ca="1">L17*$B$64*(1-Main!$C$170)</f>
        <v>0</v>
      </c>
      <c r="M64" s="415">
        <f ca="1">M17*$B$64*(1-Main!$C$170)</f>
        <v>0</v>
      </c>
      <c r="N64" s="415">
        <f ca="1">N17*$B$64*(1-Main!$C$170)</f>
        <v>7.4999999999999997E-3</v>
      </c>
      <c r="O64" s="415">
        <f ca="1">O17*$B$64*(1-Main!$C$170)</f>
        <v>7.4999999999999997E-3</v>
      </c>
      <c r="P64" s="415">
        <f ca="1">P17*$B$64*(1-Main!$C$170)</f>
        <v>0</v>
      </c>
      <c r="Q64" s="415">
        <f ca="1">Q17*$B$64*(1-Main!$C$170)</f>
        <v>0</v>
      </c>
      <c r="R64" s="415">
        <f ca="1">R17*$B$64*(1-Main!$C$170)</f>
        <v>0.01</v>
      </c>
      <c r="S64" s="415">
        <f ca="1">S17*$B$64*(1-Main!$C$170)</f>
        <v>0</v>
      </c>
      <c r="T64" s="415">
        <f ca="1">T17*$B$64*(1-Main!$C$170)</f>
        <v>7.4999999999999997E-3</v>
      </c>
      <c r="U64" s="415">
        <f ca="1">U17*$B$64*(1-Main!$C$170)</f>
        <v>7.4999999999999997E-3</v>
      </c>
      <c r="V64" s="415">
        <f ca="1">V17*$B$64*(1-Main!$C$170)</f>
        <v>7.4999999999999997E-3</v>
      </c>
      <c r="W64" s="415">
        <f ca="1">W17*$B$64*(1-Main!$C$170)</f>
        <v>0</v>
      </c>
      <c r="X64" s="415">
        <f ca="1">X17*$B$64*(1-Main!$C$170)</f>
        <v>0</v>
      </c>
      <c r="Y64" s="415">
        <f ca="1">Y17*$B$64*(1-Main!$C$170)</f>
        <v>0</v>
      </c>
      <c r="Z64" s="415">
        <f ca="1">Z17*$B$64*(1-Main!$C$170)</f>
        <v>0</v>
      </c>
      <c r="AA64" s="415">
        <f ca="1">AA17*$B$64*(1-Main!$C$170)</f>
        <v>0.01</v>
      </c>
      <c r="AB64" s="415">
        <f ca="1">AB17*$B$64*(1-Main!$C$170)</f>
        <v>5.0000000000000001E-3</v>
      </c>
      <c r="AC64" s="415">
        <f ca="1">AC17*$B$64*(1-Main!$C$170)</f>
        <v>7.4999999999999997E-3</v>
      </c>
      <c r="AD64" s="415">
        <f ca="1">AD17*$B$64*(1-Main!$C$170)</f>
        <v>5.0000000000000001E-3</v>
      </c>
      <c r="AE64" s="415">
        <f ca="1">AE17*$B$64*(1-Main!$C$170)</f>
        <v>7.4999999999999997E-3</v>
      </c>
      <c r="AF64" s="415">
        <f ca="1">AF17*$B$64*(1-Main!$C$170)</f>
        <v>5.0000000000000001E-3</v>
      </c>
      <c r="AG64" s="415">
        <f ca="1">AG17*$B$64*(1-Main!$C$170)</f>
        <v>5.0000000000000001E-3</v>
      </c>
      <c r="AH64" s="415">
        <f ca="1">AH17*$B$64*(1-Main!$C$170)</f>
        <v>5.0000000000000001E-3</v>
      </c>
      <c r="AI64" s="415">
        <f ca="1">AI17*$B$64*(1-Main!$C$170)</f>
        <v>0.01</v>
      </c>
      <c r="AJ64" s="415">
        <f ca="1">AJ17*$B$64*(1-Main!$C$170)</f>
        <v>5.0000000000000001E-3</v>
      </c>
      <c r="AK64" s="415">
        <f ca="1">AK17*$B$64*(1-Main!$C$170)</f>
        <v>0</v>
      </c>
      <c r="AL64" s="415">
        <f ca="1">AL17*$B$64*(1-Main!$C$170)</f>
        <v>0</v>
      </c>
      <c r="AM64" s="415">
        <f ca="1">AM17*$B$64*(1-Main!$C$170)</f>
        <v>0.01</v>
      </c>
      <c r="AN64" s="415">
        <f ca="1">AN17*$B$64*(1-Main!$C$170)</f>
        <v>0</v>
      </c>
      <c r="AO64" s="415">
        <f ca="1">AO17*$B$64*(1-Main!$C$170)</f>
        <v>5.0000000000000001E-3</v>
      </c>
      <c r="AP64" s="415">
        <f ca="1">AP17*$B$64*(1-Main!$C$170)</f>
        <v>5.0000000000000001E-3</v>
      </c>
    </row>
    <row r="65" spans="1:42" s="163" customFormat="1" x14ac:dyDescent="0.25">
      <c r="A65" s="394" t="s">
        <v>750</v>
      </c>
      <c r="B65" s="394"/>
      <c r="D65" s="415">
        <f t="shared" ref="D65:AP65" ca="1" si="22">SUM(D61:D64)</f>
        <v>1.01</v>
      </c>
      <c r="E65" s="415">
        <f t="shared" ca="1" si="22"/>
        <v>1.01</v>
      </c>
      <c r="F65" s="415">
        <f t="shared" ca="1" si="22"/>
        <v>0.99999999999999978</v>
      </c>
      <c r="G65" s="415">
        <f t="shared" ca="1" si="22"/>
        <v>1.01</v>
      </c>
      <c r="H65" s="415">
        <f t="shared" ca="1" si="22"/>
        <v>1.0000000000000002</v>
      </c>
      <c r="I65" s="415">
        <f t="shared" ca="1" si="22"/>
        <v>1.01</v>
      </c>
      <c r="J65" s="415">
        <f t="shared" ca="1" si="22"/>
        <v>1.01</v>
      </c>
      <c r="K65" s="415">
        <f t="shared" ca="1" si="22"/>
        <v>1.0000000000000002</v>
      </c>
      <c r="L65" s="415">
        <f t="shared" ca="1" si="22"/>
        <v>1.0000000000000002</v>
      </c>
      <c r="M65" s="415">
        <f t="shared" ca="1" si="22"/>
        <v>0.99</v>
      </c>
      <c r="N65" s="415">
        <f t="shared" ca="1" si="22"/>
        <v>1.01</v>
      </c>
      <c r="O65" s="415">
        <f t="shared" ca="1" si="22"/>
        <v>1.01</v>
      </c>
      <c r="P65" s="415">
        <f t="shared" ca="1" si="22"/>
        <v>1.0000000000000002</v>
      </c>
      <c r="Q65" s="415">
        <f t="shared" ca="1" si="22"/>
        <v>0.99</v>
      </c>
      <c r="R65" s="415">
        <f t="shared" ca="1" si="22"/>
        <v>0.99999999999999978</v>
      </c>
      <c r="S65" s="415">
        <f t="shared" ca="1" si="22"/>
        <v>0.99</v>
      </c>
      <c r="T65" s="415">
        <f t="shared" ca="1" si="22"/>
        <v>1.01</v>
      </c>
      <c r="U65" s="415">
        <f t="shared" ca="1" si="22"/>
        <v>1.01</v>
      </c>
      <c r="V65" s="415">
        <f t="shared" ca="1" si="22"/>
        <v>1.01</v>
      </c>
      <c r="W65" s="415">
        <f t="shared" ca="1" si="22"/>
        <v>0.99</v>
      </c>
      <c r="X65" s="415">
        <f t="shared" ca="1" si="22"/>
        <v>1.0000000000000002</v>
      </c>
      <c r="Y65" s="415">
        <f t="shared" ca="1" si="22"/>
        <v>0.99</v>
      </c>
      <c r="Z65" s="415">
        <f t="shared" ca="1" si="22"/>
        <v>0.99</v>
      </c>
      <c r="AA65" s="415">
        <f t="shared" ca="1" si="22"/>
        <v>0.99999999999999978</v>
      </c>
      <c r="AB65" s="415">
        <f t="shared" ca="1" si="22"/>
        <v>0.98999999999999988</v>
      </c>
      <c r="AC65" s="415">
        <f t="shared" ca="1" si="22"/>
        <v>1.01</v>
      </c>
      <c r="AD65" s="415">
        <f t="shared" ca="1" si="22"/>
        <v>1.01</v>
      </c>
      <c r="AE65" s="415">
        <f t="shared" ca="1" si="22"/>
        <v>1.01</v>
      </c>
      <c r="AF65" s="415">
        <f t="shared" ca="1" si="22"/>
        <v>0.98999999999999988</v>
      </c>
      <c r="AG65" s="415">
        <f t="shared" ca="1" si="22"/>
        <v>0.98999999999999988</v>
      </c>
      <c r="AH65" s="415">
        <f t="shared" ca="1" si="22"/>
        <v>0.98999999999999988</v>
      </c>
      <c r="AI65" s="415">
        <f t="shared" ca="1" si="22"/>
        <v>0.99999999999999978</v>
      </c>
      <c r="AJ65" s="415">
        <f t="shared" ca="1" si="22"/>
        <v>0.98999999999999988</v>
      </c>
      <c r="AK65" s="415">
        <f t="shared" ca="1" si="22"/>
        <v>1.0000000000000002</v>
      </c>
      <c r="AL65" s="415">
        <f t="shared" ca="1" si="22"/>
        <v>0.99</v>
      </c>
      <c r="AM65" s="415">
        <f t="shared" ca="1" si="22"/>
        <v>0.99999999999999978</v>
      </c>
      <c r="AN65" s="415">
        <f t="shared" ca="1" si="22"/>
        <v>0.99</v>
      </c>
      <c r="AO65" s="415">
        <f t="shared" ca="1" si="22"/>
        <v>0.98999999999999988</v>
      </c>
      <c r="AP65" s="415">
        <f t="shared" ca="1" si="22"/>
        <v>0.98999999999999988</v>
      </c>
    </row>
    <row r="66" spans="1:42" s="163" customFormat="1" x14ac:dyDescent="0.25">
      <c r="A66" s="413" t="s">
        <v>743</v>
      </c>
      <c r="B66" s="413"/>
      <c r="D66" s="415"/>
      <c r="E66" s="392"/>
      <c r="F66" s="392"/>
      <c r="G66" s="392"/>
      <c r="H66" s="392"/>
      <c r="I66" s="392"/>
      <c r="J66" s="392"/>
      <c r="K66" s="392"/>
      <c r="L66" s="392"/>
      <c r="M66" s="392"/>
      <c r="N66" s="392"/>
      <c r="O66" s="392"/>
      <c r="P66" s="392"/>
      <c r="Q66" s="392"/>
      <c r="R66" s="392"/>
      <c r="S66" s="392"/>
      <c r="T66" s="392"/>
      <c r="U66" s="392"/>
      <c r="V66" s="392"/>
      <c r="W66" s="392"/>
      <c r="X66" s="392"/>
      <c r="Y66" s="392"/>
      <c r="Z66" s="392"/>
      <c r="AA66" s="392"/>
      <c r="AB66" s="392"/>
      <c r="AC66" s="392"/>
      <c r="AD66" s="392"/>
      <c r="AE66" s="392"/>
      <c r="AF66" s="392"/>
      <c r="AG66" s="392"/>
      <c r="AH66" s="392"/>
      <c r="AI66" s="392"/>
      <c r="AJ66" s="392"/>
      <c r="AK66" s="392"/>
      <c r="AL66" s="392"/>
      <c r="AM66" s="392"/>
      <c r="AN66" s="392"/>
      <c r="AO66" s="392"/>
      <c r="AP66" s="392"/>
    </row>
    <row r="67" spans="1:42" s="163" customFormat="1" ht="15" customHeight="1" x14ac:dyDescent="0.25">
      <c r="A67" s="393" t="s">
        <v>722</v>
      </c>
      <c r="B67" s="393"/>
      <c r="C67" s="399">
        <v>0</v>
      </c>
      <c r="D67" s="415"/>
      <c r="E67" s="392"/>
      <c r="F67" s="392"/>
      <c r="G67" s="392"/>
      <c r="H67" s="392"/>
      <c r="I67" s="392"/>
      <c r="J67" s="392"/>
      <c r="K67" s="392"/>
      <c r="L67" s="392"/>
      <c r="M67" s="392"/>
      <c r="N67" s="392"/>
      <c r="O67" s="392"/>
      <c r="P67" s="392"/>
      <c r="Q67" s="392"/>
      <c r="R67" s="392"/>
      <c r="S67" s="392"/>
      <c r="T67" s="392"/>
      <c r="U67" s="392"/>
      <c r="V67" s="392"/>
      <c r="W67" s="392"/>
      <c r="X67" s="392"/>
      <c r="Y67" s="392"/>
      <c r="Z67" s="392"/>
      <c r="AA67" s="392"/>
      <c r="AB67" s="392"/>
      <c r="AC67" s="392"/>
      <c r="AD67" s="392"/>
      <c r="AE67" s="392"/>
      <c r="AF67" s="392"/>
      <c r="AG67" s="392"/>
      <c r="AH67" s="392"/>
      <c r="AI67" s="392"/>
      <c r="AJ67" s="392"/>
      <c r="AK67" s="392"/>
      <c r="AL67" s="392"/>
      <c r="AM67" s="392"/>
      <c r="AN67" s="392"/>
      <c r="AO67" s="392"/>
      <c r="AP67" s="392"/>
    </row>
    <row r="68" spans="1:42" s="163" customFormat="1" x14ac:dyDescent="0.25">
      <c r="A68" s="393" t="s">
        <v>721</v>
      </c>
      <c r="B68" s="393"/>
      <c r="C68" s="398">
        <v>1</v>
      </c>
      <c r="D68" s="415"/>
      <c r="E68" s="392"/>
      <c r="F68" s="392"/>
      <c r="G68" s="392"/>
      <c r="H68" s="392"/>
      <c r="I68" s="392"/>
      <c r="J68" s="392"/>
      <c r="K68" s="392"/>
      <c r="L68" s="392"/>
      <c r="M68" s="392"/>
      <c r="N68" s="392"/>
      <c r="O68" s="392"/>
      <c r="P68" s="392"/>
      <c r="Q68" s="392"/>
      <c r="R68" s="392"/>
      <c r="S68" s="392"/>
      <c r="T68" s="392"/>
      <c r="U68" s="392"/>
      <c r="V68" s="392"/>
      <c r="W68" s="392"/>
      <c r="X68" s="392"/>
      <c r="Y68" s="392"/>
      <c r="Z68" s="392"/>
      <c r="AA68" s="392"/>
      <c r="AB68" s="392"/>
      <c r="AC68" s="392"/>
      <c r="AD68" s="392"/>
      <c r="AE68" s="392"/>
      <c r="AF68" s="392"/>
      <c r="AG68" s="392"/>
      <c r="AH68" s="392"/>
      <c r="AI68" s="392"/>
      <c r="AJ68" s="392"/>
      <c r="AK68" s="392"/>
      <c r="AL68" s="392"/>
      <c r="AM68" s="392"/>
      <c r="AN68" s="392"/>
      <c r="AO68" s="392"/>
      <c r="AP68" s="392"/>
    </row>
    <row r="69" spans="1:42" s="163" customFormat="1" ht="24" customHeight="1" x14ac:dyDescent="0.25">
      <c r="A69" s="393" t="s">
        <v>742</v>
      </c>
      <c r="B69" s="393"/>
      <c r="C69" s="398">
        <v>2</v>
      </c>
      <c r="D69" s="416">
        <f ca="1">D23+D24*$B$70*Main!$C$170+D25*$B$71*Main!$C$170</f>
        <v>0.71750000000000003</v>
      </c>
      <c r="E69" s="416">
        <f ca="1">E23+E24*$B$70*Main!$C$170+E25*$B$71*Main!$C$170</f>
        <v>0.71750000000000003</v>
      </c>
      <c r="F69" s="416">
        <f ca="1">F23+F24*$B$70*Main!$C$170+F25*$B$71*Main!$C$170</f>
        <v>0.69500000000000006</v>
      </c>
      <c r="G69" s="416">
        <f ca="1">G23+G24*$B$70*Main!$C$170+G25*$B$71*Main!$C$170</f>
        <v>0.71750000000000003</v>
      </c>
      <c r="H69" s="416">
        <f ca="1">H23+H24*$B$70*Main!$C$170+H25*$B$71*Main!$C$170</f>
        <v>0.71750000000000003</v>
      </c>
      <c r="I69" s="416">
        <f ca="1">I23+I24*$B$70*Main!$C$170+I25*$B$71*Main!$C$170</f>
        <v>0.70750000000000002</v>
      </c>
      <c r="J69" s="416">
        <f ca="1">J23+J24*$B$70*Main!$C$170+J25*$B$71*Main!$C$170</f>
        <v>0.71750000000000003</v>
      </c>
      <c r="K69" s="416">
        <f ca="1">K23+K24*$B$70*Main!$C$170+K25*$B$71*Main!$C$170</f>
        <v>0.71750000000000003</v>
      </c>
      <c r="L69" s="416">
        <f ca="1">L23+L24*$B$70*Main!$C$170+L25*$B$71*Main!$C$170</f>
        <v>0.71750000000000003</v>
      </c>
      <c r="M69" s="416">
        <f ca="1">M23+M24*$B$70*Main!$C$170+M25*$B$71*Main!$C$170</f>
        <v>0.70750000000000013</v>
      </c>
      <c r="N69" s="416">
        <f ca="1">N23+N24*$B$70*Main!$C$170+N25*$B$71*Main!$C$170</f>
        <v>0.70750000000000002</v>
      </c>
      <c r="O69" s="416">
        <f ca="1">O23+O24*$B$70*Main!$C$170+O25*$B$71*Main!$C$170</f>
        <v>0.70750000000000002</v>
      </c>
      <c r="P69" s="416">
        <f ca="1">P23+P24*$B$70*Main!$C$170+P25*$B$71*Main!$C$170</f>
        <v>0.71750000000000003</v>
      </c>
      <c r="Q69" s="416">
        <f ca="1">Q23+Q24*$B$70*Main!$C$170+Q25*$B$71*Main!$C$170</f>
        <v>0.70750000000000013</v>
      </c>
      <c r="R69" s="416">
        <f ca="1">R23+R24*$B$70*Main!$C$170+R25*$B$71*Main!$C$170</f>
        <v>0.69500000000000006</v>
      </c>
      <c r="S69" s="416">
        <f ca="1">S23+S24*$B$70*Main!$C$170+S25*$B$71*Main!$C$170</f>
        <v>0.70750000000000013</v>
      </c>
      <c r="T69" s="416">
        <f ca="1">T23+T24*$B$70*Main!$C$170+T25*$B$71*Main!$C$170</f>
        <v>0.70750000000000002</v>
      </c>
      <c r="U69" s="416">
        <f ca="1">U23+U24*$B$70*Main!$C$170+U25*$B$71*Main!$C$170</f>
        <v>0.70750000000000002</v>
      </c>
      <c r="V69" s="416">
        <f ca="1">V23+V24*$B$70*Main!$C$170+V25*$B$71*Main!$C$170</f>
        <v>0.70750000000000002</v>
      </c>
      <c r="W69" s="416">
        <f ca="1">W23+W24*$B$70*Main!$C$170+W25*$B$71*Main!$C$170</f>
        <v>0.70750000000000013</v>
      </c>
      <c r="X69" s="416">
        <f ca="1">X23+X24*$B$70*Main!$C$170+X25*$B$71*Main!$C$170</f>
        <v>0.71750000000000003</v>
      </c>
      <c r="Y69" s="416">
        <f ca="1">Y23+Y24*$B$70*Main!$C$170+Y25*$B$71*Main!$C$170</f>
        <v>0.70750000000000013</v>
      </c>
      <c r="Z69" s="416">
        <f ca="1">Z23+Z24*$B$70*Main!$C$170+Z25*$B$71*Main!$C$170</f>
        <v>0.70750000000000013</v>
      </c>
      <c r="AA69" s="416">
        <f ca="1">AA23+AA24*$B$70*Main!$C$170+AA25*$B$71*Main!$C$170</f>
        <v>0.69500000000000006</v>
      </c>
      <c r="AB69" s="416">
        <f ca="1">AB23+AB24*$B$70*Main!$C$170+AB25*$B$71*Main!$C$170</f>
        <v>0.71499999999999997</v>
      </c>
      <c r="AC69" s="416">
        <f ca="1">AC23+AC24*$B$70*Main!$C$170+AC25*$B$71*Main!$C$170</f>
        <v>0.70750000000000002</v>
      </c>
      <c r="AD69" s="416">
        <f ca="1">AD23+AD24*$B$70*Main!$C$170+AD25*$B$71*Main!$C$170</f>
        <v>0.71750000000000003</v>
      </c>
      <c r="AE69" s="416">
        <f ca="1">AE23+AE24*$B$70*Main!$C$170+AE25*$B$71*Main!$C$170</f>
        <v>0.70750000000000002</v>
      </c>
      <c r="AF69" s="416">
        <f ca="1">AF23+AF24*$B$70*Main!$C$170+AF25*$B$71*Main!$C$170</f>
        <v>0.71499999999999997</v>
      </c>
      <c r="AG69" s="416">
        <f ca="1">AG23+AG24*$B$70*Main!$C$170+AG25*$B$71*Main!$C$170</f>
        <v>0.71499999999999997</v>
      </c>
      <c r="AH69" s="416">
        <f ca="1">AH23+AH24*$B$70*Main!$C$170+AH25*$B$71*Main!$C$170</f>
        <v>0.71499999999999997</v>
      </c>
      <c r="AI69" s="416">
        <f ca="1">AI23+AI24*$B$70*Main!$C$170+AI25*$B$71*Main!$C$170</f>
        <v>0.69500000000000006</v>
      </c>
      <c r="AJ69" s="416">
        <f ca="1">AJ23+AJ24*$B$70*Main!$C$170+AJ25*$B$71*Main!$C$170</f>
        <v>0.71499999999999997</v>
      </c>
      <c r="AK69" s="416">
        <f ca="1">AK23+AK24*$B$70*Main!$C$170+AK25*$B$71*Main!$C$170</f>
        <v>0.71750000000000003</v>
      </c>
      <c r="AL69" s="416">
        <f ca="1">AL23+AL24*$B$70*Main!$C$170+AL25*$B$71*Main!$C$170</f>
        <v>0.70750000000000013</v>
      </c>
      <c r="AM69" s="416">
        <f ca="1">AM23+AM24*$B$70*Main!$C$170+AM25*$B$71*Main!$C$170</f>
        <v>0.69500000000000006</v>
      </c>
      <c r="AN69" s="416">
        <f ca="1">AN23+AN24*$B$70*Main!$C$170+AN25*$B$71*Main!$C$170</f>
        <v>0.70750000000000013</v>
      </c>
      <c r="AO69" s="416">
        <f ca="1">AO23+AO24*$B$70*Main!$C$170+AO25*$B$71*Main!$C$170</f>
        <v>0.71499999999999997</v>
      </c>
      <c r="AP69" s="416">
        <f ca="1">AP23+AP24*$B$70*Main!$C$170+AP25*$B$71*Main!$C$170</f>
        <v>0.71499999999999997</v>
      </c>
    </row>
    <row r="70" spans="1:42" s="163" customFormat="1" ht="30" x14ac:dyDescent="0.25">
      <c r="A70" s="398" t="s">
        <v>719</v>
      </c>
      <c r="B70" s="622">
        <v>1</v>
      </c>
      <c r="C70" s="398">
        <v>4</v>
      </c>
      <c r="D70" s="415">
        <f ca="1">D24*$B$70*(1-Main!$C$170)</f>
        <v>0.25</v>
      </c>
      <c r="E70" s="415">
        <f ca="1">E24*$B$70*(1-Main!$C$170)</f>
        <v>0.25</v>
      </c>
      <c r="F70" s="415">
        <f ca="1">F24*$B$70*(1-Main!$C$170)</f>
        <v>0.25</v>
      </c>
      <c r="G70" s="415">
        <f ca="1">G24*$B$70*(1-Main!$C$170)</f>
        <v>0.25</v>
      </c>
      <c r="H70" s="415">
        <f ca="1">H24*$B$70*(1-Main!$C$170)</f>
        <v>0.25</v>
      </c>
      <c r="I70" s="415">
        <f ca="1">I24*$B$70*(1-Main!$C$170)</f>
        <v>0.25</v>
      </c>
      <c r="J70" s="415">
        <f ca="1">J24*$B$70*(1-Main!$C$170)</f>
        <v>0.25</v>
      </c>
      <c r="K70" s="415">
        <f ca="1">K24*$B$70*(1-Main!$C$170)</f>
        <v>0.25</v>
      </c>
      <c r="L70" s="415">
        <f ca="1">L24*$B$70*(1-Main!$C$170)</f>
        <v>0.25</v>
      </c>
      <c r="M70" s="415">
        <f ca="1">M24*$B$70*(1-Main!$C$170)</f>
        <v>0.24750000000000003</v>
      </c>
      <c r="N70" s="415">
        <f ca="1">N24*$B$70*(1-Main!$C$170)</f>
        <v>0.25</v>
      </c>
      <c r="O70" s="415">
        <f ca="1">O24*$B$70*(1-Main!$C$170)</f>
        <v>0.25</v>
      </c>
      <c r="P70" s="415">
        <f ca="1">P24*$B$70*(1-Main!$C$170)</f>
        <v>0.25</v>
      </c>
      <c r="Q70" s="415">
        <f ca="1">Q24*$B$70*(1-Main!$C$170)</f>
        <v>0.24750000000000003</v>
      </c>
      <c r="R70" s="415">
        <f ca="1">R24*$B$70*(1-Main!$C$170)</f>
        <v>0.25</v>
      </c>
      <c r="S70" s="415">
        <f ca="1">S24*$B$70*(1-Main!$C$170)</f>
        <v>0.24750000000000003</v>
      </c>
      <c r="T70" s="415">
        <f ca="1">T24*$B$70*(1-Main!$C$170)</f>
        <v>0.25</v>
      </c>
      <c r="U70" s="415">
        <f ca="1">U24*$B$70*(1-Main!$C$170)</f>
        <v>0.25</v>
      </c>
      <c r="V70" s="415">
        <f ca="1">V24*$B$70*(1-Main!$C$170)</f>
        <v>0.25</v>
      </c>
      <c r="W70" s="415">
        <f ca="1">W24*$B$70*(1-Main!$C$170)</f>
        <v>0.24750000000000003</v>
      </c>
      <c r="X70" s="415">
        <f ca="1">X24*$B$70*(1-Main!$C$170)</f>
        <v>0.25</v>
      </c>
      <c r="Y70" s="415">
        <f ca="1">Y24*$B$70*(1-Main!$C$170)</f>
        <v>0.24750000000000003</v>
      </c>
      <c r="Z70" s="415">
        <f ca="1">Z24*$B$70*(1-Main!$C$170)</f>
        <v>0.24750000000000003</v>
      </c>
      <c r="AA70" s="415">
        <f ca="1">AA24*$B$70*(1-Main!$C$170)</f>
        <v>0.25</v>
      </c>
      <c r="AB70" s="415">
        <f ca="1">AB24*$B$70*(1-Main!$C$170)</f>
        <v>0.2475</v>
      </c>
      <c r="AC70" s="415">
        <f ca="1">AC24*$B$70*(1-Main!$C$170)</f>
        <v>0.25</v>
      </c>
      <c r="AD70" s="415">
        <f ca="1">AD24*$B$70*(1-Main!$C$170)</f>
        <v>0.25</v>
      </c>
      <c r="AE70" s="415">
        <f ca="1">AE24*$B$70*(1-Main!$C$170)</f>
        <v>0.25</v>
      </c>
      <c r="AF70" s="415">
        <f ca="1">AF24*$B$70*(1-Main!$C$170)</f>
        <v>0.2475</v>
      </c>
      <c r="AG70" s="415">
        <f ca="1">AG24*$B$70*(1-Main!$C$170)</f>
        <v>0.2475</v>
      </c>
      <c r="AH70" s="415">
        <f ca="1">AH24*$B$70*(1-Main!$C$170)</f>
        <v>0.2475</v>
      </c>
      <c r="AI70" s="415">
        <f ca="1">AI24*$B$70*(1-Main!$C$170)</f>
        <v>0.25</v>
      </c>
      <c r="AJ70" s="415">
        <f ca="1">AJ24*$B$70*(1-Main!$C$170)</f>
        <v>0.2475</v>
      </c>
      <c r="AK70" s="415">
        <f ca="1">AK24*$B$70*(1-Main!$C$170)</f>
        <v>0.25</v>
      </c>
      <c r="AL70" s="415">
        <f ca="1">AL24*$B$70*(1-Main!$C$170)</f>
        <v>0.24750000000000003</v>
      </c>
      <c r="AM70" s="415">
        <f ca="1">AM24*$B$70*(1-Main!$C$170)</f>
        <v>0.25</v>
      </c>
      <c r="AN70" s="415">
        <f ca="1">AN24*$B$70*(1-Main!$C$170)</f>
        <v>0.24750000000000003</v>
      </c>
      <c r="AO70" s="415">
        <f ca="1">AO24*$B$70*(1-Main!$C$170)</f>
        <v>0.2475</v>
      </c>
      <c r="AP70" s="415">
        <f ca="1">AP24*$B$70*(1-Main!$C$170)</f>
        <v>0.2475</v>
      </c>
    </row>
    <row r="71" spans="1:42" s="163" customFormat="1" x14ac:dyDescent="0.25">
      <c r="A71" s="397" t="s">
        <v>741</v>
      </c>
      <c r="B71" s="622">
        <v>1</v>
      </c>
      <c r="C71" s="397">
        <v>8</v>
      </c>
      <c r="D71" s="415">
        <f ca="1">D25*$B$71*(1-Main!$C$170)</f>
        <v>3.2500000000000001E-2</v>
      </c>
      <c r="E71" s="415">
        <f ca="1">E25*$B$71*(1-Main!$C$170)</f>
        <v>3.2500000000000001E-2</v>
      </c>
      <c r="F71" s="415">
        <f ca="1">F25*$B$71*(1-Main!$C$170)</f>
        <v>5.5E-2</v>
      </c>
      <c r="G71" s="415">
        <f ca="1">G25*$B$71*(1-Main!$C$170)</f>
        <v>3.2500000000000001E-2</v>
      </c>
      <c r="H71" s="415">
        <f ca="1">H25*$B$71*(1-Main!$C$170)</f>
        <v>3.2500000000000001E-2</v>
      </c>
      <c r="I71" s="415">
        <f ca="1">I25*$B$71*(1-Main!$C$170)</f>
        <v>4.2500000000000003E-2</v>
      </c>
      <c r="J71" s="415">
        <f ca="1">J25*$B$71*(1-Main!$C$170)</f>
        <v>3.2500000000000001E-2</v>
      </c>
      <c r="K71" s="415">
        <f ca="1">K25*$B$71*(1-Main!$C$170)</f>
        <v>3.2500000000000001E-2</v>
      </c>
      <c r="L71" s="415">
        <f ca="1">L25*$B$71*(1-Main!$C$170)</f>
        <v>3.2500000000000001E-2</v>
      </c>
      <c r="M71" s="415">
        <f ca="1">M25*$B$71*(1-Main!$C$170)</f>
        <v>3.5000000000000003E-2</v>
      </c>
      <c r="N71" s="415">
        <f ca="1">N25*$B$71*(1-Main!$C$170)</f>
        <v>4.2500000000000003E-2</v>
      </c>
      <c r="O71" s="415">
        <f ca="1">O25*$B$71*(1-Main!$C$170)</f>
        <v>4.2500000000000003E-2</v>
      </c>
      <c r="P71" s="415">
        <f ca="1">P25*$B$71*(1-Main!$C$170)</f>
        <v>3.2500000000000001E-2</v>
      </c>
      <c r="Q71" s="415">
        <f ca="1">Q25*$B$71*(1-Main!$C$170)</f>
        <v>3.5000000000000003E-2</v>
      </c>
      <c r="R71" s="415">
        <f ca="1">R25*$B$71*(1-Main!$C$170)</f>
        <v>5.5E-2</v>
      </c>
      <c r="S71" s="415">
        <f ca="1">S25*$B$71*(1-Main!$C$170)</f>
        <v>3.5000000000000003E-2</v>
      </c>
      <c r="T71" s="415">
        <f ca="1">T25*$B$71*(1-Main!$C$170)</f>
        <v>4.2500000000000003E-2</v>
      </c>
      <c r="U71" s="415">
        <f ca="1">U25*$B$71*(1-Main!$C$170)</f>
        <v>4.2500000000000003E-2</v>
      </c>
      <c r="V71" s="415">
        <f ca="1">V25*$B$71*(1-Main!$C$170)</f>
        <v>4.2500000000000003E-2</v>
      </c>
      <c r="W71" s="415">
        <f ca="1">W25*$B$71*(1-Main!$C$170)</f>
        <v>3.5000000000000003E-2</v>
      </c>
      <c r="X71" s="415">
        <f ca="1">X25*$B$71*(1-Main!$C$170)</f>
        <v>3.2500000000000001E-2</v>
      </c>
      <c r="Y71" s="415">
        <f ca="1">Y25*$B$71*(1-Main!$C$170)</f>
        <v>3.5000000000000003E-2</v>
      </c>
      <c r="Z71" s="415">
        <f ca="1">Z25*$B$71*(1-Main!$C$170)</f>
        <v>3.5000000000000003E-2</v>
      </c>
      <c r="AA71" s="415">
        <f ca="1">AA25*$B$71*(1-Main!$C$170)</f>
        <v>5.5E-2</v>
      </c>
      <c r="AB71" s="415">
        <f ca="1">AB25*$B$71*(1-Main!$C$170)</f>
        <v>2.75E-2</v>
      </c>
      <c r="AC71" s="415">
        <f ca="1">AC25*$B$71*(1-Main!$C$170)</f>
        <v>4.2500000000000003E-2</v>
      </c>
      <c r="AD71" s="415">
        <f ca="1">AD25*$B$71*(1-Main!$C$170)</f>
        <v>3.2500000000000001E-2</v>
      </c>
      <c r="AE71" s="415">
        <f ca="1">AE25*$B$71*(1-Main!$C$170)</f>
        <v>4.2500000000000003E-2</v>
      </c>
      <c r="AF71" s="415">
        <f ca="1">AF25*$B$71*(1-Main!$C$170)</f>
        <v>2.75E-2</v>
      </c>
      <c r="AG71" s="415">
        <f ca="1">AG25*$B$71*(1-Main!$C$170)</f>
        <v>2.75E-2</v>
      </c>
      <c r="AH71" s="415">
        <f ca="1">AH25*$B$71*(1-Main!$C$170)</f>
        <v>2.75E-2</v>
      </c>
      <c r="AI71" s="415">
        <f ca="1">AI25*$B$71*(1-Main!$C$170)</f>
        <v>5.5E-2</v>
      </c>
      <c r="AJ71" s="415">
        <f ca="1">AJ25*$B$71*(1-Main!$C$170)</f>
        <v>2.75E-2</v>
      </c>
      <c r="AK71" s="415">
        <f ca="1">AK25*$B$71*(1-Main!$C$170)</f>
        <v>3.2500000000000001E-2</v>
      </c>
      <c r="AL71" s="415">
        <f ca="1">AL25*$B$71*(1-Main!$C$170)</f>
        <v>3.5000000000000003E-2</v>
      </c>
      <c r="AM71" s="415">
        <f ca="1">AM25*$B$71*(1-Main!$C$170)</f>
        <v>5.5E-2</v>
      </c>
      <c r="AN71" s="415">
        <f ca="1">AN25*$B$71*(1-Main!$C$170)</f>
        <v>3.5000000000000003E-2</v>
      </c>
      <c r="AO71" s="415">
        <f ca="1">AO25*$B$71*(1-Main!$C$170)</f>
        <v>2.75E-2</v>
      </c>
      <c r="AP71" s="415">
        <f ca="1">AP25*$B$71*(1-Main!$C$170)</f>
        <v>2.75E-2</v>
      </c>
    </row>
    <row r="72" spans="1:42" s="163" customFormat="1" x14ac:dyDescent="0.25">
      <c r="A72" s="394" t="s">
        <v>750</v>
      </c>
      <c r="B72" s="394"/>
      <c r="C72" s="394"/>
      <c r="D72" s="415">
        <f ca="1">SUM(D69:D71)</f>
        <v>1</v>
      </c>
      <c r="E72" s="415">
        <f t="shared" ref="E72:AP72" ca="1" si="23">SUM(E69:E71)</f>
        <v>1</v>
      </c>
      <c r="F72" s="415">
        <f t="shared" ca="1" si="23"/>
        <v>1</v>
      </c>
      <c r="G72" s="415">
        <f t="shared" ca="1" si="23"/>
        <v>1</v>
      </c>
      <c r="H72" s="415">
        <f t="shared" ca="1" si="23"/>
        <v>1</v>
      </c>
      <c r="I72" s="415">
        <f t="shared" ca="1" si="23"/>
        <v>1</v>
      </c>
      <c r="J72" s="415">
        <f t="shared" ca="1" si="23"/>
        <v>1</v>
      </c>
      <c r="K72" s="415">
        <f t="shared" ca="1" si="23"/>
        <v>1</v>
      </c>
      <c r="L72" s="415">
        <f t="shared" ca="1" si="23"/>
        <v>1</v>
      </c>
      <c r="M72" s="415">
        <f t="shared" ca="1" si="23"/>
        <v>0.99000000000000021</v>
      </c>
      <c r="N72" s="415">
        <f t="shared" ca="1" si="23"/>
        <v>1</v>
      </c>
      <c r="O72" s="415">
        <f t="shared" ca="1" si="23"/>
        <v>1</v>
      </c>
      <c r="P72" s="415">
        <f t="shared" ca="1" si="23"/>
        <v>1</v>
      </c>
      <c r="Q72" s="415">
        <f t="shared" ca="1" si="23"/>
        <v>0.99000000000000021</v>
      </c>
      <c r="R72" s="415">
        <f t="shared" ca="1" si="23"/>
        <v>1</v>
      </c>
      <c r="S72" s="415">
        <f t="shared" ca="1" si="23"/>
        <v>0.99000000000000021</v>
      </c>
      <c r="T72" s="415">
        <f t="shared" ca="1" si="23"/>
        <v>1</v>
      </c>
      <c r="U72" s="415">
        <f t="shared" ca="1" si="23"/>
        <v>1</v>
      </c>
      <c r="V72" s="415">
        <f t="shared" ca="1" si="23"/>
        <v>1</v>
      </c>
      <c r="W72" s="415">
        <f t="shared" ca="1" si="23"/>
        <v>0.99000000000000021</v>
      </c>
      <c r="X72" s="415">
        <f t="shared" ca="1" si="23"/>
        <v>1</v>
      </c>
      <c r="Y72" s="415">
        <f t="shared" ca="1" si="23"/>
        <v>0.99000000000000021</v>
      </c>
      <c r="Z72" s="415">
        <f t="shared" ca="1" si="23"/>
        <v>0.99000000000000021</v>
      </c>
      <c r="AA72" s="415">
        <f t="shared" ca="1" si="23"/>
        <v>1</v>
      </c>
      <c r="AB72" s="415">
        <f t="shared" ca="1" si="23"/>
        <v>0.98999999999999988</v>
      </c>
      <c r="AC72" s="415">
        <f t="shared" ca="1" si="23"/>
        <v>1</v>
      </c>
      <c r="AD72" s="415">
        <f t="shared" ca="1" si="23"/>
        <v>1</v>
      </c>
      <c r="AE72" s="415">
        <f t="shared" ca="1" si="23"/>
        <v>1</v>
      </c>
      <c r="AF72" s="415">
        <f t="shared" ca="1" si="23"/>
        <v>0.98999999999999988</v>
      </c>
      <c r="AG72" s="415">
        <f t="shared" ca="1" si="23"/>
        <v>0.98999999999999988</v>
      </c>
      <c r="AH72" s="415">
        <f t="shared" ca="1" si="23"/>
        <v>0.98999999999999988</v>
      </c>
      <c r="AI72" s="415">
        <f t="shared" ca="1" si="23"/>
        <v>1</v>
      </c>
      <c r="AJ72" s="415">
        <f t="shared" ca="1" si="23"/>
        <v>0.98999999999999988</v>
      </c>
      <c r="AK72" s="415">
        <f t="shared" ca="1" si="23"/>
        <v>1</v>
      </c>
      <c r="AL72" s="415">
        <f t="shared" ca="1" si="23"/>
        <v>0.99000000000000021</v>
      </c>
      <c r="AM72" s="415">
        <f t="shared" ca="1" si="23"/>
        <v>1</v>
      </c>
      <c r="AN72" s="415">
        <f t="shared" ca="1" si="23"/>
        <v>0.99000000000000021</v>
      </c>
      <c r="AO72" s="415">
        <f t="shared" ca="1" si="23"/>
        <v>0.98999999999999988</v>
      </c>
      <c r="AP72" s="415">
        <f t="shared" ca="1" si="23"/>
        <v>0.98999999999999988</v>
      </c>
    </row>
    <row r="73" spans="1:42" s="163" customFormat="1" x14ac:dyDescent="0.25">
      <c r="B73" s="34"/>
      <c r="C73" s="34"/>
      <c r="D73" s="422"/>
      <c r="E73" s="422"/>
      <c r="F73" s="422"/>
      <c r="G73" s="422"/>
      <c r="H73" s="422"/>
      <c r="I73" s="422"/>
      <c r="J73" s="422"/>
      <c r="K73" s="422"/>
      <c r="L73" s="422"/>
      <c r="M73" s="422"/>
      <c r="N73" s="422"/>
      <c r="O73" s="422"/>
      <c r="P73" s="422"/>
      <c r="Q73" s="422"/>
      <c r="R73" s="422"/>
      <c r="S73" s="422"/>
      <c r="T73" s="422"/>
      <c r="U73" s="422"/>
      <c r="V73" s="422"/>
      <c r="W73" s="422"/>
      <c r="X73" s="422"/>
      <c r="Y73" s="422"/>
      <c r="Z73" s="422"/>
      <c r="AA73" s="422"/>
      <c r="AB73" s="422"/>
      <c r="AC73" s="422"/>
      <c r="AD73" s="422"/>
      <c r="AE73" s="422"/>
      <c r="AF73" s="422"/>
      <c r="AG73" s="422"/>
      <c r="AH73" s="422"/>
      <c r="AI73" s="422"/>
      <c r="AJ73" s="422"/>
      <c r="AK73" s="422"/>
      <c r="AL73" s="422"/>
      <c r="AM73" s="422"/>
      <c r="AN73" s="422"/>
      <c r="AO73" s="422"/>
      <c r="AP73" s="422"/>
    </row>
    <row r="74" spans="1:42" s="163" customFormat="1" x14ac:dyDescent="0.25">
      <c r="A74" s="824" t="s">
        <v>1258</v>
      </c>
      <c r="B74" s="34"/>
      <c r="C74" s="34"/>
      <c r="D74" s="422"/>
      <c r="E74" s="422"/>
      <c r="F74" s="422"/>
      <c r="G74" s="422"/>
      <c r="H74" s="422"/>
      <c r="I74" s="422"/>
      <c r="J74" s="422"/>
      <c r="K74" s="422"/>
      <c r="L74" s="422"/>
      <c r="M74" s="422"/>
      <c r="N74" s="422"/>
      <c r="O74" s="422"/>
      <c r="P74" s="422"/>
      <c r="Q74" s="422"/>
      <c r="R74" s="422"/>
      <c r="S74" s="422"/>
      <c r="T74" s="422"/>
      <c r="U74" s="422"/>
      <c r="V74" s="422"/>
      <c r="W74" s="422"/>
      <c r="X74" s="422"/>
      <c r="Y74" s="422"/>
      <c r="Z74" s="422"/>
      <c r="AA74" s="422"/>
      <c r="AB74" s="422"/>
      <c r="AC74" s="422"/>
      <c r="AD74" s="422"/>
      <c r="AE74" s="422"/>
      <c r="AF74" s="422"/>
      <c r="AG74" s="422"/>
      <c r="AH74" s="422"/>
      <c r="AI74" s="422"/>
      <c r="AJ74" s="422"/>
      <c r="AK74" s="422"/>
      <c r="AL74" s="422"/>
      <c r="AM74" s="422"/>
      <c r="AN74" s="422"/>
      <c r="AO74" s="422"/>
      <c r="AP74" s="422"/>
    </row>
    <row r="75" spans="1:42" s="163" customFormat="1" x14ac:dyDescent="0.25">
      <c r="A75" s="35" t="s">
        <v>1250</v>
      </c>
      <c r="B75" s="34"/>
      <c r="C75" s="34"/>
      <c r="D75" s="641">
        <f ca="1">D$10*D$28*D61*D37</f>
        <v>3795640.9764118269</v>
      </c>
      <c r="E75" s="641">
        <f t="shared" ref="E75:AP78" ca="1" si="24">E$10*E$28*E61*E37</f>
        <v>78649.176514521285</v>
      </c>
      <c r="F75" s="641">
        <f t="shared" ca="1" si="24"/>
        <v>2785682.0605747085</v>
      </c>
      <c r="G75" s="641">
        <f t="shared" ca="1" si="24"/>
        <v>2749683.4405813999</v>
      </c>
      <c r="H75" s="641">
        <f t="shared" ca="1" si="24"/>
        <v>4061334.548757128</v>
      </c>
      <c r="I75" s="641">
        <f t="shared" ca="1" si="24"/>
        <v>0</v>
      </c>
      <c r="J75" s="641">
        <f t="shared" ca="1" si="24"/>
        <v>2973827.407963953</v>
      </c>
      <c r="K75" s="641">
        <f t="shared" ca="1" si="24"/>
        <v>7845231.9799795989</v>
      </c>
      <c r="L75" s="641">
        <f t="shared" ca="1" si="24"/>
        <v>1000122.1808587277</v>
      </c>
      <c r="M75" s="641">
        <f t="shared" ca="1" si="24"/>
        <v>503605.35474038433</v>
      </c>
      <c r="N75" s="641">
        <f t="shared" ca="1" si="24"/>
        <v>27552.154640068235</v>
      </c>
      <c r="O75" s="641">
        <f t="shared" ca="1" si="24"/>
        <v>225161.04339633047</v>
      </c>
      <c r="P75" s="641">
        <f t="shared" ca="1" si="24"/>
        <v>7087047.906280783</v>
      </c>
      <c r="Q75" s="641">
        <f t="shared" ca="1" si="24"/>
        <v>193317.55532958961</v>
      </c>
      <c r="R75" s="641">
        <f t="shared" ca="1" si="24"/>
        <v>1523045.2085883815</v>
      </c>
      <c r="S75" s="641">
        <f t="shared" ca="1" si="24"/>
        <v>75046.917559198642</v>
      </c>
      <c r="T75" s="641">
        <f t="shared" ca="1" si="24"/>
        <v>13264.108453541034</v>
      </c>
      <c r="U75" s="641">
        <f t="shared" ca="1" si="24"/>
        <v>473718.56219600898</v>
      </c>
      <c r="V75" s="641">
        <f t="shared" ca="1" si="24"/>
        <v>3864.0931153570573</v>
      </c>
      <c r="W75" s="641">
        <f t="shared" ca="1" si="24"/>
        <v>13161.186034353002</v>
      </c>
      <c r="X75" s="641">
        <f t="shared" ca="1" si="24"/>
        <v>323218.91144708358</v>
      </c>
      <c r="Y75" s="641">
        <f t="shared" ca="1" si="24"/>
        <v>100796.29342344213</v>
      </c>
      <c r="Z75" s="641">
        <f t="shared" ca="1" si="24"/>
        <v>9291.9875062904994</v>
      </c>
      <c r="AA75" s="641">
        <f t="shared" ca="1" si="24"/>
        <v>4046364.4554001926</v>
      </c>
      <c r="AB75" s="641">
        <f t="shared" ca="1" si="24"/>
        <v>9467128.8143022936</v>
      </c>
      <c r="AC75" s="641">
        <f t="shared" ca="1" si="24"/>
        <v>121694.32966438551</v>
      </c>
      <c r="AD75" s="641">
        <f t="shared" ca="1" si="24"/>
        <v>4697747.622916366</v>
      </c>
      <c r="AE75" s="641">
        <f t="shared" ca="1" si="24"/>
        <v>23505.268002543668</v>
      </c>
      <c r="AF75" s="641">
        <f t="shared" ca="1" si="24"/>
        <v>553371.96446210903</v>
      </c>
      <c r="AG75" s="641">
        <f t="shared" ca="1" si="24"/>
        <v>268773.51143264252</v>
      </c>
      <c r="AH75" s="641">
        <f t="shared" ca="1" si="24"/>
        <v>656676.26277374511</v>
      </c>
      <c r="AI75" s="641">
        <f t="shared" ca="1" si="24"/>
        <v>144659.76960113295</v>
      </c>
      <c r="AJ75" s="641">
        <f t="shared" ca="1" si="24"/>
        <v>7563958.6950280545</v>
      </c>
      <c r="AK75" s="641">
        <f t="shared" ca="1" si="24"/>
        <v>558538.62094847846</v>
      </c>
      <c r="AL75" s="641">
        <f t="shared" ca="1" si="24"/>
        <v>233404.20952891264</v>
      </c>
      <c r="AM75" s="641">
        <f t="shared" ca="1" si="24"/>
        <v>2663014.6286970074</v>
      </c>
      <c r="AN75" s="641">
        <f t="shared" ca="1" si="24"/>
        <v>315166.43381439894</v>
      </c>
      <c r="AO75" s="641">
        <f t="shared" ca="1" si="24"/>
        <v>9009305.610095419</v>
      </c>
      <c r="AP75" s="641">
        <f t="shared" ca="1" si="24"/>
        <v>7671165.1490113819</v>
      </c>
    </row>
    <row r="76" spans="1:42" s="163" customFormat="1" x14ac:dyDescent="0.25">
      <c r="A76" s="35" t="s">
        <v>1251</v>
      </c>
      <c r="B76" s="34"/>
      <c r="C76" s="34"/>
      <c r="D76" s="641">
        <f t="shared" ref="D76:S78" ca="1" si="25">D$10*D$28*D62*D38</f>
        <v>492855.12841170112</v>
      </c>
      <c r="E76" s="641">
        <f t="shared" ca="1" si="25"/>
        <v>10188.120638349017</v>
      </c>
      <c r="F76" s="641">
        <f t="shared" ca="1" si="25"/>
        <v>233406.95536996386</v>
      </c>
      <c r="G76" s="641">
        <f t="shared" ca="1" si="25"/>
        <v>355075.73258966638</v>
      </c>
      <c r="H76" s="641">
        <f t="shared" ca="1" si="25"/>
        <v>143102.17202638689</v>
      </c>
      <c r="I76" s="641">
        <f t="shared" ca="1" si="25"/>
        <v>0</v>
      </c>
      <c r="J76" s="641">
        <f t="shared" ca="1" si="25"/>
        <v>384296.40112209105</v>
      </c>
      <c r="K76" s="641">
        <f t="shared" ca="1" si="25"/>
        <v>273894.85095100978</v>
      </c>
      <c r="L76" s="641">
        <f t="shared" ca="1" si="25"/>
        <v>34545.279832903769</v>
      </c>
      <c r="M76" s="641">
        <f t="shared" ca="1" si="25"/>
        <v>62646.516647329503</v>
      </c>
      <c r="N76" s="641">
        <f t="shared" ca="1" si="25"/>
        <v>1858.7167996806386</v>
      </c>
      <c r="O76" s="641">
        <f t="shared" ca="1" si="25"/>
        <v>14937.024903835205</v>
      </c>
      <c r="P76" s="641">
        <f t="shared" ca="1" si="25"/>
        <v>248452.87892493213</v>
      </c>
      <c r="Q76" s="641">
        <f t="shared" ca="1" si="25"/>
        <v>24347.547422126634</v>
      </c>
      <c r="R76" s="641">
        <f t="shared" ca="1" si="25"/>
        <v>126100.61693218087</v>
      </c>
      <c r="S76" s="641">
        <f t="shared" ca="1" si="25"/>
        <v>9305.9866275854056</v>
      </c>
      <c r="T76" s="641">
        <f t="shared" ca="1" si="24"/>
        <v>850.03967714046996</v>
      </c>
      <c r="U76" s="641">
        <f t="shared" ca="1" si="24"/>
        <v>31642.133736244417</v>
      </c>
      <c r="V76" s="641">
        <f t="shared" ca="1" si="24"/>
        <v>255.36852365605307</v>
      </c>
      <c r="W76" s="641">
        <f t="shared" ca="1" si="24"/>
        <v>1679.7049245692649</v>
      </c>
      <c r="X76" s="641">
        <f t="shared" ca="1" si="24"/>
        <v>11174.852865858578</v>
      </c>
      <c r="Y76" s="641">
        <f t="shared" ca="1" si="24"/>
        <v>12643.646340514888</v>
      </c>
      <c r="Z76" s="641">
        <f t="shared" ca="1" si="24"/>
        <v>1175.392754792291</v>
      </c>
      <c r="AA76" s="641">
        <f t="shared" ca="1" si="24"/>
        <v>337373.47345430701</v>
      </c>
      <c r="AB76" s="641">
        <f t="shared" ca="1" si="24"/>
        <v>259052.63061815093</v>
      </c>
      <c r="AC76" s="641">
        <f t="shared" ca="1" si="24"/>
        <v>8112.5060823930007</v>
      </c>
      <c r="AD76" s="641">
        <f t="shared" ca="1" si="24"/>
        <v>607054.24286614906</v>
      </c>
      <c r="AE76" s="641">
        <f t="shared" ca="1" si="24"/>
        <v>1581.6235060032056</v>
      </c>
      <c r="AF76" s="641">
        <f t="shared" ca="1" si="24"/>
        <v>15210.248947397433</v>
      </c>
      <c r="AG76" s="641">
        <f t="shared" ca="1" si="24"/>
        <v>7467.7792934435429</v>
      </c>
      <c r="AH76" s="641">
        <f t="shared" ca="1" si="24"/>
        <v>17963.002395925017</v>
      </c>
      <c r="AI76" s="641">
        <f t="shared" ca="1" si="24"/>
        <v>12286.10110009983</v>
      </c>
      <c r="AJ76" s="641">
        <f t="shared" ca="1" si="24"/>
        <v>205549.15429512004</v>
      </c>
      <c r="AK76" s="641">
        <f t="shared" ca="1" si="24"/>
        <v>19200.782720555024</v>
      </c>
      <c r="AL76" s="641">
        <f t="shared" ca="1" si="24"/>
        <v>28659.737089212351</v>
      </c>
      <c r="AM76" s="641">
        <f t="shared" ca="1" si="24"/>
        <v>221020.44743017261</v>
      </c>
      <c r="AN76" s="641">
        <f t="shared" ca="1" si="24"/>
        <v>39557.305817365872</v>
      </c>
      <c r="AO76" s="641">
        <f t="shared" ca="1" si="24"/>
        <v>244372.09909980875</v>
      </c>
      <c r="AP76" s="641">
        <f t="shared" ca="1" si="24"/>
        <v>208172.35052396066</v>
      </c>
    </row>
    <row r="77" spans="1:42" s="163" customFormat="1" x14ac:dyDescent="0.25">
      <c r="A77" s="35" t="s">
        <v>1252</v>
      </c>
      <c r="B77" s="34"/>
      <c r="C77" s="34"/>
      <c r="D77" s="641">
        <f t="shared" ca="1" si="25"/>
        <v>261917.90201345438</v>
      </c>
      <c r="E77" s="641">
        <f t="shared" ca="1" si="24"/>
        <v>5317.2665020607592</v>
      </c>
      <c r="F77" s="641">
        <f t="shared" ca="1" si="24"/>
        <v>120308.10849835839</v>
      </c>
      <c r="G77" s="641">
        <f t="shared" ca="1" si="24"/>
        <v>173590.80428889752</v>
      </c>
      <c r="H77" s="641">
        <f t="shared" ca="1" si="24"/>
        <v>68104.015436029062</v>
      </c>
      <c r="I77" s="641">
        <f t="shared" ca="1" si="24"/>
        <v>0</v>
      </c>
      <c r="J77" s="641">
        <f t="shared" ca="1" si="24"/>
        <v>190269.18901061863</v>
      </c>
      <c r="K77" s="641">
        <f t="shared" ca="1" si="24"/>
        <v>135138.09991081842</v>
      </c>
      <c r="L77" s="641">
        <f t="shared" ca="1" si="24"/>
        <v>15738.277494767714</v>
      </c>
      <c r="M77" s="641">
        <f t="shared" ca="1" si="24"/>
        <v>31226.383170163343</v>
      </c>
      <c r="N77" s="641">
        <f t="shared" ca="1" si="24"/>
        <v>957.29522249892887</v>
      </c>
      <c r="O77" s="641">
        <f t="shared" ca="1" si="24"/>
        <v>8662.6652950580483</v>
      </c>
      <c r="P77" s="641">
        <f t="shared" ca="1" si="24"/>
        <v>117749.73193354387</v>
      </c>
      <c r="Q77" s="641">
        <f t="shared" ca="1" si="24"/>
        <v>12071.39878642813</v>
      </c>
      <c r="R77" s="641">
        <f t="shared" ca="1" si="24"/>
        <v>69160.151554953874</v>
      </c>
      <c r="S77" s="641">
        <f t="shared" ca="1" si="24"/>
        <v>4113.9111140172909</v>
      </c>
      <c r="T77" s="641">
        <f t="shared" ca="1" si="24"/>
        <v>680.44441284173479</v>
      </c>
      <c r="U77" s="641">
        <f t="shared" ca="1" si="24"/>
        <v>16856.992738265155</v>
      </c>
      <c r="V77" s="641">
        <f t="shared" ca="1" si="24"/>
        <v>125.41497469593743</v>
      </c>
      <c r="W77" s="641">
        <f t="shared" ca="1" si="24"/>
        <v>806.93418679231945</v>
      </c>
      <c r="X77" s="641">
        <f t="shared" ca="1" si="24"/>
        <v>5555.012322716776</v>
      </c>
      <c r="Y77" s="641">
        <f t="shared" ca="1" si="24"/>
        <v>6412.7186585435466</v>
      </c>
      <c r="Z77" s="641">
        <f t="shared" ca="1" si="24"/>
        <v>541.08541883592613</v>
      </c>
      <c r="AA77" s="641">
        <f t="shared" ca="1" si="24"/>
        <v>173107.79114268889</v>
      </c>
      <c r="AB77" s="641">
        <f t="shared" ca="1" si="24"/>
        <v>143897.8879769175</v>
      </c>
      <c r="AC77" s="641">
        <f t="shared" ca="1" si="24"/>
        <v>4418.8120840750435</v>
      </c>
      <c r="AD77" s="641">
        <f t="shared" ca="1" si="24"/>
        <v>318776.12119874038</v>
      </c>
      <c r="AE77" s="641">
        <f t="shared" ca="1" si="24"/>
        <v>810.14281147838926</v>
      </c>
      <c r="AF77" s="641">
        <f t="shared" ca="1" si="24"/>
        <v>8797.5302919908445</v>
      </c>
      <c r="AG77" s="641">
        <f t="shared" ca="1" si="24"/>
        <v>4190.3028296507928</v>
      </c>
      <c r="AH77" s="641">
        <f t="shared" ca="1" si="24"/>
        <v>9351.0377261755111</v>
      </c>
      <c r="AI77" s="641">
        <f t="shared" ca="1" si="24"/>
        <v>6431.395928779114</v>
      </c>
      <c r="AJ77" s="641">
        <f t="shared" ca="1" si="24"/>
        <v>122147.1683153685</v>
      </c>
      <c r="AK77" s="641">
        <f t="shared" ca="1" si="24"/>
        <v>9099.281589949107</v>
      </c>
      <c r="AL77" s="641">
        <f t="shared" ca="1" si="24"/>
        <v>12412.658135162961</v>
      </c>
      <c r="AM77" s="641">
        <f t="shared" ca="1" si="24"/>
        <v>117456.10187317201</v>
      </c>
      <c r="AN77" s="641">
        <f t="shared" ca="1" si="24"/>
        <v>18444.957878937392</v>
      </c>
      <c r="AO77" s="641">
        <f t="shared" ca="1" si="24"/>
        <v>146209.33848996717</v>
      </c>
      <c r="AP77" s="641">
        <f t="shared" ca="1" si="24"/>
        <v>121495.1511971318</v>
      </c>
    </row>
    <row r="78" spans="1:42" s="163" customFormat="1" x14ac:dyDescent="0.25">
      <c r="A78" s="817" t="s">
        <v>718</v>
      </c>
      <c r="B78" s="34"/>
      <c r="C78" s="34"/>
      <c r="D78" s="641">
        <f t="shared" ca="1" si="25"/>
        <v>11387.734870150191</v>
      </c>
      <c r="E78" s="641">
        <f t="shared" ca="1" si="24"/>
        <v>231.18550008959824</v>
      </c>
      <c r="F78" s="641">
        <f t="shared" ca="1" si="24"/>
        <v>14153.895117453927</v>
      </c>
      <c r="G78" s="641">
        <f t="shared" ca="1" si="24"/>
        <v>7547.4262734303265</v>
      </c>
      <c r="H78" s="641">
        <f t="shared" ca="1" si="24"/>
        <v>0</v>
      </c>
      <c r="I78" s="641">
        <f t="shared" ca="1" si="24"/>
        <v>0</v>
      </c>
      <c r="J78" s="641">
        <f t="shared" ca="1" si="24"/>
        <v>8272.5734352442887</v>
      </c>
      <c r="K78" s="641">
        <f t="shared" ca="1" si="24"/>
        <v>0</v>
      </c>
      <c r="L78" s="641">
        <f t="shared" ca="1" si="24"/>
        <v>0</v>
      </c>
      <c r="M78" s="641">
        <f t="shared" ca="1" si="24"/>
        <v>0</v>
      </c>
      <c r="N78" s="641">
        <f t="shared" ca="1" si="24"/>
        <v>102.56734526774235</v>
      </c>
      <c r="O78" s="641">
        <f t="shared" ca="1" si="24"/>
        <v>928.14271018479087</v>
      </c>
      <c r="P78" s="641">
        <f t="shared" ca="1" si="24"/>
        <v>0</v>
      </c>
      <c r="Q78" s="641">
        <f t="shared" ca="1" si="24"/>
        <v>0</v>
      </c>
      <c r="R78" s="641">
        <f t="shared" ca="1" si="24"/>
        <v>8136.4884182298674</v>
      </c>
      <c r="S78" s="641">
        <f t="shared" ca="1" si="24"/>
        <v>0</v>
      </c>
      <c r="T78" s="641">
        <f t="shared" ca="1" si="24"/>
        <v>72.904758518757291</v>
      </c>
      <c r="U78" s="641">
        <f t="shared" ca="1" si="24"/>
        <v>1806.1063648141237</v>
      </c>
      <c r="V78" s="641">
        <f t="shared" ca="1" si="24"/>
        <v>13.437318717421865</v>
      </c>
      <c r="W78" s="641">
        <f t="shared" ca="1" si="24"/>
        <v>0</v>
      </c>
      <c r="X78" s="641">
        <f t="shared" ca="1" si="24"/>
        <v>0</v>
      </c>
      <c r="Y78" s="641">
        <f t="shared" ca="1" si="24"/>
        <v>0</v>
      </c>
      <c r="Z78" s="641">
        <f t="shared" ca="1" si="24"/>
        <v>0</v>
      </c>
      <c r="AA78" s="641">
        <f t="shared" ca="1" si="24"/>
        <v>20365.622487375163</v>
      </c>
      <c r="AB78" s="641">
        <f t="shared" ca="1" si="24"/>
        <v>22138.136611833459</v>
      </c>
      <c r="AC78" s="641">
        <f t="shared" ca="1" si="24"/>
        <v>473.44415186518319</v>
      </c>
      <c r="AD78" s="641">
        <f t="shared" ca="1" si="24"/>
        <v>13859.831356466973</v>
      </c>
      <c r="AE78" s="641">
        <f t="shared" ca="1" si="24"/>
        <v>86.801015515541692</v>
      </c>
      <c r="AF78" s="641">
        <f t="shared" ca="1" si="24"/>
        <v>1353.4661987678223</v>
      </c>
      <c r="AG78" s="641">
        <f t="shared" ca="1" si="24"/>
        <v>644.66197379242954</v>
      </c>
      <c r="AH78" s="641">
        <f t="shared" ca="1" si="24"/>
        <v>1438.6211886423864</v>
      </c>
      <c r="AI78" s="641">
        <f t="shared" ca="1" si="24"/>
        <v>756.63481515048386</v>
      </c>
      <c r="AJ78" s="641">
        <f t="shared" ca="1" si="24"/>
        <v>18791.872048518228</v>
      </c>
      <c r="AK78" s="641">
        <f t="shared" ca="1" si="24"/>
        <v>0</v>
      </c>
      <c r="AL78" s="641">
        <f t="shared" ca="1" si="24"/>
        <v>0</v>
      </c>
      <c r="AM78" s="641">
        <f t="shared" ca="1" si="24"/>
        <v>13818.36492625553</v>
      </c>
      <c r="AN78" s="641">
        <f t="shared" ca="1" si="24"/>
        <v>0</v>
      </c>
      <c r="AO78" s="641">
        <f t="shared" ca="1" si="24"/>
        <v>22493.744383071869</v>
      </c>
      <c r="AP78" s="641">
        <f t="shared" ca="1" si="24"/>
        <v>18691.561722635659</v>
      </c>
    </row>
    <row r="79" spans="1:42" s="163" customFormat="1" x14ac:dyDescent="0.25">
      <c r="A79" s="824" t="s">
        <v>1259</v>
      </c>
      <c r="B79" s="34"/>
      <c r="C79" s="34"/>
      <c r="D79" s="422"/>
      <c r="E79" s="422"/>
      <c r="F79" s="422"/>
      <c r="G79" s="422"/>
      <c r="H79" s="422"/>
      <c r="I79" s="422"/>
      <c r="J79" s="422"/>
      <c r="K79" s="422"/>
      <c r="L79" s="422"/>
      <c r="M79" s="422"/>
      <c r="N79" s="422"/>
      <c r="O79" s="422"/>
      <c r="P79" s="422"/>
      <c r="Q79" s="422"/>
      <c r="R79" s="422"/>
      <c r="S79" s="422"/>
      <c r="T79" s="422"/>
      <c r="U79" s="422"/>
      <c r="V79" s="422"/>
      <c r="W79" s="422"/>
      <c r="X79" s="422"/>
      <c r="Y79" s="422"/>
      <c r="Z79" s="422"/>
      <c r="AA79" s="422"/>
      <c r="AB79" s="422"/>
      <c r="AC79" s="422"/>
      <c r="AD79" s="422"/>
      <c r="AE79" s="422"/>
      <c r="AF79" s="422"/>
      <c r="AG79" s="422"/>
      <c r="AH79" s="422"/>
      <c r="AI79" s="422"/>
      <c r="AJ79" s="422"/>
      <c r="AK79" s="422"/>
      <c r="AL79" s="422"/>
      <c r="AM79" s="422"/>
      <c r="AN79" s="422"/>
      <c r="AO79" s="422"/>
      <c r="AP79" s="422"/>
    </row>
    <row r="80" spans="1:42" s="163" customFormat="1" x14ac:dyDescent="0.25">
      <c r="A80" s="35" t="s">
        <v>1251</v>
      </c>
      <c r="B80" s="34"/>
      <c r="C80" s="34"/>
      <c r="D80" s="641">
        <f ca="1">D$11*D$28*D69*D38</f>
        <v>4216404.8912507771</v>
      </c>
      <c r="E80" s="641">
        <f t="shared" ref="E80:AP82" ca="1" si="26">E$11*E$28*E69*E38</f>
        <v>91660.275888011354</v>
      </c>
      <c r="F80" s="641">
        <f t="shared" ca="1" si="26"/>
        <v>3039921.3064110898</v>
      </c>
      <c r="G80" s="641">
        <f t="shared" ca="1" si="26"/>
        <v>2334301.8649780774</v>
      </c>
      <c r="H80" s="641">
        <f t="shared" ca="1" si="26"/>
        <v>4586643.4646194326</v>
      </c>
      <c r="I80" s="641">
        <f t="shared" ca="1" si="26"/>
        <v>0</v>
      </c>
      <c r="J80" s="641">
        <f t="shared" ca="1" si="26"/>
        <v>3155108.4043574343</v>
      </c>
      <c r="K80" s="641">
        <f t="shared" ca="1" si="26"/>
        <v>5669710.8593166424</v>
      </c>
      <c r="L80" s="641">
        <f t="shared" ca="1" si="26"/>
        <v>584890.75238758186</v>
      </c>
      <c r="M80" s="641">
        <f t="shared" ca="1" si="26"/>
        <v>636690.75737590017</v>
      </c>
      <c r="N80" s="641">
        <f t="shared" ca="1" si="26"/>
        <v>66381.42650785805</v>
      </c>
      <c r="O80" s="641">
        <f t="shared" ca="1" si="26"/>
        <v>382687.54694599257</v>
      </c>
      <c r="P80" s="641">
        <f t="shared" ca="1" si="26"/>
        <v>6127828.8650452271</v>
      </c>
      <c r="Q80" s="641">
        <f t="shared" ca="1" si="26"/>
        <v>482380.33366988361</v>
      </c>
      <c r="R80" s="641">
        <f t="shared" ca="1" si="26"/>
        <v>682828.14861566282</v>
      </c>
      <c r="S80" s="641">
        <f t="shared" ca="1" si="26"/>
        <v>89429.32578860654</v>
      </c>
      <c r="T80" s="641">
        <f t="shared" ca="1" si="26"/>
        <v>8239.4484331926633</v>
      </c>
      <c r="U80" s="641">
        <f t="shared" ca="1" si="26"/>
        <v>740885.67775667901</v>
      </c>
      <c r="V80" s="641">
        <f t="shared" ca="1" si="26"/>
        <v>4938.223935688352</v>
      </c>
      <c r="W80" s="641">
        <f t="shared" ca="1" si="26"/>
        <v>27865.543473058839</v>
      </c>
      <c r="X80" s="641">
        <f t="shared" ca="1" si="26"/>
        <v>91086.449590987468</v>
      </c>
      <c r="Y80" s="641">
        <f t="shared" ca="1" si="26"/>
        <v>118547.1507275764</v>
      </c>
      <c r="Z80" s="641">
        <f t="shared" ca="1" si="26"/>
        <v>45246.860970654488</v>
      </c>
      <c r="AA80" s="641">
        <f t="shared" ca="1" si="26"/>
        <v>3621508.3870229372</v>
      </c>
      <c r="AB80" s="641">
        <f t="shared" ca="1" si="26"/>
        <v>5588791.8002702557</v>
      </c>
      <c r="AC80" s="641">
        <f t="shared" ca="1" si="26"/>
        <v>293531.04488067195</v>
      </c>
      <c r="AD80" s="641">
        <f t="shared" ca="1" si="26"/>
        <v>5292538.8092841813</v>
      </c>
      <c r="AE80" s="641">
        <f t="shared" ca="1" si="26"/>
        <v>61542.358738608338</v>
      </c>
      <c r="AF80" s="641">
        <f t="shared" ca="1" si="26"/>
        <v>160131.694502042</v>
      </c>
      <c r="AG80" s="641">
        <f t="shared" ca="1" si="26"/>
        <v>199003.70421776158</v>
      </c>
      <c r="AH80" s="641">
        <f t="shared" ca="1" si="26"/>
        <v>469029.29783932859</v>
      </c>
      <c r="AI80" s="641">
        <f t="shared" ca="1" si="26"/>
        <v>163313.74788378528</v>
      </c>
      <c r="AJ80" s="641">
        <f t="shared" ca="1" si="26"/>
        <v>4378364.1473106239</v>
      </c>
      <c r="AK80" s="641">
        <f t="shared" ca="1" si="26"/>
        <v>794406.0300235413</v>
      </c>
      <c r="AL80" s="641">
        <f t="shared" ca="1" si="26"/>
        <v>86855.504819540089</v>
      </c>
      <c r="AM80" s="641">
        <f t="shared" ca="1" si="26"/>
        <v>1688224.1514583514</v>
      </c>
      <c r="AN80" s="641">
        <f t="shared" ca="1" si="26"/>
        <v>378529.80863525072</v>
      </c>
      <c r="AO80" s="641">
        <f t="shared" ca="1" si="26"/>
        <v>3015391.8769695759</v>
      </c>
      <c r="AP80" s="641">
        <f t="shared" ca="1" si="26"/>
        <v>2941936.2002450568</v>
      </c>
    </row>
    <row r="81" spans="1:45" s="163" customFormat="1" x14ac:dyDescent="0.25">
      <c r="A81" s="35" t="s">
        <v>1252</v>
      </c>
      <c r="B81" s="34"/>
      <c r="C81" s="34"/>
      <c r="D81" s="641">
        <f t="shared" ref="D81:S82" ca="1" si="27">D$11*D$28*D70*D39</f>
        <v>746794.58445439313</v>
      </c>
      <c r="E81" s="641">
        <f t="shared" ca="1" si="27"/>
        <v>15943.675883552211</v>
      </c>
      <c r="F81" s="641">
        <f t="shared" ca="1" si="27"/>
        <v>497325.79812630173</v>
      </c>
      <c r="G81" s="641">
        <f t="shared" ca="1" si="27"/>
        <v>380343.22854677425</v>
      </c>
      <c r="H81" s="641">
        <f t="shared" ca="1" si="27"/>
        <v>760570.67894968356</v>
      </c>
      <c r="I81" s="641">
        <f t="shared" ca="1" si="27"/>
        <v>0</v>
      </c>
      <c r="J81" s="641">
        <f t="shared" ca="1" si="27"/>
        <v>520630.23211703316</v>
      </c>
      <c r="K81" s="641">
        <f t="shared" ca="1" si="27"/>
        <v>974704.46439640608</v>
      </c>
      <c r="L81" s="641">
        <f t="shared" ca="1" si="27"/>
        <v>92845.603083976297</v>
      </c>
      <c r="M81" s="641">
        <f t="shared" ca="1" si="27"/>
        <v>111020.21427053401</v>
      </c>
      <c r="N81" s="641">
        <f t="shared" ca="1" si="27"/>
        <v>10786.356996318358</v>
      </c>
      <c r="O81" s="641">
        <f t="shared" ca="1" si="27"/>
        <v>70020.837573998841</v>
      </c>
      <c r="P81" s="641">
        <f t="shared" ca="1" si="27"/>
        <v>1011907.0576205447</v>
      </c>
      <c r="Q81" s="641">
        <f t="shared" ca="1" si="27"/>
        <v>83664.405543922054</v>
      </c>
      <c r="R81" s="641">
        <f t="shared" ca="1" si="27"/>
        <v>118863.27244675225</v>
      </c>
      <c r="S81" s="641">
        <f t="shared" ca="1" si="27"/>
        <v>13829.968647015392</v>
      </c>
      <c r="T81" s="641">
        <f t="shared" ca="1" si="26"/>
        <v>2080.8804816163693</v>
      </c>
      <c r="U81" s="641">
        <f t="shared" ca="1" si="26"/>
        <v>124526.29854045193</v>
      </c>
      <c r="V81" s="641">
        <f t="shared" ca="1" si="26"/>
        <v>765.15311582948834</v>
      </c>
      <c r="W81" s="641">
        <f t="shared" ca="1" si="26"/>
        <v>4682.9702260435088</v>
      </c>
      <c r="X81" s="641">
        <f t="shared" ca="1" si="26"/>
        <v>15776.660882841315</v>
      </c>
      <c r="Y81" s="641">
        <f t="shared" ca="1" si="26"/>
        <v>21033.411888199174</v>
      </c>
      <c r="Z81" s="641">
        <f t="shared" ca="1" si="26"/>
        <v>7286.5178907395639</v>
      </c>
      <c r="AA81" s="641">
        <f t="shared" ca="1" si="26"/>
        <v>589783.63716840115</v>
      </c>
      <c r="AB81" s="641">
        <f t="shared" ca="1" si="26"/>
        <v>909290.88657732576</v>
      </c>
      <c r="AC81" s="641">
        <f t="shared" ca="1" si="26"/>
        <v>50442.903877032491</v>
      </c>
      <c r="AD81" s="641">
        <f t="shared" ca="1" si="26"/>
        <v>926265.06057861459</v>
      </c>
      <c r="AE81" s="641">
        <f t="shared" ca="1" si="26"/>
        <v>9945.5350267033864</v>
      </c>
      <c r="AF81" s="641">
        <f t="shared" ca="1" si="26"/>
        <v>27128.154009254293</v>
      </c>
      <c r="AG81" s="641">
        <f t="shared" ca="1" si="26"/>
        <v>32706.463779205103</v>
      </c>
      <c r="AH81" s="641">
        <f t="shared" ca="1" si="26"/>
        <v>71515.362990423586</v>
      </c>
      <c r="AI81" s="641">
        <f t="shared" ca="1" si="26"/>
        <v>27133.851819940093</v>
      </c>
      <c r="AJ81" s="641">
        <f t="shared" ca="1" si="26"/>
        <v>762075.64494010259</v>
      </c>
      <c r="AK81" s="641">
        <f t="shared" ca="1" si="26"/>
        <v>131174.31571041103</v>
      </c>
      <c r="AL81" s="641">
        <f t="shared" ca="1" si="26"/>
        <v>13159.479146808057</v>
      </c>
      <c r="AM81" s="641">
        <f t="shared" ca="1" si="26"/>
        <v>284754.62086272746</v>
      </c>
      <c r="AN81" s="641">
        <f t="shared" ca="1" si="26"/>
        <v>61744.71739765344</v>
      </c>
      <c r="AO81" s="641">
        <f t="shared" ca="1" si="26"/>
        <v>528427.91006127617</v>
      </c>
      <c r="AP81" s="641">
        <f t="shared" ca="1" si="26"/>
        <v>502906.95807885163</v>
      </c>
    </row>
    <row r="82" spans="1:45" s="163" customFormat="1" x14ac:dyDescent="0.25">
      <c r="A82" s="817" t="s">
        <v>718</v>
      </c>
      <c r="B82" s="34"/>
      <c r="C82" s="34"/>
      <c r="D82" s="641">
        <f t="shared" ca="1" si="27"/>
        <v>97083.295979071103</v>
      </c>
      <c r="E82" s="641">
        <f t="shared" ca="1" si="26"/>
        <v>2072.6778648617874</v>
      </c>
      <c r="F82" s="641">
        <f t="shared" ca="1" si="26"/>
        <v>109411.67558778638</v>
      </c>
      <c r="G82" s="641">
        <f t="shared" ca="1" si="26"/>
        <v>49444.619711080653</v>
      </c>
      <c r="H82" s="641">
        <f t="shared" ca="1" si="26"/>
        <v>98874.188263458869</v>
      </c>
      <c r="I82" s="641">
        <f t="shared" ca="1" si="26"/>
        <v>0</v>
      </c>
      <c r="J82" s="641">
        <f t="shared" ca="1" si="26"/>
        <v>67681.930175214307</v>
      </c>
      <c r="K82" s="641">
        <f t="shared" ca="1" si="26"/>
        <v>126711.58037153279</v>
      </c>
      <c r="L82" s="641">
        <f t="shared" ca="1" si="26"/>
        <v>12069.928400916919</v>
      </c>
      <c r="M82" s="641">
        <f t="shared" ca="1" si="26"/>
        <v>15699.828280681575</v>
      </c>
      <c r="N82" s="641">
        <f t="shared" ca="1" si="26"/>
        <v>1833.6806893741211</v>
      </c>
      <c r="O82" s="641">
        <f t="shared" ca="1" si="26"/>
        <v>11903.542387579804</v>
      </c>
      <c r="P82" s="641">
        <f t="shared" ca="1" si="26"/>
        <v>131547.91749067081</v>
      </c>
      <c r="Q82" s="641">
        <f t="shared" ca="1" si="26"/>
        <v>11831.33007691827</v>
      </c>
      <c r="R82" s="641">
        <f t="shared" ca="1" si="26"/>
        <v>26149.919938285493</v>
      </c>
      <c r="S82" s="641">
        <f t="shared" ca="1" si="26"/>
        <v>1955.7531420021767</v>
      </c>
      <c r="T82" s="641">
        <f t="shared" ca="1" si="26"/>
        <v>353.74968187478282</v>
      </c>
      <c r="U82" s="641">
        <f t="shared" ca="1" si="26"/>
        <v>21169.47075187683</v>
      </c>
      <c r="V82" s="641">
        <f t="shared" ca="1" si="26"/>
        <v>130.07602969101305</v>
      </c>
      <c r="W82" s="641">
        <f t="shared" ca="1" si="26"/>
        <v>662.23821378393063</v>
      </c>
      <c r="X82" s="641">
        <f t="shared" ca="1" si="26"/>
        <v>2050.9659147693715</v>
      </c>
      <c r="Y82" s="641">
        <f t="shared" ca="1" si="26"/>
        <v>2974.4218831796811</v>
      </c>
      <c r="Z82" s="641">
        <f t="shared" ca="1" si="26"/>
        <v>1030.4166714177161</v>
      </c>
      <c r="AA82" s="641">
        <f t="shared" ca="1" si="26"/>
        <v>129752.40017704826</v>
      </c>
      <c r="AB82" s="641">
        <f t="shared" ca="1" si="26"/>
        <v>101032.32073081397</v>
      </c>
      <c r="AC82" s="641">
        <f t="shared" ca="1" si="26"/>
        <v>8575.2936590955233</v>
      </c>
      <c r="AD82" s="641">
        <f t="shared" ca="1" si="26"/>
        <v>120414.4578752199</v>
      </c>
      <c r="AE82" s="641">
        <f t="shared" ca="1" si="26"/>
        <v>1690.7409545395758</v>
      </c>
      <c r="AF82" s="641">
        <f t="shared" ca="1" si="26"/>
        <v>3014.2393343615881</v>
      </c>
      <c r="AG82" s="641">
        <f t="shared" ca="1" si="26"/>
        <v>3634.0515310227893</v>
      </c>
      <c r="AH82" s="641">
        <f t="shared" ca="1" si="26"/>
        <v>7946.1514433803986</v>
      </c>
      <c r="AI82" s="641">
        <f t="shared" ca="1" si="26"/>
        <v>5969.4474003868208</v>
      </c>
      <c r="AJ82" s="641">
        <f t="shared" ca="1" si="26"/>
        <v>84675.071660011396</v>
      </c>
      <c r="AK82" s="641">
        <f t="shared" ca="1" si="26"/>
        <v>17052.661042353433</v>
      </c>
      <c r="AL82" s="641">
        <f t="shared" ca="1" si="26"/>
        <v>1860.9364450031596</v>
      </c>
      <c r="AM82" s="641">
        <f t="shared" ca="1" si="26"/>
        <v>62646.016589800034</v>
      </c>
      <c r="AN82" s="641">
        <f t="shared" ca="1" si="26"/>
        <v>8731.5761976479625</v>
      </c>
      <c r="AO82" s="641">
        <f t="shared" ca="1" si="26"/>
        <v>58714.212229030694</v>
      </c>
      <c r="AP82" s="641">
        <f t="shared" ca="1" si="26"/>
        <v>55878.550897650181</v>
      </c>
    </row>
    <row r="83" spans="1:45" s="163" customFormat="1" x14ac:dyDescent="0.25">
      <c r="A83" s="817"/>
      <c r="B83" s="34"/>
      <c r="C83" s="34"/>
      <c r="D83" s="422"/>
      <c r="E83" s="422"/>
      <c r="F83" s="422"/>
      <c r="G83" s="422"/>
      <c r="H83" s="422"/>
      <c r="I83" s="422"/>
      <c r="J83" s="422"/>
      <c r="K83" s="422"/>
      <c r="L83" s="422"/>
      <c r="M83" s="422"/>
      <c r="N83" s="422"/>
      <c r="O83" s="422"/>
      <c r="P83" s="422"/>
      <c r="Q83" s="422"/>
      <c r="R83" s="422"/>
      <c r="S83" s="422"/>
      <c r="T83" s="422"/>
      <c r="U83" s="422"/>
      <c r="V83" s="422"/>
      <c r="W83" s="422"/>
      <c r="X83" s="422"/>
      <c r="Y83" s="422"/>
      <c r="Z83" s="422"/>
      <c r="AA83" s="422"/>
      <c r="AB83" s="422"/>
      <c r="AC83" s="422"/>
      <c r="AD83" s="422"/>
      <c r="AE83" s="422"/>
      <c r="AF83" s="422"/>
      <c r="AG83" s="422"/>
      <c r="AH83" s="422"/>
      <c r="AI83" s="422"/>
      <c r="AJ83" s="422"/>
      <c r="AK83" s="422"/>
      <c r="AL83" s="422"/>
      <c r="AM83" s="422"/>
      <c r="AN83" s="422"/>
      <c r="AO83" s="422"/>
      <c r="AP83" s="422"/>
      <c r="AR83" s="504" t="s">
        <v>1265</v>
      </c>
      <c r="AS83" s="163" t="s">
        <v>1266</v>
      </c>
    </row>
    <row r="84" spans="1:45" s="163" customFormat="1" x14ac:dyDescent="0.25">
      <c r="A84" s="817" t="s">
        <v>1261</v>
      </c>
      <c r="B84" s="34"/>
      <c r="C84" s="34"/>
      <c r="D84" s="641">
        <f ca="1">SUM(D75:D82)</f>
        <v>9622084.5133913737</v>
      </c>
      <c r="E84" s="641">
        <f t="shared" ref="E84:AP84" ca="1" si="28">SUM(E75:E82)</f>
        <v>204062.37879144601</v>
      </c>
      <c r="F84" s="641">
        <f t="shared" ca="1" si="28"/>
        <v>6800209.7996856617</v>
      </c>
      <c r="G84" s="641">
        <f t="shared" ca="1" si="28"/>
        <v>6049987.1169693265</v>
      </c>
      <c r="H84" s="641">
        <f t="shared" ca="1" si="28"/>
        <v>9718629.0680521186</v>
      </c>
      <c r="I84" s="641">
        <f t="shared" ca="1" si="28"/>
        <v>0</v>
      </c>
      <c r="J84" s="641">
        <f t="shared" ca="1" si="28"/>
        <v>7300086.1381815886</v>
      </c>
      <c r="K84" s="641">
        <f t="shared" ca="1" si="28"/>
        <v>15025391.834926007</v>
      </c>
      <c r="L84" s="641">
        <f t="shared" ca="1" si="28"/>
        <v>1740212.0220588744</v>
      </c>
      <c r="M84" s="641">
        <f t="shared" ca="1" si="28"/>
        <v>1360889.054484993</v>
      </c>
      <c r="N84" s="641">
        <f t="shared" ca="1" si="28"/>
        <v>109472.19820106607</v>
      </c>
      <c r="O84" s="641">
        <f t="shared" ca="1" si="28"/>
        <v>714300.80321297969</v>
      </c>
      <c r="P84" s="641">
        <f t="shared" ca="1" si="28"/>
        <v>14724534.357295701</v>
      </c>
      <c r="Q84" s="641">
        <f t="shared" ca="1" si="28"/>
        <v>807612.57082886831</v>
      </c>
      <c r="R84" s="641">
        <f t="shared" ca="1" si="28"/>
        <v>2554283.8064944465</v>
      </c>
      <c r="S84" s="641">
        <f t="shared" ca="1" si="28"/>
        <v>193681.86287842545</v>
      </c>
      <c r="T84" s="641">
        <f t="shared" ca="1" si="28"/>
        <v>25541.575898725809</v>
      </c>
      <c r="U84" s="641">
        <f t="shared" ca="1" si="28"/>
        <v>1410605.2420843407</v>
      </c>
      <c r="V84" s="641">
        <f t="shared" ca="1" si="28"/>
        <v>10091.767013635324</v>
      </c>
      <c r="W84" s="641">
        <f t="shared" ca="1" si="28"/>
        <v>48858.577058600866</v>
      </c>
      <c r="X84" s="641">
        <f t="shared" ca="1" si="28"/>
        <v>448862.85302425711</v>
      </c>
      <c r="Y84" s="641">
        <f t="shared" ca="1" si="28"/>
        <v>262407.64292145579</v>
      </c>
      <c r="Z84" s="641">
        <f t="shared" ca="1" si="28"/>
        <v>64572.261212730482</v>
      </c>
      <c r="AA84" s="641">
        <f t="shared" ca="1" si="28"/>
        <v>8918255.7668529525</v>
      </c>
      <c r="AB84" s="641">
        <f t="shared" ca="1" si="28"/>
        <v>16491332.477087593</v>
      </c>
      <c r="AC84" s="641">
        <f t="shared" ca="1" si="28"/>
        <v>487248.33439951873</v>
      </c>
      <c r="AD84" s="641">
        <f t="shared" ca="1" si="28"/>
        <v>11976656.146075739</v>
      </c>
      <c r="AE84" s="641">
        <f t="shared" ca="1" si="28"/>
        <v>99162.470055392114</v>
      </c>
      <c r="AF84" s="641">
        <f t="shared" ca="1" si="28"/>
        <v>769007.29774592305</v>
      </c>
      <c r="AG84" s="641">
        <f t="shared" ca="1" si="28"/>
        <v>516420.47505751875</v>
      </c>
      <c r="AH84" s="641">
        <f t="shared" ca="1" si="28"/>
        <v>1233919.7363576205</v>
      </c>
      <c r="AI84" s="641">
        <f t="shared" ca="1" si="28"/>
        <v>360550.94854927453</v>
      </c>
      <c r="AJ84" s="641">
        <f t="shared" ca="1" si="28"/>
        <v>13135561.753597802</v>
      </c>
      <c r="AK84" s="641">
        <f t="shared" ca="1" si="28"/>
        <v>1529471.6920352883</v>
      </c>
      <c r="AL84" s="641">
        <f t="shared" ca="1" si="28"/>
        <v>376352.52516463923</v>
      </c>
      <c r="AM84" s="641">
        <f t="shared" ca="1" si="28"/>
        <v>5050934.3318374855</v>
      </c>
      <c r="AN84" s="641">
        <f t="shared" ca="1" si="28"/>
        <v>822174.79974125442</v>
      </c>
      <c r="AO84" s="641">
        <f t="shared" ca="1" si="28"/>
        <v>13024914.791328149</v>
      </c>
      <c r="AP84" s="641">
        <f t="shared" ca="1" si="28"/>
        <v>11520245.921676669</v>
      </c>
      <c r="AQ84" s="453">
        <f ca="1">SUM(D84:AP84)</f>
        <v>165508586.91222945</v>
      </c>
      <c r="AR84" s="453">
        <f ca="1">AQ84-AQ52</f>
        <v>16581681.69612664</v>
      </c>
    </row>
    <row r="85" spans="1:45" s="163" customFormat="1" x14ac:dyDescent="0.25">
      <c r="A85" s="827" t="s">
        <v>1262</v>
      </c>
      <c r="B85" s="34"/>
      <c r="C85" s="34"/>
      <c r="D85" s="422">
        <f ca="1">D84*D5</f>
        <v>9622084.5133913737</v>
      </c>
      <c r="E85" s="422">
        <f t="shared" ref="E85:AP85" ca="1" si="29">E84*E5</f>
        <v>204062.37879144601</v>
      </c>
      <c r="F85" s="422">
        <f t="shared" ca="1" si="29"/>
        <v>6800209.7996856617</v>
      </c>
      <c r="G85" s="422">
        <f t="shared" ca="1" si="29"/>
        <v>6049987.1169693265</v>
      </c>
      <c r="H85" s="422">
        <f t="shared" ca="1" si="29"/>
        <v>9718629.0680521186</v>
      </c>
      <c r="I85" s="422">
        <f t="shared" ca="1" si="29"/>
        <v>0</v>
      </c>
      <c r="J85" s="422">
        <f t="shared" ca="1" si="29"/>
        <v>7300086.1381815886</v>
      </c>
      <c r="K85" s="422">
        <f t="shared" ca="1" si="29"/>
        <v>15025391.834926007</v>
      </c>
      <c r="L85" s="422">
        <f t="shared" ca="1" si="29"/>
        <v>1740212.0220588744</v>
      </c>
      <c r="M85" s="422">
        <f t="shared" ca="1" si="29"/>
        <v>1360889.054484993</v>
      </c>
      <c r="N85" s="422">
        <f t="shared" ca="1" si="29"/>
        <v>109472.19820106607</v>
      </c>
      <c r="O85" s="422">
        <f t="shared" ca="1" si="29"/>
        <v>714300.80321297969</v>
      </c>
      <c r="P85" s="422">
        <f t="shared" ca="1" si="29"/>
        <v>14724534.357295701</v>
      </c>
      <c r="Q85" s="422">
        <f t="shared" ca="1" si="29"/>
        <v>807612.57082886831</v>
      </c>
      <c r="R85" s="422">
        <f t="shared" ca="1" si="29"/>
        <v>2554283.8064944465</v>
      </c>
      <c r="S85" s="422">
        <f t="shared" ca="1" si="29"/>
        <v>193681.86287842545</v>
      </c>
      <c r="T85" s="422">
        <f t="shared" ca="1" si="29"/>
        <v>25541.575898725809</v>
      </c>
      <c r="U85" s="422">
        <f t="shared" ca="1" si="29"/>
        <v>1410605.2420843407</v>
      </c>
      <c r="V85" s="422">
        <f t="shared" ca="1" si="29"/>
        <v>10091.767013635324</v>
      </c>
      <c r="W85" s="422">
        <f t="shared" ca="1" si="29"/>
        <v>48858.577058600866</v>
      </c>
      <c r="X85" s="422">
        <f t="shared" ca="1" si="29"/>
        <v>448862.85302425711</v>
      </c>
      <c r="Y85" s="422">
        <f t="shared" ca="1" si="29"/>
        <v>262407.64292145579</v>
      </c>
      <c r="Z85" s="422">
        <f t="shared" ca="1" si="29"/>
        <v>64572.261212730482</v>
      </c>
      <c r="AA85" s="422">
        <f t="shared" ca="1" si="29"/>
        <v>8918255.7668529525</v>
      </c>
      <c r="AB85" s="422">
        <f t="shared" ca="1" si="29"/>
        <v>16491332.477087593</v>
      </c>
      <c r="AC85" s="422">
        <f t="shared" ca="1" si="29"/>
        <v>487248.33439951873</v>
      </c>
      <c r="AD85" s="422">
        <f t="shared" ca="1" si="29"/>
        <v>11976656.146075739</v>
      </c>
      <c r="AE85" s="422">
        <f t="shared" ca="1" si="29"/>
        <v>99162.470055392114</v>
      </c>
      <c r="AF85" s="422">
        <f t="shared" ca="1" si="29"/>
        <v>769007.29774592305</v>
      </c>
      <c r="AG85" s="422">
        <f t="shared" ca="1" si="29"/>
        <v>516420.47505751875</v>
      </c>
      <c r="AH85" s="422">
        <f t="shared" ca="1" si="29"/>
        <v>1233919.7363576205</v>
      </c>
      <c r="AI85" s="422">
        <f t="shared" ca="1" si="29"/>
        <v>360550.94854927453</v>
      </c>
      <c r="AJ85" s="422">
        <f t="shared" ca="1" si="29"/>
        <v>13135561.753597802</v>
      </c>
      <c r="AK85" s="422">
        <f t="shared" ca="1" si="29"/>
        <v>1529471.6920352883</v>
      </c>
      <c r="AL85" s="422">
        <f t="shared" ca="1" si="29"/>
        <v>376352.52516463923</v>
      </c>
      <c r="AM85" s="422">
        <f t="shared" ca="1" si="29"/>
        <v>5050934.3318374855</v>
      </c>
      <c r="AN85" s="422">
        <f t="shared" ca="1" si="29"/>
        <v>822174.79974125442</v>
      </c>
      <c r="AO85" s="422">
        <f t="shared" ca="1" si="29"/>
        <v>13024914.791328149</v>
      </c>
      <c r="AP85" s="422">
        <f t="shared" ca="1" si="29"/>
        <v>11520245.921676669</v>
      </c>
      <c r="AQ85" s="453">
        <f ca="1">SUM(D85:AP85)</f>
        <v>165508586.91222945</v>
      </c>
      <c r="AR85" s="453">
        <f ca="1">AQ85-AQ53</f>
        <v>16581681.69612664</v>
      </c>
      <c r="AS85" s="432">
        <f ca="1">AR85*B187</f>
        <v>7461756.7632569885</v>
      </c>
    </row>
    <row r="86" spans="1:45" s="163" customFormat="1" x14ac:dyDescent="0.25">
      <c r="A86" s="817" t="s">
        <v>1260</v>
      </c>
      <c r="B86" s="34"/>
      <c r="C86" s="34"/>
      <c r="D86" s="825">
        <f ca="1">D84/D28</f>
        <v>0.48909987080781531</v>
      </c>
      <c r="E86" s="825">
        <f t="shared" ref="E86:AP86" ca="1" si="30">E84/E28</f>
        <v>0.47988882813813999</v>
      </c>
      <c r="F86" s="825">
        <f t="shared" ca="1" si="30"/>
        <v>0.45611886347255509</v>
      </c>
      <c r="G86" s="825">
        <f t="shared" ca="1" si="30"/>
        <v>0.46821586485741495</v>
      </c>
      <c r="H86" s="825">
        <f t="shared" ca="1" si="30"/>
        <v>0.48946357292386872</v>
      </c>
      <c r="I86" s="825" t="e">
        <f t="shared" ca="1" si="30"/>
        <v>#DIV/0!</v>
      </c>
      <c r="J86" s="825">
        <f t="shared" ca="1" si="30"/>
        <v>0.46667693863247045</v>
      </c>
      <c r="K86" s="825">
        <f t="shared" ca="1" si="30"/>
        <v>0.5177046168940842</v>
      </c>
      <c r="L86" s="825">
        <f t="shared" ca="1" si="30"/>
        <v>0.48796916195265072</v>
      </c>
      <c r="M86" s="825">
        <f t="shared" ca="1" si="30"/>
        <v>0.4756983863251743</v>
      </c>
      <c r="N86" s="825">
        <f t="shared" ca="1" si="30"/>
        <v>0.45104769339627043</v>
      </c>
      <c r="O86" s="825">
        <f t="shared" ca="1" si="30"/>
        <v>0.48409139578497062</v>
      </c>
      <c r="P86" s="825">
        <f t="shared" ca="1" si="30"/>
        <v>0.49613058221133571</v>
      </c>
      <c r="Q86" s="825">
        <f t="shared" ca="1" si="30"/>
        <v>0.4643719697726475</v>
      </c>
      <c r="R86" s="825">
        <f t="shared" ca="1" si="30"/>
        <v>0.50355114217680541</v>
      </c>
      <c r="S86" s="825">
        <f t="shared" ca="1" si="30"/>
        <v>0.44437063499249851</v>
      </c>
      <c r="T86" s="825">
        <f t="shared" ca="1" si="30"/>
        <v>0.63301314033164924</v>
      </c>
      <c r="U86" s="825">
        <f t="shared" ca="1" si="30"/>
        <v>0.46488337247700917</v>
      </c>
      <c r="V86" s="825">
        <f t="shared" ca="1" si="30"/>
        <v>0.4466488048622177</v>
      </c>
      <c r="W86" s="825">
        <f t="shared" ca="1" si="30"/>
        <v>0.4692248645847798</v>
      </c>
      <c r="X86" s="825">
        <f t="shared" ca="1" si="30"/>
        <v>0.56586104158248507</v>
      </c>
      <c r="Y86" s="825">
        <f t="shared" ca="1" si="30"/>
        <v>0.49074047531778575</v>
      </c>
      <c r="Z86" s="825">
        <f t="shared" ca="1" si="30"/>
        <v>0.43787006549709823</v>
      </c>
      <c r="AA86" s="825">
        <f t="shared" ca="1" si="30"/>
        <v>0.4598472746425652</v>
      </c>
      <c r="AB86" s="825">
        <f t="shared" ca="1" si="30"/>
        <v>0.49131347235435652</v>
      </c>
      <c r="AC86" s="825">
        <f t="shared" ca="1" si="30"/>
        <v>0.46241750756780065</v>
      </c>
      <c r="AD86" s="825">
        <f t="shared" ca="1" si="30"/>
        <v>0.48099648345510537</v>
      </c>
      <c r="AE86" s="825">
        <f t="shared" ca="1" si="30"/>
        <v>0.44756187710484296</v>
      </c>
      <c r="AF86" s="825">
        <f t="shared" ca="1" si="30"/>
        <v>0.53665684840023875</v>
      </c>
      <c r="AG86" s="825">
        <f t="shared" ca="1" si="30"/>
        <v>0.49610493696463248</v>
      </c>
      <c r="AH86" s="825">
        <f t="shared" ca="1" si="30"/>
        <v>0.46354725520779022</v>
      </c>
      <c r="AI86" s="825">
        <f t="shared" ca="1" si="30"/>
        <v>0.46227461740361514</v>
      </c>
      <c r="AJ86" s="825">
        <f t="shared" ca="1" si="30"/>
        <v>0.50968296745937747</v>
      </c>
      <c r="AK86" s="825">
        <f t="shared" ca="1" si="30"/>
        <v>0.46585109893345206</v>
      </c>
      <c r="AL86" s="825">
        <f t="shared" ca="1" si="30"/>
        <v>0.46202668532021829</v>
      </c>
      <c r="AM86" s="825">
        <f t="shared" ca="1" si="30"/>
        <v>0.4868493841283274</v>
      </c>
      <c r="AN86" s="825">
        <f t="shared" ca="1" si="30"/>
        <v>0.46048524869368351</v>
      </c>
      <c r="AO86" s="825">
        <f t="shared" ca="1" si="30"/>
        <v>0.5542469272800451</v>
      </c>
      <c r="AP86" s="825">
        <f t="shared" ca="1" si="30"/>
        <v>0.53185440651562033</v>
      </c>
    </row>
    <row r="87" spans="1:45" s="163" customFormat="1" x14ac:dyDescent="0.25">
      <c r="A87" s="34"/>
      <c r="B87" s="34"/>
      <c r="C87" s="34"/>
      <c r="D87" s="422"/>
      <c r="E87" s="422"/>
      <c r="F87" s="422"/>
      <c r="G87" s="422"/>
      <c r="H87" s="422"/>
      <c r="I87" s="422"/>
      <c r="J87" s="422"/>
      <c r="K87" s="422"/>
      <c r="L87" s="422"/>
      <c r="M87" s="422"/>
      <c r="N87" s="422"/>
      <c r="O87" s="422"/>
      <c r="P87" s="422"/>
      <c r="Q87" s="422"/>
      <c r="R87" s="422"/>
      <c r="S87" s="422"/>
      <c r="T87" s="422"/>
      <c r="U87" s="422"/>
      <c r="V87" s="422"/>
      <c r="W87" s="422"/>
      <c r="X87" s="422"/>
      <c r="Y87" s="422"/>
      <c r="Z87" s="422"/>
      <c r="AA87" s="422"/>
      <c r="AB87" s="422"/>
      <c r="AC87" s="422"/>
      <c r="AD87" s="422"/>
      <c r="AE87" s="422"/>
      <c r="AF87" s="422"/>
      <c r="AG87" s="422"/>
      <c r="AH87" s="422"/>
      <c r="AI87" s="422"/>
      <c r="AJ87" s="422"/>
      <c r="AK87" s="422"/>
      <c r="AL87" s="422"/>
      <c r="AM87" s="422"/>
      <c r="AN87" s="422"/>
      <c r="AO87" s="422"/>
      <c r="AP87" s="422"/>
    </row>
    <row r="88" spans="1:45" s="432" customFormat="1" ht="14.25" customHeight="1" x14ac:dyDescent="0.25">
      <c r="A88" s="429" t="s">
        <v>761</v>
      </c>
      <c r="B88" s="429"/>
      <c r="C88" s="430"/>
      <c r="D88" s="431">
        <f t="shared" ref="D88:AP88" ca="1" si="31">D7*(D10*(D61*$B$108+D62*$B$107+D63*AVERAGE($B$106:$B$107)+D64*$B$106)+D11*(D69*$B$107+D70*AVERAGE($B$106:$B$107)+D71*$B$106))</f>
        <v>111912400.03091474</v>
      </c>
      <c r="E88" s="431">
        <f t="shared" ca="1" si="31"/>
        <v>9050390.3073567767</v>
      </c>
      <c r="F88" s="431">
        <f t="shared" ca="1" si="31"/>
        <v>36164639.130569816</v>
      </c>
      <c r="G88" s="431">
        <f t="shared" ca="1" si="31"/>
        <v>49880017.211263411</v>
      </c>
      <c r="H88" s="431">
        <f t="shared" ca="1" si="31"/>
        <v>102545661.72603013</v>
      </c>
      <c r="I88" s="431">
        <f t="shared" ca="1" si="31"/>
        <v>2033869.7003273889</v>
      </c>
      <c r="J88" s="431">
        <f t="shared" ca="1" si="31"/>
        <v>45112619.182815336</v>
      </c>
      <c r="K88" s="431">
        <f t="shared" ca="1" si="31"/>
        <v>168546543.48341542</v>
      </c>
      <c r="L88" s="431">
        <f t="shared" ca="1" si="31"/>
        <v>43394562.578090705</v>
      </c>
      <c r="M88" s="431">
        <f t="shared" ca="1" si="31"/>
        <v>76311024.952407911</v>
      </c>
      <c r="N88" s="431">
        <f t="shared" ca="1" si="31"/>
        <v>4686053.2930169282</v>
      </c>
      <c r="O88" s="431">
        <f t="shared" ca="1" si="31"/>
        <v>24939350.500219077</v>
      </c>
      <c r="P88" s="431">
        <f t="shared" ca="1" si="31"/>
        <v>72684899.388625473</v>
      </c>
      <c r="Q88" s="431">
        <f t="shared" ca="1" si="31"/>
        <v>76956693.346440807</v>
      </c>
      <c r="R88" s="431">
        <f t="shared" ca="1" si="31"/>
        <v>22868352.359834734</v>
      </c>
      <c r="S88" s="431">
        <f t="shared" ca="1" si="31"/>
        <v>22998816.027794104</v>
      </c>
      <c r="T88" s="431">
        <f t="shared" ca="1" si="31"/>
        <v>407045.10446804634</v>
      </c>
      <c r="U88" s="431">
        <f t="shared" ca="1" si="31"/>
        <v>16807658.431616794</v>
      </c>
      <c r="V88" s="431">
        <f t="shared" ca="1" si="31"/>
        <v>613390.91059819271</v>
      </c>
      <c r="W88" s="431">
        <f t="shared" ca="1" si="31"/>
        <v>9884900.7928260956</v>
      </c>
      <c r="X88" s="431">
        <f t="shared" ca="1" si="31"/>
        <v>6107695.0274713943</v>
      </c>
      <c r="Y88" s="431">
        <f t="shared" ca="1" si="31"/>
        <v>49846146.063350588</v>
      </c>
      <c r="Z88" s="431">
        <f t="shared" ca="1" si="31"/>
        <v>6735489.8324449062</v>
      </c>
      <c r="AA88" s="431">
        <f t="shared" ca="1" si="31"/>
        <v>54485719.935767911</v>
      </c>
      <c r="AB88" s="431">
        <f t="shared" ca="1" si="31"/>
        <v>163110567.18975976</v>
      </c>
      <c r="AC88" s="431">
        <f t="shared" ca="1" si="31"/>
        <v>29191402.311683733</v>
      </c>
      <c r="AD88" s="431">
        <f t="shared" ca="1" si="31"/>
        <v>105718129.38093919</v>
      </c>
      <c r="AE88" s="431">
        <f t="shared" ca="1" si="31"/>
        <v>4379861.0296686748</v>
      </c>
      <c r="AF88" s="431">
        <f t="shared" ca="1" si="31"/>
        <v>5123354.8912756946</v>
      </c>
      <c r="AG88" s="431">
        <f t="shared" ca="1" si="31"/>
        <v>6145275.6816706946</v>
      </c>
      <c r="AH88" s="431">
        <f t="shared" ca="1" si="31"/>
        <v>12256653.892948106</v>
      </c>
      <c r="AI88" s="431">
        <f t="shared" ca="1" si="31"/>
        <v>2424016.4713731497</v>
      </c>
      <c r="AJ88" s="431">
        <f t="shared" ca="1" si="31"/>
        <v>125648251.00640693</v>
      </c>
      <c r="AK88" s="431">
        <f t="shared" ca="1" si="31"/>
        <v>12082006.513125822</v>
      </c>
      <c r="AL88" s="431">
        <f t="shared" ca="1" si="31"/>
        <v>53838545.486293979</v>
      </c>
      <c r="AM88" s="431">
        <f t="shared" ca="1" si="31"/>
        <v>49315675.454712138</v>
      </c>
      <c r="AN88" s="431">
        <f t="shared" ca="1" si="31"/>
        <v>99197823.15581964</v>
      </c>
      <c r="AO88" s="431">
        <f t="shared" ca="1" si="31"/>
        <v>74282369.909908518</v>
      </c>
      <c r="AP88" s="431">
        <f t="shared" ca="1" si="31"/>
        <v>89232745.611166477</v>
      </c>
    </row>
    <row r="89" spans="1:45" s="432" customFormat="1" ht="14.25" customHeight="1" x14ac:dyDescent="0.25">
      <c r="A89" s="429" t="s">
        <v>763</v>
      </c>
      <c r="B89" s="429"/>
      <c r="C89" s="430"/>
      <c r="D89" s="431">
        <f t="shared" ref="D89:AP89" ca="1" si="32">D88-D56</f>
        <v>1068313.4371732175</v>
      </c>
      <c r="E89" s="431">
        <f t="shared" ca="1" si="32"/>
        <v>86674.050920510665</v>
      </c>
      <c r="F89" s="431">
        <f t="shared" ca="1" si="32"/>
        <v>353830.01475338638</v>
      </c>
      <c r="G89" s="431">
        <f t="shared" ca="1" si="32"/>
        <v>467995.00536391884</v>
      </c>
      <c r="H89" s="431">
        <f t="shared" ca="1" si="32"/>
        <v>756073.81269180775</v>
      </c>
      <c r="I89" s="431">
        <f t="shared" ca="1" si="32"/>
        <v>22398.52462748508</v>
      </c>
      <c r="J89" s="431">
        <f t="shared" ca="1" si="32"/>
        <v>429499.93627200276</v>
      </c>
      <c r="K89" s="431">
        <f t="shared" ca="1" si="32"/>
        <v>1092779.361435622</v>
      </c>
      <c r="L89" s="431">
        <f t="shared" ca="1" si="32"/>
        <v>263429.85940613598</v>
      </c>
      <c r="M89" s="431">
        <f t="shared" ca="1" si="32"/>
        <v>717425.61456665397</v>
      </c>
      <c r="N89" s="431">
        <f t="shared" ca="1" si="32"/>
        <v>46034.083497419022</v>
      </c>
      <c r="O89" s="431">
        <f t="shared" ca="1" si="32"/>
        <v>234854.9993118383</v>
      </c>
      <c r="P89" s="431">
        <f t="shared" ca="1" si="32"/>
        <v>497480.70676849782</v>
      </c>
      <c r="Q89" s="431">
        <f t="shared" ca="1" si="32"/>
        <v>763480.38918894529</v>
      </c>
      <c r="R89" s="431">
        <f t="shared" ca="1" si="32"/>
        <v>195725.74202635512</v>
      </c>
      <c r="S89" s="431">
        <f t="shared" ca="1" si="32"/>
        <v>215110.41286222637</v>
      </c>
      <c r="T89" s="431">
        <f t="shared" ca="1" si="32"/>
        <v>3254.5032190416823</v>
      </c>
      <c r="U89" s="431">
        <f t="shared" ca="1" si="32"/>
        <v>156262.33300304785</v>
      </c>
      <c r="V89" s="431">
        <f t="shared" ca="1" si="32"/>
        <v>5539.2199045541929</v>
      </c>
      <c r="W89" s="431">
        <f t="shared" ca="1" si="32"/>
        <v>96821.46184396185</v>
      </c>
      <c r="X89" s="431">
        <f t="shared" ca="1" si="32"/>
        <v>28675.675340820104</v>
      </c>
      <c r="Y89" s="431">
        <f t="shared" ca="1" si="32"/>
        <v>465151.29555363953</v>
      </c>
      <c r="Z89" s="431">
        <f t="shared" ca="1" si="32"/>
        <v>69367.617469890043</v>
      </c>
      <c r="AA89" s="431">
        <f t="shared" ca="1" si="32"/>
        <v>518279.37584447861</v>
      </c>
      <c r="AB89" s="431">
        <f t="shared" ca="1" si="32"/>
        <v>985031.44760331511</v>
      </c>
      <c r="AC89" s="431">
        <f t="shared" ca="1" si="32"/>
        <v>287195.54764164612</v>
      </c>
      <c r="AD89" s="431">
        <f t="shared" ca="1" si="32"/>
        <v>1010410.8177917302</v>
      </c>
      <c r="AE89" s="431">
        <f t="shared" ca="1" si="32"/>
        <v>43442.154266888276</v>
      </c>
      <c r="AF89" s="431">
        <f t="shared" ca="1" si="32"/>
        <v>24425.121703611687</v>
      </c>
      <c r="AG89" s="431">
        <f t="shared" ca="1" si="32"/>
        <v>39616.081802611239</v>
      </c>
      <c r="AH89" s="431">
        <f t="shared" ca="1" si="32"/>
        <v>78530.041103290394</v>
      </c>
      <c r="AI89" s="431">
        <f t="shared" ca="1" si="32"/>
        <v>23784.785859227646</v>
      </c>
      <c r="AJ89" s="431">
        <f t="shared" ca="1" si="32"/>
        <v>755731.20757238567</v>
      </c>
      <c r="AK89" s="431">
        <f t="shared" ca="1" si="32"/>
        <v>94983.632937615737</v>
      </c>
      <c r="AL89" s="431">
        <f t="shared" ca="1" si="32"/>
        <v>450474.11247272044</v>
      </c>
      <c r="AM89" s="431">
        <f t="shared" ca="1" si="32"/>
        <v>445288.06498408318</v>
      </c>
      <c r="AN89" s="431">
        <f t="shared" ca="1" si="32"/>
        <v>927443.20066273212</v>
      </c>
      <c r="AO89" s="431">
        <f t="shared" ca="1" si="32"/>
        <v>373291.91684426367</v>
      </c>
      <c r="AP89" s="431">
        <f t="shared" ca="1" si="32"/>
        <v>469187.25708319247</v>
      </c>
      <c r="AQ89" s="432">
        <f ca="1">SUM(D89:AP89)</f>
        <v>14563292.823374771</v>
      </c>
    </row>
    <row r="90" spans="1:45" s="163" customFormat="1" x14ac:dyDescent="0.25">
      <c r="A90" s="391" t="s">
        <v>740</v>
      </c>
      <c r="B90" s="391"/>
      <c r="C90" s="391"/>
      <c r="D90" s="420">
        <f t="shared" ref="D90:AP90" ca="1" si="33">(SUMPRODUCT($C$61:$C$64*D61:D64)*D8+SUMPRODUCT($C$69:$C$71*D69:D71)*D9)/(D8+D9)</f>
        <v>2.1780369159353636</v>
      </c>
      <c r="E90" s="420">
        <f t="shared" ca="1" si="33"/>
        <v>2.1927508527507009</v>
      </c>
      <c r="F90" s="420">
        <f t="shared" ca="1" si="33"/>
        <v>2.2355243225713046</v>
      </c>
      <c r="G90" s="420">
        <f t="shared" ca="1" si="33"/>
        <v>2.0998435199392746</v>
      </c>
      <c r="H90" s="420">
        <f t="shared" ca="1" si="33"/>
        <v>2.0884049036568753</v>
      </c>
      <c r="I90" s="420">
        <f t="shared" ca="1" si="33"/>
        <v>2.6839664651558803</v>
      </c>
      <c r="J90" s="420">
        <f t="shared" ca="1" si="33"/>
        <v>2.1659322429751948</v>
      </c>
      <c r="K90" s="420">
        <f t="shared" ca="1" si="33"/>
        <v>1.9212802674872682</v>
      </c>
      <c r="L90" s="420">
        <f t="shared" ca="1" si="33"/>
        <v>1.8433693698684326</v>
      </c>
      <c r="M90" s="420">
        <f t="shared" ca="1" si="33"/>
        <v>2.1766923418486375</v>
      </c>
      <c r="N90" s="420">
        <f t="shared" ca="1" si="33"/>
        <v>2.4132356510275579</v>
      </c>
      <c r="O90" s="420">
        <f t="shared" ca="1" si="33"/>
        <v>2.3198518740242178</v>
      </c>
      <c r="P90" s="420">
        <f t="shared" ca="1" si="33"/>
        <v>1.9891826064396925</v>
      </c>
      <c r="Q90" s="420">
        <f t="shared" ca="1" si="33"/>
        <v>2.3614236817839154</v>
      </c>
      <c r="R90" s="420">
        <f t="shared" ca="1" si="33"/>
        <v>1.9274198274967127</v>
      </c>
      <c r="S90" s="420">
        <f t="shared" ca="1" si="33"/>
        <v>2.1594868200238646</v>
      </c>
      <c r="T90" s="420">
        <f t="shared" ca="1" si="33"/>
        <v>1.9900265291671602</v>
      </c>
      <c r="U90" s="420">
        <f t="shared" ca="1" si="33"/>
        <v>2.2922213133826448</v>
      </c>
      <c r="V90" s="420">
        <f t="shared" ca="1" si="33"/>
        <v>2.230680407286405</v>
      </c>
      <c r="W90" s="420">
        <f t="shared" ca="1" si="33"/>
        <v>2.316721396835804</v>
      </c>
      <c r="X90" s="420">
        <f t="shared" ca="1" si="33"/>
        <v>1.582386907630658</v>
      </c>
      <c r="Y90" s="420">
        <f t="shared" ca="1" si="33"/>
        <v>2.1518606771243323</v>
      </c>
      <c r="Z90" s="420">
        <f t="shared" ca="1" si="33"/>
        <v>2.4950715306380444</v>
      </c>
      <c r="AA90" s="420">
        <f t="shared" ca="1" si="33"/>
        <v>2.167469313759343</v>
      </c>
      <c r="AB90" s="420">
        <f t="shared" ca="1" si="33"/>
        <v>1.825689024626135</v>
      </c>
      <c r="AC90" s="420">
        <f t="shared" ca="1" si="33"/>
        <v>2.416609646751203</v>
      </c>
      <c r="AD90" s="420">
        <f t="shared" ca="1" si="33"/>
        <v>2.1835770982662743</v>
      </c>
      <c r="AE90" s="420">
        <f t="shared" ca="1" si="33"/>
        <v>2.4349896647167122</v>
      </c>
      <c r="AF90" s="420">
        <f t="shared" ca="1" si="33"/>
        <v>1.5794402662245222</v>
      </c>
      <c r="AG90" s="420">
        <f t="shared" ca="1" si="33"/>
        <v>1.9041739240970617</v>
      </c>
      <c r="AH90" s="420">
        <f t="shared" ca="1" si="33"/>
        <v>1.8965847903093436</v>
      </c>
      <c r="AI90" s="420">
        <f t="shared" ca="1" si="33"/>
        <v>2.2425980928850833</v>
      </c>
      <c r="AJ90" s="420">
        <f t="shared" ca="1" si="33"/>
        <v>1.8209865973484229</v>
      </c>
      <c r="AK90" s="420">
        <f t="shared" ca="1" si="33"/>
        <v>2.1797966518088923</v>
      </c>
      <c r="AL90" s="420">
        <f t="shared" ca="1" si="33"/>
        <v>1.8055485965527343</v>
      </c>
      <c r="AM90" s="420">
        <f t="shared" ca="1" si="33"/>
        <v>2.0461285741514219</v>
      </c>
      <c r="AN90" s="420">
        <f t="shared" ca="1" si="33"/>
        <v>2.1581745862404564</v>
      </c>
      <c r="AO90" s="420">
        <f t="shared" ca="1" si="33"/>
        <v>1.6295497949505164</v>
      </c>
      <c r="AP90" s="420">
        <f t="shared" ca="1" si="33"/>
        <v>1.6746906844225637</v>
      </c>
    </row>
    <row r="91" spans="1:45" s="163" customFormat="1" x14ac:dyDescent="0.25">
      <c r="A91" s="306"/>
      <c r="B91" s="306"/>
      <c r="C91" s="306"/>
    </row>
    <row r="92" spans="1:45" s="163" customFormat="1" x14ac:dyDescent="0.25">
      <c r="A92" s="306"/>
      <c r="B92" s="306"/>
      <c r="C92" s="306"/>
    </row>
    <row r="93" spans="1:45" s="163" customFormat="1" x14ac:dyDescent="0.25">
      <c r="A93" s="306"/>
      <c r="B93" s="306"/>
      <c r="C93" s="306"/>
    </row>
    <row r="94" spans="1:45" s="163" customFormat="1" x14ac:dyDescent="0.25">
      <c r="A94" s="306"/>
      <c r="B94" s="306"/>
      <c r="C94" s="306"/>
    </row>
    <row r="95" spans="1:45" s="163" customFormat="1" x14ac:dyDescent="0.25">
      <c r="A95" s="306"/>
      <c r="B95" s="306"/>
      <c r="C95" s="306"/>
    </row>
    <row r="96" spans="1:45" s="163" customFormat="1" x14ac:dyDescent="0.25">
      <c r="A96" s="306"/>
      <c r="B96" s="306"/>
      <c r="C96" s="306"/>
    </row>
    <row r="97" spans="1:5" s="163" customFormat="1" x14ac:dyDescent="0.25">
      <c r="A97" s="306"/>
      <c r="B97" s="306"/>
      <c r="C97" s="306"/>
    </row>
    <row r="98" spans="1:5" s="163" customFormat="1" x14ac:dyDescent="0.25">
      <c r="A98" s="424" t="s">
        <v>1126</v>
      </c>
      <c r="C98" s="306"/>
    </row>
    <row r="99" spans="1:5" s="163" customFormat="1" x14ac:dyDescent="0.25">
      <c r="A99" s="306" t="s">
        <v>752</v>
      </c>
      <c r="B99" s="306"/>
      <c r="C99" s="306"/>
    </row>
    <row r="100" spans="1:5" s="163" customFormat="1" x14ac:dyDescent="0.25">
      <c r="A100" s="306" t="s">
        <v>753</v>
      </c>
      <c r="B100" s="623">
        <v>8000</v>
      </c>
      <c r="C100" s="306"/>
    </row>
    <row r="101" spans="1:5" s="163" customFormat="1" x14ac:dyDescent="0.25">
      <c r="A101" s="306" t="s">
        <v>754</v>
      </c>
      <c r="B101" s="624">
        <v>1.0999999999999999E-2</v>
      </c>
      <c r="C101" s="306"/>
    </row>
    <row r="102" spans="1:5" s="163" customFormat="1" x14ac:dyDescent="0.25">
      <c r="A102" s="426" t="s">
        <v>755</v>
      </c>
      <c r="B102" s="624">
        <f>B101+0.001</f>
        <v>1.2E-2</v>
      </c>
      <c r="C102" s="306">
        <v>1.15E-2</v>
      </c>
      <c r="D102" s="163" t="s">
        <v>1241</v>
      </c>
    </row>
    <row r="103" spans="1:5" s="163" customFormat="1" x14ac:dyDescent="0.25">
      <c r="A103" s="306" t="s">
        <v>756</v>
      </c>
      <c r="B103" s="306"/>
      <c r="C103" s="306"/>
      <c r="D103" s="807">
        <f>B102-B101</f>
        <v>1.0000000000000009E-3</v>
      </c>
      <c r="E103" s="163" t="s">
        <v>1239</v>
      </c>
    </row>
    <row r="104" spans="1:5" s="163" customFormat="1" x14ac:dyDescent="0.25">
      <c r="A104" s="93" t="s">
        <v>236</v>
      </c>
      <c r="B104" s="427">
        <f>IFERROR(INDEX(Impl_select!$O$44:$O$66,MATCH(A104,Impl_select!$N$44:$N$87,0)),0)</f>
        <v>6.3061066684273506</v>
      </c>
      <c r="C104" s="306"/>
    </row>
    <row r="105" spans="1:5" s="163" customFormat="1" x14ac:dyDescent="0.25">
      <c r="A105" s="306" t="s">
        <v>757</v>
      </c>
      <c r="B105" s="428"/>
      <c r="C105" s="306"/>
    </row>
    <row r="106" spans="1:5" s="163" customFormat="1" x14ac:dyDescent="0.25">
      <c r="A106" s="425" t="s">
        <v>760</v>
      </c>
      <c r="B106" s="427">
        <f>B100*B101</f>
        <v>88</v>
      </c>
      <c r="C106" s="306"/>
    </row>
    <row r="107" spans="1:5" s="163" customFormat="1" x14ac:dyDescent="0.25">
      <c r="A107" s="425" t="s">
        <v>759</v>
      </c>
      <c r="B107" s="427">
        <f>B100*B101+B104</f>
        <v>94.306106668427347</v>
      </c>
      <c r="C107" s="306"/>
      <c r="D107" s="800">
        <f>B107-$B$106</f>
        <v>6.306106668427347</v>
      </c>
    </row>
    <row r="108" spans="1:5" s="163" customFormat="1" x14ac:dyDescent="0.25">
      <c r="A108" s="425" t="s">
        <v>758</v>
      </c>
      <c r="B108" s="427">
        <f>B100*B102</f>
        <v>96</v>
      </c>
      <c r="C108" s="306"/>
      <c r="D108" s="804">
        <f>B108-$B$106</f>
        <v>8</v>
      </c>
    </row>
    <row r="109" spans="1:5" s="163" customFormat="1" x14ac:dyDescent="0.25">
      <c r="C109" s="306"/>
    </row>
    <row r="110" spans="1:5" s="163" customFormat="1" x14ac:dyDescent="0.25">
      <c r="A110" s="423" t="s">
        <v>751</v>
      </c>
      <c r="B110" s="306"/>
      <c r="C110" s="306"/>
    </row>
    <row r="111" spans="1:5" s="163" customFormat="1" x14ac:dyDescent="0.25">
      <c r="A111" s="306"/>
      <c r="B111" s="306"/>
      <c r="C111" s="306"/>
    </row>
    <row r="112" spans="1:5" s="163" customFormat="1" x14ac:dyDescent="0.25">
      <c r="A112" s="306" t="s">
        <v>1242</v>
      </c>
      <c r="B112" s="306"/>
      <c r="C112" s="306"/>
    </row>
    <row r="113" spans="1:8" s="163" customFormat="1" x14ac:dyDescent="0.25">
      <c r="A113" s="306" t="s">
        <v>1243</v>
      </c>
      <c r="B113" s="306"/>
      <c r="C113" s="306"/>
    </row>
    <row r="114" spans="1:8" s="163" customFormat="1" x14ac:dyDescent="0.25">
      <c r="A114" s="306"/>
      <c r="B114" s="306"/>
      <c r="C114" s="306"/>
      <c r="D114" s="163" t="s">
        <v>1244</v>
      </c>
    </row>
    <row r="115" spans="1:8" s="163" customFormat="1" ht="26.25" x14ac:dyDescent="0.25">
      <c r="B115" s="306"/>
      <c r="C115" s="306"/>
      <c r="D115" s="163" t="s">
        <v>1221</v>
      </c>
      <c r="E115" s="163" t="s">
        <v>733</v>
      </c>
      <c r="F115" s="306" t="s">
        <v>1222</v>
      </c>
      <c r="G115" s="805" t="s">
        <v>1238</v>
      </c>
      <c r="H115" s="163" t="s">
        <v>1240</v>
      </c>
    </row>
    <row r="116" spans="1:8" s="163" customFormat="1" x14ac:dyDescent="0.25">
      <c r="A116" s="306" t="s">
        <v>1231</v>
      </c>
      <c r="B116" s="306"/>
      <c r="C116" s="306"/>
      <c r="D116" s="59">
        <v>15</v>
      </c>
      <c r="E116" s="59">
        <v>12</v>
      </c>
      <c r="F116" s="59">
        <v>12</v>
      </c>
      <c r="H116" s="59">
        <v>12</v>
      </c>
    </row>
    <row r="117" spans="1:8" s="163" customFormat="1" x14ac:dyDescent="0.25">
      <c r="A117" s="306" t="s">
        <v>1232</v>
      </c>
      <c r="B117" s="306"/>
      <c r="C117" s="306"/>
      <c r="D117" s="59">
        <v>8</v>
      </c>
      <c r="E117" s="59">
        <v>7</v>
      </c>
      <c r="F117" s="59">
        <v>7</v>
      </c>
      <c r="H117" s="59">
        <v>3.5</v>
      </c>
    </row>
    <row r="119" spans="1:8" s="163" customFormat="1" x14ac:dyDescent="0.25">
      <c r="A119" s="306" t="s">
        <v>1229</v>
      </c>
      <c r="B119" s="306"/>
      <c r="C119" s="306"/>
      <c r="D119" s="59">
        <v>1300</v>
      </c>
      <c r="E119" s="59">
        <v>1125</v>
      </c>
      <c r="F119" s="59">
        <v>1125</v>
      </c>
      <c r="H119" s="806">
        <v>1696.9696969696968</v>
      </c>
    </row>
    <row r="120" spans="1:8" s="163" customFormat="1" x14ac:dyDescent="0.25">
      <c r="A120" s="306" t="s">
        <v>1223</v>
      </c>
      <c r="B120" s="306"/>
      <c r="C120" s="306"/>
      <c r="D120" s="803">
        <v>226.07</v>
      </c>
      <c r="E120" s="803">
        <v>224.56</v>
      </c>
      <c r="F120" s="803">
        <v>213</v>
      </c>
      <c r="H120" s="803">
        <v>369.65</v>
      </c>
    </row>
    <row r="121" spans="1:8" s="163" customFormat="1" x14ac:dyDescent="0.25">
      <c r="A121" s="306" t="s">
        <v>1224</v>
      </c>
      <c r="B121" s="306"/>
      <c r="C121" s="306"/>
      <c r="D121" s="803">
        <v>65.58</v>
      </c>
      <c r="E121" s="803">
        <v>93.45</v>
      </c>
      <c r="F121" s="803">
        <v>86.8</v>
      </c>
      <c r="H121" s="803">
        <v>72.61</v>
      </c>
    </row>
    <row r="122" spans="1:8" s="163" customFormat="1" x14ac:dyDescent="0.25">
      <c r="A122" s="306" t="s">
        <v>1237</v>
      </c>
      <c r="B122" s="306"/>
      <c r="C122" s="306"/>
      <c r="D122" s="797">
        <f>D120/D121</f>
        <v>3.4472400121988409</v>
      </c>
      <c r="E122" s="797">
        <f t="shared" ref="E122:F122" si="34">E120/E121</f>
        <v>2.4029962546816477</v>
      </c>
      <c r="F122" s="797">
        <f t="shared" si="34"/>
        <v>2.4539170506912442</v>
      </c>
      <c r="H122" s="59">
        <v>5</v>
      </c>
    </row>
    <row r="123" spans="1:8" s="163" customFormat="1" x14ac:dyDescent="0.25">
      <c r="A123" s="306" t="s">
        <v>1234</v>
      </c>
      <c r="B123" s="306"/>
      <c r="C123" s="306"/>
      <c r="D123" s="798">
        <f>1/D122</f>
        <v>0.29008714115097095</v>
      </c>
      <c r="E123" s="798">
        <f>1/E122</f>
        <v>0.41614713216957611</v>
      </c>
      <c r="F123" s="798">
        <f>1/F122</f>
        <v>0.40751173708920191</v>
      </c>
      <c r="H123" s="798">
        <f>1/H122</f>
        <v>0.2</v>
      </c>
    </row>
    <row r="124" spans="1:8" s="163" customFormat="1" x14ac:dyDescent="0.25">
      <c r="A124" s="306" t="s">
        <v>1233</v>
      </c>
      <c r="B124" s="306"/>
      <c r="C124" s="306"/>
      <c r="D124" s="163">
        <f>8.25/(D117*D116)</f>
        <v>6.8750000000000006E-2</v>
      </c>
      <c r="E124" s="163">
        <f>8.25/(E117*E116)</f>
        <v>9.8214285714285712E-2</v>
      </c>
      <c r="F124" s="163">
        <f>8.25/(F117*F116)</f>
        <v>9.8214285714285712E-2</v>
      </c>
      <c r="H124" s="163">
        <f>8.25/(H117*H116)</f>
        <v>0.19642857142857142</v>
      </c>
    </row>
    <row r="125" spans="1:8" s="163" customFormat="1" x14ac:dyDescent="0.25">
      <c r="A125" s="306" t="s">
        <v>1235</v>
      </c>
      <c r="B125" s="306"/>
      <c r="C125" s="306"/>
      <c r="D125" s="540">
        <f>D124/D123</f>
        <v>0.23699775083867033</v>
      </c>
      <c r="E125" s="540">
        <f>E124/E123</f>
        <v>0.23600856072766183</v>
      </c>
      <c r="F125" s="540">
        <f>F124/F123</f>
        <v>0.24100971033574717</v>
      </c>
      <c r="H125" s="540">
        <f>H124/H123</f>
        <v>0.9821428571428571</v>
      </c>
    </row>
    <row r="126" spans="1:8" s="163" customFormat="1" x14ac:dyDescent="0.25">
      <c r="A126" s="306" t="s">
        <v>1225</v>
      </c>
      <c r="B126" s="306"/>
      <c r="C126" s="306"/>
      <c r="D126" s="796">
        <f>D120/(D119*60*D125)</f>
        <v>1.2229370629370628E-2</v>
      </c>
      <c r="E126" s="796">
        <f>E120/(E119*60*E125)</f>
        <v>1.4096161616161618E-2</v>
      </c>
      <c r="F126" s="796">
        <f>F120/(F119*60*F125)</f>
        <v>1.3093063973063975E-2</v>
      </c>
      <c r="G126" s="802">
        <f>AVERAGE(E126:F126)-D126</f>
        <v>1.3652421652421681E-3</v>
      </c>
      <c r="H126" s="796">
        <f>H120/(H119*60*H125)</f>
        <v>3.6965000000000001E-3</v>
      </c>
    </row>
    <row r="127" spans="1:8" s="163" customFormat="1" x14ac:dyDescent="0.25">
      <c r="A127" s="306" t="s">
        <v>1230</v>
      </c>
      <c r="B127" s="306"/>
      <c r="C127" s="306"/>
      <c r="D127" s="452">
        <f>D119*60*D125/D122</f>
        <v>5362.5</v>
      </c>
      <c r="E127" s="452">
        <f>E119*60*E125/E122</f>
        <v>6629.4642857142853</v>
      </c>
      <c r="F127" s="452">
        <f>F119*60*F125/F122</f>
        <v>6629.4642857142844</v>
      </c>
      <c r="G127" s="801"/>
      <c r="H127" s="452">
        <f>H119*60*H125/H122</f>
        <v>19999.999999999996</v>
      </c>
    </row>
    <row r="128" spans="1:8" s="163" customFormat="1" x14ac:dyDescent="0.25">
      <c r="B128" s="306"/>
      <c r="C128" s="306"/>
      <c r="G128" s="801"/>
    </row>
    <row r="129" spans="1:28" s="163" customFormat="1" x14ac:dyDescent="0.25">
      <c r="A129" s="306" t="s">
        <v>1236</v>
      </c>
      <c r="B129" s="306"/>
      <c r="C129" s="306"/>
      <c r="G129" s="801"/>
    </row>
    <row r="130" spans="1:28" s="163" customFormat="1" x14ac:dyDescent="0.25">
      <c r="A130" s="306" t="s">
        <v>1226</v>
      </c>
      <c r="B130" s="306"/>
      <c r="C130" s="306"/>
      <c r="D130" s="803">
        <v>409.36</v>
      </c>
      <c r="E130" s="803">
        <v>407.85</v>
      </c>
      <c r="F130" s="803">
        <v>396</v>
      </c>
      <c r="G130" s="801"/>
    </row>
    <row r="131" spans="1:28" s="163" customFormat="1" x14ac:dyDescent="0.25">
      <c r="A131" s="306" t="s">
        <v>1227</v>
      </c>
      <c r="B131" s="306"/>
      <c r="C131" s="306"/>
      <c r="D131" s="803">
        <v>64.989999999999995</v>
      </c>
      <c r="E131" s="803">
        <v>80.5</v>
      </c>
      <c r="F131" s="803">
        <v>81.13</v>
      </c>
      <c r="G131" s="801"/>
    </row>
    <row r="132" spans="1:28" s="163" customFormat="1" x14ac:dyDescent="0.25">
      <c r="A132" s="306" t="s">
        <v>1228</v>
      </c>
      <c r="B132" s="306"/>
      <c r="C132" s="306"/>
      <c r="D132" s="799">
        <f>D130/(D119*60*D135)</f>
        <v>1.2119347319347317E-2</v>
      </c>
      <c r="E132" s="799">
        <f t="shared" ref="E132:F132" si="35">E130/(E119*60*E135)</f>
        <v>1.2142760942760941E-2</v>
      </c>
      <c r="F132" s="799">
        <f t="shared" si="35"/>
        <v>1.2237791245791246E-2</v>
      </c>
      <c r="G132" s="802">
        <f>AVERAGE(E132:F132)-D132</f>
        <v>7.0928774928777014E-5</v>
      </c>
    </row>
    <row r="133" spans="1:28" s="163" customFormat="1" x14ac:dyDescent="0.25">
      <c r="A133" s="306" t="s">
        <v>1237</v>
      </c>
      <c r="B133" s="306"/>
      <c r="C133" s="306"/>
      <c r="D133" s="163">
        <f>D130/D131</f>
        <v>6.2988152023388224</v>
      </c>
      <c r="E133" s="163">
        <f t="shared" ref="E133:F133" si="36">E130/E131</f>
        <v>5.0664596273291931</v>
      </c>
      <c r="F133" s="163">
        <f t="shared" si="36"/>
        <v>4.8810550967582893</v>
      </c>
      <c r="G133" s="802"/>
    </row>
    <row r="134" spans="1:28" s="163" customFormat="1" x14ac:dyDescent="0.25">
      <c r="A134" s="306" t="s">
        <v>1234</v>
      </c>
      <c r="B134" s="306"/>
      <c r="C134" s="306"/>
      <c r="D134" s="163">
        <f>1/D133</f>
        <v>0.15876001563416062</v>
      </c>
      <c r="E134" s="163">
        <f t="shared" ref="E134:F134" si="37">1/E133</f>
        <v>0.19737648645335293</v>
      </c>
      <c r="F134" s="163">
        <f t="shared" si="37"/>
        <v>0.20487373737373737</v>
      </c>
    </row>
    <row r="135" spans="1:28" s="163" customFormat="1" x14ac:dyDescent="0.25">
      <c r="A135" s="306" t="s">
        <v>1235</v>
      </c>
      <c r="B135" s="306"/>
      <c r="C135" s="306"/>
      <c r="D135" s="540">
        <f>D124/D134</f>
        <v>0.43304354516079407</v>
      </c>
      <c r="E135" s="540">
        <f>E124/E134</f>
        <v>0.49759871339840289</v>
      </c>
      <c r="F135" s="540">
        <f>F124/F134</f>
        <v>0.47938933986018911</v>
      </c>
    </row>
    <row r="136" spans="1:28" s="163" customFormat="1" x14ac:dyDescent="0.25">
      <c r="C136" s="306"/>
    </row>
    <row r="137" spans="1:28" s="163" customFormat="1" x14ac:dyDescent="0.25">
      <c r="A137" s="306"/>
      <c r="B137" s="306"/>
      <c r="C137" s="306"/>
    </row>
    <row r="138" spans="1:28" s="163" customFormat="1" x14ac:dyDescent="0.25">
      <c r="A138" s="306"/>
      <c r="B138" s="306"/>
      <c r="C138" s="306"/>
    </row>
    <row r="139" spans="1:28" s="163" customFormat="1" x14ac:dyDescent="0.25">
      <c r="A139" s="306"/>
      <c r="B139" s="306"/>
      <c r="C139" s="306"/>
    </row>
    <row r="140" spans="1:28" s="163" customFormat="1" x14ac:dyDescent="0.25">
      <c r="A140" s="306"/>
      <c r="B140" s="306"/>
      <c r="C140" s="306"/>
    </row>
    <row r="143" spans="1:28" x14ac:dyDescent="0.25">
      <c r="A143" s="306" t="s">
        <v>739</v>
      </c>
      <c r="B143" s="306"/>
      <c r="C143" s="306"/>
      <c r="D143" s="163"/>
      <c r="E143" s="163"/>
      <c r="F143" s="163"/>
      <c r="G143" s="163"/>
      <c r="H143" s="163"/>
      <c r="I143" s="163"/>
      <c r="J143" s="163"/>
      <c r="K143" s="163"/>
      <c r="L143" s="163"/>
      <c r="M143" s="163"/>
      <c r="N143" s="163"/>
      <c r="O143" s="163"/>
      <c r="P143" s="163"/>
      <c r="Q143" s="163"/>
      <c r="R143" s="163"/>
      <c r="S143" s="163"/>
      <c r="T143" s="163"/>
      <c r="U143" s="163"/>
      <c r="V143" s="163"/>
      <c r="W143" s="163"/>
      <c r="X143" s="163"/>
      <c r="Y143" s="163"/>
      <c r="Z143" s="163"/>
      <c r="AA143" s="163"/>
      <c r="AB143" s="163"/>
    </row>
    <row r="144" spans="1:28" x14ac:dyDescent="0.25">
      <c r="D144" s="894" t="s">
        <v>738</v>
      </c>
      <c r="E144" s="895"/>
      <c r="F144" s="895"/>
      <c r="G144" s="895"/>
      <c r="H144" s="895"/>
      <c r="I144" s="895"/>
      <c r="J144" s="895"/>
      <c r="K144" s="895"/>
      <c r="L144" s="896"/>
      <c r="M144" s="894" t="s">
        <v>737</v>
      </c>
      <c r="N144" s="895"/>
      <c r="O144" s="895"/>
      <c r="P144" s="895"/>
      <c r="Q144" s="895"/>
      <c r="R144" s="390"/>
      <c r="S144" s="890" t="s">
        <v>736</v>
      </c>
      <c r="T144" s="891"/>
      <c r="U144" s="891"/>
      <c r="V144" s="892"/>
      <c r="W144" s="389" t="s">
        <v>735</v>
      </c>
      <c r="X144" s="388"/>
      <c r="Y144" s="388"/>
      <c r="Z144" s="388"/>
      <c r="AA144" s="387"/>
    </row>
    <row r="145" spans="1:28" ht="60" x14ac:dyDescent="0.25">
      <c r="A145" s="21" t="s">
        <v>665</v>
      </c>
      <c r="D145" s="386" t="s">
        <v>734</v>
      </c>
      <c r="E145" s="385" t="s">
        <v>733</v>
      </c>
      <c r="F145" s="385" t="s">
        <v>732</v>
      </c>
      <c r="G145" s="385"/>
      <c r="H145" s="385"/>
      <c r="I145" s="810" t="s">
        <v>731</v>
      </c>
      <c r="J145" s="810" t="s">
        <v>730</v>
      </c>
      <c r="K145" s="810" t="s">
        <v>729</v>
      </c>
      <c r="L145" s="811" t="s">
        <v>728</v>
      </c>
      <c r="M145" s="384" t="s">
        <v>722</v>
      </c>
      <c r="N145" s="383" t="s">
        <v>721</v>
      </c>
      <c r="O145" s="812" t="s">
        <v>720</v>
      </c>
      <c r="P145" s="812" t="s">
        <v>719</v>
      </c>
      <c r="Q145" s="812" t="s">
        <v>718</v>
      </c>
      <c r="R145" s="382" t="s">
        <v>727</v>
      </c>
      <c r="S145" s="808" t="s">
        <v>726</v>
      </c>
      <c r="T145" s="418" t="s">
        <v>725</v>
      </c>
      <c r="U145" s="418" t="s">
        <v>724</v>
      </c>
      <c r="V145" s="809" t="s">
        <v>723</v>
      </c>
      <c r="W145" s="381" t="s">
        <v>722</v>
      </c>
      <c r="X145" s="380" t="s">
        <v>721</v>
      </c>
      <c r="Y145" s="813" t="s">
        <v>720</v>
      </c>
      <c r="Z145" s="813" t="s">
        <v>719</v>
      </c>
      <c r="AA145" s="814" t="s">
        <v>718</v>
      </c>
    </row>
    <row r="146" spans="1:28" x14ac:dyDescent="0.25">
      <c r="A146" s="21" t="s">
        <v>717</v>
      </c>
      <c r="D146" s="379">
        <v>0.28999999999999998</v>
      </c>
      <c r="E146" s="379">
        <v>0.14000000000000001</v>
      </c>
      <c r="F146" s="379">
        <v>0.14000000000000001</v>
      </c>
      <c r="G146" s="379"/>
      <c r="H146" s="379"/>
      <c r="I146" s="379">
        <v>0.14000000000000001</v>
      </c>
      <c r="J146" s="379">
        <v>0.14000000000000001</v>
      </c>
      <c r="K146" s="379">
        <v>0.14000000000000001</v>
      </c>
      <c r="L146" s="379">
        <v>0</v>
      </c>
      <c r="M146" s="379"/>
      <c r="N146" s="379">
        <f t="shared" ref="N146:N151" si="38">D146+E146+F146</f>
        <v>0.57000000000000006</v>
      </c>
      <c r="O146" s="379">
        <f t="shared" ref="O146:O151" si="39">(I146+J146+K146)/2</f>
        <v>0.21000000000000002</v>
      </c>
      <c r="P146" s="379">
        <f t="shared" ref="P146:P151" si="40">(I146+J146+K146)/2+L146/2</f>
        <v>0.21000000000000002</v>
      </c>
      <c r="Q146" s="379">
        <f t="shared" ref="Q146:Q151" si="41">L146/2</f>
        <v>0</v>
      </c>
      <c r="R146" s="379">
        <f t="shared" ref="R146:R151" si="42">SUM(N146:Q146)</f>
        <v>0.99</v>
      </c>
      <c r="S146" s="379">
        <v>0.14000000000000001</v>
      </c>
      <c r="T146" s="379">
        <v>0.32</v>
      </c>
      <c r="U146" s="379">
        <v>0.39</v>
      </c>
      <c r="V146" s="379">
        <v>0.14000000000000001</v>
      </c>
      <c r="W146" s="379"/>
      <c r="X146" s="379"/>
      <c r="Y146" s="379">
        <f t="shared" ref="Y146:Y151" si="43">(S146+T146+U146)/2</f>
        <v>0.42500000000000004</v>
      </c>
      <c r="Z146" s="379">
        <f t="shared" ref="Z146:Z151" si="44">(S146+T146+U146)/2+V146/2</f>
        <v>0.49500000000000005</v>
      </c>
      <c r="AA146" s="379">
        <f t="shared" ref="AA146:AA151" si="45">V146/2</f>
        <v>7.0000000000000007E-2</v>
      </c>
      <c r="AB146" s="379">
        <f t="shared" ref="AB146:AB151" si="46">SUM(Y146:AA146)</f>
        <v>0.99000000000000021</v>
      </c>
    </row>
    <row r="147" spans="1:28" x14ac:dyDescent="0.25">
      <c r="A147" s="21" t="s">
        <v>640</v>
      </c>
      <c r="D147" s="379">
        <v>0.17</v>
      </c>
      <c r="E147" s="379">
        <v>0.26</v>
      </c>
      <c r="F147" s="379">
        <v>0.12</v>
      </c>
      <c r="G147" s="379"/>
      <c r="H147" s="379"/>
      <c r="I147" s="379">
        <v>0.28000000000000003</v>
      </c>
      <c r="J147" s="379">
        <v>0.11</v>
      </c>
      <c r="K147" s="379">
        <v>0.05</v>
      </c>
      <c r="L147" s="379">
        <v>0.02</v>
      </c>
      <c r="M147" s="379"/>
      <c r="N147" s="379">
        <f t="shared" si="38"/>
        <v>0.55000000000000004</v>
      </c>
      <c r="O147" s="379">
        <f t="shared" si="39"/>
        <v>0.22</v>
      </c>
      <c r="P147" s="379">
        <f t="shared" si="40"/>
        <v>0.23</v>
      </c>
      <c r="Q147" s="379">
        <f t="shared" si="41"/>
        <v>0.01</v>
      </c>
      <c r="R147" s="379">
        <f t="shared" si="42"/>
        <v>1.01</v>
      </c>
      <c r="S147" s="379">
        <v>0.16</v>
      </c>
      <c r="T147" s="379">
        <v>0.25</v>
      </c>
      <c r="U147" s="379">
        <v>0.46</v>
      </c>
      <c r="V147" s="379">
        <v>0.13</v>
      </c>
      <c r="W147" s="379"/>
      <c r="X147" s="379"/>
      <c r="Y147" s="379">
        <f t="shared" si="43"/>
        <v>0.43500000000000005</v>
      </c>
      <c r="Z147" s="379">
        <f t="shared" si="44"/>
        <v>0.5</v>
      </c>
      <c r="AA147" s="379">
        <f t="shared" si="45"/>
        <v>6.5000000000000002E-2</v>
      </c>
      <c r="AB147" s="379">
        <f t="shared" si="46"/>
        <v>1</v>
      </c>
    </row>
    <row r="148" spans="1:28" x14ac:dyDescent="0.25">
      <c r="A148" s="21" t="s">
        <v>716</v>
      </c>
      <c r="D148" s="379">
        <v>0.15</v>
      </c>
      <c r="E148" s="379">
        <v>0.27</v>
      </c>
      <c r="F148" s="379">
        <v>0.44</v>
      </c>
      <c r="G148" s="379"/>
      <c r="H148" s="379"/>
      <c r="I148" s="379">
        <v>0.08</v>
      </c>
      <c r="J148" s="379">
        <v>0.05</v>
      </c>
      <c r="K148" s="379">
        <v>0.01</v>
      </c>
      <c r="L148" s="379">
        <v>0</v>
      </c>
      <c r="M148" s="379"/>
      <c r="N148" s="379">
        <f t="shared" si="38"/>
        <v>0.8600000000000001</v>
      </c>
      <c r="O148" s="379">
        <f t="shared" si="39"/>
        <v>7.0000000000000007E-2</v>
      </c>
      <c r="P148" s="379">
        <f t="shared" si="40"/>
        <v>7.0000000000000007E-2</v>
      </c>
      <c r="Q148" s="379">
        <f t="shared" si="41"/>
        <v>0</v>
      </c>
      <c r="R148" s="379">
        <f t="shared" si="42"/>
        <v>1.0000000000000002</v>
      </c>
      <c r="S148" s="379">
        <v>0.22</v>
      </c>
      <c r="T148" s="379">
        <v>0.22</v>
      </c>
      <c r="U148" s="379">
        <v>0.43</v>
      </c>
      <c r="V148" s="379">
        <v>0.13</v>
      </c>
      <c r="W148" s="379"/>
      <c r="X148" s="379"/>
      <c r="Y148" s="379">
        <f t="shared" si="43"/>
        <v>0.435</v>
      </c>
      <c r="Z148" s="379">
        <f t="shared" si="44"/>
        <v>0.5</v>
      </c>
      <c r="AA148" s="379">
        <f t="shared" si="45"/>
        <v>6.5000000000000002E-2</v>
      </c>
      <c r="AB148" s="379">
        <f t="shared" si="46"/>
        <v>1</v>
      </c>
    </row>
    <row r="149" spans="1:28" x14ac:dyDescent="0.25">
      <c r="A149" s="21" t="s">
        <v>715</v>
      </c>
      <c r="D149" s="379">
        <v>0.22</v>
      </c>
      <c r="E149" s="379">
        <v>0.28999999999999998</v>
      </c>
      <c r="F149" s="379">
        <v>0.35</v>
      </c>
      <c r="G149" s="379"/>
      <c r="H149" s="379"/>
      <c r="I149" s="379">
        <v>0.06</v>
      </c>
      <c r="J149" s="379">
        <v>0.03</v>
      </c>
      <c r="K149" s="379">
        <v>0.02</v>
      </c>
      <c r="L149" s="379">
        <v>0.02</v>
      </c>
      <c r="M149" s="379"/>
      <c r="N149" s="379">
        <f t="shared" si="38"/>
        <v>0.86</v>
      </c>
      <c r="O149" s="379">
        <f t="shared" si="39"/>
        <v>5.5E-2</v>
      </c>
      <c r="P149" s="379">
        <f t="shared" si="40"/>
        <v>6.5000000000000002E-2</v>
      </c>
      <c r="Q149" s="379">
        <f t="shared" si="41"/>
        <v>0.01</v>
      </c>
      <c r="R149" s="379">
        <f t="shared" si="42"/>
        <v>0.99</v>
      </c>
      <c r="S149" s="379">
        <v>0.15</v>
      </c>
      <c r="T149" s="379">
        <v>0.24</v>
      </c>
      <c r="U149" s="379">
        <v>0.49</v>
      </c>
      <c r="V149" s="379">
        <v>0.11</v>
      </c>
      <c r="W149" s="379"/>
      <c r="X149" s="379"/>
      <c r="Y149" s="379">
        <f t="shared" si="43"/>
        <v>0.44</v>
      </c>
      <c r="Z149" s="379">
        <f t="shared" si="44"/>
        <v>0.495</v>
      </c>
      <c r="AA149" s="379">
        <f t="shared" si="45"/>
        <v>5.5E-2</v>
      </c>
      <c r="AB149" s="379">
        <f t="shared" si="46"/>
        <v>0.9900000000000001</v>
      </c>
    </row>
    <row r="150" spans="1:28" x14ac:dyDescent="0.25">
      <c r="A150" s="21" t="s">
        <v>714</v>
      </c>
      <c r="D150" s="379">
        <v>0.22</v>
      </c>
      <c r="E150" s="379">
        <v>0.35</v>
      </c>
      <c r="F150" s="379">
        <v>0.09</v>
      </c>
      <c r="G150" s="379"/>
      <c r="H150" s="379"/>
      <c r="I150" s="379">
        <v>7.0000000000000007E-2</v>
      </c>
      <c r="J150" s="379">
        <v>0.1</v>
      </c>
      <c r="K150" s="379">
        <v>0.13</v>
      </c>
      <c r="L150" s="379">
        <v>0.04</v>
      </c>
      <c r="M150" s="379"/>
      <c r="N150" s="379">
        <f t="shared" si="38"/>
        <v>0.65999999999999992</v>
      </c>
      <c r="O150" s="379">
        <f t="shared" si="39"/>
        <v>0.15000000000000002</v>
      </c>
      <c r="P150" s="379">
        <f t="shared" si="40"/>
        <v>0.17</v>
      </c>
      <c r="Q150" s="379">
        <f t="shared" si="41"/>
        <v>0.02</v>
      </c>
      <c r="R150" s="379">
        <f t="shared" si="42"/>
        <v>1</v>
      </c>
      <c r="S150" s="379">
        <v>0.08</v>
      </c>
      <c r="T150" s="379">
        <v>0.15</v>
      </c>
      <c r="U150" s="379">
        <v>0.55000000000000004</v>
      </c>
      <c r="V150" s="379">
        <v>0.22</v>
      </c>
      <c r="W150" s="379"/>
      <c r="X150" s="379"/>
      <c r="Y150" s="379">
        <f t="shared" si="43"/>
        <v>0.39</v>
      </c>
      <c r="Z150" s="379">
        <f t="shared" si="44"/>
        <v>0.5</v>
      </c>
      <c r="AA150" s="379">
        <f t="shared" si="45"/>
        <v>0.11</v>
      </c>
      <c r="AB150" s="379">
        <f t="shared" si="46"/>
        <v>1</v>
      </c>
    </row>
    <row r="151" spans="1:28" x14ac:dyDescent="0.25">
      <c r="A151" s="21" t="s">
        <v>355</v>
      </c>
      <c r="D151" s="379">
        <v>0.2</v>
      </c>
      <c r="E151" s="379">
        <v>0.31</v>
      </c>
      <c r="F151" s="379">
        <v>0.22</v>
      </c>
      <c r="G151" s="379"/>
      <c r="H151" s="379"/>
      <c r="I151" s="379">
        <v>0.1</v>
      </c>
      <c r="J151" s="379">
        <v>0.08</v>
      </c>
      <c r="K151" s="379">
        <v>7.0000000000000007E-2</v>
      </c>
      <c r="L151" s="379">
        <v>0.03</v>
      </c>
      <c r="M151" s="379"/>
      <c r="N151" s="379">
        <f t="shared" si="38"/>
        <v>0.73</v>
      </c>
      <c r="O151" s="379">
        <f t="shared" si="39"/>
        <v>0.125</v>
      </c>
      <c r="P151" s="379">
        <f t="shared" si="40"/>
        <v>0.14000000000000001</v>
      </c>
      <c r="Q151" s="379">
        <f t="shared" si="41"/>
        <v>1.4999999999999999E-2</v>
      </c>
      <c r="R151" s="379">
        <f t="shared" si="42"/>
        <v>1.01</v>
      </c>
      <c r="S151" s="379">
        <v>0.13</v>
      </c>
      <c r="T151" s="379">
        <v>0.2</v>
      </c>
      <c r="U151" s="379">
        <v>0.5</v>
      </c>
      <c r="V151" s="379">
        <v>0.17</v>
      </c>
      <c r="W151" s="379"/>
      <c r="X151" s="379"/>
      <c r="Y151" s="379">
        <f t="shared" si="43"/>
        <v>0.41500000000000004</v>
      </c>
      <c r="Z151" s="379">
        <f t="shared" si="44"/>
        <v>0.5</v>
      </c>
      <c r="AA151" s="379">
        <f t="shared" si="45"/>
        <v>8.5000000000000006E-2</v>
      </c>
      <c r="AB151" s="379">
        <f t="shared" si="46"/>
        <v>1</v>
      </c>
    </row>
    <row r="154" spans="1:28" x14ac:dyDescent="0.25">
      <c r="A154" s="893" t="s">
        <v>713</v>
      </c>
      <c r="B154" s="893"/>
      <c r="C154" s="893"/>
      <c r="D154" s="893"/>
      <c r="E154" s="893"/>
      <c r="F154" s="893"/>
      <c r="G154" s="893"/>
      <c r="H154" s="893"/>
      <c r="I154" s="893"/>
      <c r="J154" s="893"/>
      <c r="K154" s="378" t="s">
        <v>712</v>
      </c>
      <c r="P154" s="148"/>
    </row>
    <row r="155" spans="1:28" x14ac:dyDescent="0.25">
      <c r="A155" s="21" t="s">
        <v>704</v>
      </c>
      <c r="D155" s="21" t="s">
        <v>711</v>
      </c>
      <c r="E155" s="21" t="s">
        <v>710</v>
      </c>
      <c r="F155" s="21" t="s">
        <v>709</v>
      </c>
      <c r="I155" s="21" t="s">
        <v>708</v>
      </c>
      <c r="J155" s="54" t="s">
        <v>707</v>
      </c>
      <c r="K155" s="154" t="s">
        <v>706</v>
      </c>
      <c r="L155" s="21" t="s">
        <v>705</v>
      </c>
      <c r="M155" s="377" t="s">
        <v>704</v>
      </c>
      <c r="N155" s="163" t="s">
        <v>703</v>
      </c>
      <c r="O155" s="163" t="s">
        <v>702</v>
      </c>
      <c r="P155" s="163" t="s">
        <v>701</v>
      </c>
      <c r="Q155" s="163" t="s">
        <v>700</v>
      </c>
      <c r="R155" s="376" t="s">
        <v>699</v>
      </c>
      <c r="S155" s="163" t="s">
        <v>698</v>
      </c>
      <c r="U155" s="21" t="s">
        <v>697</v>
      </c>
      <c r="V155" s="21" t="s">
        <v>696</v>
      </c>
    </row>
    <row r="156" spans="1:28" ht="18.75" x14ac:dyDescent="0.3">
      <c r="A156" s="21" t="s">
        <v>695</v>
      </c>
      <c r="D156" s="60">
        <v>1400</v>
      </c>
      <c r="E156" s="60">
        <v>135</v>
      </c>
      <c r="F156" s="21">
        <f t="shared" ref="F156:F172" si="47">E156*0.4364</f>
        <v>58.914000000000001</v>
      </c>
      <c r="I156" s="21">
        <f t="shared" ref="I156:I172" si="48">F156*(D156/1000)</f>
        <v>82.479599999999991</v>
      </c>
      <c r="J156" s="371">
        <f t="shared" ref="J156:J163" si="49">I156</f>
        <v>82.479599999999991</v>
      </c>
      <c r="K156" s="370">
        <v>62.05</v>
      </c>
      <c r="M156" s="163" t="s">
        <v>695</v>
      </c>
      <c r="N156" s="368">
        <f>K156</f>
        <v>62.05</v>
      </c>
      <c r="O156" s="367">
        <v>0.1</v>
      </c>
      <c r="P156" s="366">
        <f t="shared" ref="P156:P173" si="50">N156*(1-O156)</f>
        <v>55.844999999999999</v>
      </c>
      <c r="Q156" s="60">
        <v>0.95</v>
      </c>
      <c r="R156" s="163">
        <f t="shared" ref="R156:R173" si="51">P156*Q156</f>
        <v>53.052749999999996</v>
      </c>
      <c r="S156" s="365">
        <f t="shared" ref="S156:S173" si="52">P156-R156</f>
        <v>2.7922500000000028</v>
      </c>
      <c r="U156" s="21" t="s">
        <v>674</v>
      </c>
    </row>
    <row r="157" spans="1:28" ht="18.75" x14ac:dyDescent="0.3">
      <c r="A157" s="21" t="s">
        <v>694</v>
      </c>
      <c r="D157" s="60">
        <v>1000</v>
      </c>
      <c r="E157" s="60">
        <v>40</v>
      </c>
      <c r="F157" s="21">
        <f t="shared" si="47"/>
        <v>17.456</v>
      </c>
      <c r="I157" s="21">
        <f t="shared" si="48"/>
        <v>17.456</v>
      </c>
      <c r="J157" s="371">
        <f t="shared" si="49"/>
        <v>17.456</v>
      </c>
      <c r="K157" s="370">
        <v>43.8</v>
      </c>
      <c r="M157" s="163" t="s">
        <v>694</v>
      </c>
      <c r="N157" s="368">
        <f>K157</f>
        <v>43.8</v>
      </c>
      <c r="O157" s="367">
        <v>0.1</v>
      </c>
      <c r="P157" s="366">
        <f t="shared" si="50"/>
        <v>39.42</v>
      </c>
      <c r="Q157" s="60">
        <v>0.2</v>
      </c>
      <c r="R157" s="163">
        <f t="shared" si="51"/>
        <v>7.8840000000000003</v>
      </c>
      <c r="S157" s="365">
        <f t="shared" si="52"/>
        <v>31.536000000000001</v>
      </c>
      <c r="U157" s="21" t="s">
        <v>674</v>
      </c>
    </row>
    <row r="158" spans="1:28" ht="18.75" x14ac:dyDescent="0.3">
      <c r="A158" s="21" t="s">
        <v>693</v>
      </c>
      <c r="D158" s="60">
        <v>750</v>
      </c>
      <c r="E158" s="60">
        <v>39</v>
      </c>
      <c r="F158" s="21">
        <f t="shared" si="47"/>
        <v>17.019600000000001</v>
      </c>
      <c r="I158" s="21">
        <f t="shared" si="48"/>
        <v>12.764700000000001</v>
      </c>
      <c r="J158" s="371">
        <f t="shared" si="49"/>
        <v>12.764700000000001</v>
      </c>
      <c r="K158" s="370">
        <v>24.09</v>
      </c>
      <c r="M158" s="163" t="s">
        <v>693</v>
      </c>
      <c r="N158" s="368">
        <f>K158</f>
        <v>24.09</v>
      </c>
      <c r="O158" s="367">
        <v>0.3</v>
      </c>
      <c r="P158" s="366">
        <f t="shared" si="50"/>
        <v>16.863</v>
      </c>
      <c r="Q158" s="60">
        <v>0.2</v>
      </c>
      <c r="R158" s="163">
        <f t="shared" si="51"/>
        <v>3.3726000000000003</v>
      </c>
      <c r="S158" s="365">
        <f t="shared" si="52"/>
        <v>13.490399999999999</v>
      </c>
      <c r="U158" s="21" t="s">
        <v>674</v>
      </c>
    </row>
    <row r="159" spans="1:28" ht="18.75" x14ac:dyDescent="0.3">
      <c r="A159" s="21" t="s">
        <v>692</v>
      </c>
      <c r="D159" s="60">
        <v>150</v>
      </c>
      <c r="E159" s="60">
        <v>24</v>
      </c>
      <c r="F159" s="21">
        <f t="shared" si="47"/>
        <v>10.473600000000001</v>
      </c>
      <c r="I159" s="21">
        <f t="shared" si="48"/>
        <v>1.5710400000000002</v>
      </c>
      <c r="J159" s="371">
        <f t="shared" si="49"/>
        <v>1.5710400000000002</v>
      </c>
      <c r="K159" s="370">
        <v>21.9</v>
      </c>
      <c r="L159" s="375">
        <v>11.7</v>
      </c>
      <c r="M159" s="163" t="s">
        <v>692</v>
      </c>
      <c r="N159" s="374">
        <f>L159</f>
        <v>11.7</v>
      </c>
      <c r="O159" s="367">
        <v>0.3</v>
      </c>
      <c r="P159" s="366">
        <f t="shared" si="50"/>
        <v>8.19</v>
      </c>
      <c r="Q159" s="60">
        <v>0.2</v>
      </c>
      <c r="R159" s="163">
        <f t="shared" si="51"/>
        <v>1.6379999999999999</v>
      </c>
      <c r="S159" s="365">
        <f t="shared" si="52"/>
        <v>6.5519999999999996</v>
      </c>
      <c r="U159" s="21" t="s">
        <v>691</v>
      </c>
    </row>
    <row r="160" spans="1:28" ht="18.75" x14ac:dyDescent="0.3">
      <c r="A160" s="21" t="s">
        <v>690</v>
      </c>
      <c r="D160" s="60">
        <v>1000</v>
      </c>
      <c r="E160" s="60">
        <v>66</v>
      </c>
      <c r="F160" s="21">
        <f t="shared" si="47"/>
        <v>28.802400000000002</v>
      </c>
      <c r="I160" s="21">
        <f t="shared" si="48"/>
        <v>28.802400000000002</v>
      </c>
      <c r="J160" s="371">
        <f t="shared" si="49"/>
        <v>28.802400000000002</v>
      </c>
      <c r="K160" s="370">
        <v>18.25</v>
      </c>
      <c r="M160" s="163" t="s">
        <v>690</v>
      </c>
      <c r="N160" s="368">
        <f t="shared" ref="N160:N166" si="53">K160</f>
        <v>18.25</v>
      </c>
      <c r="O160" s="367">
        <v>0.3</v>
      </c>
      <c r="P160" s="366">
        <f t="shared" si="50"/>
        <v>12.774999999999999</v>
      </c>
      <c r="Q160" s="60">
        <v>0.05</v>
      </c>
      <c r="R160" s="163">
        <f t="shared" si="51"/>
        <v>0.63874999999999993</v>
      </c>
      <c r="S160" s="365">
        <f t="shared" si="52"/>
        <v>12.136249999999999</v>
      </c>
      <c r="U160" s="21" t="s">
        <v>682</v>
      </c>
    </row>
    <row r="161" spans="1:22" ht="18.75" x14ac:dyDescent="0.3">
      <c r="A161" s="21" t="s">
        <v>689</v>
      </c>
      <c r="D161" s="60">
        <v>700</v>
      </c>
      <c r="E161" s="60">
        <v>66</v>
      </c>
      <c r="F161" s="21">
        <f t="shared" si="47"/>
        <v>28.802400000000002</v>
      </c>
      <c r="I161" s="21">
        <f t="shared" si="48"/>
        <v>20.16168</v>
      </c>
      <c r="J161" s="371">
        <f t="shared" si="49"/>
        <v>20.16168</v>
      </c>
      <c r="K161" s="370">
        <v>18.25</v>
      </c>
      <c r="M161" s="163" t="s">
        <v>689</v>
      </c>
      <c r="N161" s="368">
        <f t="shared" si="53"/>
        <v>18.25</v>
      </c>
      <c r="O161" s="367">
        <v>0.3</v>
      </c>
      <c r="P161" s="366">
        <f t="shared" si="50"/>
        <v>12.774999999999999</v>
      </c>
      <c r="Q161" s="60">
        <v>0.05</v>
      </c>
      <c r="R161" s="163">
        <f t="shared" si="51"/>
        <v>0.63874999999999993</v>
      </c>
      <c r="S161" s="365">
        <f t="shared" si="52"/>
        <v>12.136249999999999</v>
      </c>
      <c r="U161" s="21" t="s">
        <v>682</v>
      </c>
    </row>
    <row r="162" spans="1:22" ht="18.75" x14ac:dyDescent="0.3">
      <c r="A162" s="21" t="s">
        <v>688</v>
      </c>
      <c r="D162" s="60">
        <v>1200</v>
      </c>
      <c r="E162" s="60">
        <v>139</v>
      </c>
      <c r="F162" s="21">
        <f t="shared" si="47"/>
        <v>60.659600000000005</v>
      </c>
      <c r="I162" s="21">
        <f t="shared" si="48"/>
        <v>72.791520000000006</v>
      </c>
      <c r="J162" s="371">
        <f t="shared" si="49"/>
        <v>72.791520000000006</v>
      </c>
      <c r="K162" s="370">
        <v>54.75</v>
      </c>
      <c r="M162" s="163" t="s">
        <v>688</v>
      </c>
      <c r="N162" s="368">
        <f t="shared" si="53"/>
        <v>54.75</v>
      </c>
      <c r="O162" s="367">
        <v>0.3</v>
      </c>
      <c r="P162" s="366">
        <f t="shared" si="50"/>
        <v>38.324999999999996</v>
      </c>
      <c r="Q162" s="60">
        <v>0.05</v>
      </c>
      <c r="R162" s="163">
        <f t="shared" si="51"/>
        <v>1.9162499999999998</v>
      </c>
      <c r="S162" s="365">
        <f t="shared" si="52"/>
        <v>36.408749999999998</v>
      </c>
      <c r="U162" s="21" t="s">
        <v>674</v>
      </c>
    </row>
    <row r="163" spans="1:22" ht="18.75" x14ac:dyDescent="0.3">
      <c r="A163" s="21" t="s">
        <v>687</v>
      </c>
      <c r="D163" s="60">
        <v>200</v>
      </c>
      <c r="E163" s="60">
        <v>73</v>
      </c>
      <c r="F163" s="21">
        <f t="shared" si="47"/>
        <v>31.857200000000002</v>
      </c>
      <c r="I163" s="21">
        <f t="shared" si="48"/>
        <v>6.3714400000000007</v>
      </c>
      <c r="J163" s="371">
        <f t="shared" si="49"/>
        <v>6.3714400000000007</v>
      </c>
      <c r="K163" s="370">
        <v>7.3</v>
      </c>
      <c r="M163" s="163" t="s">
        <v>687</v>
      </c>
      <c r="N163" s="368">
        <f t="shared" si="53"/>
        <v>7.3</v>
      </c>
      <c r="O163" s="367">
        <v>0.3</v>
      </c>
      <c r="P163" s="366">
        <f t="shared" si="50"/>
        <v>5.1099999999999994</v>
      </c>
      <c r="Q163" s="60">
        <v>0.05</v>
      </c>
      <c r="R163" s="163">
        <f t="shared" si="51"/>
        <v>0.2555</v>
      </c>
      <c r="S163" s="365">
        <f t="shared" si="52"/>
        <v>4.8544999999999998</v>
      </c>
      <c r="U163" s="21" t="s">
        <v>682</v>
      </c>
    </row>
    <row r="164" spans="1:22" ht="18.75" x14ac:dyDescent="0.3">
      <c r="A164" s="21" t="s">
        <v>686</v>
      </c>
      <c r="D164" s="60">
        <v>300</v>
      </c>
      <c r="E164" s="60">
        <v>37</v>
      </c>
      <c r="F164" s="21">
        <f t="shared" si="47"/>
        <v>16.146799999999999</v>
      </c>
      <c r="I164" s="21">
        <f t="shared" si="48"/>
        <v>4.8440399999999997</v>
      </c>
      <c r="J164" s="371">
        <f>I164*0.6</f>
        <v>2.9064239999999999</v>
      </c>
      <c r="K164" s="370">
        <v>7.3</v>
      </c>
      <c r="M164" s="163" t="s">
        <v>686</v>
      </c>
      <c r="N164" s="368">
        <f t="shared" si="53"/>
        <v>7.3</v>
      </c>
      <c r="O164" s="367">
        <v>0.1</v>
      </c>
      <c r="P164" s="366">
        <f t="shared" si="50"/>
        <v>6.57</v>
      </c>
      <c r="Q164" s="60">
        <v>1</v>
      </c>
      <c r="R164" s="163">
        <f t="shared" si="51"/>
        <v>6.57</v>
      </c>
      <c r="S164" s="365">
        <f t="shared" si="52"/>
        <v>0</v>
      </c>
      <c r="U164" s="21" t="s">
        <v>674</v>
      </c>
    </row>
    <row r="165" spans="1:22" ht="18.75" x14ac:dyDescent="0.3">
      <c r="A165" s="21" t="s">
        <v>685</v>
      </c>
      <c r="D165" s="60">
        <v>150</v>
      </c>
      <c r="E165" s="60">
        <v>73</v>
      </c>
      <c r="F165" s="21">
        <f t="shared" si="47"/>
        <v>31.857200000000002</v>
      </c>
      <c r="I165" s="21">
        <f t="shared" si="48"/>
        <v>4.7785799999999998</v>
      </c>
      <c r="J165" s="371">
        <f>I165*0.6</f>
        <v>2.8671479999999998</v>
      </c>
      <c r="K165" s="370">
        <v>1.825</v>
      </c>
      <c r="M165" s="163" t="s">
        <v>685</v>
      </c>
      <c r="N165" s="368">
        <f t="shared" si="53"/>
        <v>1.825</v>
      </c>
      <c r="O165" s="367">
        <v>0.1</v>
      </c>
      <c r="P165" s="366">
        <f t="shared" si="50"/>
        <v>1.6425000000000001</v>
      </c>
      <c r="Q165" s="60">
        <v>1</v>
      </c>
      <c r="R165" s="163">
        <f t="shared" si="51"/>
        <v>1.6425000000000001</v>
      </c>
      <c r="S165" s="365">
        <f t="shared" si="52"/>
        <v>0</v>
      </c>
      <c r="U165" s="21" t="s">
        <v>674</v>
      </c>
    </row>
    <row r="166" spans="1:22" ht="18.75" x14ac:dyDescent="0.3">
      <c r="A166" s="21" t="s">
        <v>684</v>
      </c>
      <c r="D166" s="60">
        <v>25</v>
      </c>
      <c r="E166" s="60">
        <v>146</v>
      </c>
      <c r="F166" s="21">
        <f t="shared" si="47"/>
        <v>63.714400000000005</v>
      </c>
      <c r="I166" s="21">
        <f t="shared" si="48"/>
        <v>1.5928600000000002</v>
      </c>
      <c r="J166" s="371">
        <f>I166*0.6</f>
        <v>0.95571600000000001</v>
      </c>
      <c r="K166" s="370">
        <v>0.1825</v>
      </c>
      <c r="M166" s="163" t="s">
        <v>684</v>
      </c>
      <c r="N166" s="368">
        <f t="shared" si="53"/>
        <v>0.1825</v>
      </c>
      <c r="O166" s="367">
        <v>0.1</v>
      </c>
      <c r="P166" s="366">
        <f t="shared" si="50"/>
        <v>0.16425000000000001</v>
      </c>
      <c r="Q166" s="60">
        <v>1</v>
      </c>
      <c r="R166" s="163">
        <f t="shared" si="51"/>
        <v>0.16425000000000001</v>
      </c>
      <c r="S166" s="365">
        <f t="shared" si="52"/>
        <v>0</v>
      </c>
      <c r="U166" s="21" t="s">
        <v>674</v>
      </c>
    </row>
    <row r="167" spans="1:22" ht="18.75" x14ac:dyDescent="0.3">
      <c r="A167" s="21" t="s">
        <v>683</v>
      </c>
      <c r="D167" s="60">
        <v>10</v>
      </c>
      <c r="E167" s="60">
        <v>186</v>
      </c>
      <c r="F167" s="21">
        <f t="shared" si="47"/>
        <v>81.170400000000001</v>
      </c>
      <c r="I167" s="21">
        <f t="shared" si="48"/>
        <v>0.81170399999999998</v>
      </c>
      <c r="J167" s="371">
        <f t="shared" ref="J167:J172" si="54">I167*0.5</f>
        <v>0.40585199999999999</v>
      </c>
      <c r="K167" s="370">
        <v>0.36</v>
      </c>
      <c r="M167" s="163" t="s">
        <v>683</v>
      </c>
      <c r="N167" s="368">
        <f>K167*0.5</f>
        <v>0.18</v>
      </c>
      <c r="O167" s="367">
        <v>0.2</v>
      </c>
      <c r="P167" s="366">
        <f t="shared" si="50"/>
        <v>0.14399999999999999</v>
      </c>
      <c r="Q167" s="60">
        <v>0</v>
      </c>
      <c r="R167" s="163">
        <f t="shared" si="51"/>
        <v>0</v>
      </c>
      <c r="S167" s="365">
        <f t="shared" si="52"/>
        <v>0.14399999999999999</v>
      </c>
      <c r="U167" s="21" t="s">
        <v>682</v>
      </c>
      <c r="V167" s="21" t="s">
        <v>673</v>
      </c>
    </row>
    <row r="168" spans="1:22" ht="18.75" x14ac:dyDescent="0.3">
      <c r="A168" s="21" t="s">
        <v>681</v>
      </c>
      <c r="D168" s="60">
        <v>1</v>
      </c>
      <c r="E168" s="60">
        <v>135</v>
      </c>
      <c r="F168" s="21">
        <f t="shared" si="47"/>
        <v>58.914000000000001</v>
      </c>
      <c r="I168" s="21">
        <f t="shared" si="48"/>
        <v>5.8914000000000001E-2</v>
      </c>
      <c r="J168" s="371">
        <f t="shared" si="54"/>
        <v>2.9457000000000001E-2</v>
      </c>
      <c r="K168" s="370">
        <v>0.16</v>
      </c>
      <c r="M168" s="163" t="s">
        <v>681</v>
      </c>
      <c r="N168" s="368">
        <f>K168*0.5</f>
        <v>0.08</v>
      </c>
      <c r="O168" s="367">
        <v>0.2</v>
      </c>
      <c r="P168" s="366">
        <f t="shared" si="50"/>
        <v>6.4000000000000001E-2</v>
      </c>
      <c r="Q168" s="60">
        <v>0</v>
      </c>
      <c r="R168" s="163">
        <f t="shared" si="51"/>
        <v>0</v>
      </c>
      <c r="S168" s="365">
        <f t="shared" si="52"/>
        <v>6.4000000000000001E-2</v>
      </c>
      <c r="U168" s="21" t="s">
        <v>674</v>
      </c>
      <c r="V168" s="21" t="s">
        <v>673</v>
      </c>
    </row>
    <row r="169" spans="1:22" ht="18.75" x14ac:dyDescent="0.3">
      <c r="A169" s="21" t="s">
        <v>680</v>
      </c>
      <c r="D169" s="60">
        <v>7</v>
      </c>
      <c r="E169" s="60">
        <v>97</v>
      </c>
      <c r="F169" s="21">
        <f t="shared" si="47"/>
        <v>42.330800000000004</v>
      </c>
      <c r="I169" s="21">
        <f t="shared" si="48"/>
        <v>0.29631560000000001</v>
      </c>
      <c r="J169" s="373">
        <f t="shared" si="54"/>
        <v>0.14815780000000001</v>
      </c>
      <c r="K169" s="370">
        <v>0.40150000000000002</v>
      </c>
      <c r="M169" s="163" t="s">
        <v>680</v>
      </c>
      <c r="N169" s="368">
        <f>J169</f>
        <v>0.14815780000000001</v>
      </c>
      <c r="O169" s="367">
        <v>0</v>
      </c>
      <c r="P169" s="366">
        <f t="shared" si="50"/>
        <v>0.14815780000000001</v>
      </c>
      <c r="Q169" s="60">
        <v>0</v>
      </c>
      <c r="R169" s="163">
        <f t="shared" si="51"/>
        <v>0</v>
      </c>
      <c r="S169" s="365">
        <f t="shared" si="52"/>
        <v>0.14815780000000001</v>
      </c>
      <c r="U169" s="21" t="s">
        <v>678</v>
      </c>
      <c r="V169" s="21" t="s">
        <v>673</v>
      </c>
    </row>
    <row r="170" spans="1:22" ht="18.75" x14ac:dyDescent="0.3">
      <c r="A170" s="21" t="s">
        <v>679</v>
      </c>
      <c r="D170" s="60">
        <v>3</v>
      </c>
      <c r="E170" s="60">
        <v>97</v>
      </c>
      <c r="F170" s="21">
        <f t="shared" si="47"/>
        <v>42.330800000000004</v>
      </c>
      <c r="I170" s="21">
        <f t="shared" si="48"/>
        <v>0.12699240000000001</v>
      </c>
      <c r="J170" s="372">
        <f t="shared" si="54"/>
        <v>6.3496200000000003E-2</v>
      </c>
      <c r="K170" s="370">
        <v>0.219</v>
      </c>
      <c r="M170" s="163" t="s">
        <v>679</v>
      </c>
      <c r="N170" s="368">
        <f>J170</f>
        <v>6.3496200000000003E-2</v>
      </c>
      <c r="O170" s="367">
        <v>0</v>
      </c>
      <c r="P170" s="366">
        <f t="shared" si="50"/>
        <v>6.3496200000000003E-2</v>
      </c>
      <c r="Q170" s="60">
        <v>0</v>
      </c>
      <c r="R170" s="163">
        <f t="shared" si="51"/>
        <v>0</v>
      </c>
      <c r="S170" s="365">
        <f t="shared" si="52"/>
        <v>6.3496200000000003E-2</v>
      </c>
      <c r="U170" s="21" t="s">
        <v>678</v>
      </c>
      <c r="V170" s="21" t="s">
        <v>673</v>
      </c>
    </row>
    <row r="171" spans="1:22" ht="18.75" x14ac:dyDescent="0.3">
      <c r="A171" s="21" t="s">
        <v>677</v>
      </c>
      <c r="D171" s="60">
        <v>6</v>
      </c>
      <c r="E171" s="60">
        <v>256</v>
      </c>
      <c r="F171" s="21">
        <f t="shared" si="47"/>
        <v>111.7184</v>
      </c>
      <c r="I171" s="21">
        <f t="shared" si="48"/>
        <v>0.67031040000000008</v>
      </c>
      <c r="J171" s="371">
        <f t="shared" si="54"/>
        <v>0.33515520000000004</v>
      </c>
      <c r="K171" s="370">
        <v>7.2999999999999995E-2</v>
      </c>
      <c r="M171" s="163" t="s">
        <v>677</v>
      </c>
      <c r="N171" s="368">
        <f>K171*0.5</f>
        <v>3.6499999999999998E-2</v>
      </c>
      <c r="O171" s="367">
        <v>0.15</v>
      </c>
      <c r="P171" s="366">
        <f t="shared" si="50"/>
        <v>3.1024999999999997E-2</v>
      </c>
      <c r="Q171" s="60">
        <v>0</v>
      </c>
      <c r="R171" s="163">
        <f t="shared" si="51"/>
        <v>0</v>
      </c>
      <c r="S171" s="365">
        <f t="shared" si="52"/>
        <v>3.1024999999999997E-2</v>
      </c>
      <c r="U171" s="21" t="s">
        <v>674</v>
      </c>
      <c r="V171" s="21" t="s">
        <v>673</v>
      </c>
    </row>
    <row r="172" spans="1:22" ht="18.75" x14ac:dyDescent="0.3">
      <c r="A172" s="21" t="s">
        <v>676</v>
      </c>
      <c r="D172" s="60">
        <v>2</v>
      </c>
      <c r="E172" s="60">
        <v>256</v>
      </c>
      <c r="F172" s="21">
        <f t="shared" si="47"/>
        <v>111.7184</v>
      </c>
      <c r="I172" s="21">
        <f t="shared" si="48"/>
        <v>0.22343680000000002</v>
      </c>
      <c r="J172" s="371">
        <f t="shared" si="54"/>
        <v>0.11171840000000001</v>
      </c>
      <c r="K172" s="370">
        <v>3.6499999999999998E-2</v>
      </c>
      <c r="M172" s="163" t="s">
        <v>676</v>
      </c>
      <c r="N172" s="368">
        <f>K172*0.5</f>
        <v>1.8249999999999999E-2</v>
      </c>
      <c r="O172" s="367">
        <v>0.15</v>
      </c>
      <c r="P172" s="366">
        <f t="shared" si="50"/>
        <v>1.5512499999999999E-2</v>
      </c>
      <c r="Q172" s="60">
        <v>0</v>
      </c>
      <c r="R172" s="163">
        <f t="shared" si="51"/>
        <v>0</v>
      </c>
      <c r="S172" s="365">
        <f t="shared" si="52"/>
        <v>1.5512499999999999E-2</v>
      </c>
      <c r="U172" s="21" t="s">
        <v>674</v>
      </c>
      <c r="V172" s="21" t="s">
        <v>673</v>
      </c>
    </row>
    <row r="173" spans="1:22" ht="18.75" x14ac:dyDescent="0.3">
      <c r="A173" s="21" t="s">
        <v>675</v>
      </c>
      <c r="D173" s="60">
        <v>3</v>
      </c>
      <c r="E173" s="60"/>
      <c r="J173" s="54"/>
      <c r="K173" s="369">
        <v>0.14599999999999999</v>
      </c>
      <c r="M173" s="163" t="s">
        <v>675</v>
      </c>
      <c r="N173" s="368">
        <f>K173*0.5</f>
        <v>7.2999999999999995E-2</v>
      </c>
      <c r="O173" s="367">
        <v>0</v>
      </c>
      <c r="P173" s="366">
        <f t="shared" si="50"/>
        <v>7.2999999999999995E-2</v>
      </c>
      <c r="Q173" s="60">
        <v>1</v>
      </c>
      <c r="R173" s="163">
        <f t="shared" si="51"/>
        <v>7.2999999999999995E-2</v>
      </c>
      <c r="S173" s="365">
        <f t="shared" si="52"/>
        <v>0</v>
      </c>
      <c r="U173" s="21" t="s">
        <v>674</v>
      </c>
      <c r="V173" s="21" t="s">
        <v>673</v>
      </c>
    </row>
    <row r="176" spans="1:22" x14ac:dyDescent="0.25">
      <c r="A176" s="815" t="s">
        <v>1245</v>
      </c>
    </row>
    <row r="177" spans="1:7" x14ac:dyDescent="0.25">
      <c r="A177" s="816"/>
      <c r="B177" s="21" t="s">
        <v>1246</v>
      </c>
      <c r="C177" s="21" t="s">
        <v>1247</v>
      </c>
      <c r="D177" s="21" t="s">
        <v>1248</v>
      </c>
      <c r="E177" s="21" t="s">
        <v>1249</v>
      </c>
    </row>
    <row r="178" spans="1:7" x14ac:dyDescent="0.25">
      <c r="A178" s="35" t="s">
        <v>1250</v>
      </c>
      <c r="B178" s="819">
        <v>0.55000000000000004</v>
      </c>
      <c r="C178" s="819">
        <v>0.52500000000000002</v>
      </c>
      <c r="D178" s="819">
        <v>0.75</v>
      </c>
      <c r="E178" s="819">
        <v>0.7</v>
      </c>
      <c r="F178" s="22"/>
      <c r="G178" s="22"/>
    </row>
    <row r="179" spans="1:7" x14ac:dyDescent="0.25">
      <c r="A179" s="35" t="s">
        <v>1251</v>
      </c>
      <c r="B179" s="819">
        <v>0.52500000000000002</v>
      </c>
      <c r="C179" s="819">
        <v>0.47499999999999998</v>
      </c>
      <c r="D179" s="819">
        <v>0.65</v>
      </c>
      <c r="E179" s="819">
        <v>0.625</v>
      </c>
      <c r="F179" s="22"/>
      <c r="G179" s="22"/>
    </row>
    <row r="180" spans="1:7" x14ac:dyDescent="0.25">
      <c r="A180" s="35" t="s">
        <v>1252</v>
      </c>
      <c r="B180" s="819">
        <v>0.25</v>
      </c>
      <c r="C180" s="819">
        <v>0.2</v>
      </c>
      <c r="D180" s="819">
        <v>0.35</v>
      </c>
      <c r="E180" s="819">
        <v>0.45</v>
      </c>
      <c r="F180" s="22"/>
      <c r="G180" s="22"/>
    </row>
    <row r="181" spans="1:7" x14ac:dyDescent="0.25">
      <c r="A181" s="817" t="s">
        <v>718</v>
      </c>
      <c r="B181" s="819">
        <v>0.25</v>
      </c>
      <c r="C181" s="819">
        <v>0.2</v>
      </c>
      <c r="D181" s="819">
        <v>0.35</v>
      </c>
      <c r="E181" s="819">
        <v>0.45</v>
      </c>
      <c r="F181" s="22"/>
      <c r="G181" s="22"/>
    </row>
    <row r="182" spans="1:7" x14ac:dyDescent="0.25">
      <c r="A182"/>
      <c r="B182" s="22"/>
      <c r="C182" s="22"/>
      <c r="D182" s="22"/>
      <c r="E182" s="22"/>
      <c r="F182" s="22"/>
      <c r="G182" s="22"/>
    </row>
    <row r="183" spans="1:7" x14ac:dyDescent="0.25">
      <c r="A183" s="35" t="s">
        <v>1253</v>
      </c>
      <c r="B183" s="22"/>
      <c r="C183" s="22"/>
      <c r="D183" s="22"/>
      <c r="E183" s="22"/>
      <c r="F183" s="22"/>
      <c r="G183" s="22"/>
    </row>
    <row r="184" spans="1:7" x14ac:dyDescent="0.25">
      <c r="A184" s="35" t="s">
        <v>738</v>
      </c>
      <c r="B184" s="819">
        <v>0</v>
      </c>
      <c r="C184" s="819">
        <v>0.5</v>
      </c>
      <c r="D184" s="819">
        <v>0.5</v>
      </c>
      <c r="E184" s="819">
        <v>0</v>
      </c>
      <c r="F184" s="22"/>
      <c r="G184" s="22"/>
    </row>
    <row r="185" spans="1:7" x14ac:dyDescent="0.25">
      <c r="A185" s="35" t="s">
        <v>736</v>
      </c>
      <c r="B185" s="819">
        <v>0.5</v>
      </c>
      <c r="C185" s="819">
        <v>0</v>
      </c>
      <c r="D185" s="819">
        <v>0</v>
      </c>
      <c r="E185" s="819">
        <v>0.5</v>
      </c>
      <c r="F185" s="22"/>
      <c r="G185" s="22"/>
    </row>
    <row r="187" spans="1:7" ht="30" x14ac:dyDescent="0.25">
      <c r="A187" s="35" t="s">
        <v>1263</v>
      </c>
      <c r="B187" s="803">
        <v>0.45</v>
      </c>
      <c r="C187" s="567" t="s">
        <v>1264</v>
      </c>
    </row>
    <row r="189" spans="1:7" x14ac:dyDescent="0.25">
      <c r="A189" s="818"/>
    </row>
  </sheetData>
  <sheetProtection algorithmName="SHA-512" hashValue="VC+KhKtXs1QoFixFuiRwisJsuAs0xIpGsyvgFtGxYCi/tDLh19GrzCFh4DWxk2bW+sHTjyKAvs8l8e77tomhew==" saltValue="t4Uczj2Cog4XnxVgaD61yg==" spinCount="100000" sheet="1" objects="1" scenarios="1"/>
  <mergeCells count="4">
    <mergeCell ref="S144:V144"/>
    <mergeCell ref="A154:J154"/>
    <mergeCell ref="D144:L144"/>
    <mergeCell ref="M144:Q144"/>
  </mergeCells>
  <hyperlinks>
    <hyperlink ref="A110" r:id="rId1"/>
  </hyperlinks>
  <pageMargins left="0.7" right="0.7" top="0.75" bottom="0.75" header="0.3" footer="0.3"/>
  <pageSetup orientation="portrait" r:id="rId2"/>
  <drawing r:id="rId3"/>
  <legacyDrawing r:id="rId4"/>
  <extLst>
    <ext xmlns:x14="http://schemas.microsoft.com/office/spreadsheetml/2009/9/main" uri="{CCE6A557-97BC-4b89-ADB6-D9C93CAAB3DF}">
      <x14:dataValidations xmlns:xm="http://schemas.microsoft.com/office/excel/2006/main" disablePrompts="1" count="1">
        <x14:dataValidation type="list" allowBlank="1" showInputMessage="1" showErrorMessage="1">
          <x14:formula1>
            <xm:f>Impl_select!$N$44:$N$66</xm:f>
          </x14:formula1>
          <xm:sqref>A104</xm:sqref>
        </x14:dataValidation>
      </x14:dataValidations>
    </ext>
  </extLst>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4"/>
  <dimension ref="A1:AP22"/>
  <sheetViews>
    <sheetView workbookViewId="0"/>
  </sheetViews>
  <sheetFormatPr defaultRowHeight="15" x14ac:dyDescent="0.25"/>
  <cols>
    <col min="1" max="1" width="38.7109375" customWidth="1"/>
    <col min="2" max="2" width="13.28515625" bestFit="1" customWidth="1"/>
    <col min="3" max="3" width="11.5703125" bestFit="1" customWidth="1"/>
    <col min="4" max="6" width="13.28515625" bestFit="1" customWidth="1"/>
    <col min="7" max="7" width="9.28515625" bestFit="1" customWidth="1"/>
    <col min="8" max="11" width="13.28515625" bestFit="1" customWidth="1"/>
    <col min="12" max="13" width="11.5703125" bestFit="1" customWidth="1"/>
    <col min="14" max="16" width="13.28515625" bestFit="1" customWidth="1"/>
    <col min="17" max="17" width="11.5703125" bestFit="1" customWidth="1"/>
    <col min="18" max="18" width="10.5703125" bestFit="1" customWidth="1"/>
    <col min="19" max="19" width="13.28515625" bestFit="1" customWidth="1"/>
    <col min="20" max="20" width="9.5703125" bestFit="1" customWidth="1"/>
    <col min="21" max="24" width="11.5703125" bestFit="1" customWidth="1"/>
    <col min="25" max="26" width="13.28515625" bestFit="1" customWidth="1"/>
    <col min="27" max="27" width="11.5703125" bestFit="1" customWidth="1"/>
    <col min="28" max="28" width="13.28515625" bestFit="1" customWidth="1"/>
    <col min="29" max="31" width="11.5703125" bestFit="1" customWidth="1"/>
    <col min="32" max="32" width="13.28515625" bestFit="1" customWidth="1"/>
    <col min="33" max="33" width="11.5703125" bestFit="1" customWidth="1"/>
    <col min="34" max="34" width="13.28515625" bestFit="1" customWidth="1"/>
    <col min="35" max="36" width="11.5703125" bestFit="1" customWidth="1"/>
    <col min="37" max="40" width="13.28515625" bestFit="1" customWidth="1"/>
    <col min="41" max="41" width="14" customWidth="1"/>
    <col min="43" max="43" width="9.5703125" bestFit="1" customWidth="1"/>
    <col min="44" max="44" width="9.28515625" bestFit="1" customWidth="1"/>
    <col min="46" max="48" width="9.28515625" bestFit="1" customWidth="1"/>
  </cols>
  <sheetData>
    <row r="1" spans="1:42" x14ac:dyDescent="0.25">
      <c r="A1" s="21" t="s">
        <v>62</v>
      </c>
      <c r="B1" s="21">
        <v>1</v>
      </c>
      <c r="C1" s="21">
        <v>2</v>
      </c>
      <c r="D1" s="21">
        <v>3</v>
      </c>
      <c r="E1" s="21">
        <v>4</v>
      </c>
      <c r="F1" s="21">
        <v>5</v>
      </c>
      <c r="G1" s="21">
        <v>6</v>
      </c>
      <c r="H1" s="21">
        <v>7</v>
      </c>
      <c r="I1" s="21">
        <v>8</v>
      </c>
      <c r="J1" s="21">
        <v>9</v>
      </c>
      <c r="K1" s="21">
        <v>10</v>
      </c>
      <c r="L1" s="21">
        <v>11</v>
      </c>
      <c r="M1" s="21">
        <v>12</v>
      </c>
      <c r="N1" s="21">
        <v>13</v>
      </c>
      <c r="O1" s="21">
        <v>14</v>
      </c>
      <c r="P1" s="21">
        <v>15</v>
      </c>
      <c r="Q1" s="21">
        <v>16</v>
      </c>
      <c r="R1" s="21">
        <v>17</v>
      </c>
      <c r="S1" s="21">
        <v>18</v>
      </c>
      <c r="T1" s="21">
        <v>19</v>
      </c>
      <c r="U1" s="21">
        <v>20</v>
      </c>
      <c r="V1" s="21">
        <v>21</v>
      </c>
      <c r="W1" s="21">
        <v>22</v>
      </c>
      <c r="X1" s="21">
        <v>23</v>
      </c>
      <c r="Y1" s="21">
        <v>24</v>
      </c>
      <c r="Z1" s="21">
        <v>25</v>
      </c>
      <c r="AA1" s="21">
        <v>26</v>
      </c>
      <c r="AB1" s="21">
        <v>27</v>
      </c>
      <c r="AC1" s="21">
        <v>28</v>
      </c>
      <c r="AD1" s="21">
        <v>29</v>
      </c>
      <c r="AE1" s="21">
        <v>30</v>
      </c>
      <c r="AF1" s="21">
        <v>31</v>
      </c>
      <c r="AG1" s="21">
        <v>32</v>
      </c>
      <c r="AH1" s="21">
        <v>33</v>
      </c>
      <c r="AI1" s="21">
        <v>34</v>
      </c>
      <c r="AJ1" s="21">
        <v>35</v>
      </c>
      <c r="AK1" s="21">
        <v>36</v>
      </c>
      <c r="AL1" s="21">
        <v>37</v>
      </c>
      <c r="AM1" s="21">
        <v>38</v>
      </c>
      <c r="AN1" s="21">
        <v>39</v>
      </c>
    </row>
    <row r="2" spans="1:42" s="32" customFormat="1" ht="38.25" customHeight="1" x14ac:dyDescent="0.25">
      <c r="A2" s="32" t="s">
        <v>61</v>
      </c>
      <c r="B2" s="32" t="s">
        <v>60</v>
      </c>
      <c r="C2" s="32" t="s">
        <v>59</v>
      </c>
      <c r="D2" s="32" t="s">
        <v>58</v>
      </c>
      <c r="E2" s="32" t="s">
        <v>57</v>
      </c>
      <c r="F2" s="32" t="s">
        <v>56</v>
      </c>
      <c r="G2" s="32" t="s">
        <v>55</v>
      </c>
      <c r="H2" s="32" t="s">
        <v>54</v>
      </c>
      <c r="I2" s="32" t="s">
        <v>53</v>
      </c>
      <c r="J2" s="32" t="s">
        <v>52</v>
      </c>
      <c r="K2" s="32" t="s">
        <v>51</v>
      </c>
      <c r="L2" s="32" t="s">
        <v>50</v>
      </c>
      <c r="M2" s="32" t="s">
        <v>49</v>
      </c>
      <c r="N2" s="32" t="s">
        <v>48</v>
      </c>
      <c r="O2" s="32" t="s">
        <v>47</v>
      </c>
      <c r="P2" s="32" t="s">
        <v>46</v>
      </c>
      <c r="Q2" s="32" t="s">
        <v>45</v>
      </c>
      <c r="R2" s="32" t="s">
        <v>44</v>
      </c>
      <c r="S2" s="32" t="s">
        <v>43</v>
      </c>
      <c r="T2" s="32" t="s">
        <v>42</v>
      </c>
      <c r="U2" s="32" t="s">
        <v>41</v>
      </c>
      <c r="V2" s="32" t="s">
        <v>40</v>
      </c>
      <c r="W2" s="32" t="s">
        <v>39</v>
      </c>
      <c r="X2" s="32" t="s">
        <v>38</v>
      </c>
      <c r="Y2" s="32" t="s">
        <v>37</v>
      </c>
      <c r="Z2" s="32" t="s">
        <v>36</v>
      </c>
      <c r="AA2" s="32" t="s">
        <v>35</v>
      </c>
      <c r="AB2" s="32" t="s">
        <v>34</v>
      </c>
      <c r="AC2" s="32" t="s">
        <v>33</v>
      </c>
      <c r="AD2" s="32" t="s">
        <v>32</v>
      </c>
      <c r="AE2" s="32" t="s">
        <v>31</v>
      </c>
      <c r="AF2" s="32" t="s">
        <v>30</v>
      </c>
      <c r="AG2" s="32" t="s">
        <v>29</v>
      </c>
      <c r="AH2" s="32" t="s">
        <v>28</v>
      </c>
      <c r="AI2" s="32" t="s">
        <v>27</v>
      </c>
      <c r="AJ2" s="32" t="s">
        <v>26</v>
      </c>
      <c r="AK2" s="32" t="s">
        <v>25</v>
      </c>
      <c r="AL2" s="32" t="s">
        <v>24</v>
      </c>
      <c r="AM2" s="32" t="s">
        <v>23</v>
      </c>
      <c r="AN2" s="32" t="s">
        <v>22</v>
      </c>
      <c r="AO2" s="32" t="s">
        <v>97</v>
      </c>
    </row>
    <row r="3" spans="1:42" x14ac:dyDescent="0.25">
      <c r="A3" s="21" t="str">
        <f>INDEX(watershed_list,Main!B7)</f>
        <v>Statewide</v>
      </c>
      <c r="B3" s="22">
        <f>Watersheds!B122</f>
        <v>1</v>
      </c>
      <c r="C3" s="22">
        <f>Watersheds!C122</f>
        <v>1</v>
      </c>
      <c r="D3" s="22">
        <f>Watersheds!D122</f>
        <v>1</v>
      </c>
      <c r="E3" s="22">
        <f>Watersheds!E122</f>
        <v>1</v>
      </c>
      <c r="F3" s="22">
        <f>Watersheds!F122</f>
        <v>1</v>
      </c>
      <c r="G3" s="22">
        <f>Watersheds!G122</f>
        <v>1</v>
      </c>
      <c r="H3" s="22">
        <f>Watersheds!H122</f>
        <v>1</v>
      </c>
      <c r="I3" s="22">
        <f>Watersheds!I122</f>
        <v>1</v>
      </c>
      <c r="J3" s="22">
        <f>Watersheds!J122</f>
        <v>1</v>
      </c>
      <c r="K3" s="22">
        <f>Watersheds!K122</f>
        <v>1</v>
      </c>
      <c r="L3" s="22">
        <f>Watersheds!L122</f>
        <v>1</v>
      </c>
      <c r="M3" s="22">
        <f>Watersheds!M122</f>
        <v>1</v>
      </c>
      <c r="N3" s="22">
        <f>Watersheds!N122</f>
        <v>1</v>
      </c>
      <c r="O3" s="22">
        <f>Watersheds!O122</f>
        <v>1</v>
      </c>
      <c r="P3" s="22">
        <f>Watersheds!P122</f>
        <v>1</v>
      </c>
      <c r="Q3" s="22">
        <f>Watersheds!Q122</f>
        <v>1</v>
      </c>
      <c r="R3" s="22">
        <f>Watersheds!R122</f>
        <v>1</v>
      </c>
      <c r="S3" s="22">
        <f>Watersheds!S122</f>
        <v>1</v>
      </c>
      <c r="T3" s="22">
        <f>Watersheds!T122</f>
        <v>1</v>
      </c>
      <c r="U3" s="22">
        <f>Watersheds!U122</f>
        <v>1</v>
      </c>
      <c r="V3" s="22">
        <f>Watersheds!V122</f>
        <v>1</v>
      </c>
      <c r="W3" s="22">
        <f>Watersheds!W122</f>
        <v>1</v>
      </c>
      <c r="X3" s="22">
        <f>Watersheds!X122</f>
        <v>1</v>
      </c>
      <c r="Y3" s="22">
        <f>Watersheds!Y122</f>
        <v>1</v>
      </c>
      <c r="Z3" s="22">
        <f>Watersheds!Z122</f>
        <v>1</v>
      </c>
      <c r="AA3" s="22">
        <f>Watersheds!AA122</f>
        <v>1</v>
      </c>
      <c r="AB3" s="22">
        <f>Watersheds!AB122</f>
        <v>1</v>
      </c>
      <c r="AC3" s="22">
        <f>Watersheds!AC122</f>
        <v>1</v>
      </c>
      <c r="AD3" s="22">
        <f>Watersheds!AD122</f>
        <v>1</v>
      </c>
      <c r="AE3" s="22">
        <f>Watersheds!AE122</f>
        <v>1</v>
      </c>
      <c r="AF3" s="22">
        <f>Watersheds!AF122</f>
        <v>1</v>
      </c>
      <c r="AG3" s="22">
        <f>Watersheds!AG122</f>
        <v>1</v>
      </c>
      <c r="AH3" s="22">
        <f>Watersheds!AH122</f>
        <v>1</v>
      </c>
      <c r="AI3" s="22">
        <f>Watersheds!AI122</f>
        <v>1</v>
      </c>
      <c r="AJ3" s="22">
        <f>Watersheds!AJ122</f>
        <v>1</v>
      </c>
      <c r="AK3" s="22">
        <f>Watersheds!AK122</f>
        <v>1</v>
      </c>
      <c r="AL3" s="22">
        <f>Watersheds!AL122</f>
        <v>1</v>
      </c>
      <c r="AM3" s="22">
        <f>Watersheds!AM122</f>
        <v>1</v>
      </c>
      <c r="AN3" s="22">
        <f>Watersheds!AN122</f>
        <v>1</v>
      </c>
    </row>
    <row r="4" spans="1:42" s="49" customFormat="1" x14ac:dyDescent="0.25">
      <c r="A4" s="51" t="s">
        <v>1098</v>
      </c>
      <c r="B4" s="435">
        <v>3554185.7545500002</v>
      </c>
      <c r="C4" s="435">
        <v>107547.224756</v>
      </c>
      <c r="D4" s="435">
        <v>3080235.90319</v>
      </c>
      <c r="E4" s="435">
        <v>2744807.2665900001</v>
      </c>
      <c r="F4" s="435">
        <v>1870297.32489</v>
      </c>
      <c r="G4" s="435">
        <v>8.1200361172399997</v>
      </c>
      <c r="H4" s="435">
        <v>3014735.1125599998</v>
      </c>
      <c r="I4" s="435">
        <v>2741764.2293799999</v>
      </c>
      <c r="J4" s="435">
        <v>817045.54437100003</v>
      </c>
      <c r="K4" s="435">
        <v>421466.795965</v>
      </c>
      <c r="L4" s="435">
        <v>34195.386273800003</v>
      </c>
      <c r="M4" s="435">
        <v>304059.70015599998</v>
      </c>
      <c r="N4" s="435">
        <v>3186754.7826299998</v>
      </c>
      <c r="O4" s="435">
        <v>177076.875688</v>
      </c>
      <c r="P4" s="435">
        <v>856255.48587400001</v>
      </c>
      <c r="Q4" s="435">
        <v>62817.369314099997</v>
      </c>
      <c r="R4" s="435">
        <v>9445.7412198300008</v>
      </c>
      <c r="S4" s="435">
        <v>432444.81224300002</v>
      </c>
      <c r="T4" s="435">
        <v>2827.41829783</v>
      </c>
      <c r="U4" s="435">
        <v>29399.818206899999</v>
      </c>
      <c r="V4" s="435">
        <v>116185.03441599999</v>
      </c>
      <c r="W4" s="435">
        <v>106876.607836</v>
      </c>
      <c r="X4" s="435">
        <v>18434.841513300002</v>
      </c>
      <c r="Y4" s="435">
        <v>2964830.6741399998</v>
      </c>
      <c r="Z4" s="435">
        <v>5279410.0985899996</v>
      </c>
      <c r="AA4" s="435">
        <v>121601.243292</v>
      </c>
      <c r="AB4" s="435">
        <v>4131058.5769699998</v>
      </c>
      <c r="AC4" s="435">
        <v>39128.173180500002</v>
      </c>
      <c r="AD4" s="435">
        <v>270394.57679800002</v>
      </c>
      <c r="AE4" s="435">
        <v>241303.49337899999</v>
      </c>
      <c r="AF4" s="435">
        <v>545674.77014299994</v>
      </c>
      <c r="AG4" s="435">
        <v>232871.82756000001</v>
      </c>
      <c r="AH4" s="435">
        <v>3557114.4866999998</v>
      </c>
      <c r="AI4" s="435">
        <v>222774.20793900001</v>
      </c>
      <c r="AJ4" s="435">
        <v>109958.224042</v>
      </c>
      <c r="AK4" s="435">
        <v>1506386.0556600001</v>
      </c>
      <c r="AL4" s="435">
        <v>442069.90990199998</v>
      </c>
      <c r="AM4" s="435">
        <v>2555637.7017000001</v>
      </c>
      <c r="AN4" s="435">
        <v>2737078.6544400002</v>
      </c>
    </row>
    <row r="5" spans="1:42" s="49" customFormat="1" x14ac:dyDescent="0.25">
      <c r="A5" s="51" t="s">
        <v>671</v>
      </c>
      <c r="B5" s="435">
        <v>609449.875</v>
      </c>
      <c r="C5" s="435">
        <v>13595.495000000001</v>
      </c>
      <c r="D5" s="435">
        <v>49140.697999999997</v>
      </c>
      <c r="E5" s="435">
        <v>224003.26199999999</v>
      </c>
      <c r="F5" s="435">
        <v>12907.97</v>
      </c>
      <c r="G5" s="435">
        <v>0</v>
      </c>
      <c r="H5" s="435">
        <v>366786.516</v>
      </c>
      <c r="I5" s="435">
        <v>115520.649</v>
      </c>
      <c r="J5" s="435">
        <v>7662.4570000000003</v>
      </c>
      <c r="K5" s="435">
        <v>70475.562000000005</v>
      </c>
      <c r="L5" s="435">
        <v>13.052</v>
      </c>
      <c r="M5" s="435">
        <v>68493.790999999997</v>
      </c>
      <c r="N5" s="435">
        <v>19335.067999999999</v>
      </c>
      <c r="O5" s="435">
        <v>40514.284</v>
      </c>
      <c r="P5" s="435">
        <v>37790.633000000002</v>
      </c>
      <c r="Q5" s="435">
        <v>0</v>
      </c>
      <c r="R5" s="435">
        <v>6560</v>
      </c>
      <c r="S5" s="435">
        <v>46853.623</v>
      </c>
      <c r="T5" s="435">
        <v>0</v>
      </c>
      <c r="U5" s="435">
        <v>2.1419999999999999</v>
      </c>
      <c r="V5" s="435">
        <v>10.332000000000001</v>
      </c>
      <c r="W5" s="435">
        <v>8540.2999999999993</v>
      </c>
      <c r="X5" s="435">
        <v>0.62</v>
      </c>
      <c r="Y5" s="435">
        <v>61204.122000000003</v>
      </c>
      <c r="Z5" s="435">
        <v>272742.61300000001</v>
      </c>
      <c r="AA5" s="435">
        <v>21334.098999999998</v>
      </c>
      <c r="AB5" s="435">
        <v>1053901.531</v>
      </c>
      <c r="AC5" s="435">
        <v>1.1140000000000001</v>
      </c>
      <c r="AD5" s="435">
        <v>3217.056</v>
      </c>
      <c r="AE5" s="435">
        <v>40.749000000000002</v>
      </c>
      <c r="AF5" s="435">
        <v>79.8</v>
      </c>
      <c r="AG5" s="435">
        <v>14.098000000000001</v>
      </c>
      <c r="AH5" s="435">
        <v>603751.30599999998</v>
      </c>
      <c r="AI5" s="435">
        <v>65932.604000000007</v>
      </c>
      <c r="AJ5" s="435">
        <v>5.92</v>
      </c>
      <c r="AK5" s="435">
        <v>29141.741000000002</v>
      </c>
      <c r="AL5" s="435">
        <v>10411.986000000001</v>
      </c>
      <c r="AM5" s="435">
        <v>90208.135999999999</v>
      </c>
      <c r="AN5" s="435">
        <v>253159.791</v>
      </c>
    </row>
    <row r="6" spans="1:42" s="49" customFormat="1" x14ac:dyDescent="0.25">
      <c r="A6" s="51" t="s">
        <v>670</v>
      </c>
      <c r="B6" s="435">
        <v>4052138.5864599999</v>
      </c>
      <c r="C6" s="435">
        <v>134744.09316799999</v>
      </c>
      <c r="D6" s="435">
        <v>4280072.6139799999</v>
      </c>
      <c r="E6" s="435">
        <v>2542420.2039399999</v>
      </c>
      <c r="F6" s="435">
        <v>2911281.7653199998</v>
      </c>
      <c r="G6" s="435">
        <v>154.20401704700001</v>
      </c>
      <c r="H6" s="435">
        <v>3427830.1258700001</v>
      </c>
      <c r="I6" s="435">
        <v>2653035.1994599998</v>
      </c>
      <c r="J6" s="435">
        <v>667142.78058199992</v>
      </c>
      <c r="K6" s="435">
        <v>565232.674199</v>
      </c>
      <c r="L6" s="435">
        <v>107870.30298400001</v>
      </c>
      <c r="M6" s="435">
        <v>619671.33631699998</v>
      </c>
      <c r="N6" s="435">
        <v>3814711.4673899999</v>
      </c>
      <c r="O6" s="435">
        <v>480151.54826700001</v>
      </c>
      <c r="P6" s="435">
        <v>462559.51251699997</v>
      </c>
      <c r="Q6" s="435">
        <v>89590.122880700001</v>
      </c>
      <c r="R6" s="435">
        <v>1528.1381153000002</v>
      </c>
      <c r="S6" s="435">
        <v>847624.45715199993</v>
      </c>
      <c r="T6" s="435">
        <v>4829.9991222199997</v>
      </c>
      <c r="U6" s="435">
        <v>72381.765189399986</v>
      </c>
      <c r="V6" s="435">
        <v>46186.084742499996</v>
      </c>
      <c r="W6" s="435">
        <v>140177.96041700002</v>
      </c>
      <c r="X6" s="435">
        <v>105318.61815900001</v>
      </c>
      <c r="Y6" s="435">
        <v>3373227.8373799999</v>
      </c>
      <c r="Z6" s="435">
        <v>4107941.87732</v>
      </c>
      <c r="AA6" s="435">
        <v>367344.46863300004</v>
      </c>
      <c r="AB6" s="435">
        <v>4467746.0628800001</v>
      </c>
      <c r="AC6" s="435">
        <v>134496.37358799999</v>
      </c>
      <c r="AD6" s="435">
        <v>106270.71290900001</v>
      </c>
      <c r="AE6" s="435">
        <v>247279.65518199999</v>
      </c>
      <c r="AF6" s="435">
        <v>547921.47645199997</v>
      </c>
      <c r="AG6" s="435">
        <v>334028.66797000001</v>
      </c>
      <c r="AH6" s="435">
        <v>2310457.5922699999</v>
      </c>
      <c r="AI6" s="435">
        <v>383676.033711</v>
      </c>
      <c r="AJ6" s="435">
        <v>49449.707711499999</v>
      </c>
      <c r="AK6" s="435">
        <v>1212540.3029800002</v>
      </c>
      <c r="AL6" s="435">
        <v>617396.51239799999</v>
      </c>
      <c r="AM6" s="435">
        <v>1122672.54797</v>
      </c>
      <c r="AN6" s="435">
        <v>1234570.25505</v>
      </c>
    </row>
    <row r="7" spans="1:42" s="49" customFormat="1" x14ac:dyDescent="0.25">
      <c r="A7" s="51" t="s">
        <v>669</v>
      </c>
      <c r="B7" s="51">
        <f t="shared" ref="B7:AN7" si="0">B6+B5</f>
        <v>4661588.4614599999</v>
      </c>
      <c r="C7" s="51">
        <f t="shared" si="0"/>
        <v>148339.58816799999</v>
      </c>
      <c r="D7" s="51">
        <f t="shared" si="0"/>
        <v>4329213.3119799998</v>
      </c>
      <c r="E7" s="51">
        <f t="shared" si="0"/>
        <v>2766423.46594</v>
      </c>
      <c r="F7" s="51">
        <f t="shared" si="0"/>
        <v>2924189.73532</v>
      </c>
      <c r="G7" s="51">
        <f t="shared" si="0"/>
        <v>154.20401704700001</v>
      </c>
      <c r="H7" s="51">
        <f t="shared" si="0"/>
        <v>3794616.6418699999</v>
      </c>
      <c r="I7" s="51">
        <f t="shared" si="0"/>
        <v>2768555.84846</v>
      </c>
      <c r="J7" s="51">
        <f t="shared" si="0"/>
        <v>674805.23758199997</v>
      </c>
      <c r="K7" s="51">
        <f t="shared" si="0"/>
        <v>635708.23619900004</v>
      </c>
      <c r="L7" s="51">
        <f t="shared" si="0"/>
        <v>107883.35498400001</v>
      </c>
      <c r="M7" s="51">
        <f t="shared" si="0"/>
        <v>688165.12731699995</v>
      </c>
      <c r="N7" s="51">
        <f t="shared" si="0"/>
        <v>3834046.5353899999</v>
      </c>
      <c r="O7" s="51">
        <f t="shared" si="0"/>
        <v>520665.83226699999</v>
      </c>
      <c r="P7" s="51">
        <f t="shared" si="0"/>
        <v>500350.145517</v>
      </c>
      <c r="Q7" s="51">
        <f t="shared" si="0"/>
        <v>89590.122880700001</v>
      </c>
      <c r="R7" s="51">
        <f t="shared" si="0"/>
        <v>8088.1381153000002</v>
      </c>
      <c r="S7" s="51">
        <f t="shared" si="0"/>
        <v>894478.08015199995</v>
      </c>
      <c r="T7" s="51">
        <f t="shared" si="0"/>
        <v>4829.9991222199997</v>
      </c>
      <c r="U7" s="51">
        <f t="shared" si="0"/>
        <v>72383.907189399994</v>
      </c>
      <c r="V7" s="51">
        <f t="shared" si="0"/>
        <v>46196.416742499998</v>
      </c>
      <c r="W7" s="51">
        <f t="shared" si="0"/>
        <v>148718.26041700001</v>
      </c>
      <c r="X7" s="51">
        <f t="shared" si="0"/>
        <v>105319.238159</v>
      </c>
      <c r="Y7" s="51">
        <f t="shared" si="0"/>
        <v>3434431.9593799999</v>
      </c>
      <c r="Z7" s="51">
        <f t="shared" si="0"/>
        <v>4380684.4903199999</v>
      </c>
      <c r="AA7" s="51">
        <f t="shared" si="0"/>
        <v>388678.56763300003</v>
      </c>
      <c r="AB7" s="51">
        <f t="shared" si="0"/>
        <v>5521647.5938799996</v>
      </c>
      <c r="AC7" s="51">
        <f t="shared" si="0"/>
        <v>134497.48758799999</v>
      </c>
      <c r="AD7" s="51">
        <f t="shared" si="0"/>
        <v>109487.76890900001</v>
      </c>
      <c r="AE7" s="51">
        <f t="shared" si="0"/>
        <v>247320.404182</v>
      </c>
      <c r="AF7" s="51">
        <f t="shared" si="0"/>
        <v>548001.27645200002</v>
      </c>
      <c r="AG7" s="51">
        <f t="shared" si="0"/>
        <v>334042.76597000001</v>
      </c>
      <c r="AH7" s="51">
        <f t="shared" si="0"/>
        <v>2914208.8982699998</v>
      </c>
      <c r="AI7" s="51">
        <f t="shared" si="0"/>
        <v>449608.63771099999</v>
      </c>
      <c r="AJ7" s="51">
        <f t="shared" si="0"/>
        <v>49455.627711499998</v>
      </c>
      <c r="AK7" s="51">
        <f t="shared" si="0"/>
        <v>1241682.0439800001</v>
      </c>
      <c r="AL7" s="51">
        <f t="shared" si="0"/>
        <v>627808.49839800003</v>
      </c>
      <c r="AM7" s="51">
        <f t="shared" si="0"/>
        <v>1212880.6839699999</v>
      </c>
      <c r="AN7" s="51">
        <f t="shared" si="0"/>
        <v>1487730.04605</v>
      </c>
    </row>
    <row r="8" spans="1:42" s="49" customFormat="1" x14ac:dyDescent="0.25">
      <c r="A8" s="51" t="s">
        <v>668</v>
      </c>
      <c r="B8" s="51">
        <f t="shared" ref="B8:AN8" si="1">B7+B4</f>
        <v>8215774.2160100006</v>
      </c>
      <c r="C8" s="51">
        <f t="shared" si="1"/>
        <v>255886.81292399997</v>
      </c>
      <c r="D8" s="51">
        <f t="shared" si="1"/>
        <v>7409449.2151699997</v>
      </c>
      <c r="E8" s="51">
        <f t="shared" si="1"/>
        <v>5511230.7325299997</v>
      </c>
      <c r="F8" s="51">
        <f t="shared" si="1"/>
        <v>4794487.0602099998</v>
      </c>
      <c r="G8" s="51">
        <f t="shared" si="1"/>
        <v>162.32405316424001</v>
      </c>
      <c r="H8" s="51">
        <f t="shared" si="1"/>
        <v>6809351.7544299997</v>
      </c>
      <c r="I8" s="51">
        <f t="shared" si="1"/>
        <v>5510320.0778400004</v>
      </c>
      <c r="J8" s="51">
        <f t="shared" si="1"/>
        <v>1491850.781953</v>
      </c>
      <c r="K8" s="51">
        <f t="shared" si="1"/>
        <v>1057175.032164</v>
      </c>
      <c r="L8" s="51">
        <f t="shared" si="1"/>
        <v>142078.74125780002</v>
      </c>
      <c r="M8" s="51">
        <f t="shared" si="1"/>
        <v>992224.82747299992</v>
      </c>
      <c r="N8" s="51">
        <f t="shared" si="1"/>
        <v>7020801.3180199992</v>
      </c>
      <c r="O8" s="51">
        <f t="shared" si="1"/>
        <v>697742.70795499999</v>
      </c>
      <c r="P8" s="51">
        <f t="shared" si="1"/>
        <v>1356605.631391</v>
      </c>
      <c r="Q8" s="51">
        <f t="shared" si="1"/>
        <v>152407.4921948</v>
      </c>
      <c r="R8" s="51">
        <f t="shared" si="1"/>
        <v>17533.879335130001</v>
      </c>
      <c r="S8" s="51">
        <f t="shared" si="1"/>
        <v>1326922.892395</v>
      </c>
      <c r="T8" s="51">
        <f t="shared" si="1"/>
        <v>7657.4174200500001</v>
      </c>
      <c r="U8" s="51">
        <f t="shared" si="1"/>
        <v>101783.7253963</v>
      </c>
      <c r="V8" s="51">
        <f t="shared" si="1"/>
        <v>162381.45115849999</v>
      </c>
      <c r="W8" s="51">
        <f t="shared" si="1"/>
        <v>255594.86825300002</v>
      </c>
      <c r="X8" s="51">
        <f t="shared" si="1"/>
        <v>123754.07967229999</v>
      </c>
      <c r="Y8" s="51">
        <f t="shared" si="1"/>
        <v>6399262.6335199997</v>
      </c>
      <c r="Z8" s="51">
        <f t="shared" si="1"/>
        <v>9660094.5889099985</v>
      </c>
      <c r="AA8" s="51">
        <f t="shared" si="1"/>
        <v>510279.810925</v>
      </c>
      <c r="AB8" s="51">
        <f t="shared" si="1"/>
        <v>9652706.1708499994</v>
      </c>
      <c r="AC8" s="51">
        <f t="shared" si="1"/>
        <v>173625.66076850001</v>
      </c>
      <c r="AD8" s="51">
        <f t="shared" si="1"/>
        <v>379882.345707</v>
      </c>
      <c r="AE8" s="51">
        <f t="shared" si="1"/>
        <v>488623.89756099996</v>
      </c>
      <c r="AF8" s="51">
        <f t="shared" si="1"/>
        <v>1093676.046595</v>
      </c>
      <c r="AG8" s="51">
        <f t="shared" si="1"/>
        <v>566914.59352999995</v>
      </c>
      <c r="AH8" s="51">
        <f t="shared" si="1"/>
        <v>6471323.38497</v>
      </c>
      <c r="AI8" s="51">
        <f t="shared" si="1"/>
        <v>672382.84565000003</v>
      </c>
      <c r="AJ8" s="51">
        <f t="shared" si="1"/>
        <v>159413.8517535</v>
      </c>
      <c r="AK8" s="51">
        <f t="shared" si="1"/>
        <v>2748068.0996400001</v>
      </c>
      <c r="AL8" s="51">
        <f t="shared" si="1"/>
        <v>1069878.4083</v>
      </c>
      <c r="AM8" s="51">
        <f t="shared" si="1"/>
        <v>3768518.3856699998</v>
      </c>
      <c r="AN8" s="51">
        <f t="shared" si="1"/>
        <v>4224808.7004899997</v>
      </c>
    </row>
    <row r="9" spans="1:42" s="49" customFormat="1" x14ac:dyDescent="0.25">
      <c r="A9" s="51" t="s">
        <v>762</v>
      </c>
      <c r="B9" s="51">
        <f>B3*Watersheds!B123</f>
        <v>1183611.8269754259</v>
      </c>
      <c r="C9" s="51">
        <f>C3*Watersheds!C123</f>
        <v>95754.758676922065</v>
      </c>
      <c r="D9" s="51">
        <f>D3*Watersheds!D123</f>
        <v>384363.31644598179</v>
      </c>
      <c r="E9" s="51">
        <f>E3*Watersheds!E123</f>
        <v>526499.4754478957</v>
      </c>
      <c r="F9" s="51">
        <f>F3*Watersheds!F123</f>
        <v>1087765.8836466991</v>
      </c>
      <c r="G9" s="51">
        <f>G3*Watersheds!G123</f>
        <v>21773.538325770438</v>
      </c>
      <c r="H9" s="51">
        <f>H3*Watersheds!H123</f>
        <v>476975.34015582805</v>
      </c>
      <c r="I9" s="51">
        <f>I3*Watersheds!I123</f>
        <v>1782881.9850823716</v>
      </c>
      <c r="J9" s="51">
        <f>J3*Watersheds!J123</f>
        <v>458429.5700289816</v>
      </c>
      <c r="K9" s="51">
        <f>K3*Watersheds!K123</f>
        <v>819176.20611457271</v>
      </c>
      <c r="L9" s="51">
        <f>L3*Watersheds!L123</f>
        <v>49840.38319707138</v>
      </c>
      <c r="M9" s="51">
        <f>M3*Watersheds!M123</f>
        <v>264659.08028609771</v>
      </c>
      <c r="N9" s="51">
        <f>N3*Watersheds!N123</f>
        <v>769733.41808108822</v>
      </c>
      <c r="O9" s="51">
        <f>O3*Watersheds!O123</f>
        <v>828673.71056960034</v>
      </c>
      <c r="P9" s="51">
        <f>P3*Watersheds!P123</f>
        <v>241824.56323169585</v>
      </c>
      <c r="Q9" s="51">
        <f>Q3*Watersheds!Q123</f>
        <v>246814.27028150437</v>
      </c>
      <c r="R9" s="51">
        <f>R3*Watersheds!R123</f>
        <v>4285.7491912003497</v>
      </c>
      <c r="S9" s="51">
        <f>S3*Watersheds!S123</f>
        <v>178246.72078017835</v>
      </c>
      <c r="T9" s="51">
        <f>T3*Watersheds!T123</f>
        <v>6495.4972264640001</v>
      </c>
      <c r="U9" s="51">
        <f>U3*Watersheds!U123</f>
        <v>106361.17112664781</v>
      </c>
      <c r="V9" s="51">
        <f>V3*Watersheds!V123</f>
        <v>64243.015453628868</v>
      </c>
      <c r="W9" s="51">
        <f>W3*Watersheds!W123</f>
        <v>534860.91880764207</v>
      </c>
      <c r="X9" s="51">
        <f>X3*Watersheds!X123</f>
        <v>72691.488463081871</v>
      </c>
      <c r="Y9" s="51">
        <f>Y3*Watersheds!Y123</f>
        <v>578435.98666543269</v>
      </c>
      <c r="Z9" s="51">
        <f>Z3*Watersheds!Z123</f>
        <v>1740522.0190968886</v>
      </c>
      <c r="AA9" s="51">
        <f>AA3*Watersheds!AA123</f>
        <v>310501.91638817242</v>
      </c>
      <c r="AB9" s="51">
        <f>AB3*Watersheds!AB123</f>
        <v>1118256.7685890032</v>
      </c>
      <c r="AC9" s="51">
        <f>AC3*Watersheds!AC123</f>
        <v>46608.093375328011</v>
      </c>
      <c r="AD9" s="51">
        <f>AD3*Watersheds!AD123</f>
        <v>54441.211277657247</v>
      </c>
      <c r="AE9" s="51">
        <f>AE3*Watersheds!AE123</f>
        <v>65663.160762143409</v>
      </c>
      <c r="AF9" s="51">
        <f>AF3*Watersheds!AF123</f>
        <v>130947.11348153764</v>
      </c>
      <c r="AG9" s="51">
        <f>AG3*Watersheds!AG123</f>
        <v>25765.811486446426</v>
      </c>
      <c r="AH9" s="51">
        <f>AH3*Watersheds!AH123</f>
        <v>1340660.9713842301</v>
      </c>
      <c r="AI9" s="51">
        <f>AI3*Watersheds!AI123</f>
        <v>128358.10151161565</v>
      </c>
      <c r="AJ9" s="51">
        <f>AJ3*Watersheds!AJ123</f>
        <v>574366.93169227615</v>
      </c>
      <c r="AK9" s="51">
        <f>AK3*Watersheds!AK123</f>
        <v>522509.1045987652</v>
      </c>
      <c r="AL9" s="51">
        <f>AL3*Watersheds!AL123</f>
        <v>1064528.7062601969</v>
      </c>
      <c r="AM9" s="51">
        <f>AM3*Watersheds!AM123</f>
        <v>790004.66459855286</v>
      </c>
      <c r="AN9" s="51">
        <f>AN3*Watersheds!AN123</f>
        <v>949734.58489426749</v>
      </c>
      <c r="AO9" s="51">
        <f>SUM(B9:AN9)</f>
        <v>19647267.033658866</v>
      </c>
    </row>
    <row r="10" spans="1:42" s="49" customFormat="1" x14ac:dyDescent="0.25">
      <c r="A10" s="51" t="s">
        <v>794</v>
      </c>
      <c r="B10" s="51">
        <f>B3*(Watersheds!B13+Watersheds!B14)</f>
        <v>506597.70712019998</v>
      </c>
      <c r="C10" s="51">
        <f>C3*(Watersheds!C13+Watersheds!C14)</f>
        <v>31011.809260819999</v>
      </c>
      <c r="D10" s="51">
        <f>D3*(Watersheds!D13+Watersheds!D14)</f>
        <v>200993.56008679999</v>
      </c>
      <c r="E10" s="51">
        <f>E3*(Watersheds!E13+Watersheds!E14)</f>
        <v>215972.39465229999</v>
      </c>
      <c r="F10" s="51">
        <f>F3*(Watersheds!F13+Watersheds!F14)</f>
        <v>550320.38415072998</v>
      </c>
      <c r="G10" s="51">
        <f>G3*(Watersheds!G13+Watersheds!G14)</f>
        <v>0.77492249012000003</v>
      </c>
      <c r="H10" s="51">
        <f>H3*(Watersheds!H13+Watersheds!H14)</f>
        <v>196379.92969290001</v>
      </c>
      <c r="I10" s="51">
        <f>I3*(Watersheds!I13+Watersheds!I14)</f>
        <v>912517.08039946004</v>
      </c>
      <c r="J10" s="51">
        <f>J3*(Watersheds!J13+Watersheds!J14)</f>
        <v>221982.35102209001</v>
      </c>
      <c r="K10" s="51">
        <f>K3*(Watersheds!K13+Watersheds!K14)</f>
        <v>204721.18489547999</v>
      </c>
      <c r="L10" s="51">
        <f>L3*(Watersheds!L13+Watersheds!L14)</f>
        <v>337.23005384470002</v>
      </c>
      <c r="M10" s="51">
        <f>M3*(Watersheds!M13+Watersheds!M14)</f>
        <v>11947.86594354</v>
      </c>
      <c r="N10" s="51">
        <f>N3*(Watersheds!N13+Watersheds!N14)</f>
        <v>412053.655084864</v>
      </c>
      <c r="O10" s="51">
        <f>O3*(Watersheds!O13+Watersheds!O14)</f>
        <v>81246.726180219994</v>
      </c>
      <c r="P10" s="51">
        <f>P3*(Watersheds!P13+Watersheds!P14)</f>
        <v>125732.16555819</v>
      </c>
      <c r="Q10" s="51">
        <f>Q3*(Watersheds!Q13+Watersheds!Q14)</f>
        <v>30208.791063483</v>
      </c>
      <c r="R10" s="51">
        <f>R3*(Watersheds!R13+Watersheds!R14)</f>
        <v>12.3987598419</v>
      </c>
      <c r="S10" s="51">
        <f>S3*(Watersheds!S13+Watersheds!S14)</f>
        <v>24001.311690269999</v>
      </c>
      <c r="T10" s="51">
        <f>T3*(Watersheds!T13+Watersheds!T14)</f>
        <v>20.922906875599999</v>
      </c>
      <c r="U10" s="51">
        <f>U3*(Watersheds!U13+Watersheds!U14)</f>
        <v>1051.294158529</v>
      </c>
      <c r="V10" s="51">
        <f>V3*(Watersheds!V13+Watersheds!V14)</f>
        <v>33050.6132813</v>
      </c>
      <c r="W10" s="51">
        <f>W3*(Watersheds!W13+Watersheds!W14)</f>
        <v>142838.242501842</v>
      </c>
      <c r="X10" s="51">
        <f>X3*(Watersheds!X13+Watersheds!X14)</f>
        <v>1643.5656707959999</v>
      </c>
      <c r="Y10" s="51">
        <f>Y3*(Watersheds!Y13+Watersheds!Y14)</f>
        <v>351132.96567569999</v>
      </c>
      <c r="Z10" s="51">
        <f>Z3*(Watersheds!Z13+Watersheds!Z14)</f>
        <v>893863.22778421</v>
      </c>
      <c r="AA10" s="51">
        <f>AA3*(Watersheds!AA13+Watersheds!AA14)</f>
        <v>8852.2606688300002</v>
      </c>
      <c r="AB10" s="51">
        <f>AB3*(Watersheds!AB13+Watersheds!AB14)</f>
        <v>416636.837872</v>
      </c>
      <c r="AC10" s="51">
        <f>AC3*(Watersheds!AC13+Watersheds!AC14)</f>
        <v>3431.5561253799997</v>
      </c>
      <c r="AD10" s="51">
        <f>AD3*(Watersheds!AD13+Watersheds!AD14)</f>
        <v>27698.831710721999</v>
      </c>
      <c r="AE10" s="51">
        <f>AE3*(Watersheds!AE13+Watersheds!AE14)</f>
        <v>29088.143480120001</v>
      </c>
      <c r="AF10" s="51">
        <f>AF3*(Watersheds!AF13+Watersheds!AF14)</f>
        <v>60570.672050250003</v>
      </c>
      <c r="AG10" s="51">
        <f>AG3*(Watersheds!AG13+Watersheds!AG14)</f>
        <v>13748.49875544</v>
      </c>
      <c r="AH10" s="51">
        <f>AH3*(Watersheds!AH13+Watersheds!AH14)</f>
        <v>662315.56607906998</v>
      </c>
      <c r="AI10" s="51">
        <f>AI3*(Watersheds!AI13+Watersheds!AI14)</f>
        <v>63986.411631870003</v>
      </c>
      <c r="AJ10" s="51">
        <f>AJ3*(Watersheds!AJ13+Watersheds!AJ14)</f>
        <v>43960.983059209997</v>
      </c>
      <c r="AK10" s="51">
        <f>AK3*(Watersheds!AK13+Watersheds!AK14)</f>
        <v>272708.68336565001</v>
      </c>
      <c r="AL10" s="51">
        <f>AL3*(Watersheds!AL13+Watersheds!AL14)</f>
        <v>111687.33896030999</v>
      </c>
      <c r="AM10" s="51">
        <f>AM3*(Watersheds!AM13+Watersheds!AM14)</f>
        <v>420897.62111941999</v>
      </c>
      <c r="AN10" s="51">
        <f>AN3*(Watersheds!AN13+Watersheds!AN14)</f>
        <v>503229.74504463898</v>
      </c>
    </row>
    <row r="11" spans="1:42" s="49" customFormat="1" x14ac:dyDescent="0.25">
      <c r="A11" s="51" t="s">
        <v>793</v>
      </c>
      <c r="B11" s="537">
        <v>0.28417237513778854</v>
      </c>
      <c r="C11" s="537">
        <v>0.10655597160449984</v>
      </c>
      <c r="D11" s="537">
        <v>0.47252537469242134</v>
      </c>
      <c r="E11" s="537">
        <v>0.42187477671095086</v>
      </c>
      <c r="F11" s="537">
        <v>0.26376541245202362</v>
      </c>
      <c r="G11" s="537">
        <v>0</v>
      </c>
      <c r="H11" s="537">
        <v>0.58062698931880075</v>
      </c>
      <c r="I11" s="537">
        <v>0.22210059265180218</v>
      </c>
      <c r="J11" s="537">
        <v>0.11080969880028446</v>
      </c>
      <c r="K11" s="537">
        <v>0.10344437042192502</v>
      </c>
      <c r="L11" s="538">
        <v>0</v>
      </c>
      <c r="M11" s="537">
        <v>0.81346857623317426</v>
      </c>
      <c r="N11" s="537">
        <v>0.50083602575467911</v>
      </c>
      <c r="O11" s="537">
        <v>0</v>
      </c>
      <c r="P11" s="537">
        <v>0.27019104827364215</v>
      </c>
      <c r="Q11" s="537">
        <v>0</v>
      </c>
      <c r="R11" s="538">
        <v>0</v>
      </c>
      <c r="S11" s="537">
        <v>0.8322498405106239</v>
      </c>
      <c r="T11" s="537">
        <v>0</v>
      </c>
      <c r="U11" s="538">
        <v>0</v>
      </c>
      <c r="V11" s="537">
        <v>0.16808625936975363</v>
      </c>
      <c r="W11" s="537">
        <v>2.5770030333808949E-2</v>
      </c>
      <c r="X11" s="537">
        <v>0</v>
      </c>
      <c r="Y11" s="537">
        <v>0.3612532592150845</v>
      </c>
      <c r="Z11" s="537">
        <v>0.24557639172846712</v>
      </c>
      <c r="AA11" s="537">
        <v>0.804014913964609</v>
      </c>
      <c r="AB11" s="537">
        <v>0.41190947002182776</v>
      </c>
      <c r="AC11" s="537">
        <v>0.48189213115532392</v>
      </c>
      <c r="AD11" s="537">
        <v>0.32534227933649762</v>
      </c>
      <c r="AE11" s="537">
        <v>0.23421211294546937</v>
      </c>
      <c r="AF11" s="537">
        <v>0.28825388915654909</v>
      </c>
      <c r="AG11" s="537">
        <v>0.36690175803653918</v>
      </c>
      <c r="AH11" s="537">
        <v>0.25568998687503891</v>
      </c>
      <c r="AI11" s="537">
        <v>0.34414570744436351</v>
      </c>
      <c r="AJ11" s="537">
        <v>0</v>
      </c>
      <c r="AK11" s="537">
        <v>0.25952024764200404</v>
      </c>
      <c r="AL11" s="537">
        <v>0</v>
      </c>
      <c r="AM11" s="537">
        <v>0.37038473474767852</v>
      </c>
      <c r="AN11" s="537">
        <v>0.27500464006477982</v>
      </c>
      <c r="AO11" s="51"/>
      <c r="AP11" s="51"/>
    </row>
    <row r="12" spans="1:42" s="541" customFormat="1" x14ac:dyDescent="0.25">
      <c r="A12" s="452" t="s">
        <v>795</v>
      </c>
      <c r="B12" s="539">
        <f>IFERROR(B10*B11/B9,0)</f>
        <v>0.12162862045707989</v>
      </c>
      <c r="C12" s="539">
        <f t="shared" ref="C12:AN12" si="2">IFERROR(C10*C11/C9,0)</f>
        <v>3.4509966007532943E-2</v>
      </c>
      <c r="D12" s="539">
        <f t="shared" si="2"/>
        <v>0.24709578991294437</v>
      </c>
      <c r="E12" s="539">
        <f t="shared" si="2"/>
        <v>0.17305488422786722</v>
      </c>
      <c r="F12" s="539">
        <f t="shared" si="2"/>
        <v>0.13344368056446523</v>
      </c>
      <c r="G12" s="539">
        <f t="shared" si="2"/>
        <v>0</v>
      </c>
      <c r="H12" s="539">
        <f t="shared" si="2"/>
        <v>0.23905530902913091</v>
      </c>
      <c r="I12" s="539">
        <f t="shared" si="2"/>
        <v>0.11367582714805918</v>
      </c>
      <c r="J12" s="539">
        <f t="shared" si="2"/>
        <v>5.3656655381505505E-2</v>
      </c>
      <c r="K12" s="539">
        <f t="shared" si="2"/>
        <v>2.5851891113865572E-2</v>
      </c>
      <c r="L12" s="539">
        <f t="shared" si="2"/>
        <v>0</v>
      </c>
      <c r="M12" s="539">
        <f t="shared" si="2"/>
        <v>3.6723521776051662E-2</v>
      </c>
      <c r="N12" s="539">
        <f t="shared" si="2"/>
        <v>0.26810751639816716</v>
      </c>
      <c r="O12" s="539">
        <f t="shared" si="2"/>
        <v>0</v>
      </c>
      <c r="P12" s="539">
        <f t="shared" si="2"/>
        <v>0.14048078970924749</v>
      </c>
      <c r="Q12" s="539">
        <f t="shared" si="2"/>
        <v>0</v>
      </c>
      <c r="R12" s="539">
        <f t="shared" si="2"/>
        <v>0</v>
      </c>
      <c r="S12" s="539">
        <f t="shared" si="2"/>
        <v>0.11206426541168817</v>
      </c>
      <c r="T12" s="539">
        <f t="shared" si="2"/>
        <v>0</v>
      </c>
      <c r="U12" s="539">
        <f t="shared" si="2"/>
        <v>0</v>
      </c>
      <c r="V12" s="539">
        <f t="shared" si="2"/>
        <v>8.647405351543494E-2</v>
      </c>
      <c r="W12" s="539">
        <f t="shared" si="2"/>
        <v>6.8820616961626354E-3</v>
      </c>
      <c r="X12" s="539">
        <f t="shared" si="2"/>
        <v>0</v>
      </c>
      <c r="Y12" s="539">
        <f t="shared" si="2"/>
        <v>0.21929466906002484</v>
      </c>
      <c r="Z12" s="539">
        <f t="shared" si="2"/>
        <v>0.12611831609686044</v>
      </c>
      <c r="AA12" s="539">
        <f t="shared" si="2"/>
        <v>2.2922079460353233E-2</v>
      </c>
      <c r="AB12" s="539">
        <f t="shared" si="2"/>
        <v>0.1534680262172422</v>
      </c>
      <c r="AC12" s="539">
        <f t="shared" si="2"/>
        <v>3.5479672620846316E-2</v>
      </c>
      <c r="AD12" s="539">
        <f t="shared" si="2"/>
        <v>0.16552903273522002</v>
      </c>
      <c r="AE12" s="539">
        <f t="shared" si="2"/>
        <v>0.10375369487342201</v>
      </c>
      <c r="AF12" s="539">
        <f t="shared" si="2"/>
        <v>0.13333422420015478</v>
      </c>
      <c r="AG12" s="539">
        <f t="shared" si="2"/>
        <v>0.19577680937344366</v>
      </c>
      <c r="AH12" s="539">
        <f t="shared" si="2"/>
        <v>0.12631639319151688</v>
      </c>
      <c r="AI12" s="539">
        <f t="shared" si="2"/>
        <v>0.17155636176095526</v>
      </c>
      <c r="AJ12" s="539">
        <f t="shared" si="2"/>
        <v>0</v>
      </c>
      <c r="AK12" s="539">
        <f t="shared" si="2"/>
        <v>0.13544917096808348</v>
      </c>
      <c r="AL12" s="539">
        <f t="shared" si="2"/>
        <v>0</v>
      </c>
      <c r="AM12" s="539">
        <f t="shared" si="2"/>
        <v>0.19733308009448786</v>
      </c>
      <c r="AN12" s="539">
        <f t="shared" si="2"/>
        <v>0.14571493668549371</v>
      </c>
      <c r="AO12" s="540">
        <f>AO13/AO9</f>
        <v>0.11410001784020508</v>
      </c>
      <c r="AP12" s="452"/>
    </row>
    <row r="13" spans="1:42" s="49" customFormat="1" x14ac:dyDescent="0.25">
      <c r="A13" s="51" t="s">
        <v>796</v>
      </c>
      <c r="B13" s="51">
        <f>B9*B12</f>
        <v>143961.073671705</v>
      </c>
      <c r="C13" s="51">
        <f t="shared" ref="C13:AN13" si="3">C9*C12</f>
        <v>3304.4934670001007</v>
      </c>
      <c r="D13" s="51">
        <f t="shared" si="3"/>
        <v>94974.557290778874</v>
      </c>
      <c r="E13" s="51">
        <f t="shared" si="3"/>
        <v>91113.305769668412</v>
      </c>
      <c r="F13" s="51">
        <f t="shared" si="3"/>
        <v>145155.48310627337</v>
      </c>
      <c r="G13" s="51">
        <f t="shared" si="3"/>
        <v>0</v>
      </c>
      <c r="H13" s="51">
        <f t="shared" si="3"/>
        <v>114023.4873402263</v>
      </c>
      <c r="I13" s="51">
        <f t="shared" si="3"/>
        <v>202670.5843616123</v>
      </c>
      <c r="J13" s="51">
        <f t="shared" si="3"/>
        <v>24597.797455736811</v>
      </c>
      <c r="K13" s="51">
        <f t="shared" si="3"/>
        <v>21177.254083543434</v>
      </c>
      <c r="L13" s="51">
        <f t="shared" si="3"/>
        <v>0</v>
      </c>
      <c r="M13" s="51">
        <f t="shared" si="3"/>
        <v>9719.2134981163144</v>
      </c>
      <c r="N13" s="51">
        <f t="shared" si="3"/>
        <v>206371.31501039263</v>
      </c>
      <c r="O13" s="51">
        <f t="shared" si="3"/>
        <v>0</v>
      </c>
      <c r="P13" s="51">
        <f t="shared" si="3"/>
        <v>33971.705613882485</v>
      </c>
      <c r="Q13" s="51">
        <f t="shared" si="3"/>
        <v>0</v>
      </c>
      <c r="R13" s="51">
        <f t="shared" si="3"/>
        <v>0</v>
      </c>
      <c r="S13" s="51">
        <f t="shared" si="3"/>
        <v>19975.087826272978</v>
      </c>
      <c r="T13" s="51">
        <f t="shared" si="3"/>
        <v>0</v>
      </c>
      <c r="U13" s="51">
        <f t="shared" si="3"/>
        <v>0</v>
      </c>
      <c r="V13" s="51">
        <f t="shared" si="3"/>
        <v>5555.3539563300164</v>
      </c>
      <c r="W13" s="51">
        <f t="shared" si="3"/>
        <v>3680.9458421004269</v>
      </c>
      <c r="X13" s="51">
        <f t="shared" si="3"/>
        <v>0</v>
      </c>
      <c r="Y13" s="51">
        <f t="shared" si="3"/>
        <v>126847.92826820501</v>
      </c>
      <c r="Z13" s="51">
        <f t="shared" si="3"/>
        <v>219511.70617800718</v>
      </c>
      <c r="AA13" s="51">
        <f t="shared" si="3"/>
        <v>7117.3496000416435</v>
      </c>
      <c r="AB13" s="51">
        <f t="shared" si="3"/>
        <v>171616.65907942571</v>
      </c>
      <c r="AC13" s="51">
        <f t="shared" si="3"/>
        <v>1653.6398944384739</v>
      </c>
      <c r="AD13" s="51">
        <f t="shared" si="3"/>
        <v>9011.6010437243549</v>
      </c>
      <c r="AE13" s="51">
        <f t="shared" si="3"/>
        <v>6812.7955461398842</v>
      </c>
      <c r="AF13" s="51">
        <f t="shared" si="3"/>
        <v>17459.731787310451</v>
      </c>
      <c r="AG13" s="51">
        <f t="shared" si="3"/>
        <v>5044.3483637341069</v>
      </c>
      <c r="AH13" s="51">
        <f t="shared" si="3"/>
        <v>169347.45839789137</v>
      </c>
      <c r="AI13" s="51">
        <f t="shared" si="3"/>
        <v>22020.648897876152</v>
      </c>
      <c r="AJ13" s="51">
        <f t="shared" si="3"/>
        <v>0</v>
      </c>
      <c r="AK13" s="51">
        <f t="shared" si="3"/>
        <v>70773.425041178358</v>
      </c>
      <c r="AL13" s="51">
        <f t="shared" si="3"/>
        <v>0</v>
      </c>
      <c r="AM13" s="51">
        <f t="shared" si="3"/>
        <v>155894.05375424525</v>
      </c>
      <c r="AN13" s="51">
        <f t="shared" si="3"/>
        <v>138390.51490589185</v>
      </c>
      <c r="AO13" s="51">
        <f>SUM(B13:AN13)</f>
        <v>2241753.5190517497</v>
      </c>
      <c r="AP13" s="51"/>
    </row>
    <row r="14" spans="1:42" s="434" customFormat="1" x14ac:dyDescent="0.25">
      <c r="A14" s="433" t="s">
        <v>667</v>
      </c>
      <c r="B14" s="433">
        <f t="shared" ref="B14:AN14" si="4">IFERROR(B8/(B9),0)</f>
        <v>6.9412741819287138</v>
      </c>
      <c r="C14" s="433">
        <f t="shared" si="4"/>
        <v>2.6723143210810627</v>
      </c>
      <c r="D14" s="433">
        <f t="shared" si="4"/>
        <v>19.277201798760416</v>
      </c>
      <c r="E14" s="433">
        <f t="shared" si="4"/>
        <v>10.467685134617785</v>
      </c>
      <c r="F14" s="433">
        <f t="shared" si="4"/>
        <v>4.407646105002522</v>
      </c>
      <c r="G14" s="433">
        <f t="shared" si="4"/>
        <v>7.4551067784935374E-3</v>
      </c>
      <c r="H14" s="433">
        <f t="shared" si="4"/>
        <v>14.276108597575258</v>
      </c>
      <c r="I14" s="433">
        <f t="shared" si="4"/>
        <v>3.0906813372649653</v>
      </c>
      <c r="J14" s="433">
        <f t="shared" si="4"/>
        <v>3.2542638596779137</v>
      </c>
      <c r="K14" s="433">
        <f t="shared" si="4"/>
        <v>1.2905343493535748</v>
      </c>
      <c r="L14" s="433">
        <f t="shared" si="4"/>
        <v>2.850675138190923</v>
      </c>
      <c r="M14" s="433">
        <f t="shared" si="4"/>
        <v>3.7490677682413169</v>
      </c>
      <c r="N14" s="433">
        <f t="shared" si="4"/>
        <v>9.1210816018908858</v>
      </c>
      <c r="O14" s="433">
        <f t="shared" si="4"/>
        <v>0.84199932863249261</v>
      </c>
      <c r="P14" s="433">
        <f t="shared" si="4"/>
        <v>5.6098752470038171</v>
      </c>
      <c r="Q14" s="433">
        <f t="shared" si="4"/>
        <v>0.61749870467769719</v>
      </c>
      <c r="R14" s="433">
        <f t="shared" si="4"/>
        <v>4.0912051902456579</v>
      </c>
      <c r="S14" s="433">
        <f t="shared" si="4"/>
        <v>7.4443046502461003</v>
      </c>
      <c r="T14" s="433">
        <f t="shared" si="4"/>
        <v>1.1788808697896285</v>
      </c>
      <c r="U14" s="433">
        <f t="shared" si="4"/>
        <v>0.9569631879579692</v>
      </c>
      <c r="V14" s="433">
        <f t="shared" si="4"/>
        <v>2.5276125351822603</v>
      </c>
      <c r="W14" s="433">
        <f t="shared" si="4"/>
        <v>0.4778716471242544</v>
      </c>
      <c r="X14" s="433">
        <f t="shared" si="4"/>
        <v>1.7024562612327232</v>
      </c>
      <c r="Y14" s="433">
        <f t="shared" si="4"/>
        <v>11.063043761178248</v>
      </c>
      <c r="Z14" s="433">
        <f t="shared" si="4"/>
        <v>5.5501134044384965</v>
      </c>
      <c r="AA14" s="433">
        <f t="shared" si="4"/>
        <v>1.6434030967044861</v>
      </c>
      <c r="AB14" s="433">
        <f t="shared" si="4"/>
        <v>8.6319228660065388</v>
      </c>
      <c r="AC14" s="433">
        <f t="shared" si="4"/>
        <v>3.7252255605119586</v>
      </c>
      <c r="AD14" s="433">
        <f t="shared" si="4"/>
        <v>6.9778452167338951</v>
      </c>
      <c r="AE14" s="433">
        <f t="shared" si="4"/>
        <v>7.4413703496695653</v>
      </c>
      <c r="AF14" s="433">
        <f t="shared" si="4"/>
        <v>8.3520439474918131</v>
      </c>
      <c r="AG14" s="433">
        <f t="shared" si="4"/>
        <v>22.002590286287457</v>
      </c>
      <c r="AH14" s="433">
        <f t="shared" si="4"/>
        <v>4.8269648502472409</v>
      </c>
      <c r="AI14" s="433">
        <f t="shared" si="4"/>
        <v>5.2383358567293348</v>
      </c>
      <c r="AJ14" s="433">
        <f t="shared" si="4"/>
        <v>0.27754705739032315</v>
      </c>
      <c r="AK14" s="433">
        <f t="shared" si="4"/>
        <v>5.259368832912954</v>
      </c>
      <c r="AL14" s="433">
        <f t="shared" si="4"/>
        <v>1.0050254182985794</v>
      </c>
      <c r="AM14" s="433">
        <f t="shared" si="4"/>
        <v>4.7702482713630587</v>
      </c>
      <c r="AN14" s="433">
        <f t="shared" si="4"/>
        <v>4.4484098691218463</v>
      </c>
    </row>
    <row r="15" spans="1:42" s="434" customFormat="1" x14ac:dyDescent="0.25">
      <c r="A15" s="433" t="s">
        <v>666</v>
      </c>
      <c r="B15" s="433">
        <f t="shared" ref="B15:AN15" si="5">B14*1.12085116</f>
        <v>7.7801352186928492</v>
      </c>
      <c r="C15" s="433">
        <f t="shared" si="5"/>
        <v>2.9952666066683213</v>
      </c>
      <c r="D15" s="433">
        <f t="shared" si="5"/>
        <v>21.606873997694699</v>
      </c>
      <c r="E15" s="433">
        <f t="shared" si="5"/>
        <v>11.7327170256511</v>
      </c>
      <c r="F15" s="433">
        <f t="shared" si="5"/>
        <v>4.9403152496615581</v>
      </c>
      <c r="G15" s="433">
        <f t="shared" si="5"/>
        <v>8.3560650805983433E-3</v>
      </c>
      <c r="H15" s="433">
        <f t="shared" si="5"/>
        <v>16.0013928818782</v>
      </c>
      <c r="I15" s="433">
        <f t="shared" si="5"/>
        <v>3.4641937620637875</v>
      </c>
      <c r="J15" s="433">
        <f t="shared" si="5"/>
        <v>3.6475454220660666</v>
      </c>
      <c r="K15" s="433">
        <f t="shared" si="5"/>
        <v>1.4464969224927995</v>
      </c>
      <c r="L15" s="433">
        <f t="shared" si="5"/>
        <v>3.1951825354244563</v>
      </c>
      <c r="M15" s="433">
        <f t="shared" si="5"/>
        <v>4.202146956951891</v>
      </c>
      <c r="N15" s="433">
        <f t="shared" si="5"/>
        <v>10.223374893934057</v>
      </c>
      <c r="O15" s="433">
        <f t="shared" si="5"/>
        <v>0.94375592421695054</v>
      </c>
      <c r="P15" s="433">
        <f t="shared" si="5"/>
        <v>6.287835178059515</v>
      </c>
      <c r="Q15" s="433">
        <f t="shared" si="5"/>
        <v>0.69212413943649431</v>
      </c>
      <c r="R15" s="433">
        <f t="shared" si="5"/>
        <v>4.5856320832848665</v>
      </c>
      <c r="S15" s="433">
        <f t="shared" si="5"/>
        <v>8.3439575026217359</v>
      </c>
      <c r="T15" s="433">
        <f t="shared" si="5"/>
        <v>1.3213499904055139</v>
      </c>
      <c r="U15" s="433">
        <f t="shared" si="5"/>
        <v>1.0726132992999877</v>
      </c>
      <c r="V15" s="433">
        <f t="shared" si="5"/>
        <v>2.8330774420895772</v>
      </c>
      <c r="W15" s="433">
        <f t="shared" si="5"/>
        <v>0.5356229900103312</v>
      </c>
      <c r="X15" s="433">
        <f t="shared" si="5"/>
        <v>1.9082000752519608</v>
      </c>
      <c r="Y15" s="433">
        <f t="shared" si="5"/>
        <v>12.400025432847402</v>
      </c>
      <c r="Z15" s="433">
        <f t="shared" si="5"/>
        <v>6.2208510474964376</v>
      </c>
      <c r="AA15" s="433">
        <f t="shared" si="5"/>
        <v>1.8420102672888155</v>
      </c>
      <c r="AB15" s="433">
        <f t="shared" si="5"/>
        <v>9.6751007573939525</v>
      </c>
      <c r="AC15" s="433">
        <f t="shared" si="5"/>
        <v>4.1754233907614786</v>
      </c>
      <c r="AD15" s="433">
        <f t="shared" si="5"/>
        <v>7.8211259054766371</v>
      </c>
      <c r="AE15" s="433">
        <f t="shared" si="5"/>
        <v>8.3406685884167384</v>
      </c>
      <c r="AF15" s="433">
        <f t="shared" si="5"/>
        <v>9.3613981469171783</v>
      </c>
      <c r="AG15" s="433">
        <f t="shared" si="5"/>
        <v>24.661628845390027</v>
      </c>
      <c r="AH15" s="433">
        <f t="shared" si="5"/>
        <v>5.4103091516788462</v>
      </c>
      <c r="AI15" s="433">
        <f t="shared" si="5"/>
        <v>5.8713948214846683</v>
      </c>
      <c r="AJ15" s="433">
        <f t="shared" si="5"/>
        <v>0.31108894123053027</v>
      </c>
      <c r="AK15" s="433">
        <f t="shared" si="5"/>
        <v>5.8949696572383301</v>
      </c>
      <c r="AL15" s="433">
        <f t="shared" si="5"/>
        <v>1.1264839059294478</v>
      </c>
      <c r="AM15" s="433">
        <f t="shared" si="5"/>
        <v>5.3467383084452793</v>
      </c>
      <c r="AN15" s="433">
        <f t="shared" si="5"/>
        <v>4.986005361960669</v>
      </c>
    </row>
    <row r="16" spans="1:42" x14ac:dyDescent="0.25">
      <c r="A16" s="21" t="s">
        <v>104</v>
      </c>
      <c r="B16" s="21">
        <f>VLOOKUP(B15, Parameters!$AS$3:$AT$8, 2, TRUE)</f>
        <v>2</v>
      </c>
      <c r="C16" s="21">
        <f>VLOOKUP(C15, Parameters!$AS$3:$AT$8, 2, TRUE)</f>
        <v>1</v>
      </c>
      <c r="D16" s="21">
        <f>VLOOKUP(D15, Parameters!$AS$3:$AT$8, 2, TRUE)</f>
        <v>8</v>
      </c>
      <c r="E16" s="21">
        <f>VLOOKUP(E15, Parameters!$AS$3:$AT$8, 2, TRUE)</f>
        <v>8</v>
      </c>
      <c r="F16" s="21">
        <f>VLOOKUP(F15, Parameters!$AS$3:$AT$8, 2, TRUE)</f>
        <v>1</v>
      </c>
      <c r="G16" s="21">
        <f>VLOOKUP(G15, Parameters!$AS$3:$AT$8, 2, TRUE)</f>
        <v>0</v>
      </c>
      <c r="H16" s="21">
        <f>VLOOKUP(H15, Parameters!$AS$3:$AT$8, 2, TRUE)</f>
        <v>8</v>
      </c>
      <c r="I16" s="21">
        <f>VLOOKUP(I15, Parameters!$AS$3:$AT$8, 2, TRUE)</f>
        <v>1</v>
      </c>
      <c r="J16" s="21">
        <f>VLOOKUP(J15, Parameters!$AS$3:$AT$8, 2, TRUE)</f>
        <v>1</v>
      </c>
      <c r="K16" s="21">
        <f>VLOOKUP(K15, Parameters!$AS$3:$AT$8, 2, TRUE)</f>
        <v>0</v>
      </c>
      <c r="L16" s="21">
        <f>VLOOKUP(L15, Parameters!$AS$3:$AT$8, 2, TRUE)</f>
        <v>1</v>
      </c>
      <c r="M16" s="21">
        <f>VLOOKUP(M15, Parameters!$AS$3:$AT$8, 2, TRUE)</f>
        <v>1</v>
      </c>
      <c r="N16" s="21">
        <f>VLOOKUP(N15, Parameters!$AS$3:$AT$8, 2, TRUE)</f>
        <v>4</v>
      </c>
      <c r="O16" s="21">
        <f>VLOOKUP(O15, Parameters!$AS$3:$AT$8, 2, TRUE)</f>
        <v>0</v>
      </c>
      <c r="P16" s="21">
        <f>VLOOKUP(P15, Parameters!$AS$3:$AT$8, 2, TRUE)</f>
        <v>1</v>
      </c>
      <c r="Q16" s="21">
        <f>VLOOKUP(Q15, Parameters!$AS$3:$AT$8, 2, TRUE)</f>
        <v>0</v>
      </c>
      <c r="R16" s="21">
        <v>0</v>
      </c>
      <c r="S16" s="21">
        <f>VLOOKUP(S15, Parameters!$AS$3:$AT$8, 2, TRUE)</f>
        <v>2</v>
      </c>
      <c r="T16" s="21">
        <f>VLOOKUP(T15, Parameters!$AS$3:$AT$8, 2, TRUE)</f>
        <v>0</v>
      </c>
      <c r="U16" s="21">
        <f>VLOOKUP(U15, Parameters!$AS$3:$AT$8, 2, TRUE)</f>
        <v>0</v>
      </c>
      <c r="V16" s="21">
        <f>VLOOKUP(V15, Parameters!$AS$3:$AT$8, 2, TRUE)</f>
        <v>1</v>
      </c>
      <c r="W16" s="21">
        <f>VLOOKUP(W15, Parameters!$AS$3:$AT$8, 2, TRUE)</f>
        <v>0</v>
      </c>
      <c r="X16" s="21">
        <f>VLOOKUP(X15, Parameters!$AS$3:$AT$8, 2, TRUE)</f>
        <v>0</v>
      </c>
      <c r="Y16" s="21">
        <f>VLOOKUP(Y15, Parameters!$AS$3:$AT$8, 2, TRUE)</f>
        <v>8</v>
      </c>
      <c r="Z16" s="21">
        <f>VLOOKUP(Z15, Parameters!$AS$3:$AT$8, 2, TRUE)</f>
        <v>1</v>
      </c>
      <c r="AA16" s="21">
        <f>VLOOKUP(AA15, Parameters!$AS$3:$AT$8, 2, TRUE)</f>
        <v>0</v>
      </c>
      <c r="AB16" s="21">
        <f>VLOOKUP(AB15, Parameters!$AS$3:$AT$8, 2, TRUE)</f>
        <v>4</v>
      </c>
      <c r="AC16" s="21">
        <f>VLOOKUP(AC15, Parameters!$AS$3:$AT$8, 2, TRUE)</f>
        <v>1</v>
      </c>
      <c r="AD16" s="21">
        <f>VLOOKUP(AD15, Parameters!$AS$3:$AT$8, 2, TRUE)</f>
        <v>2</v>
      </c>
      <c r="AE16" s="21">
        <f>VLOOKUP(AE15, Parameters!$AS$3:$AT$8, 2, TRUE)</f>
        <v>2</v>
      </c>
      <c r="AF16" s="21">
        <f>VLOOKUP(AF15, Parameters!$AS$3:$AT$8, 2, TRUE)</f>
        <v>4</v>
      </c>
      <c r="AG16" s="21">
        <f>VLOOKUP(AG15, Parameters!$AS$3:$AT$8, 2, TRUE)</f>
        <v>8</v>
      </c>
      <c r="AH16" s="21">
        <f>VLOOKUP(AH15, Parameters!$AS$3:$AT$8, 2, TRUE)</f>
        <v>1</v>
      </c>
      <c r="AI16" s="21">
        <f>VLOOKUP(AI15, Parameters!$AS$3:$AT$8, 2, TRUE)</f>
        <v>1</v>
      </c>
      <c r="AJ16" s="21">
        <f>VLOOKUP(AJ15, Parameters!$AS$3:$AT$8, 2, TRUE)</f>
        <v>0</v>
      </c>
      <c r="AK16" s="21">
        <f>VLOOKUP(AK15, Parameters!$AS$3:$AT$8, 2, TRUE)</f>
        <v>1</v>
      </c>
      <c r="AL16" s="21">
        <f>VLOOKUP(AL15, Parameters!$AS$3:$AT$8, 2, TRUE)</f>
        <v>0</v>
      </c>
      <c r="AM16" s="21">
        <f>VLOOKUP(AM15, Parameters!$AS$3:$AT$8, 2, TRUE)</f>
        <v>1</v>
      </c>
      <c r="AN16" s="21">
        <f>VLOOKUP(AN15, Parameters!$AS$3:$AT$8, 2, TRUE)</f>
        <v>1</v>
      </c>
    </row>
    <row r="17" spans="1:40" x14ac:dyDescent="0.25">
      <c r="A17" s="21" t="s">
        <v>103</v>
      </c>
      <c r="B17" s="31">
        <f t="shared" ref="B17:AN17" si="6">B16*0.5</f>
        <v>1</v>
      </c>
      <c r="C17" s="31">
        <f t="shared" si="6"/>
        <v>0.5</v>
      </c>
      <c r="D17" s="31">
        <f t="shared" si="6"/>
        <v>4</v>
      </c>
      <c r="E17" s="31">
        <f t="shared" si="6"/>
        <v>4</v>
      </c>
      <c r="F17" s="31">
        <f t="shared" si="6"/>
        <v>0.5</v>
      </c>
      <c r="G17" s="31">
        <f t="shared" si="6"/>
        <v>0</v>
      </c>
      <c r="H17" s="31">
        <f t="shared" si="6"/>
        <v>4</v>
      </c>
      <c r="I17" s="31">
        <f t="shared" si="6"/>
        <v>0.5</v>
      </c>
      <c r="J17" s="31">
        <f t="shared" si="6"/>
        <v>0.5</v>
      </c>
      <c r="K17" s="31">
        <f t="shared" si="6"/>
        <v>0</v>
      </c>
      <c r="L17" s="31">
        <f t="shared" si="6"/>
        <v>0.5</v>
      </c>
      <c r="M17" s="31">
        <f t="shared" si="6"/>
        <v>0.5</v>
      </c>
      <c r="N17" s="31">
        <f t="shared" si="6"/>
        <v>2</v>
      </c>
      <c r="O17" s="31">
        <f t="shared" si="6"/>
        <v>0</v>
      </c>
      <c r="P17" s="31">
        <f t="shared" si="6"/>
        <v>0.5</v>
      </c>
      <c r="Q17" s="31">
        <f t="shared" si="6"/>
        <v>0</v>
      </c>
      <c r="R17" s="31">
        <f t="shared" si="6"/>
        <v>0</v>
      </c>
      <c r="S17" s="31">
        <f t="shared" si="6"/>
        <v>1</v>
      </c>
      <c r="T17" s="31">
        <f t="shared" si="6"/>
        <v>0</v>
      </c>
      <c r="U17" s="31">
        <f t="shared" si="6"/>
        <v>0</v>
      </c>
      <c r="V17" s="31">
        <f t="shared" si="6"/>
        <v>0.5</v>
      </c>
      <c r="W17" s="31">
        <f t="shared" si="6"/>
        <v>0</v>
      </c>
      <c r="X17" s="31">
        <f t="shared" si="6"/>
        <v>0</v>
      </c>
      <c r="Y17" s="31">
        <f t="shared" si="6"/>
        <v>4</v>
      </c>
      <c r="Z17" s="31">
        <f t="shared" si="6"/>
        <v>0.5</v>
      </c>
      <c r="AA17" s="31">
        <f t="shared" si="6"/>
        <v>0</v>
      </c>
      <c r="AB17" s="31">
        <f t="shared" si="6"/>
        <v>2</v>
      </c>
      <c r="AC17" s="31">
        <f t="shared" si="6"/>
        <v>0.5</v>
      </c>
      <c r="AD17" s="31">
        <f t="shared" si="6"/>
        <v>1</v>
      </c>
      <c r="AE17" s="31">
        <f t="shared" si="6"/>
        <v>1</v>
      </c>
      <c r="AF17" s="31">
        <f t="shared" si="6"/>
        <v>2</v>
      </c>
      <c r="AG17" s="31">
        <f t="shared" si="6"/>
        <v>4</v>
      </c>
      <c r="AH17" s="31">
        <f t="shared" si="6"/>
        <v>0.5</v>
      </c>
      <c r="AI17" s="31">
        <f t="shared" si="6"/>
        <v>0.5</v>
      </c>
      <c r="AJ17" s="31">
        <f t="shared" si="6"/>
        <v>0</v>
      </c>
      <c r="AK17" s="31">
        <f t="shared" si="6"/>
        <v>0.5</v>
      </c>
      <c r="AL17" s="31">
        <f t="shared" si="6"/>
        <v>0</v>
      </c>
      <c r="AM17" s="31">
        <f t="shared" si="6"/>
        <v>0.5</v>
      </c>
      <c r="AN17" s="31">
        <f t="shared" si="6"/>
        <v>0.5</v>
      </c>
    </row>
    <row r="18" spans="1:40" x14ac:dyDescent="0.25">
      <c r="A18" s="54" t="s">
        <v>85</v>
      </c>
      <c r="B18" s="163">
        <f>VLOOKUP(B15, Parameters!$AV$3:$AX$8, 1, TRUE)</f>
        <v>7</v>
      </c>
      <c r="C18" s="163">
        <f>VLOOKUP(C15, Parameters!$AV$3:$AX$8, 1, TRUE)</f>
        <v>0</v>
      </c>
      <c r="D18" s="163">
        <f>VLOOKUP(D15, Parameters!$AV$3:$AX$8, 1, TRUE)</f>
        <v>11</v>
      </c>
      <c r="E18" s="163">
        <f>VLOOKUP(E15, Parameters!$AV$3:$AX$8, 1, TRUE)</f>
        <v>11</v>
      </c>
      <c r="F18" s="163">
        <f>VLOOKUP(F15, Parameters!$AV$3:$AX$8, 1, TRUE)</f>
        <v>3</v>
      </c>
      <c r="G18" s="163">
        <f>VLOOKUP(G15, Parameters!$AV$3:$AX$8, 1, TRUE)</f>
        <v>0</v>
      </c>
      <c r="H18" s="163">
        <f>VLOOKUP(H15, Parameters!$AV$3:$AX$8, 1, TRUE)</f>
        <v>11</v>
      </c>
      <c r="I18" s="163">
        <f>VLOOKUP(I15, Parameters!$AV$3:$AX$8, 1, TRUE)</f>
        <v>3</v>
      </c>
      <c r="J18" s="163">
        <f>VLOOKUP(J15, Parameters!$AV$3:$AX$8, 1, TRUE)</f>
        <v>3</v>
      </c>
      <c r="K18" s="163">
        <f>VLOOKUP(K15, Parameters!$AV$3:$AX$8, 1, TRUE)</f>
        <v>0</v>
      </c>
      <c r="L18" s="163">
        <f>VLOOKUP(L15, Parameters!$AV$3:$AX$8, 1, TRUE)</f>
        <v>3</v>
      </c>
      <c r="M18" s="163">
        <f>VLOOKUP(M15, Parameters!$AV$3:$AX$8, 1, TRUE)</f>
        <v>3</v>
      </c>
      <c r="N18" s="163">
        <f>VLOOKUP(N15, Parameters!$AV$3:$AX$8, 1, TRUE)</f>
        <v>9</v>
      </c>
      <c r="O18" s="163">
        <f>VLOOKUP(O15, Parameters!$AV$3:$AX$8, 1, TRUE)</f>
        <v>0</v>
      </c>
      <c r="P18" s="163">
        <f>VLOOKUP(P15, Parameters!$AV$3:$AX$8, 1, TRUE)</f>
        <v>3</v>
      </c>
      <c r="Q18" s="163">
        <f>VLOOKUP(Q15, Parameters!$AV$3:$AX$8, 1, TRUE)</f>
        <v>0</v>
      </c>
      <c r="R18" s="163">
        <f>VLOOKUP(R15, Parameters!$AV$3:$AX$8, 1, TRUE)</f>
        <v>3</v>
      </c>
      <c r="S18" s="163">
        <f>VLOOKUP(S15, Parameters!$AV$3:$AX$8, 1, TRUE)</f>
        <v>7</v>
      </c>
      <c r="T18" s="163">
        <f>VLOOKUP(T15, Parameters!$AV$3:$AX$8, 1, TRUE)</f>
        <v>0</v>
      </c>
      <c r="U18" s="163">
        <f>VLOOKUP(U15, Parameters!$AV$3:$AX$8, 1, TRUE)</f>
        <v>0</v>
      </c>
      <c r="V18" s="163">
        <f>VLOOKUP(V15, Parameters!$AV$3:$AX$8, 1, TRUE)</f>
        <v>0</v>
      </c>
      <c r="W18" s="163">
        <f>VLOOKUP(W15, Parameters!$AV$3:$AX$8, 1, TRUE)</f>
        <v>0</v>
      </c>
      <c r="X18" s="163">
        <f>VLOOKUP(X15, Parameters!$AV$3:$AX$8, 1, TRUE)</f>
        <v>0</v>
      </c>
      <c r="Y18" s="163">
        <f>VLOOKUP(Y15, Parameters!$AV$3:$AX$8, 1, TRUE)</f>
        <v>11</v>
      </c>
      <c r="Z18" s="163">
        <f>VLOOKUP(Z15, Parameters!$AV$3:$AX$8, 1, TRUE)</f>
        <v>3</v>
      </c>
      <c r="AA18" s="163">
        <f>VLOOKUP(AA15, Parameters!$AV$3:$AX$8, 1, TRUE)</f>
        <v>0</v>
      </c>
      <c r="AB18" s="163">
        <f>VLOOKUP(AB15, Parameters!$AV$3:$AX$8, 1, TRUE)</f>
        <v>9</v>
      </c>
      <c r="AC18" s="163">
        <f>VLOOKUP(AC15, Parameters!$AV$3:$AX$8, 1, TRUE)</f>
        <v>3</v>
      </c>
      <c r="AD18" s="163">
        <f>VLOOKUP(AD15, Parameters!$AV$3:$AX$8, 1, TRUE)</f>
        <v>7</v>
      </c>
      <c r="AE18" s="163">
        <f>VLOOKUP(AE15, Parameters!$AV$3:$AX$8, 1, TRUE)</f>
        <v>7</v>
      </c>
      <c r="AF18" s="163">
        <f>VLOOKUP(AF15, Parameters!$AV$3:$AX$8, 1, TRUE)</f>
        <v>9</v>
      </c>
      <c r="AG18" s="163">
        <f>VLOOKUP(AG15, Parameters!$AV$3:$AX$8, 1, TRUE)</f>
        <v>11</v>
      </c>
      <c r="AH18" s="163">
        <f>VLOOKUP(AH15, Parameters!$AV$3:$AX$8, 1, TRUE)</f>
        <v>3</v>
      </c>
      <c r="AI18" s="163">
        <f>VLOOKUP(AI15, Parameters!$AV$3:$AX$8, 1, TRUE)</f>
        <v>3</v>
      </c>
      <c r="AJ18" s="163">
        <f>VLOOKUP(AJ15, Parameters!$AV$3:$AX$8, 1, TRUE)</f>
        <v>0</v>
      </c>
      <c r="AK18" s="163">
        <f>VLOOKUP(AK15, Parameters!$AV$3:$AX$8, 1, TRUE)</f>
        <v>3</v>
      </c>
      <c r="AL18" s="163">
        <f>VLOOKUP(AL15, Parameters!$AV$3:$AX$8, 1, TRUE)</f>
        <v>0</v>
      </c>
      <c r="AM18" s="163">
        <f>VLOOKUP(AM15, Parameters!$AV$3:$AX$8, 1, TRUE)</f>
        <v>3</v>
      </c>
      <c r="AN18" s="163">
        <f>VLOOKUP(AN15, Parameters!$AV$3:$AX$8, 1, TRUE)</f>
        <v>3</v>
      </c>
    </row>
    <row r="19" spans="1:40" x14ac:dyDescent="0.25">
      <c r="A19" s="54" t="s">
        <v>104</v>
      </c>
      <c r="B19" s="163">
        <f>VLOOKUP(B15, Parameters!$AV$3:$AX$8, 2, TRUE)</f>
        <v>2</v>
      </c>
      <c r="C19" s="163">
        <f>VLOOKUP(C15, Parameters!$AV$3:$AX$8, 2, TRUE)</f>
        <v>0</v>
      </c>
      <c r="D19" s="163">
        <f>VLOOKUP(D15, Parameters!$AV$3:$AX$8, 2, TRUE)</f>
        <v>8</v>
      </c>
      <c r="E19" s="163">
        <f>VLOOKUP(E15, Parameters!$AV$3:$AX$8, 2, TRUE)</f>
        <v>8</v>
      </c>
      <c r="F19" s="163">
        <f>VLOOKUP(F15, Parameters!$AV$3:$AX$8, 2, TRUE)</f>
        <v>1</v>
      </c>
      <c r="G19" s="163">
        <f>VLOOKUP(G15, Parameters!$AV$3:$AX$8, 2, TRUE)</f>
        <v>0</v>
      </c>
      <c r="H19" s="163">
        <f>VLOOKUP(H15, Parameters!$AV$3:$AX$8, 2, TRUE)</f>
        <v>8</v>
      </c>
      <c r="I19" s="163">
        <f>VLOOKUP(I15, Parameters!$AV$3:$AX$8, 2, TRUE)</f>
        <v>1</v>
      </c>
      <c r="J19" s="163">
        <f>VLOOKUP(J15, Parameters!$AV$3:$AX$8, 2, TRUE)</f>
        <v>1</v>
      </c>
      <c r="K19" s="163">
        <f>VLOOKUP(K15, Parameters!$AV$3:$AX$8, 2, TRUE)</f>
        <v>0</v>
      </c>
      <c r="L19" s="163">
        <f>VLOOKUP(L15, Parameters!$AV$3:$AX$8, 2, TRUE)</f>
        <v>1</v>
      </c>
      <c r="M19" s="163">
        <f>VLOOKUP(M15, Parameters!$AV$3:$AX$8, 2, TRUE)</f>
        <v>1</v>
      </c>
      <c r="N19" s="163">
        <f>VLOOKUP(N15, Parameters!$AV$3:$AX$8, 2, TRUE)</f>
        <v>4</v>
      </c>
      <c r="O19" s="163">
        <f>VLOOKUP(O15, Parameters!$AV$3:$AX$8, 2, TRUE)</f>
        <v>0</v>
      </c>
      <c r="P19" s="163">
        <f>VLOOKUP(P15, Parameters!$AV$3:$AX$8, 2, TRUE)</f>
        <v>1</v>
      </c>
      <c r="Q19" s="163">
        <f>VLOOKUP(Q15, Parameters!$AV$3:$AX$8, 2, TRUE)</f>
        <v>0</v>
      </c>
      <c r="R19" s="163">
        <f>VLOOKUP(R15, Parameters!$AV$3:$AX$8, 2, TRUE)</f>
        <v>1</v>
      </c>
      <c r="S19" s="163">
        <f>VLOOKUP(S15, Parameters!$AV$3:$AX$8, 2, TRUE)</f>
        <v>2</v>
      </c>
      <c r="T19" s="163">
        <f>VLOOKUP(T15, Parameters!$AV$3:$AX$8, 2, TRUE)</f>
        <v>0</v>
      </c>
      <c r="U19" s="163">
        <f>VLOOKUP(U15, Parameters!$AV$3:$AX$8, 2, TRUE)</f>
        <v>0</v>
      </c>
      <c r="V19" s="163">
        <f>VLOOKUP(V15, Parameters!$AV$3:$AX$8, 2, TRUE)</f>
        <v>0</v>
      </c>
      <c r="W19" s="163">
        <f>VLOOKUP(W15, Parameters!$AV$3:$AX$8, 2, TRUE)</f>
        <v>0</v>
      </c>
      <c r="X19" s="163">
        <f>VLOOKUP(X15, Parameters!$AV$3:$AX$8, 2, TRUE)</f>
        <v>0</v>
      </c>
      <c r="Y19" s="163">
        <f>VLOOKUP(Y15, Parameters!$AV$3:$AX$8, 2, TRUE)</f>
        <v>8</v>
      </c>
      <c r="Z19" s="163">
        <f>VLOOKUP(Z15, Parameters!$AV$3:$AX$8, 2, TRUE)</f>
        <v>1</v>
      </c>
      <c r="AA19" s="163">
        <f>VLOOKUP(AA15, Parameters!$AV$3:$AX$8, 2, TRUE)</f>
        <v>0</v>
      </c>
      <c r="AB19" s="163">
        <f>VLOOKUP(AB15, Parameters!$AV$3:$AX$8, 2, TRUE)</f>
        <v>4</v>
      </c>
      <c r="AC19" s="163">
        <f>VLOOKUP(AC15, Parameters!$AV$3:$AX$8, 2, TRUE)</f>
        <v>1</v>
      </c>
      <c r="AD19" s="163">
        <f>VLOOKUP(AD15, Parameters!$AV$3:$AX$8, 2, TRUE)</f>
        <v>2</v>
      </c>
      <c r="AE19" s="163">
        <f>VLOOKUP(AE15, Parameters!$AV$3:$AX$8, 2, TRUE)</f>
        <v>2</v>
      </c>
      <c r="AF19" s="163">
        <f>VLOOKUP(AF15, Parameters!$AV$3:$AX$8, 2, TRUE)</f>
        <v>4</v>
      </c>
      <c r="AG19" s="163">
        <f>VLOOKUP(AG15, Parameters!$AV$3:$AX$8, 2, TRUE)</f>
        <v>8</v>
      </c>
      <c r="AH19" s="163">
        <f>VLOOKUP(AH15, Parameters!$AV$3:$AX$8, 2, TRUE)</f>
        <v>1</v>
      </c>
      <c r="AI19" s="163">
        <f>VLOOKUP(AI15, Parameters!$AV$3:$AX$8, 2, TRUE)</f>
        <v>1</v>
      </c>
      <c r="AJ19" s="163">
        <f>VLOOKUP(AJ15, Parameters!$AV$3:$AX$8, 2, TRUE)</f>
        <v>0</v>
      </c>
      <c r="AK19" s="163">
        <f>VLOOKUP(AK15, Parameters!$AV$3:$AX$8, 2, TRUE)</f>
        <v>1</v>
      </c>
      <c r="AL19" s="163">
        <f>VLOOKUP(AL15, Parameters!$AV$3:$AX$8, 2, TRUE)</f>
        <v>0</v>
      </c>
      <c r="AM19" s="163">
        <f>VLOOKUP(AM15, Parameters!$AV$3:$AX$8, 2, TRUE)</f>
        <v>1</v>
      </c>
      <c r="AN19" s="163">
        <f>VLOOKUP(AN15, Parameters!$AV$3:$AX$8, 2, TRUE)</f>
        <v>1</v>
      </c>
    </row>
    <row r="20" spans="1:40" x14ac:dyDescent="0.25">
      <c r="A20" s="54" t="s">
        <v>83</v>
      </c>
      <c r="B20" s="55">
        <f>VLOOKUP(B15, Parameters!$AV$3:$AX$8, 3, TRUE)</f>
        <v>1</v>
      </c>
      <c r="C20" s="55">
        <f>VLOOKUP(C15, Parameters!$AV$3:$AX$8, 3, TRUE)</f>
        <v>0.33333333333333331</v>
      </c>
      <c r="D20" s="55">
        <f>VLOOKUP(D15, Parameters!$AV$3:$AX$8, 3, TRUE)</f>
        <v>0</v>
      </c>
      <c r="E20" s="55">
        <f>VLOOKUP(E15, Parameters!$AV$3:$AX$8, 3, TRUE)</f>
        <v>0</v>
      </c>
      <c r="F20" s="55">
        <f>VLOOKUP(F15, Parameters!$AV$3:$AX$8, 3, TRUE)</f>
        <v>0.25</v>
      </c>
      <c r="G20" s="55">
        <f>VLOOKUP(G15, Parameters!$AV$3:$AX$8, 3, TRUE)</f>
        <v>0.33333333333333331</v>
      </c>
      <c r="H20" s="55">
        <f>VLOOKUP(H15, Parameters!$AV$3:$AX$8, 3, TRUE)</f>
        <v>0</v>
      </c>
      <c r="I20" s="55">
        <f>VLOOKUP(I15, Parameters!$AV$3:$AX$8, 3, TRUE)</f>
        <v>0.25</v>
      </c>
      <c r="J20" s="55">
        <f>VLOOKUP(J15, Parameters!$AV$3:$AX$8, 3, TRUE)</f>
        <v>0.25</v>
      </c>
      <c r="K20" s="55">
        <f>VLOOKUP(K15, Parameters!$AV$3:$AX$8, 3, TRUE)</f>
        <v>0.33333333333333331</v>
      </c>
      <c r="L20" s="55">
        <f>VLOOKUP(L15, Parameters!$AV$3:$AX$8, 3, TRUE)</f>
        <v>0.25</v>
      </c>
      <c r="M20" s="55">
        <f>VLOOKUP(M15, Parameters!$AV$3:$AX$8, 3, TRUE)</f>
        <v>0.25</v>
      </c>
      <c r="N20" s="55">
        <f>VLOOKUP(N15, Parameters!$AV$3:$AX$8, 3, TRUE)</f>
        <v>2</v>
      </c>
      <c r="O20" s="55">
        <f>VLOOKUP(O15, Parameters!$AV$3:$AX$8, 3, TRUE)</f>
        <v>0.33333333333333331</v>
      </c>
      <c r="P20" s="55">
        <f>VLOOKUP(P15, Parameters!$AV$3:$AX$8, 3, TRUE)</f>
        <v>0.25</v>
      </c>
      <c r="Q20" s="55">
        <f>VLOOKUP(Q15, Parameters!$AV$3:$AX$8, 3, TRUE)</f>
        <v>0.33333333333333331</v>
      </c>
      <c r="R20" s="55">
        <f>VLOOKUP(R15, Parameters!$AV$3:$AX$8, 3, TRUE)</f>
        <v>0.25</v>
      </c>
      <c r="S20" s="55">
        <f>VLOOKUP(S15, Parameters!$AV$3:$AX$8, 3, TRUE)</f>
        <v>1</v>
      </c>
      <c r="T20" s="55">
        <f>VLOOKUP(T15, Parameters!$AV$3:$AX$8, 3, TRUE)</f>
        <v>0.33333333333333331</v>
      </c>
      <c r="U20" s="55">
        <f>VLOOKUP(U15, Parameters!$AV$3:$AX$8, 3, TRUE)</f>
        <v>0.33333333333333331</v>
      </c>
      <c r="V20" s="55">
        <f>VLOOKUP(V15, Parameters!$AV$3:$AX$8, 3, TRUE)</f>
        <v>0.33333333333333331</v>
      </c>
      <c r="W20" s="55">
        <f>VLOOKUP(W15, Parameters!$AV$3:$AX$8, 3, TRUE)</f>
        <v>0.33333333333333331</v>
      </c>
      <c r="X20" s="55">
        <f>VLOOKUP(X15, Parameters!$AV$3:$AX$8, 3, TRUE)</f>
        <v>0.33333333333333331</v>
      </c>
      <c r="Y20" s="55">
        <f>VLOOKUP(Y15, Parameters!$AV$3:$AX$8, 3, TRUE)</f>
        <v>0</v>
      </c>
      <c r="Z20" s="55">
        <f>VLOOKUP(Z15, Parameters!$AV$3:$AX$8, 3, TRUE)</f>
        <v>0.25</v>
      </c>
      <c r="AA20" s="55">
        <f>VLOOKUP(AA15, Parameters!$AV$3:$AX$8, 3, TRUE)</f>
        <v>0.33333333333333331</v>
      </c>
      <c r="AB20" s="55">
        <f>VLOOKUP(AB15, Parameters!$AV$3:$AX$8, 3, TRUE)</f>
        <v>2</v>
      </c>
      <c r="AC20" s="55">
        <f>VLOOKUP(AC15, Parameters!$AV$3:$AX$8, 3, TRUE)</f>
        <v>0.25</v>
      </c>
      <c r="AD20" s="55">
        <f>VLOOKUP(AD15, Parameters!$AV$3:$AX$8, 3, TRUE)</f>
        <v>1</v>
      </c>
      <c r="AE20" s="55">
        <f>VLOOKUP(AE15, Parameters!$AV$3:$AX$8, 3, TRUE)</f>
        <v>1</v>
      </c>
      <c r="AF20" s="55">
        <f>VLOOKUP(AF15, Parameters!$AV$3:$AX$8, 3, TRUE)</f>
        <v>2</v>
      </c>
      <c r="AG20" s="55">
        <f>VLOOKUP(AG15, Parameters!$AV$3:$AX$8, 3, TRUE)</f>
        <v>0</v>
      </c>
      <c r="AH20" s="55">
        <f>VLOOKUP(AH15, Parameters!$AV$3:$AX$8, 3, TRUE)</f>
        <v>0.25</v>
      </c>
      <c r="AI20" s="55">
        <f>VLOOKUP(AI15, Parameters!$AV$3:$AX$8, 3, TRUE)</f>
        <v>0.25</v>
      </c>
      <c r="AJ20" s="55">
        <f>VLOOKUP(AJ15, Parameters!$AV$3:$AX$8, 3, TRUE)</f>
        <v>0.33333333333333331</v>
      </c>
      <c r="AK20" s="55">
        <f>VLOOKUP(AK15, Parameters!$AV$3:$AX$8, 3, TRUE)</f>
        <v>0.25</v>
      </c>
      <c r="AL20" s="55">
        <f>VLOOKUP(AL15, Parameters!$AV$3:$AX$8, 3, TRUE)</f>
        <v>0.33333333333333331</v>
      </c>
      <c r="AM20" s="55">
        <f>VLOOKUP(AM15, Parameters!$AV$3:$AX$8, 3, TRUE)</f>
        <v>0.25</v>
      </c>
      <c r="AN20" s="55">
        <f>VLOOKUP(AN15, Parameters!$AV$3:$AX$8, 3, TRUE)</f>
        <v>0.25</v>
      </c>
    </row>
    <row r="21" spans="1:40" x14ac:dyDescent="0.25">
      <c r="A21" s="56" t="s">
        <v>102</v>
      </c>
      <c r="B21" s="54">
        <f t="shared" ref="B21:AN21" si="7">B19+B20*(B15-B18)</f>
        <v>2.7801352186928492</v>
      </c>
      <c r="C21" s="54">
        <f t="shared" si="7"/>
        <v>0.99842220222277378</v>
      </c>
      <c r="D21" s="54">
        <f t="shared" si="7"/>
        <v>8</v>
      </c>
      <c r="E21" s="54">
        <f t="shared" si="7"/>
        <v>8</v>
      </c>
      <c r="F21" s="54">
        <f t="shared" si="7"/>
        <v>1.4850788124153895</v>
      </c>
      <c r="G21" s="54">
        <f t="shared" si="7"/>
        <v>2.7853550268661141E-3</v>
      </c>
      <c r="H21" s="54">
        <f t="shared" si="7"/>
        <v>8</v>
      </c>
      <c r="I21" s="54">
        <f t="shared" si="7"/>
        <v>1.116048440515947</v>
      </c>
      <c r="J21" s="54">
        <f t="shared" si="7"/>
        <v>1.1618863555165166</v>
      </c>
      <c r="K21" s="54">
        <f t="shared" si="7"/>
        <v>0.48216564083093316</v>
      </c>
      <c r="L21" s="54">
        <f t="shared" si="7"/>
        <v>1.048795633856114</v>
      </c>
      <c r="M21" s="54">
        <f t="shared" si="7"/>
        <v>1.3005367392379727</v>
      </c>
      <c r="N21" s="54">
        <f t="shared" si="7"/>
        <v>6.4467497878681144</v>
      </c>
      <c r="O21" s="54">
        <f t="shared" si="7"/>
        <v>0.31458530807231683</v>
      </c>
      <c r="P21" s="54">
        <f t="shared" si="7"/>
        <v>1.8219587945148787</v>
      </c>
      <c r="Q21" s="54">
        <f t="shared" si="7"/>
        <v>0.23070804647883142</v>
      </c>
      <c r="R21" s="54">
        <f t="shared" si="7"/>
        <v>1.3964080208212166</v>
      </c>
      <c r="S21" s="54">
        <f t="shared" si="7"/>
        <v>3.3439575026217359</v>
      </c>
      <c r="T21" s="54">
        <f t="shared" si="7"/>
        <v>0.44044999680183794</v>
      </c>
      <c r="U21" s="54">
        <f t="shared" si="7"/>
        <v>0.35753776643332924</v>
      </c>
      <c r="V21" s="54">
        <f t="shared" si="7"/>
        <v>0.94435914736319237</v>
      </c>
      <c r="W21" s="54">
        <f t="shared" si="7"/>
        <v>0.17854099667011039</v>
      </c>
      <c r="X21" s="54">
        <f t="shared" si="7"/>
        <v>0.63606669175065356</v>
      </c>
      <c r="Y21" s="54">
        <f t="shared" si="7"/>
        <v>8</v>
      </c>
      <c r="Z21" s="54">
        <f t="shared" si="7"/>
        <v>1.8052127618741094</v>
      </c>
      <c r="AA21" s="54">
        <f t="shared" si="7"/>
        <v>0.61400342242960515</v>
      </c>
      <c r="AB21" s="54">
        <f t="shared" si="7"/>
        <v>5.350201514787905</v>
      </c>
      <c r="AC21" s="54">
        <f t="shared" si="7"/>
        <v>1.2938558476903697</v>
      </c>
      <c r="AD21" s="54">
        <f t="shared" si="7"/>
        <v>2.8211259054766371</v>
      </c>
      <c r="AE21" s="54">
        <f t="shared" si="7"/>
        <v>3.3406685884167384</v>
      </c>
      <c r="AF21" s="54">
        <f t="shared" si="7"/>
        <v>4.7227962938343566</v>
      </c>
      <c r="AG21" s="54">
        <f t="shared" si="7"/>
        <v>8</v>
      </c>
      <c r="AH21" s="54">
        <f t="shared" si="7"/>
        <v>1.6025772879197115</v>
      </c>
      <c r="AI21" s="54">
        <f t="shared" si="7"/>
        <v>1.7178487053711671</v>
      </c>
      <c r="AJ21" s="54">
        <f t="shared" si="7"/>
        <v>0.10369631374351009</v>
      </c>
      <c r="AK21" s="54">
        <f t="shared" si="7"/>
        <v>1.7237424143095825</v>
      </c>
      <c r="AL21" s="54">
        <f t="shared" si="7"/>
        <v>0.37549463530981592</v>
      </c>
      <c r="AM21" s="54">
        <f t="shared" si="7"/>
        <v>1.5866845771113198</v>
      </c>
      <c r="AN21" s="54">
        <f t="shared" si="7"/>
        <v>1.4965013404901673</v>
      </c>
    </row>
    <row r="22" spans="1:40" x14ac:dyDescent="0.25">
      <c r="A22" s="56" t="s">
        <v>101</v>
      </c>
      <c r="B22" s="54">
        <f t="shared" ref="B22:AN22" si="8">B21*0.5</f>
        <v>1.3900676093464246</v>
      </c>
      <c r="C22" s="54">
        <f t="shared" si="8"/>
        <v>0.49921110111138689</v>
      </c>
      <c r="D22" s="54">
        <f t="shared" si="8"/>
        <v>4</v>
      </c>
      <c r="E22" s="54">
        <f t="shared" si="8"/>
        <v>4</v>
      </c>
      <c r="F22" s="54">
        <f t="shared" si="8"/>
        <v>0.74253940620769476</v>
      </c>
      <c r="G22" s="54">
        <f t="shared" si="8"/>
        <v>1.3926775134330571E-3</v>
      </c>
      <c r="H22" s="54">
        <f t="shared" si="8"/>
        <v>4</v>
      </c>
      <c r="I22" s="54">
        <f t="shared" si="8"/>
        <v>0.55802422025797349</v>
      </c>
      <c r="J22" s="54">
        <f t="shared" si="8"/>
        <v>0.58094317775825832</v>
      </c>
      <c r="K22" s="54">
        <f t="shared" si="8"/>
        <v>0.24108282041546658</v>
      </c>
      <c r="L22" s="54">
        <f t="shared" si="8"/>
        <v>0.52439781692805698</v>
      </c>
      <c r="M22" s="54">
        <f t="shared" si="8"/>
        <v>0.65026836961898637</v>
      </c>
      <c r="N22" s="54">
        <f t="shared" si="8"/>
        <v>3.2233748939340572</v>
      </c>
      <c r="O22" s="54">
        <f t="shared" si="8"/>
        <v>0.15729265403615841</v>
      </c>
      <c r="P22" s="54">
        <f t="shared" si="8"/>
        <v>0.91097939725743937</v>
      </c>
      <c r="Q22" s="54">
        <f t="shared" si="8"/>
        <v>0.11535402323941571</v>
      </c>
      <c r="R22" s="54">
        <f t="shared" si="8"/>
        <v>0.69820401041060831</v>
      </c>
      <c r="S22" s="54">
        <f t="shared" si="8"/>
        <v>1.6719787513108679</v>
      </c>
      <c r="T22" s="54">
        <f t="shared" si="8"/>
        <v>0.22022499840091897</v>
      </c>
      <c r="U22" s="54">
        <f t="shared" si="8"/>
        <v>0.17876888321666462</v>
      </c>
      <c r="V22" s="54">
        <f t="shared" si="8"/>
        <v>0.47217957368159619</v>
      </c>
      <c r="W22" s="54">
        <f t="shared" si="8"/>
        <v>8.9270498335055196E-2</v>
      </c>
      <c r="X22" s="54">
        <f t="shared" si="8"/>
        <v>0.31803334587532678</v>
      </c>
      <c r="Y22" s="54">
        <f t="shared" si="8"/>
        <v>4</v>
      </c>
      <c r="Z22" s="54">
        <f t="shared" si="8"/>
        <v>0.9026063809370547</v>
      </c>
      <c r="AA22" s="54">
        <f t="shared" si="8"/>
        <v>0.30700171121480258</v>
      </c>
      <c r="AB22" s="54">
        <f t="shared" si="8"/>
        <v>2.6751007573939525</v>
      </c>
      <c r="AC22" s="54">
        <f t="shared" si="8"/>
        <v>0.64692792384518483</v>
      </c>
      <c r="AD22" s="54">
        <f t="shared" si="8"/>
        <v>1.4105629527383186</v>
      </c>
      <c r="AE22" s="54">
        <f t="shared" si="8"/>
        <v>1.6703342942083692</v>
      </c>
      <c r="AF22" s="54">
        <f t="shared" si="8"/>
        <v>2.3613981469171783</v>
      </c>
      <c r="AG22" s="54">
        <f t="shared" si="8"/>
        <v>4</v>
      </c>
      <c r="AH22" s="54">
        <f t="shared" si="8"/>
        <v>0.80128864395985577</v>
      </c>
      <c r="AI22" s="54">
        <f t="shared" si="8"/>
        <v>0.85892435268558354</v>
      </c>
      <c r="AJ22" s="54">
        <f t="shared" si="8"/>
        <v>5.1848156871755043E-2</v>
      </c>
      <c r="AK22" s="54">
        <f t="shared" si="8"/>
        <v>0.86187120715479126</v>
      </c>
      <c r="AL22" s="54">
        <f t="shared" si="8"/>
        <v>0.18774731765490796</v>
      </c>
      <c r="AM22" s="54">
        <f t="shared" si="8"/>
        <v>0.79334228855565991</v>
      </c>
      <c r="AN22" s="54">
        <f t="shared" si="8"/>
        <v>0.74825067024508363</v>
      </c>
    </row>
  </sheetData>
  <sheetProtection algorithmName="SHA-512" hashValue="xQJHw49z0J0h7cnowSs0IhyVi4h4kuVrP9Pky0wsgsYJQSG8ALe2h1Wh/N4fl5tFwCoKcjEa1NVM1dY4qBIEUw==" saltValue="c32qRYw6iHcnvPQANAzJrw==" spinCount="100000" sheet="1" objects="1" scenarios="1"/>
  <pageMargins left="0.7" right="0.7" top="0.75" bottom="0.75" header="0.3" footer="0.3"/>
  <pageSetup orientation="portrait" horizontalDpi="1200" verticalDpi="1200" r:id="rId1"/>
  <legacyDrawing r:id="rId2"/>
</worksheet>
</file>

<file path=xl/worksheets/sheet2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7"/>
  <dimension ref="A1:V83"/>
  <sheetViews>
    <sheetView workbookViewId="0">
      <selection activeCell="I12" sqref="I12"/>
    </sheetView>
  </sheetViews>
  <sheetFormatPr defaultRowHeight="15" x14ac:dyDescent="0.25"/>
  <cols>
    <col min="1" max="1" width="37.85546875" customWidth="1"/>
    <col min="3" max="6" width="13" customWidth="1"/>
  </cols>
  <sheetData>
    <row r="1" spans="1:16" ht="15.75" x14ac:dyDescent="0.25">
      <c r="A1" s="280" t="s">
        <v>536</v>
      </c>
      <c r="B1" s="270"/>
      <c r="C1" s="270"/>
      <c r="D1" s="258"/>
    </row>
    <row r="2" spans="1:16" x14ac:dyDescent="0.25">
      <c r="A2" s="279"/>
      <c r="B2" s="279"/>
      <c r="C2" s="258" t="s">
        <v>535</v>
      </c>
      <c r="D2" s="258" t="s">
        <v>534</v>
      </c>
    </row>
    <row r="3" spans="1:16" x14ac:dyDescent="0.25">
      <c r="A3" s="279"/>
      <c r="B3" s="258"/>
      <c r="C3" s="258"/>
      <c r="D3" s="258"/>
    </row>
    <row r="4" spans="1:16" x14ac:dyDescent="0.25">
      <c r="A4" s="278" t="s">
        <v>533</v>
      </c>
      <c r="B4" s="277" t="s">
        <v>532</v>
      </c>
      <c r="C4" s="276">
        <v>393</v>
      </c>
      <c r="D4" s="276">
        <v>1000</v>
      </c>
    </row>
    <row r="5" spans="1:16" x14ac:dyDescent="0.25">
      <c r="A5" s="270" t="s">
        <v>531</v>
      </c>
      <c r="B5" s="275"/>
      <c r="C5" s="274">
        <v>0.04</v>
      </c>
      <c r="D5" s="274">
        <v>0.04</v>
      </c>
    </row>
    <row r="6" spans="1:16" x14ac:dyDescent="0.25">
      <c r="A6" s="273" t="s">
        <v>530</v>
      </c>
      <c r="B6" s="272"/>
      <c r="C6" s="271">
        <v>20</v>
      </c>
      <c r="D6" s="830">
        <v>50</v>
      </c>
    </row>
    <row r="7" spans="1:16" x14ac:dyDescent="0.25">
      <c r="A7" s="270" t="s">
        <v>529</v>
      </c>
      <c r="B7" s="269"/>
      <c r="C7" s="268">
        <f>-PMT(C5,C6,C4)</f>
        <v>28.917627879151155</v>
      </c>
      <c r="D7" s="268">
        <f>-PMT(D5,D6,D4)</f>
        <v>46.550200449541535</v>
      </c>
    </row>
    <row r="8" spans="1:16" x14ac:dyDescent="0.25">
      <c r="A8" s="258"/>
      <c r="B8" s="258"/>
      <c r="C8" s="258"/>
      <c r="D8" s="258"/>
    </row>
    <row r="10" spans="1:16" ht="30" x14ac:dyDescent="0.25">
      <c r="A10" s="32" t="s">
        <v>528</v>
      </c>
      <c r="C10" s="95">
        <v>6.19</v>
      </c>
    </row>
    <row r="12" spans="1:16" ht="15.75" x14ac:dyDescent="0.25">
      <c r="A12" s="313" t="s">
        <v>569</v>
      </c>
      <c r="B12" s="295"/>
      <c r="C12" s="295"/>
      <c r="F12" t="s">
        <v>568</v>
      </c>
    </row>
    <row r="13" spans="1:16" x14ac:dyDescent="0.25">
      <c r="A13" s="312"/>
      <c r="B13" s="312"/>
      <c r="C13" t="s">
        <v>567</v>
      </c>
      <c r="D13" t="s">
        <v>566</v>
      </c>
      <c r="E13" t="s">
        <v>565</v>
      </c>
      <c r="F13" t="s">
        <v>564</v>
      </c>
    </row>
    <row r="14" spans="1:16" x14ac:dyDescent="0.25">
      <c r="A14" s="312"/>
      <c r="F14" s="311">
        <v>0.01</v>
      </c>
    </row>
    <row r="15" spans="1:16" x14ac:dyDescent="0.25">
      <c r="A15" s="310" t="s">
        <v>563</v>
      </c>
      <c r="C15" s="309">
        <v>0.4</v>
      </c>
      <c r="D15" s="308">
        <v>0.4</v>
      </c>
      <c r="E15" s="307">
        <v>0.4</v>
      </c>
      <c r="F15" t="s">
        <v>562</v>
      </c>
      <c r="N15" t="str">
        <f t="shared" ref="N15:P18" ca="1" si="0">CELL("address",C15)</f>
        <v>$C$15</v>
      </c>
      <c r="O15" t="str">
        <f t="shared" ca="1" si="0"/>
        <v>$D$15</v>
      </c>
      <c r="P15" t="str">
        <f t="shared" ca="1" si="0"/>
        <v>$E$15</v>
      </c>
    </row>
    <row r="16" spans="1:16" x14ac:dyDescent="0.25">
      <c r="A16" s="306" t="s">
        <v>533</v>
      </c>
      <c r="B16" s="294" t="s">
        <v>561</v>
      </c>
      <c r="C16" s="276">
        <v>162</v>
      </c>
      <c r="D16" s="276">
        <v>324</v>
      </c>
      <c r="E16" s="305">
        <f>324*2</f>
        <v>648</v>
      </c>
      <c r="F16" t="s">
        <v>560</v>
      </c>
      <c r="N16" t="str">
        <f t="shared" ca="1" si="0"/>
        <v>$C$16</v>
      </c>
      <c r="O16" t="str">
        <f t="shared" ca="1" si="0"/>
        <v>$D$16</v>
      </c>
      <c r="P16" t="str">
        <f t="shared" ca="1" si="0"/>
        <v>$E$16</v>
      </c>
    </row>
    <row r="17" spans="1:22" x14ac:dyDescent="0.25">
      <c r="A17" s="295" t="s">
        <v>531</v>
      </c>
      <c r="B17" s="304"/>
      <c r="C17" s="274">
        <v>0.04</v>
      </c>
      <c r="D17" s="274">
        <v>0.04</v>
      </c>
      <c r="E17" s="303">
        <v>0.04</v>
      </c>
      <c r="N17" t="str">
        <f t="shared" ca="1" si="0"/>
        <v>$C$17</v>
      </c>
      <c r="O17" t="str">
        <f t="shared" ca="1" si="0"/>
        <v>$D$17</v>
      </c>
      <c r="P17" t="str">
        <f t="shared" ca="1" si="0"/>
        <v>$E$17</v>
      </c>
    </row>
    <row r="18" spans="1:22" x14ac:dyDescent="0.25">
      <c r="A18" s="302" t="s">
        <v>559</v>
      </c>
      <c r="B18" s="301"/>
      <c r="C18" s="300">
        <v>50</v>
      </c>
      <c r="D18" s="300">
        <v>50</v>
      </c>
      <c r="E18" s="299">
        <v>50</v>
      </c>
      <c r="N18" t="str">
        <f t="shared" ca="1" si="0"/>
        <v>$C$18</v>
      </c>
      <c r="O18" t="str">
        <f t="shared" ca="1" si="0"/>
        <v>$D$18</v>
      </c>
      <c r="P18" t="str">
        <f t="shared" ca="1" si="0"/>
        <v>$E$18</v>
      </c>
    </row>
    <row r="19" spans="1:22" x14ac:dyDescent="0.25">
      <c r="A19" s="295" t="s">
        <v>558</v>
      </c>
      <c r="B19" s="290"/>
      <c r="C19" s="298">
        <f>-PMT(C17,C18,C16)</f>
        <v>7.5411324728257298</v>
      </c>
      <c r="D19" s="298">
        <f>-PMT(D17,D18,D16)</f>
        <v>15.08226494565146</v>
      </c>
      <c r="E19" s="298">
        <f>-PMT(E17,E18,E16)</f>
        <v>30.164529891302919</v>
      </c>
      <c r="G19" s="282"/>
      <c r="H19" s="282"/>
    </row>
    <row r="20" spans="1:22" x14ac:dyDescent="0.25">
      <c r="G20" s="282"/>
      <c r="H20" s="282"/>
    </row>
    <row r="21" spans="1:22" x14ac:dyDescent="0.25">
      <c r="A21" s="295" t="s">
        <v>557</v>
      </c>
      <c r="B21" s="290"/>
      <c r="C21" s="297">
        <v>40</v>
      </c>
      <c r="D21" s="297">
        <v>40</v>
      </c>
      <c r="E21" s="296">
        <v>40</v>
      </c>
      <c r="G21" s="282"/>
      <c r="H21" s="282"/>
      <c r="N21" t="str">
        <f t="shared" ref="N21:P25" ca="1" si="1">CELL("address",C21)</f>
        <v>$C$21</v>
      </c>
      <c r="O21" t="str">
        <f t="shared" ca="1" si="1"/>
        <v>$D$21</v>
      </c>
      <c r="P21" t="str">
        <f t="shared" ca="1" si="1"/>
        <v>$E$21</v>
      </c>
    </row>
    <row r="22" spans="1:22" x14ac:dyDescent="0.25">
      <c r="A22" s="295" t="s">
        <v>556</v>
      </c>
      <c r="B22" s="290"/>
      <c r="C22" s="293">
        <v>24</v>
      </c>
      <c r="D22" s="292">
        <v>48</v>
      </c>
      <c r="E22" s="291">
        <v>96</v>
      </c>
      <c r="G22" s="282"/>
      <c r="H22" s="282"/>
      <c r="N22" t="str">
        <f t="shared" ca="1" si="1"/>
        <v>$C$22</v>
      </c>
      <c r="O22" t="str">
        <f t="shared" ca="1" si="1"/>
        <v>$D$22</v>
      </c>
      <c r="P22" t="str">
        <f t="shared" ca="1" si="1"/>
        <v>$E$22</v>
      </c>
    </row>
    <row r="23" spans="1:22" x14ac:dyDescent="0.25">
      <c r="A23" s="295" t="s">
        <v>555</v>
      </c>
      <c r="B23" s="290"/>
      <c r="C23" s="297">
        <v>8</v>
      </c>
      <c r="D23" s="297">
        <v>8</v>
      </c>
      <c r="E23" s="296">
        <v>8</v>
      </c>
      <c r="G23" s="282"/>
      <c r="H23" s="282"/>
      <c r="N23" t="str">
        <f t="shared" ca="1" si="1"/>
        <v>$C$23</v>
      </c>
      <c r="O23" t="str">
        <f t="shared" ca="1" si="1"/>
        <v>$D$23</v>
      </c>
      <c r="P23" t="str">
        <f t="shared" ca="1" si="1"/>
        <v>$E$23</v>
      </c>
    </row>
    <row r="24" spans="1:22" x14ac:dyDescent="0.25">
      <c r="A24" s="295" t="s">
        <v>554</v>
      </c>
      <c r="B24" s="290"/>
      <c r="C24" s="293">
        <v>13</v>
      </c>
      <c r="D24" s="292">
        <v>26</v>
      </c>
      <c r="E24" s="291">
        <v>52</v>
      </c>
      <c r="G24" s="282"/>
      <c r="H24" s="282"/>
      <c r="N24" t="str">
        <f t="shared" ca="1" si="1"/>
        <v>$C$24</v>
      </c>
      <c r="O24" t="str">
        <f t="shared" ca="1" si="1"/>
        <v>$D$24</v>
      </c>
      <c r="P24" t="str">
        <f t="shared" ca="1" si="1"/>
        <v>$E$24</v>
      </c>
    </row>
    <row r="25" spans="1:22" x14ac:dyDescent="0.25">
      <c r="A25" s="295" t="s">
        <v>553</v>
      </c>
      <c r="B25" s="294"/>
      <c r="C25" s="293">
        <v>1.2</v>
      </c>
      <c r="D25" s="292">
        <v>2.4</v>
      </c>
      <c r="E25" s="291">
        <v>4.8</v>
      </c>
      <c r="G25" s="282"/>
      <c r="H25" s="282"/>
      <c r="N25" t="str">
        <f t="shared" ca="1" si="1"/>
        <v>$C$25</v>
      </c>
      <c r="O25" t="str">
        <f t="shared" ca="1" si="1"/>
        <v>$D$25</v>
      </c>
      <c r="P25" t="str">
        <f t="shared" ca="1" si="1"/>
        <v>$E$25</v>
      </c>
    </row>
    <row r="26" spans="1:22" x14ac:dyDescent="0.25">
      <c r="A26" s="194" t="s">
        <v>552</v>
      </c>
      <c r="B26" s="290"/>
      <c r="C26" s="289">
        <f ca="1">L83</f>
        <v>2.8247108268203691</v>
      </c>
      <c r="D26" s="289">
        <f ca="1">Q83</f>
        <v>5.6494216536407382</v>
      </c>
      <c r="E26" s="289">
        <f>R83</f>
        <v>0</v>
      </c>
      <c r="G26" s="282"/>
      <c r="H26" s="282"/>
    </row>
    <row r="27" spans="1:22" x14ac:dyDescent="0.25">
      <c r="A27" s="8" t="s">
        <v>551</v>
      </c>
      <c r="C27" s="288">
        <f ca="1">C19+C26</f>
        <v>10.365843299646098</v>
      </c>
      <c r="D27" s="288">
        <f ca="1">D19+D26</f>
        <v>20.731686599292196</v>
      </c>
      <c r="E27" s="288">
        <f>E19+E26</f>
        <v>30.164529891302919</v>
      </c>
    </row>
    <row r="28" spans="1:22" x14ac:dyDescent="0.25">
      <c r="G28" s="282"/>
      <c r="H28" s="282"/>
    </row>
    <row r="29" spans="1:22" x14ac:dyDescent="0.25">
      <c r="I29" s="92" t="s">
        <v>547</v>
      </c>
      <c r="N29" s="92" t="s">
        <v>546</v>
      </c>
      <c r="S29" s="92" t="s">
        <v>545</v>
      </c>
    </row>
    <row r="30" spans="1:22" x14ac:dyDescent="0.25">
      <c r="H30" s="282" t="s">
        <v>544</v>
      </c>
    </row>
    <row r="31" spans="1:22" ht="39" x14ac:dyDescent="0.25">
      <c r="H31" s="282" t="s">
        <v>543</v>
      </c>
      <c r="I31" s="282" t="s">
        <v>542</v>
      </c>
      <c r="J31" s="286" t="s">
        <v>541</v>
      </c>
      <c r="K31" s="282" t="s">
        <v>540</v>
      </c>
      <c r="L31" s="282" t="s">
        <v>539</v>
      </c>
      <c r="N31" s="282" t="s">
        <v>542</v>
      </c>
      <c r="O31" s="286" t="s">
        <v>541</v>
      </c>
      <c r="P31" s="282" t="s">
        <v>540</v>
      </c>
      <c r="Q31" s="282" t="s">
        <v>539</v>
      </c>
      <c r="S31" s="282" t="s">
        <v>542</v>
      </c>
      <c r="T31" s="286" t="s">
        <v>541</v>
      </c>
      <c r="U31" s="282" t="s">
        <v>540</v>
      </c>
      <c r="V31" s="282" t="s">
        <v>539</v>
      </c>
    </row>
    <row r="32" spans="1:22" x14ac:dyDescent="0.25">
      <c r="H32" s="283">
        <v>1</v>
      </c>
      <c r="I32" s="285">
        <f t="shared" ref="I32:I63" si="2">$C$25</f>
        <v>1.2</v>
      </c>
      <c r="J32" s="283">
        <f t="shared" ref="J32:J63" ca="1" si="3">IF(H32&lt;$C$21,0,IF(H32=$C$21,1,IF(MOD(OFFSET(H32,-$C$21,0),$C$21)=0,1,0)))*$C$22</f>
        <v>0</v>
      </c>
      <c r="K32" s="283">
        <f t="shared" ref="K32:K63" ca="1" si="4">IF(H32&lt;$C$23,0,IF(H32=$C$23,1,IF(MOD(OFFSET(H32,-$C$23,0),$C$23)=0,1,0)))*$C$24</f>
        <v>0</v>
      </c>
      <c r="L32" s="284">
        <f t="shared" ref="L32:L63" ca="1" si="5">SUM(I32:K32)</f>
        <v>1.2</v>
      </c>
      <c r="N32" s="2">
        <f t="shared" ref="N32:N63" si="6">$D$25</f>
        <v>2.4</v>
      </c>
      <c r="O32" s="33">
        <f t="shared" ref="O32:O63" ca="1" si="7">IF(H32&lt;$D$21,0,IF(H32=$D$21,1,IF(MOD(OFFSET(H32,-$D$21,0),$D$21)=0,1,0)))*$D$22</f>
        <v>0</v>
      </c>
      <c r="P32" s="33">
        <f t="shared" ref="P32:P63" ca="1" si="8">IF(H32&lt;$D$23,0,IF(H32=$D$23,1,IF(MOD(OFFSET(H32,-$D$23,0),$D$23)=0,1,0)))*$D$24</f>
        <v>0</v>
      </c>
      <c r="Q32" s="284">
        <f t="shared" ref="Q32:Q63" ca="1" si="9">SUM(N32:P32)</f>
        <v>2.4</v>
      </c>
      <c r="S32" s="173">
        <f>$E$25</f>
        <v>4.8</v>
      </c>
      <c r="T32" s="33">
        <f ca="1">IF(M32&lt;$E$21,0,IF(M32=$E$21,1,IF(MOD(OFFSET(M32,-$E$21,0),$E$21)=0,1,0)))*$E$22</f>
        <v>0</v>
      </c>
      <c r="U32" s="33">
        <f t="shared" ref="U32:U63" ca="1" si="10">IF(H32&lt;$E$23,0,IF(H32=$E$23,1,IF(MOD(OFFSET(H32,-$E$23,0),$E$23)=0,1,0)))*$E$24</f>
        <v>0</v>
      </c>
      <c r="V32" s="284">
        <f t="shared" ref="V32:V63" ca="1" si="11">SUM(S32:U32)</f>
        <v>4.8</v>
      </c>
    </row>
    <row r="33" spans="8:22" x14ac:dyDescent="0.25">
      <c r="H33" s="283">
        <v>2</v>
      </c>
      <c r="I33" s="285">
        <f t="shared" si="2"/>
        <v>1.2</v>
      </c>
      <c r="J33" s="283">
        <f t="shared" ca="1" si="3"/>
        <v>0</v>
      </c>
      <c r="K33" s="283">
        <f t="shared" ca="1" si="4"/>
        <v>0</v>
      </c>
      <c r="L33" s="284">
        <f t="shared" ca="1" si="5"/>
        <v>1.2</v>
      </c>
      <c r="N33" s="2">
        <f t="shared" si="6"/>
        <v>2.4</v>
      </c>
      <c r="O33" s="33">
        <f t="shared" ca="1" si="7"/>
        <v>0</v>
      </c>
      <c r="P33" s="33">
        <f t="shared" ca="1" si="8"/>
        <v>0</v>
      </c>
      <c r="Q33" s="284">
        <f t="shared" ca="1" si="9"/>
        <v>2.4</v>
      </c>
      <c r="S33" s="2">
        <f t="shared" ref="S33:S64" si="12">$D$25</f>
        <v>2.4</v>
      </c>
      <c r="T33" s="33">
        <f t="shared" ref="T33:T64" ca="1" si="13">IF(M33&lt;$D$21,0,IF(M33=$D$21,1,IF(MOD(OFFSET(M33,-$D$21,0),$D$21)=0,1,0)))*$D$22</f>
        <v>0</v>
      </c>
      <c r="U33" s="33">
        <f t="shared" ca="1" si="10"/>
        <v>0</v>
      </c>
      <c r="V33" s="284">
        <f t="shared" ca="1" si="11"/>
        <v>2.4</v>
      </c>
    </row>
    <row r="34" spans="8:22" x14ac:dyDescent="0.25">
      <c r="H34" s="283">
        <v>3</v>
      </c>
      <c r="I34" s="285">
        <f t="shared" si="2"/>
        <v>1.2</v>
      </c>
      <c r="J34" s="283">
        <f t="shared" ca="1" si="3"/>
        <v>0</v>
      </c>
      <c r="K34" s="283">
        <f t="shared" ca="1" si="4"/>
        <v>0</v>
      </c>
      <c r="L34" s="284">
        <f t="shared" ca="1" si="5"/>
        <v>1.2</v>
      </c>
      <c r="N34" s="2">
        <f t="shared" si="6"/>
        <v>2.4</v>
      </c>
      <c r="O34" s="33">
        <f t="shared" ca="1" si="7"/>
        <v>0</v>
      </c>
      <c r="P34" s="33">
        <f t="shared" ca="1" si="8"/>
        <v>0</v>
      </c>
      <c r="Q34" s="284">
        <f t="shared" ca="1" si="9"/>
        <v>2.4</v>
      </c>
      <c r="S34" s="2">
        <f t="shared" si="12"/>
        <v>2.4</v>
      </c>
      <c r="T34" s="33">
        <f t="shared" ca="1" si="13"/>
        <v>0</v>
      </c>
      <c r="U34" s="33">
        <f t="shared" ca="1" si="10"/>
        <v>0</v>
      </c>
      <c r="V34" s="284">
        <f t="shared" ca="1" si="11"/>
        <v>2.4</v>
      </c>
    </row>
    <row r="35" spans="8:22" x14ac:dyDescent="0.25">
      <c r="H35" s="283">
        <v>4</v>
      </c>
      <c r="I35" s="285">
        <f t="shared" si="2"/>
        <v>1.2</v>
      </c>
      <c r="J35" s="283">
        <f t="shared" ca="1" si="3"/>
        <v>0</v>
      </c>
      <c r="K35" s="283">
        <f t="shared" ca="1" si="4"/>
        <v>0</v>
      </c>
      <c r="L35" s="284">
        <f t="shared" ca="1" si="5"/>
        <v>1.2</v>
      </c>
      <c r="N35" s="2">
        <f t="shared" si="6"/>
        <v>2.4</v>
      </c>
      <c r="O35" s="33">
        <f t="shared" ca="1" si="7"/>
        <v>0</v>
      </c>
      <c r="P35" s="33">
        <f t="shared" ca="1" si="8"/>
        <v>0</v>
      </c>
      <c r="Q35" s="284">
        <f t="shared" ca="1" si="9"/>
        <v>2.4</v>
      </c>
      <c r="S35" s="2">
        <f t="shared" si="12"/>
        <v>2.4</v>
      </c>
      <c r="T35" s="33">
        <f t="shared" ca="1" si="13"/>
        <v>0</v>
      </c>
      <c r="U35" s="33">
        <f t="shared" ca="1" si="10"/>
        <v>0</v>
      </c>
      <c r="V35" s="284">
        <f t="shared" ca="1" si="11"/>
        <v>2.4</v>
      </c>
    </row>
    <row r="36" spans="8:22" x14ac:dyDescent="0.25">
      <c r="H36" s="283">
        <v>5</v>
      </c>
      <c r="I36" s="285">
        <f t="shared" si="2"/>
        <v>1.2</v>
      </c>
      <c r="J36" s="283">
        <f t="shared" ca="1" si="3"/>
        <v>0</v>
      </c>
      <c r="K36" s="283">
        <f t="shared" ca="1" si="4"/>
        <v>0</v>
      </c>
      <c r="L36" s="284">
        <f t="shared" ca="1" si="5"/>
        <v>1.2</v>
      </c>
      <c r="N36" s="2">
        <f t="shared" si="6"/>
        <v>2.4</v>
      </c>
      <c r="O36" s="33">
        <f t="shared" ca="1" si="7"/>
        <v>0</v>
      </c>
      <c r="P36" s="33">
        <f t="shared" ca="1" si="8"/>
        <v>0</v>
      </c>
      <c r="Q36" s="284">
        <f t="shared" ca="1" si="9"/>
        <v>2.4</v>
      </c>
      <c r="S36" s="2">
        <f t="shared" si="12"/>
        <v>2.4</v>
      </c>
      <c r="T36" s="33">
        <f t="shared" ca="1" si="13"/>
        <v>0</v>
      </c>
      <c r="U36" s="33">
        <f t="shared" ca="1" si="10"/>
        <v>0</v>
      </c>
      <c r="V36" s="284">
        <f t="shared" ca="1" si="11"/>
        <v>2.4</v>
      </c>
    </row>
    <row r="37" spans="8:22" x14ac:dyDescent="0.25">
      <c r="H37" s="283">
        <v>6</v>
      </c>
      <c r="I37" s="285">
        <f t="shared" si="2"/>
        <v>1.2</v>
      </c>
      <c r="J37" s="283">
        <f t="shared" ca="1" si="3"/>
        <v>0</v>
      </c>
      <c r="K37" s="283">
        <f t="shared" ca="1" si="4"/>
        <v>0</v>
      </c>
      <c r="L37" s="284">
        <f t="shared" ca="1" si="5"/>
        <v>1.2</v>
      </c>
      <c r="N37" s="2">
        <f t="shared" si="6"/>
        <v>2.4</v>
      </c>
      <c r="O37" s="33">
        <f t="shared" ca="1" si="7"/>
        <v>0</v>
      </c>
      <c r="P37" s="33">
        <f t="shared" ca="1" si="8"/>
        <v>0</v>
      </c>
      <c r="Q37" s="284">
        <f t="shared" ca="1" si="9"/>
        <v>2.4</v>
      </c>
      <c r="S37" s="2">
        <f t="shared" si="12"/>
        <v>2.4</v>
      </c>
      <c r="T37" s="33">
        <f t="shared" ca="1" si="13"/>
        <v>0</v>
      </c>
      <c r="U37" s="33">
        <f t="shared" ca="1" si="10"/>
        <v>0</v>
      </c>
      <c r="V37" s="284">
        <f t="shared" ca="1" si="11"/>
        <v>2.4</v>
      </c>
    </row>
    <row r="38" spans="8:22" x14ac:dyDescent="0.25">
      <c r="H38" s="283">
        <v>7</v>
      </c>
      <c r="I38" s="285">
        <f t="shared" si="2"/>
        <v>1.2</v>
      </c>
      <c r="J38" s="283">
        <f t="shared" ca="1" si="3"/>
        <v>0</v>
      </c>
      <c r="K38" s="283">
        <f t="shared" ca="1" si="4"/>
        <v>0</v>
      </c>
      <c r="L38" s="284">
        <f t="shared" ca="1" si="5"/>
        <v>1.2</v>
      </c>
      <c r="N38" s="2">
        <f t="shared" si="6"/>
        <v>2.4</v>
      </c>
      <c r="O38" s="33">
        <f t="shared" ca="1" si="7"/>
        <v>0</v>
      </c>
      <c r="P38" s="33">
        <f t="shared" ca="1" si="8"/>
        <v>0</v>
      </c>
      <c r="Q38" s="284">
        <f t="shared" ca="1" si="9"/>
        <v>2.4</v>
      </c>
      <c r="S38" s="2">
        <f t="shared" si="12"/>
        <v>2.4</v>
      </c>
      <c r="T38" s="33">
        <f t="shared" ca="1" si="13"/>
        <v>0</v>
      </c>
      <c r="U38" s="33">
        <f t="shared" ca="1" si="10"/>
        <v>0</v>
      </c>
      <c r="V38" s="284">
        <f t="shared" ca="1" si="11"/>
        <v>2.4</v>
      </c>
    </row>
    <row r="39" spans="8:22" x14ac:dyDescent="0.25">
      <c r="H39" s="283">
        <v>8</v>
      </c>
      <c r="I39" s="285">
        <f t="shared" si="2"/>
        <v>1.2</v>
      </c>
      <c r="J39" s="283">
        <f t="shared" ca="1" si="3"/>
        <v>0</v>
      </c>
      <c r="K39" s="283">
        <f t="shared" ca="1" si="4"/>
        <v>13</v>
      </c>
      <c r="L39" s="284">
        <f t="shared" ca="1" si="5"/>
        <v>14.2</v>
      </c>
      <c r="N39" s="2">
        <f t="shared" si="6"/>
        <v>2.4</v>
      </c>
      <c r="O39" s="33">
        <f t="shared" ca="1" si="7"/>
        <v>0</v>
      </c>
      <c r="P39" s="33">
        <f t="shared" ca="1" si="8"/>
        <v>26</v>
      </c>
      <c r="Q39" s="284">
        <f t="shared" ca="1" si="9"/>
        <v>28.4</v>
      </c>
      <c r="S39" s="2">
        <f t="shared" si="12"/>
        <v>2.4</v>
      </c>
      <c r="T39" s="33">
        <f t="shared" ca="1" si="13"/>
        <v>0</v>
      </c>
      <c r="U39" s="33">
        <f t="shared" ca="1" si="10"/>
        <v>52</v>
      </c>
      <c r="V39" s="284">
        <f t="shared" ca="1" si="11"/>
        <v>54.4</v>
      </c>
    </row>
    <row r="40" spans="8:22" x14ac:dyDescent="0.25">
      <c r="H40" s="283">
        <v>9</v>
      </c>
      <c r="I40" s="285">
        <f t="shared" si="2"/>
        <v>1.2</v>
      </c>
      <c r="J40" s="283">
        <f t="shared" ca="1" si="3"/>
        <v>0</v>
      </c>
      <c r="K40" s="283">
        <f t="shared" ca="1" si="4"/>
        <v>0</v>
      </c>
      <c r="L40" s="284">
        <f t="shared" ca="1" si="5"/>
        <v>1.2</v>
      </c>
      <c r="N40" s="2">
        <f t="shared" si="6"/>
        <v>2.4</v>
      </c>
      <c r="O40" s="33">
        <f t="shared" ca="1" si="7"/>
        <v>0</v>
      </c>
      <c r="P40" s="33">
        <f t="shared" ca="1" si="8"/>
        <v>0</v>
      </c>
      <c r="Q40" s="284">
        <f t="shared" ca="1" si="9"/>
        <v>2.4</v>
      </c>
      <c r="S40" s="2">
        <f t="shared" si="12"/>
        <v>2.4</v>
      </c>
      <c r="T40" s="33">
        <f t="shared" ca="1" si="13"/>
        <v>0</v>
      </c>
      <c r="U40" s="33">
        <f t="shared" ca="1" si="10"/>
        <v>0</v>
      </c>
      <c r="V40" s="284">
        <f t="shared" ca="1" si="11"/>
        <v>2.4</v>
      </c>
    </row>
    <row r="41" spans="8:22" x14ac:dyDescent="0.25">
      <c r="H41" s="283">
        <v>10</v>
      </c>
      <c r="I41" s="285">
        <f t="shared" si="2"/>
        <v>1.2</v>
      </c>
      <c r="J41" s="283">
        <f t="shared" ca="1" si="3"/>
        <v>0</v>
      </c>
      <c r="K41" s="283">
        <f t="shared" ca="1" si="4"/>
        <v>0</v>
      </c>
      <c r="L41" s="284">
        <f t="shared" ca="1" si="5"/>
        <v>1.2</v>
      </c>
      <c r="N41" s="2">
        <f t="shared" si="6"/>
        <v>2.4</v>
      </c>
      <c r="O41" s="33">
        <f t="shared" ca="1" si="7"/>
        <v>0</v>
      </c>
      <c r="P41" s="33">
        <f t="shared" ca="1" si="8"/>
        <v>0</v>
      </c>
      <c r="Q41" s="284">
        <f t="shared" ca="1" si="9"/>
        <v>2.4</v>
      </c>
      <c r="S41" s="2">
        <f t="shared" si="12"/>
        <v>2.4</v>
      </c>
      <c r="T41" s="33">
        <f t="shared" ca="1" si="13"/>
        <v>0</v>
      </c>
      <c r="U41" s="33">
        <f t="shared" ca="1" si="10"/>
        <v>0</v>
      </c>
      <c r="V41" s="284">
        <f t="shared" ca="1" si="11"/>
        <v>2.4</v>
      </c>
    </row>
    <row r="42" spans="8:22" x14ac:dyDescent="0.25">
      <c r="H42" s="283">
        <v>11</v>
      </c>
      <c r="I42" s="285">
        <f t="shared" si="2"/>
        <v>1.2</v>
      </c>
      <c r="J42" s="283">
        <f t="shared" ca="1" si="3"/>
        <v>0</v>
      </c>
      <c r="K42" s="283">
        <f t="shared" ca="1" si="4"/>
        <v>0</v>
      </c>
      <c r="L42" s="284">
        <f t="shared" ca="1" si="5"/>
        <v>1.2</v>
      </c>
      <c r="N42" s="2">
        <f t="shared" si="6"/>
        <v>2.4</v>
      </c>
      <c r="O42" s="33">
        <f t="shared" ca="1" si="7"/>
        <v>0</v>
      </c>
      <c r="P42" s="33">
        <f t="shared" ca="1" si="8"/>
        <v>0</v>
      </c>
      <c r="Q42" s="284">
        <f t="shared" ca="1" si="9"/>
        <v>2.4</v>
      </c>
      <c r="S42" s="2">
        <f t="shared" si="12"/>
        <v>2.4</v>
      </c>
      <c r="T42" s="33">
        <f t="shared" ca="1" si="13"/>
        <v>0</v>
      </c>
      <c r="U42" s="33">
        <f t="shared" ca="1" si="10"/>
        <v>0</v>
      </c>
      <c r="V42" s="284">
        <f t="shared" ca="1" si="11"/>
        <v>2.4</v>
      </c>
    </row>
    <row r="43" spans="8:22" x14ac:dyDescent="0.25">
      <c r="H43" s="283">
        <v>12</v>
      </c>
      <c r="I43" s="285">
        <f t="shared" si="2"/>
        <v>1.2</v>
      </c>
      <c r="J43" s="283">
        <f t="shared" ca="1" si="3"/>
        <v>0</v>
      </c>
      <c r="K43" s="283">
        <f t="shared" ca="1" si="4"/>
        <v>0</v>
      </c>
      <c r="L43" s="284">
        <f t="shared" ca="1" si="5"/>
        <v>1.2</v>
      </c>
      <c r="N43" s="2">
        <f t="shared" si="6"/>
        <v>2.4</v>
      </c>
      <c r="O43" s="33">
        <f t="shared" ca="1" si="7"/>
        <v>0</v>
      </c>
      <c r="P43" s="33">
        <f t="shared" ca="1" si="8"/>
        <v>0</v>
      </c>
      <c r="Q43" s="284">
        <f t="shared" ca="1" si="9"/>
        <v>2.4</v>
      </c>
      <c r="S43" s="2">
        <f t="shared" si="12"/>
        <v>2.4</v>
      </c>
      <c r="T43" s="33">
        <f t="shared" ca="1" si="13"/>
        <v>0</v>
      </c>
      <c r="U43" s="33">
        <f t="shared" ca="1" si="10"/>
        <v>0</v>
      </c>
      <c r="V43" s="284">
        <f t="shared" ca="1" si="11"/>
        <v>2.4</v>
      </c>
    </row>
    <row r="44" spans="8:22" x14ac:dyDescent="0.25">
      <c r="H44" s="283">
        <v>13</v>
      </c>
      <c r="I44" s="285">
        <f t="shared" si="2"/>
        <v>1.2</v>
      </c>
      <c r="J44" s="283">
        <f t="shared" ca="1" si="3"/>
        <v>0</v>
      </c>
      <c r="K44" s="283">
        <f t="shared" ca="1" si="4"/>
        <v>0</v>
      </c>
      <c r="L44" s="284">
        <f t="shared" ca="1" si="5"/>
        <v>1.2</v>
      </c>
      <c r="N44" s="2">
        <f t="shared" si="6"/>
        <v>2.4</v>
      </c>
      <c r="O44" s="33">
        <f t="shared" ca="1" si="7"/>
        <v>0</v>
      </c>
      <c r="P44" s="33">
        <f t="shared" ca="1" si="8"/>
        <v>0</v>
      </c>
      <c r="Q44" s="284">
        <f t="shared" ca="1" si="9"/>
        <v>2.4</v>
      </c>
      <c r="S44" s="2">
        <f t="shared" si="12"/>
        <v>2.4</v>
      </c>
      <c r="T44" s="33">
        <f t="shared" ca="1" si="13"/>
        <v>0</v>
      </c>
      <c r="U44" s="33">
        <f t="shared" ca="1" si="10"/>
        <v>0</v>
      </c>
      <c r="V44" s="284">
        <f t="shared" ca="1" si="11"/>
        <v>2.4</v>
      </c>
    </row>
    <row r="45" spans="8:22" x14ac:dyDescent="0.25">
      <c r="H45" s="283">
        <v>14</v>
      </c>
      <c r="I45" s="285">
        <f t="shared" si="2"/>
        <v>1.2</v>
      </c>
      <c r="J45" s="283">
        <f t="shared" ca="1" si="3"/>
        <v>0</v>
      </c>
      <c r="K45" s="283">
        <f t="shared" ca="1" si="4"/>
        <v>0</v>
      </c>
      <c r="L45" s="284">
        <f t="shared" ca="1" si="5"/>
        <v>1.2</v>
      </c>
      <c r="N45" s="2">
        <f t="shared" si="6"/>
        <v>2.4</v>
      </c>
      <c r="O45" s="33">
        <f t="shared" ca="1" si="7"/>
        <v>0</v>
      </c>
      <c r="P45" s="33">
        <f t="shared" ca="1" si="8"/>
        <v>0</v>
      </c>
      <c r="Q45" s="284">
        <f t="shared" ca="1" si="9"/>
        <v>2.4</v>
      </c>
      <c r="S45" s="2">
        <f t="shared" si="12"/>
        <v>2.4</v>
      </c>
      <c r="T45" s="33">
        <f t="shared" ca="1" si="13"/>
        <v>0</v>
      </c>
      <c r="U45" s="33">
        <f t="shared" ca="1" si="10"/>
        <v>0</v>
      </c>
      <c r="V45" s="284">
        <f t="shared" ca="1" si="11"/>
        <v>2.4</v>
      </c>
    </row>
    <row r="46" spans="8:22" x14ac:dyDescent="0.25">
      <c r="H46" s="283">
        <v>15</v>
      </c>
      <c r="I46" s="285">
        <f t="shared" si="2"/>
        <v>1.2</v>
      </c>
      <c r="J46" s="283">
        <f t="shared" ca="1" si="3"/>
        <v>0</v>
      </c>
      <c r="K46" s="283">
        <f t="shared" ca="1" si="4"/>
        <v>0</v>
      </c>
      <c r="L46" s="284">
        <f t="shared" ca="1" si="5"/>
        <v>1.2</v>
      </c>
      <c r="N46" s="2">
        <f t="shared" si="6"/>
        <v>2.4</v>
      </c>
      <c r="O46" s="33">
        <f t="shared" ca="1" si="7"/>
        <v>0</v>
      </c>
      <c r="P46" s="33">
        <f t="shared" ca="1" si="8"/>
        <v>0</v>
      </c>
      <c r="Q46" s="284">
        <f t="shared" ca="1" si="9"/>
        <v>2.4</v>
      </c>
      <c r="S46" s="2">
        <f t="shared" si="12"/>
        <v>2.4</v>
      </c>
      <c r="T46" s="33">
        <f t="shared" ca="1" si="13"/>
        <v>0</v>
      </c>
      <c r="U46" s="33">
        <f t="shared" ca="1" si="10"/>
        <v>0</v>
      </c>
      <c r="V46" s="284">
        <f t="shared" ca="1" si="11"/>
        <v>2.4</v>
      </c>
    </row>
    <row r="47" spans="8:22" x14ac:dyDescent="0.25">
      <c r="H47" s="283">
        <v>16</v>
      </c>
      <c r="I47" s="285">
        <f t="shared" si="2"/>
        <v>1.2</v>
      </c>
      <c r="J47" s="283">
        <f t="shared" ca="1" si="3"/>
        <v>0</v>
      </c>
      <c r="K47" s="283">
        <f t="shared" ca="1" si="4"/>
        <v>13</v>
      </c>
      <c r="L47" s="284">
        <f t="shared" ca="1" si="5"/>
        <v>14.2</v>
      </c>
      <c r="N47" s="2">
        <f t="shared" si="6"/>
        <v>2.4</v>
      </c>
      <c r="O47" s="33">
        <f t="shared" ca="1" si="7"/>
        <v>0</v>
      </c>
      <c r="P47" s="33">
        <f t="shared" ca="1" si="8"/>
        <v>26</v>
      </c>
      <c r="Q47" s="284">
        <f t="shared" ca="1" si="9"/>
        <v>28.4</v>
      </c>
      <c r="S47" s="2">
        <f t="shared" si="12"/>
        <v>2.4</v>
      </c>
      <c r="T47" s="33">
        <f t="shared" ca="1" si="13"/>
        <v>0</v>
      </c>
      <c r="U47" s="33">
        <f t="shared" ca="1" si="10"/>
        <v>52</v>
      </c>
      <c r="V47" s="284">
        <f t="shared" ca="1" si="11"/>
        <v>54.4</v>
      </c>
    </row>
    <row r="48" spans="8:22" x14ac:dyDescent="0.25">
      <c r="H48" s="283">
        <v>17</v>
      </c>
      <c r="I48" s="285">
        <f t="shared" si="2"/>
        <v>1.2</v>
      </c>
      <c r="J48" s="283">
        <f t="shared" ca="1" si="3"/>
        <v>0</v>
      </c>
      <c r="K48" s="283">
        <f t="shared" ca="1" si="4"/>
        <v>0</v>
      </c>
      <c r="L48" s="284">
        <f t="shared" ca="1" si="5"/>
        <v>1.2</v>
      </c>
      <c r="N48" s="2">
        <f t="shared" si="6"/>
        <v>2.4</v>
      </c>
      <c r="O48" s="33">
        <f t="shared" ca="1" si="7"/>
        <v>0</v>
      </c>
      <c r="P48" s="33">
        <f t="shared" ca="1" si="8"/>
        <v>0</v>
      </c>
      <c r="Q48" s="284">
        <f t="shared" ca="1" si="9"/>
        <v>2.4</v>
      </c>
      <c r="S48" s="2">
        <f t="shared" si="12"/>
        <v>2.4</v>
      </c>
      <c r="T48" s="33">
        <f t="shared" ca="1" si="13"/>
        <v>0</v>
      </c>
      <c r="U48" s="33">
        <f t="shared" ca="1" si="10"/>
        <v>0</v>
      </c>
      <c r="V48" s="284">
        <f t="shared" ca="1" si="11"/>
        <v>2.4</v>
      </c>
    </row>
    <row r="49" spans="8:22" x14ac:dyDescent="0.25">
      <c r="H49" s="283">
        <v>18</v>
      </c>
      <c r="I49" s="285">
        <f t="shared" si="2"/>
        <v>1.2</v>
      </c>
      <c r="J49" s="283">
        <f t="shared" ca="1" si="3"/>
        <v>0</v>
      </c>
      <c r="K49" s="283">
        <f t="shared" ca="1" si="4"/>
        <v>0</v>
      </c>
      <c r="L49" s="284">
        <f t="shared" ca="1" si="5"/>
        <v>1.2</v>
      </c>
      <c r="N49" s="2">
        <f t="shared" si="6"/>
        <v>2.4</v>
      </c>
      <c r="O49" s="33">
        <f t="shared" ca="1" si="7"/>
        <v>0</v>
      </c>
      <c r="P49" s="33">
        <f t="shared" ca="1" si="8"/>
        <v>0</v>
      </c>
      <c r="Q49" s="284">
        <f t="shared" ca="1" si="9"/>
        <v>2.4</v>
      </c>
      <c r="S49" s="2">
        <f t="shared" si="12"/>
        <v>2.4</v>
      </c>
      <c r="T49" s="33">
        <f t="shared" ca="1" si="13"/>
        <v>0</v>
      </c>
      <c r="U49" s="33">
        <f t="shared" ca="1" si="10"/>
        <v>0</v>
      </c>
      <c r="V49" s="284">
        <f t="shared" ca="1" si="11"/>
        <v>2.4</v>
      </c>
    </row>
    <row r="50" spans="8:22" x14ac:dyDescent="0.25">
      <c r="H50" s="283">
        <v>19</v>
      </c>
      <c r="I50" s="285">
        <f t="shared" si="2"/>
        <v>1.2</v>
      </c>
      <c r="J50" s="283">
        <f t="shared" ca="1" si="3"/>
        <v>0</v>
      </c>
      <c r="K50" s="283">
        <f t="shared" ca="1" si="4"/>
        <v>0</v>
      </c>
      <c r="L50" s="284">
        <f t="shared" ca="1" si="5"/>
        <v>1.2</v>
      </c>
      <c r="N50" s="2">
        <f t="shared" si="6"/>
        <v>2.4</v>
      </c>
      <c r="O50" s="33">
        <f t="shared" ca="1" si="7"/>
        <v>0</v>
      </c>
      <c r="P50" s="33">
        <f t="shared" ca="1" si="8"/>
        <v>0</v>
      </c>
      <c r="Q50" s="284">
        <f t="shared" ca="1" si="9"/>
        <v>2.4</v>
      </c>
      <c r="S50" s="2">
        <f t="shared" si="12"/>
        <v>2.4</v>
      </c>
      <c r="T50" s="33">
        <f t="shared" ca="1" si="13"/>
        <v>0</v>
      </c>
      <c r="U50" s="33">
        <f t="shared" ca="1" si="10"/>
        <v>0</v>
      </c>
      <c r="V50" s="284">
        <f t="shared" ca="1" si="11"/>
        <v>2.4</v>
      </c>
    </row>
    <row r="51" spans="8:22" x14ac:dyDescent="0.25">
      <c r="H51" s="283">
        <v>20</v>
      </c>
      <c r="I51" s="285">
        <f t="shared" si="2"/>
        <v>1.2</v>
      </c>
      <c r="J51" s="283">
        <f t="shared" ca="1" si="3"/>
        <v>0</v>
      </c>
      <c r="K51" s="283">
        <f t="shared" ca="1" si="4"/>
        <v>0</v>
      </c>
      <c r="L51" s="284">
        <f t="shared" ca="1" si="5"/>
        <v>1.2</v>
      </c>
      <c r="N51" s="2">
        <f t="shared" si="6"/>
        <v>2.4</v>
      </c>
      <c r="O51" s="33">
        <f t="shared" ca="1" si="7"/>
        <v>0</v>
      </c>
      <c r="P51" s="33">
        <f t="shared" ca="1" si="8"/>
        <v>0</v>
      </c>
      <c r="Q51" s="284">
        <f t="shared" ca="1" si="9"/>
        <v>2.4</v>
      </c>
      <c r="S51" s="2">
        <f t="shared" si="12"/>
        <v>2.4</v>
      </c>
      <c r="T51" s="33">
        <f t="shared" ca="1" si="13"/>
        <v>0</v>
      </c>
      <c r="U51" s="33">
        <f t="shared" ca="1" si="10"/>
        <v>0</v>
      </c>
      <c r="V51" s="284">
        <f t="shared" ca="1" si="11"/>
        <v>2.4</v>
      </c>
    </row>
    <row r="52" spans="8:22" x14ac:dyDescent="0.25">
      <c r="H52" s="283">
        <v>21</v>
      </c>
      <c r="I52" s="285">
        <f t="shared" si="2"/>
        <v>1.2</v>
      </c>
      <c r="J52" s="283">
        <f t="shared" ca="1" si="3"/>
        <v>0</v>
      </c>
      <c r="K52" s="283">
        <f t="shared" ca="1" si="4"/>
        <v>0</v>
      </c>
      <c r="L52" s="284">
        <f t="shared" ca="1" si="5"/>
        <v>1.2</v>
      </c>
      <c r="N52" s="2">
        <f t="shared" si="6"/>
        <v>2.4</v>
      </c>
      <c r="O52" s="33">
        <f t="shared" ca="1" si="7"/>
        <v>0</v>
      </c>
      <c r="P52" s="33">
        <f t="shared" ca="1" si="8"/>
        <v>0</v>
      </c>
      <c r="Q52" s="284">
        <f t="shared" ca="1" si="9"/>
        <v>2.4</v>
      </c>
      <c r="S52" s="2">
        <f t="shared" si="12"/>
        <v>2.4</v>
      </c>
      <c r="T52" s="33">
        <f t="shared" ca="1" si="13"/>
        <v>0</v>
      </c>
      <c r="U52" s="33">
        <f t="shared" ca="1" si="10"/>
        <v>0</v>
      </c>
      <c r="V52" s="284">
        <f t="shared" ca="1" si="11"/>
        <v>2.4</v>
      </c>
    </row>
    <row r="53" spans="8:22" x14ac:dyDescent="0.25">
      <c r="H53" s="283">
        <v>22</v>
      </c>
      <c r="I53" s="285">
        <f t="shared" si="2"/>
        <v>1.2</v>
      </c>
      <c r="J53" s="283">
        <f t="shared" ca="1" si="3"/>
        <v>0</v>
      </c>
      <c r="K53" s="283">
        <f t="shared" ca="1" si="4"/>
        <v>0</v>
      </c>
      <c r="L53" s="284">
        <f t="shared" ca="1" si="5"/>
        <v>1.2</v>
      </c>
      <c r="N53" s="2">
        <f t="shared" si="6"/>
        <v>2.4</v>
      </c>
      <c r="O53" s="33">
        <f t="shared" ca="1" si="7"/>
        <v>0</v>
      </c>
      <c r="P53" s="33">
        <f t="shared" ca="1" si="8"/>
        <v>0</v>
      </c>
      <c r="Q53" s="284">
        <f t="shared" ca="1" si="9"/>
        <v>2.4</v>
      </c>
      <c r="S53" s="2">
        <f t="shared" si="12"/>
        <v>2.4</v>
      </c>
      <c r="T53" s="33">
        <f t="shared" ca="1" si="13"/>
        <v>0</v>
      </c>
      <c r="U53" s="33">
        <f t="shared" ca="1" si="10"/>
        <v>0</v>
      </c>
      <c r="V53" s="284">
        <f t="shared" ca="1" si="11"/>
        <v>2.4</v>
      </c>
    </row>
    <row r="54" spans="8:22" x14ac:dyDescent="0.25">
      <c r="H54" s="283">
        <v>23</v>
      </c>
      <c r="I54" s="285">
        <f t="shared" si="2"/>
        <v>1.2</v>
      </c>
      <c r="J54" s="283">
        <f t="shared" ca="1" si="3"/>
        <v>0</v>
      </c>
      <c r="K54" s="283">
        <f t="shared" ca="1" si="4"/>
        <v>0</v>
      </c>
      <c r="L54" s="284">
        <f t="shared" ca="1" si="5"/>
        <v>1.2</v>
      </c>
      <c r="N54" s="2">
        <f t="shared" si="6"/>
        <v>2.4</v>
      </c>
      <c r="O54" s="33">
        <f t="shared" ca="1" si="7"/>
        <v>0</v>
      </c>
      <c r="P54" s="33">
        <f t="shared" ca="1" si="8"/>
        <v>0</v>
      </c>
      <c r="Q54" s="284">
        <f t="shared" ca="1" si="9"/>
        <v>2.4</v>
      </c>
      <c r="S54" s="2">
        <f t="shared" si="12"/>
        <v>2.4</v>
      </c>
      <c r="T54" s="33">
        <f t="shared" ca="1" si="13"/>
        <v>0</v>
      </c>
      <c r="U54" s="33">
        <f t="shared" ca="1" si="10"/>
        <v>0</v>
      </c>
      <c r="V54" s="284">
        <f t="shared" ca="1" si="11"/>
        <v>2.4</v>
      </c>
    </row>
    <row r="55" spans="8:22" x14ac:dyDescent="0.25">
      <c r="H55" s="283">
        <v>24</v>
      </c>
      <c r="I55" s="285">
        <f t="shared" si="2"/>
        <v>1.2</v>
      </c>
      <c r="J55" s="283">
        <f t="shared" ca="1" si="3"/>
        <v>0</v>
      </c>
      <c r="K55" s="283">
        <f t="shared" ca="1" si="4"/>
        <v>13</v>
      </c>
      <c r="L55" s="284">
        <f t="shared" ca="1" si="5"/>
        <v>14.2</v>
      </c>
      <c r="N55" s="2">
        <f t="shared" si="6"/>
        <v>2.4</v>
      </c>
      <c r="O55" s="33">
        <f t="shared" ca="1" si="7"/>
        <v>0</v>
      </c>
      <c r="P55" s="33">
        <f t="shared" ca="1" si="8"/>
        <v>26</v>
      </c>
      <c r="Q55" s="284">
        <f t="shared" ca="1" si="9"/>
        <v>28.4</v>
      </c>
      <c r="S55" s="2">
        <f t="shared" si="12"/>
        <v>2.4</v>
      </c>
      <c r="T55" s="33">
        <f t="shared" ca="1" si="13"/>
        <v>0</v>
      </c>
      <c r="U55" s="33">
        <f t="shared" ca="1" si="10"/>
        <v>52</v>
      </c>
      <c r="V55" s="284">
        <f t="shared" ca="1" si="11"/>
        <v>54.4</v>
      </c>
    </row>
    <row r="56" spans="8:22" x14ac:dyDescent="0.25">
      <c r="H56" s="283">
        <v>25</v>
      </c>
      <c r="I56" s="285">
        <f t="shared" si="2"/>
        <v>1.2</v>
      </c>
      <c r="J56" s="283">
        <f t="shared" ca="1" si="3"/>
        <v>0</v>
      </c>
      <c r="K56" s="283">
        <f t="shared" ca="1" si="4"/>
        <v>0</v>
      </c>
      <c r="L56" s="284">
        <f t="shared" ca="1" si="5"/>
        <v>1.2</v>
      </c>
      <c r="N56" s="2">
        <f t="shared" si="6"/>
        <v>2.4</v>
      </c>
      <c r="O56" s="33">
        <f t="shared" ca="1" si="7"/>
        <v>0</v>
      </c>
      <c r="P56" s="33">
        <f t="shared" ca="1" si="8"/>
        <v>0</v>
      </c>
      <c r="Q56" s="284">
        <f t="shared" ca="1" si="9"/>
        <v>2.4</v>
      </c>
      <c r="S56" s="2">
        <f t="shared" si="12"/>
        <v>2.4</v>
      </c>
      <c r="T56" s="33">
        <f t="shared" ca="1" si="13"/>
        <v>0</v>
      </c>
      <c r="U56" s="33">
        <f t="shared" ca="1" si="10"/>
        <v>0</v>
      </c>
      <c r="V56" s="284">
        <f t="shared" ca="1" si="11"/>
        <v>2.4</v>
      </c>
    </row>
    <row r="57" spans="8:22" x14ac:dyDescent="0.25">
      <c r="H57" s="283">
        <v>26</v>
      </c>
      <c r="I57" s="285">
        <f t="shared" si="2"/>
        <v>1.2</v>
      </c>
      <c r="J57" s="283">
        <f t="shared" ca="1" si="3"/>
        <v>0</v>
      </c>
      <c r="K57" s="283">
        <f t="shared" ca="1" si="4"/>
        <v>0</v>
      </c>
      <c r="L57" s="284">
        <f t="shared" ca="1" si="5"/>
        <v>1.2</v>
      </c>
      <c r="N57" s="2">
        <f t="shared" si="6"/>
        <v>2.4</v>
      </c>
      <c r="O57" s="33">
        <f t="shared" ca="1" si="7"/>
        <v>0</v>
      </c>
      <c r="P57" s="33">
        <f t="shared" ca="1" si="8"/>
        <v>0</v>
      </c>
      <c r="Q57" s="284">
        <f t="shared" ca="1" si="9"/>
        <v>2.4</v>
      </c>
      <c r="S57" s="2">
        <f t="shared" si="12"/>
        <v>2.4</v>
      </c>
      <c r="T57" s="33">
        <f t="shared" ca="1" si="13"/>
        <v>0</v>
      </c>
      <c r="U57" s="33">
        <f t="shared" ca="1" si="10"/>
        <v>0</v>
      </c>
      <c r="V57" s="284">
        <f t="shared" ca="1" si="11"/>
        <v>2.4</v>
      </c>
    </row>
    <row r="58" spans="8:22" x14ac:dyDescent="0.25">
      <c r="H58" s="283">
        <v>27</v>
      </c>
      <c r="I58" s="285">
        <f t="shared" si="2"/>
        <v>1.2</v>
      </c>
      <c r="J58" s="283">
        <f t="shared" ca="1" si="3"/>
        <v>0</v>
      </c>
      <c r="K58" s="283">
        <f t="shared" ca="1" si="4"/>
        <v>0</v>
      </c>
      <c r="L58" s="284">
        <f t="shared" ca="1" si="5"/>
        <v>1.2</v>
      </c>
      <c r="N58" s="2">
        <f t="shared" si="6"/>
        <v>2.4</v>
      </c>
      <c r="O58" s="33">
        <f t="shared" ca="1" si="7"/>
        <v>0</v>
      </c>
      <c r="P58" s="33">
        <f t="shared" ca="1" si="8"/>
        <v>0</v>
      </c>
      <c r="Q58" s="284">
        <f t="shared" ca="1" si="9"/>
        <v>2.4</v>
      </c>
      <c r="S58" s="2">
        <f t="shared" si="12"/>
        <v>2.4</v>
      </c>
      <c r="T58" s="33">
        <f t="shared" ca="1" si="13"/>
        <v>0</v>
      </c>
      <c r="U58" s="33">
        <f t="shared" ca="1" si="10"/>
        <v>0</v>
      </c>
      <c r="V58" s="284">
        <f t="shared" ca="1" si="11"/>
        <v>2.4</v>
      </c>
    </row>
    <row r="59" spans="8:22" x14ac:dyDescent="0.25">
      <c r="H59" s="283">
        <v>28</v>
      </c>
      <c r="I59" s="285">
        <f t="shared" si="2"/>
        <v>1.2</v>
      </c>
      <c r="J59" s="283">
        <f t="shared" ca="1" si="3"/>
        <v>0</v>
      </c>
      <c r="K59" s="283">
        <f t="shared" ca="1" si="4"/>
        <v>0</v>
      </c>
      <c r="L59" s="284">
        <f t="shared" ca="1" si="5"/>
        <v>1.2</v>
      </c>
      <c r="N59" s="2">
        <f t="shared" si="6"/>
        <v>2.4</v>
      </c>
      <c r="O59" s="33">
        <f t="shared" ca="1" si="7"/>
        <v>0</v>
      </c>
      <c r="P59" s="33">
        <f t="shared" ca="1" si="8"/>
        <v>0</v>
      </c>
      <c r="Q59" s="284">
        <f t="shared" ca="1" si="9"/>
        <v>2.4</v>
      </c>
      <c r="S59" s="2">
        <f t="shared" si="12"/>
        <v>2.4</v>
      </c>
      <c r="T59" s="33">
        <f t="shared" ca="1" si="13"/>
        <v>0</v>
      </c>
      <c r="U59" s="33">
        <f t="shared" ca="1" si="10"/>
        <v>0</v>
      </c>
      <c r="V59" s="284">
        <f t="shared" ca="1" si="11"/>
        <v>2.4</v>
      </c>
    </row>
    <row r="60" spans="8:22" x14ac:dyDescent="0.25">
      <c r="H60" s="283">
        <v>29</v>
      </c>
      <c r="I60" s="285">
        <f t="shared" si="2"/>
        <v>1.2</v>
      </c>
      <c r="J60" s="283">
        <f t="shared" ca="1" si="3"/>
        <v>0</v>
      </c>
      <c r="K60" s="283">
        <f t="shared" ca="1" si="4"/>
        <v>0</v>
      </c>
      <c r="L60" s="284">
        <f t="shared" ca="1" si="5"/>
        <v>1.2</v>
      </c>
      <c r="N60" s="2">
        <f t="shared" si="6"/>
        <v>2.4</v>
      </c>
      <c r="O60" s="33">
        <f t="shared" ca="1" si="7"/>
        <v>0</v>
      </c>
      <c r="P60" s="33">
        <f t="shared" ca="1" si="8"/>
        <v>0</v>
      </c>
      <c r="Q60" s="284">
        <f t="shared" ca="1" si="9"/>
        <v>2.4</v>
      </c>
      <c r="S60" s="2">
        <f t="shared" si="12"/>
        <v>2.4</v>
      </c>
      <c r="T60" s="33">
        <f t="shared" ca="1" si="13"/>
        <v>0</v>
      </c>
      <c r="U60" s="33">
        <f t="shared" ca="1" si="10"/>
        <v>0</v>
      </c>
      <c r="V60" s="284">
        <f t="shared" ca="1" si="11"/>
        <v>2.4</v>
      </c>
    </row>
    <row r="61" spans="8:22" x14ac:dyDescent="0.25">
      <c r="H61" s="283">
        <v>30</v>
      </c>
      <c r="I61" s="285">
        <f t="shared" si="2"/>
        <v>1.2</v>
      </c>
      <c r="J61" s="283">
        <f t="shared" ca="1" si="3"/>
        <v>0</v>
      </c>
      <c r="K61" s="283">
        <f t="shared" ca="1" si="4"/>
        <v>0</v>
      </c>
      <c r="L61" s="284">
        <f t="shared" ca="1" si="5"/>
        <v>1.2</v>
      </c>
      <c r="N61" s="2">
        <f t="shared" si="6"/>
        <v>2.4</v>
      </c>
      <c r="O61" s="33">
        <f t="shared" ca="1" si="7"/>
        <v>0</v>
      </c>
      <c r="P61" s="33">
        <f t="shared" ca="1" si="8"/>
        <v>0</v>
      </c>
      <c r="Q61" s="284">
        <f t="shared" ca="1" si="9"/>
        <v>2.4</v>
      </c>
      <c r="S61" s="2">
        <f t="shared" si="12"/>
        <v>2.4</v>
      </c>
      <c r="T61" s="33">
        <f t="shared" ca="1" si="13"/>
        <v>0</v>
      </c>
      <c r="U61" s="33">
        <f t="shared" ca="1" si="10"/>
        <v>0</v>
      </c>
      <c r="V61" s="284">
        <f t="shared" ca="1" si="11"/>
        <v>2.4</v>
      </c>
    </row>
    <row r="62" spans="8:22" x14ac:dyDescent="0.25">
      <c r="H62" s="283">
        <v>31</v>
      </c>
      <c r="I62" s="285">
        <f t="shared" si="2"/>
        <v>1.2</v>
      </c>
      <c r="J62" s="283">
        <f t="shared" ca="1" si="3"/>
        <v>0</v>
      </c>
      <c r="K62" s="283">
        <f t="shared" ca="1" si="4"/>
        <v>0</v>
      </c>
      <c r="L62" s="284">
        <f t="shared" ca="1" si="5"/>
        <v>1.2</v>
      </c>
      <c r="N62" s="2">
        <f t="shared" si="6"/>
        <v>2.4</v>
      </c>
      <c r="O62" s="33">
        <f t="shared" ca="1" si="7"/>
        <v>0</v>
      </c>
      <c r="P62" s="33">
        <f t="shared" ca="1" si="8"/>
        <v>0</v>
      </c>
      <c r="Q62" s="284">
        <f t="shared" ca="1" si="9"/>
        <v>2.4</v>
      </c>
      <c r="S62" s="2">
        <f t="shared" si="12"/>
        <v>2.4</v>
      </c>
      <c r="T62" s="33">
        <f t="shared" ca="1" si="13"/>
        <v>0</v>
      </c>
      <c r="U62" s="33">
        <f t="shared" ca="1" si="10"/>
        <v>0</v>
      </c>
      <c r="V62" s="284">
        <f t="shared" ca="1" si="11"/>
        <v>2.4</v>
      </c>
    </row>
    <row r="63" spans="8:22" x14ac:dyDescent="0.25">
      <c r="H63" s="283">
        <v>32</v>
      </c>
      <c r="I63" s="285">
        <f t="shared" si="2"/>
        <v>1.2</v>
      </c>
      <c r="J63" s="283">
        <f t="shared" ca="1" si="3"/>
        <v>0</v>
      </c>
      <c r="K63" s="283">
        <f t="shared" ca="1" si="4"/>
        <v>13</v>
      </c>
      <c r="L63" s="284">
        <f t="shared" ca="1" si="5"/>
        <v>14.2</v>
      </c>
      <c r="N63" s="2">
        <f t="shared" si="6"/>
        <v>2.4</v>
      </c>
      <c r="O63" s="33">
        <f t="shared" ca="1" si="7"/>
        <v>0</v>
      </c>
      <c r="P63" s="33">
        <f t="shared" ca="1" si="8"/>
        <v>26</v>
      </c>
      <c r="Q63" s="284">
        <f t="shared" ca="1" si="9"/>
        <v>28.4</v>
      </c>
      <c r="S63" s="2">
        <f t="shared" si="12"/>
        <v>2.4</v>
      </c>
      <c r="T63" s="33">
        <f t="shared" ca="1" si="13"/>
        <v>0</v>
      </c>
      <c r="U63" s="33">
        <f t="shared" ca="1" si="10"/>
        <v>52</v>
      </c>
      <c r="V63" s="284">
        <f t="shared" ca="1" si="11"/>
        <v>54.4</v>
      </c>
    </row>
    <row r="64" spans="8:22" x14ac:dyDescent="0.25">
      <c r="H64" s="283">
        <v>33</v>
      </c>
      <c r="I64" s="285">
        <f t="shared" ref="I64:I81" si="14">$C$25</f>
        <v>1.2</v>
      </c>
      <c r="J64" s="283">
        <f t="shared" ref="J64:J81" ca="1" si="15">IF(H64&lt;$C$21,0,IF(H64=$C$21,1,IF(MOD(OFFSET(H64,-$C$21,0),$C$21)=0,1,0)))*$C$22</f>
        <v>0</v>
      </c>
      <c r="K64" s="283">
        <f t="shared" ref="K64:K81" ca="1" si="16">IF(H64&lt;$C$23,0,IF(H64=$C$23,1,IF(MOD(OFFSET(H64,-$C$23,0),$C$23)=0,1,0)))*$C$24</f>
        <v>0</v>
      </c>
      <c r="L64" s="284">
        <f t="shared" ref="L64:L81" ca="1" si="17">SUM(I64:K64)</f>
        <v>1.2</v>
      </c>
      <c r="N64" s="2">
        <f t="shared" ref="N64:N81" si="18">$D$25</f>
        <v>2.4</v>
      </c>
      <c r="O64" s="33">
        <f t="shared" ref="O64:O81" ca="1" si="19">IF(H64&lt;$D$21,0,IF(H64=$D$21,1,IF(MOD(OFFSET(H64,-$D$21,0),$D$21)=0,1,0)))*$D$22</f>
        <v>0</v>
      </c>
      <c r="P64" s="33">
        <f t="shared" ref="P64:P81" ca="1" si="20">IF(H64&lt;$D$23,0,IF(H64=$D$23,1,IF(MOD(OFFSET(H64,-$D$23,0),$D$23)=0,1,0)))*$D$24</f>
        <v>0</v>
      </c>
      <c r="Q64" s="284">
        <f t="shared" ref="Q64:Q81" ca="1" si="21">SUM(N64:P64)</f>
        <v>2.4</v>
      </c>
      <c r="S64" s="2">
        <f t="shared" si="12"/>
        <v>2.4</v>
      </c>
      <c r="T64" s="33">
        <f t="shared" ca="1" si="13"/>
        <v>0</v>
      </c>
      <c r="U64" s="33">
        <f t="shared" ref="U64:U81" ca="1" si="22">IF(H64&lt;$E$23,0,IF(H64=$E$23,1,IF(MOD(OFFSET(H64,-$E$23,0),$E$23)=0,1,0)))*$E$24</f>
        <v>0</v>
      </c>
      <c r="V64" s="284">
        <f t="shared" ref="V64:V81" ca="1" si="23">SUM(S64:U64)</f>
        <v>2.4</v>
      </c>
    </row>
    <row r="65" spans="8:22" x14ac:dyDescent="0.25">
      <c r="H65" s="283">
        <v>34</v>
      </c>
      <c r="I65" s="285">
        <f t="shared" si="14"/>
        <v>1.2</v>
      </c>
      <c r="J65" s="283">
        <f t="shared" ca="1" si="15"/>
        <v>0</v>
      </c>
      <c r="K65" s="283">
        <f t="shared" ca="1" si="16"/>
        <v>0</v>
      </c>
      <c r="L65" s="284">
        <f t="shared" ca="1" si="17"/>
        <v>1.2</v>
      </c>
      <c r="N65" s="2">
        <f t="shared" si="18"/>
        <v>2.4</v>
      </c>
      <c r="O65" s="33">
        <f t="shared" ca="1" si="19"/>
        <v>0</v>
      </c>
      <c r="P65" s="33">
        <f t="shared" ca="1" si="20"/>
        <v>0</v>
      </c>
      <c r="Q65" s="284">
        <f t="shared" ca="1" si="21"/>
        <v>2.4</v>
      </c>
      <c r="S65" s="2">
        <f t="shared" ref="S65:S81" si="24">$D$25</f>
        <v>2.4</v>
      </c>
      <c r="T65" s="33">
        <f t="shared" ref="T65:T81" ca="1" si="25">IF(M65&lt;$D$21,0,IF(M65=$D$21,1,IF(MOD(OFFSET(M65,-$D$21,0),$D$21)=0,1,0)))*$D$22</f>
        <v>0</v>
      </c>
      <c r="U65" s="33">
        <f t="shared" ca="1" si="22"/>
        <v>0</v>
      </c>
      <c r="V65" s="284">
        <f t="shared" ca="1" si="23"/>
        <v>2.4</v>
      </c>
    </row>
    <row r="66" spans="8:22" x14ac:dyDescent="0.25">
      <c r="H66" s="283">
        <v>35</v>
      </c>
      <c r="I66" s="285">
        <f t="shared" si="14"/>
        <v>1.2</v>
      </c>
      <c r="J66" s="283">
        <f t="shared" ca="1" si="15"/>
        <v>0</v>
      </c>
      <c r="K66" s="283">
        <f t="shared" ca="1" si="16"/>
        <v>0</v>
      </c>
      <c r="L66" s="284">
        <f t="shared" ca="1" si="17"/>
        <v>1.2</v>
      </c>
      <c r="N66" s="2">
        <f t="shared" si="18"/>
        <v>2.4</v>
      </c>
      <c r="O66" s="33">
        <f t="shared" ca="1" si="19"/>
        <v>0</v>
      </c>
      <c r="P66" s="33">
        <f t="shared" ca="1" si="20"/>
        <v>0</v>
      </c>
      <c r="Q66" s="284">
        <f t="shared" ca="1" si="21"/>
        <v>2.4</v>
      </c>
      <c r="S66" s="2">
        <f t="shared" si="24"/>
        <v>2.4</v>
      </c>
      <c r="T66" s="33">
        <f t="shared" ca="1" si="25"/>
        <v>0</v>
      </c>
      <c r="U66" s="33">
        <f t="shared" ca="1" si="22"/>
        <v>0</v>
      </c>
      <c r="V66" s="284">
        <f t="shared" ca="1" si="23"/>
        <v>2.4</v>
      </c>
    </row>
    <row r="67" spans="8:22" x14ac:dyDescent="0.25">
      <c r="H67" s="283">
        <v>36</v>
      </c>
      <c r="I67" s="285">
        <f t="shared" si="14"/>
        <v>1.2</v>
      </c>
      <c r="J67" s="283">
        <f t="shared" ca="1" si="15"/>
        <v>0</v>
      </c>
      <c r="K67" s="283">
        <f t="shared" ca="1" si="16"/>
        <v>0</v>
      </c>
      <c r="L67" s="284">
        <f t="shared" ca="1" si="17"/>
        <v>1.2</v>
      </c>
      <c r="N67" s="2">
        <f t="shared" si="18"/>
        <v>2.4</v>
      </c>
      <c r="O67" s="33">
        <f t="shared" ca="1" si="19"/>
        <v>0</v>
      </c>
      <c r="P67" s="33">
        <f t="shared" ca="1" si="20"/>
        <v>0</v>
      </c>
      <c r="Q67" s="284">
        <f t="shared" ca="1" si="21"/>
        <v>2.4</v>
      </c>
      <c r="S67" s="2">
        <f t="shared" si="24"/>
        <v>2.4</v>
      </c>
      <c r="T67" s="33">
        <f t="shared" ca="1" si="25"/>
        <v>0</v>
      </c>
      <c r="U67" s="33">
        <f t="shared" ca="1" si="22"/>
        <v>0</v>
      </c>
      <c r="V67" s="284">
        <f t="shared" ca="1" si="23"/>
        <v>2.4</v>
      </c>
    </row>
    <row r="68" spans="8:22" x14ac:dyDescent="0.25">
      <c r="H68" s="283">
        <v>37</v>
      </c>
      <c r="I68" s="285">
        <f t="shared" si="14"/>
        <v>1.2</v>
      </c>
      <c r="J68" s="283">
        <f t="shared" ca="1" si="15"/>
        <v>0</v>
      </c>
      <c r="K68" s="283">
        <f t="shared" ca="1" si="16"/>
        <v>0</v>
      </c>
      <c r="L68" s="284">
        <f t="shared" ca="1" si="17"/>
        <v>1.2</v>
      </c>
      <c r="N68" s="2">
        <f t="shared" si="18"/>
        <v>2.4</v>
      </c>
      <c r="O68" s="33">
        <f t="shared" ca="1" si="19"/>
        <v>0</v>
      </c>
      <c r="P68" s="33">
        <f t="shared" ca="1" si="20"/>
        <v>0</v>
      </c>
      <c r="Q68" s="284">
        <f t="shared" ca="1" si="21"/>
        <v>2.4</v>
      </c>
      <c r="S68" s="2">
        <f t="shared" si="24"/>
        <v>2.4</v>
      </c>
      <c r="T68" s="33">
        <f t="shared" ca="1" si="25"/>
        <v>0</v>
      </c>
      <c r="U68" s="33">
        <f t="shared" ca="1" si="22"/>
        <v>0</v>
      </c>
      <c r="V68" s="284">
        <f t="shared" ca="1" si="23"/>
        <v>2.4</v>
      </c>
    </row>
    <row r="69" spans="8:22" x14ac:dyDescent="0.25">
      <c r="H69" s="283">
        <v>38</v>
      </c>
      <c r="I69" s="285">
        <f t="shared" si="14"/>
        <v>1.2</v>
      </c>
      <c r="J69" s="283">
        <f t="shared" ca="1" si="15"/>
        <v>0</v>
      </c>
      <c r="K69" s="283">
        <f t="shared" ca="1" si="16"/>
        <v>0</v>
      </c>
      <c r="L69" s="284">
        <f t="shared" ca="1" si="17"/>
        <v>1.2</v>
      </c>
      <c r="N69" s="2">
        <f t="shared" si="18"/>
        <v>2.4</v>
      </c>
      <c r="O69" s="33">
        <f t="shared" ca="1" si="19"/>
        <v>0</v>
      </c>
      <c r="P69" s="33">
        <f t="shared" ca="1" si="20"/>
        <v>0</v>
      </c>
      <c r="Q69" s="284">
        <f t="shared" ca="1" si="21"/>
        <v>2.4</v>
      </c>
      <c r="S69" s="2">
        <f t="shared" si="24"/>
        <v>2.4</v>
      </c>
      <c r="T69" s="33">
        <f t="shared" ca="1" si="25"/>
        <v>0</v>
      </c>
      <c r="U69" s="33">
        <f t="shared" ca="1" si="22"/>
        <v>0</v>
      </c>
      <c r="V69" s="284">
        <f t="shared" ca="1" si="23"/>
        <v>2.4</v>
      </c>
    </row>
    <row r="70" spans="8:22" x14ac:dyDescent="0.25">
      <c r="H70" s="283">
        <v>39</v>
      </c>
      <c r="I70" s="285">
        <f t="shared" si="14"/>
        <v>1.2</v>
      </c>
      <c r="J70" s="283">
        <f t="shared" ca="1" si="15"/>
        <v>0</v>
      </c>
      <c r="K70" s="283">
        <f t="shared" ca="1" si="16"/>
        <v>0</v>
      </c>
      <c r="L70" s="284">
        <f t="shared" ca="1" si="17"/>
        <v>1.2</v>
      </c>
      <c r="N70" s="2">
        <f t="shared" si="18"/>
        <v>2.4</v>
      </c>
      <c r="O70" s="33">
        <f t="shared" ca="1" si="19"/>
        <v>0</v>
      </c>
      <c r="P70" s="33">
        <f t="shared" ca="1" si="20"/>
        <v>0</v>
      </c>
      <c r="Q70" s="284">
        <f t="shared" ca="1" si="21"/>
        <v>2.4</v>
      </c>
      <c r="S70" s="2">
        <f t="shared" si="24"/>
        <v>2.4</v>
      </c>
      <c r="T70" s="33">
        <f t="shared" ca="1" si="25"/>
        <v>0</v>
      </c>
      <c r="U70" s="33">
        <f t="shared" ca="1" si="22"/>
        <v>0</v>
      </c>
      <c r="V70" s="284">
        <f t="shared" ca="1" si="23"/>
        <v>2.4</v>
      </c>
    </row>
    <row r="71" spans="8:22" x14ac:dyDescent="0.25">
      <c r="H71" s="283">
        <v>40</v>
      </c>
      <c r="I71" s="285">
        <f t="shared" si="14"/>
        <v>1.2</v>
      </c>
      <c r="J71" s="283">
        <f t="shared" ca="1" si="15"/>
        <v>24</v>
      </c>
      <c r="K71" s="283">
        <f t="shared" ca="1" si="16"/>
        <v>13</v>
      </c>
      <c r="L71" s="284">
        <f t="shared" ca="1" si="17"/>
        <v>38.200000000000003</v>
      </c>
      <c r="N71" s="2">
        <f t="shared" si="18"/>
        <v>2.4</v>
      </c>
      <c r="O71" s="33">
        <f t="shared" ca="1" si="19"/>
        <v>48</v>
      </c>
      <c r="P71" s="33">
        <f t="shared" ca="1" si="20"/>
        <v>26</v>
      </c>
      <c r="Q71" s="284">
        <f t="shared" ca="1" si="21"/>
        <v>76.400000000000006</v>
      </c>
      <c r="S71" s="2">
        <f t="shared" si="24"/>
        <v>2.4</v>
      </c>
      <c r="T71" s="33">
        <f t="shared" ca="1" si="25"/>
        <v>0</v>
      </c>
      <c r="U71" s="33">
        <f t="shared" ca="1" si="22"/>
        <v>52</v>
      </c>
      <c r="V71" s="284">
        <f t="shared" ca="1" si="23"/>
        <v>54.4</v>
      </c>
    </row>
    <row r="72" spans="8:22" x14ac:dyDescent="0.25">
      <c r="H72" s="283">
        <v>41</v>
      </c>
      <c r="I72" s="285">
        <f t="shared" si="14"/>
        <v>1.2</v>
      </c>
      <c r="J72" s="283">
        <f t="shared" ca="1" si="15"/>
        <v>0</v>
      </c>
      <c r="K72" s="283">
        <f t="shared" ca="1" si="16"/>
        <v>0</v>
      </c>
      <c r="L72" s="284">
        <f t="shared" ca="1" si="17"/>
        <v>1.2</v>
      </c>
      <c r="N72" s="2">
        <f t="shared" si="18"/>
        <v>2.4</v>
      </c>
      <c r="O72" s="33">
        <f t="shared" ca="1" si="19"/>
        <v>0</v>
      </c>
      <c r="P72" s="33">
        <f t="shared" ca="1" si="20"/>
        <v>0</v>
      </c>
      <c r="Q72" s="284">
        <f t="shared" ca="1" si="21"/>
        <v>2.4</v>
      </c>
      <c r="S72" s="2">
        <f t="shared" si="24"/>
        <v>2.4</v>
      </c>
      <c r="T72" s="33">
        <f t="shared" ca="1" si="25"/>
        <v>0</v>
      </c>
      <c r="U72" s="33">
        <f t="shared" ca="1" si="22"/>
        <v>0</v>
      </c>
      <c r="V72" s="284">
        <f t="shared" ca="1" si="23"/>
        <v>2.4</v>
      </c>
    </row>
    <row r="73" spans="8:22" x14ac:dyDescent="0.25">
      <c r="H73" s="283">
        <v>42</v>
      </c>
      <c r="I73" s="285">
        <f t="shared" si="14"/>
        <v>1.2</v>
      </c>
      <c r="J73" s="283">
        <f t="shared" ca="1" si="15"/>
        <v>0</v>
      </c>
      <c r="K73" s="283">
        <f t="shared" ca="1" si="16"/>
        <v>0</v>
      </c>
      <c r="L73" s="284">
        <f t="shared" ca="1" si="17"/>
        <v>1.2</v>
      </c>
      <c r="N73" s="2">
        <f t="shared" si="18"/>
        <v>2.4</v>
      </c>
      <c r="O73" s="33">
        <f t="shared" ca="1" si="19"/>
        <v>0</v>
      </c>
      <c r="P73" s="33">
        <f t="shared" ca="1" si="20"/>
        <v>0</v>
      </c>
      <c r="Q73" s="284">
        <f t="shared" ca="1" si="21"/>
        <v>2.4</v>
      </c>
      <c r="S73" s="2">
        <f t="shared" si="24"/>
        <v>2.4</v>
      </c>
      <c r="T73" s="33">
        <f t="shared" ca="1" si="25"/>
        <v>0</v>
      </c>
      <c r="U73" s="33">
        <f t="shared" ca="1" si="22"/>
        <v>0</v>
      </c>
      <c r="V73" s="284">
        <f t="shared" ca="1" si="23"/>
        <v>2.4</v>
      </c>
    </row>
    <row r="74" spans="8:22" x14ac:dyDescent="0.25">
      <c r="H74" s="283">
        <v>43</v>
      </c>
      <c r="I74" s="285">
        <f t="shared" si="14"/>
        <v>1.2</v>
      </c>
      <c r="J74" s="283">
        <f t="shared" ca="1" si="15"/>
        <v>0</v>
      </c>
      <c r="K74" s="283">
        <f t="shared" ca="1" si="16"/>
        <v>0</v>
      </c>
      <c r="L74" s="284">
        <f t="shared" ca="1" si="17"/>
        <v>1.2</v>
      </c>
      <c r="N74" s="2">
        <f t="shared" si="18"/>
        <v>2.4</v>
      </c>
      <c r="O74" s="33">
        <f t="shared" ca="1" si="19"/>
        <v>0</v>
      </c>
      <c r="P74" s="33">
        <f t="shared" ca="1" si="20"/>
        <v>0</v>
      </c>
      <c r="Q74" s="284">
        <f t="shared" ca="1" si="21"/>
        <v>2.4</v>
      </c>
      <c r="S74" s="2">
        <f t="shared" si="24"/>
        <v>2.4</v>
      </c>
      <c r="T74" s="33">
        <f t="shared" ca="1" si="25"/>
        <v>0</v>
      </c>
      <c r="U74" s="33">
        <f t="shared" ca="1" si="22"/>
        <v>0</v>
      </c>
      <c r="V74" s="284">
        <f t="shared" ca="1" si="23"/>
        <v>2.4</v>
      </c>
    </row>
    <row r="75" spans="8:22" x14ac:dyDescent="0.25">
      <c r="H75" s="283">
        <v>44</v>
      </c>
      <c r="I75" s="285">
        <f t="shared" si="14"/>
        <v>1.2</v>
      </c>
      <c r="J75" s="283">
        <f t="shared" ca="1" si="15"/>
        <v>0</v>
      </c>
      <c r="K75" s="283">
        <f t="shared" ca="1" si="16"/>
        <v>0</v>
      </c>
      <c r="L75" s="284">
        <f t="shared" ca="1" si="17"/>
        <v>1.2</v>
      </c>
      <c r="N75" s="2">
        <f t="shared" si="18"/>
        <v>2.4</v>
      </c>
      <c r="O75" s="33">
        <f t="shared" ca="1" si="19"/>
        <v>0</v>
      </c>
      <c r="P75" s="33">
        <f t="shared" ca="1" si="20"/>
        <v>0</v>
      </c>
      <c r="Q75" s="284">
        <f t="shared" ca="1" si="21"/>
        <v>2.4</v>
      </c>
      <c r="S75" s="2">
        <f t="shared" si="24"/>
        <v>2.4</v>
      </c>
      <c r="T75" s="33">
        <f t="shared" ca="1" si="25"/>
        <v>0</v>
      </c>
      <c r="U75" s="33">
        <f t="shared" ca="1" si="22"/>
        <v>0</v>
      </c>
      <c r="V75" s="284">
        <f t="shared" ca="1" si="23"/>
        <v>2.4</v>
      </c>
    </row>
    <row r="76" spans="8:22" x14ac:dyDescent="0.25">
      <c r="H76" s="283">
        <v>45</v>
      </c>
      <c r="I76" s="285">
        <f t="shared" si="14"/>
        <v>1.2</v>
      </c>
      <c r="J76" s="283">
        <f t="shared" ca="1" si="15"/>
        <v>0</v>
      </c>
      <c r="K76" s="283">
        <f t="shared" ca="1" si="16"/>
        <v>0</v>
      </c>
      <c r="L76" s="284">
        <f t="shared" ca="1" si="17"/>
        <v>1.2</v>
      </c>
      <c r="N76" s="2">
        <f t="shared" si="18"/>
        <v>2.4</v>
      </c>
      <c r="O76" s="33">
        <f t="shared" ca="1" si="19"/>
        <v>0</v>
      </c>
      <c r="P76" s="33">
        <f t="shared" ca="1" si="20"/>
        <v>0</v>
      </c>
      <c r="Q76" s="284">
        <f t="shared" ca="1" si="21"/>
        <v>2.4</v>
      </c>
      <c r="S76" s="2">
        <f t="shared" si="24"/>
        <v>2.4</v>
      </c>
      <c r="T76" s="33">
        <f t="shared" ca="1" si="25"/>
        <v>0</v>
      </c>
      <c r="U76" s="33">
        <f t="shared" ca="1" si="22"/>
        <v>0</v>
      </c>
      <c r="V76" s="284">
        <f t="shared" ca="1" si="23"/>
        <v>2.4</v>
      </c>
    </row>
    <row r="77" spans="8:22" x14ac:dyDescent="0.25">
      <c r="H77" s="283">
        <v>46</v>
      </c>
      <c r="I77" s="285">
        <f t="shared" si="14"/>
        <v>1.2</v>
      </c>
      <c r="J77" s="283">
        <f t="shared" ca="1" si="15"/>
        <v>0</v>
      </c>
      <c r="K77" s="283">
        <f t="shared" ca="1" si="16"/>
        <v>0</v>
      </c>
      <c r="L77" s="284">
        <f t="shared" ca="1" si="17"/>
        <v>1.2</v>
      </c>
      <c r="N77" s="2">
        <f t="shared" si="18"/>
        <v>2.4</v>
      </c>
      <c r="O77" s="33">
        <f t="shared" ca="1" si="19"/>
        <v>0</v>
      </c>
      <c r="P77" s="33">
        <f t="shared" ca="1" si="20"/>
        <v>0</v>
      </c>
      <c r="Q77" s="284">
        <f t="shared" ca="1" si="21"/>
        <v>2.4</v>
      </c>
      <c r="S77" s="2">
        <f t="shared" si="24"/>
        <v>2.4</v>
      </c>
      <c r="T77" s="33">
        <f t="shared" ca="1" si="25"/>
        <v>0</v>
      </c>
      <c r="U77" s="33">
        <f t="shared" ca="1" si="22"/>
        <v>0</v>
      </c>
      <c r="V77" s="284">
        <f t="shared" ca="1" si="23"/>
        <v>2.4</v>
      </c>
    </row>
    <row r="78" spans="8:22" x14ac:dyDescent="0.25">
      <c r="H78" s="283">
        <v>47</v>
      </c>
      <c r="I78" s="285">
        <f t="shared" si="14"/>
        <v>1.2</v>
      </c>
      <c r="J78" s="283">
        <f t="shared" ca="1" si="15"/>
        <v>0</v>
      </c>
      <c r="K78" s="283">
        <f t="shared" ca="1" si="16"/>
        <v>0</v>
      </c>
      <c r="L78" s="284">
        <f t="shared" ca="1" si="17"/>
        <v>1.2</v>
      </c>
      <c r="N78" s="2">
        <f t="shared" si="18"/>
        <v>2.4</v>
      </c>
      <c r="O78" s="33">
        <f t="shared" ca="1" si="19"/>
        <v>0</v>
      </c>
      <c r="P78" s="33">
        <f t="shared" ca="1" si="20"/>
        <v>0</v>
      </c>
      <c r="Q78" s="284">
        <f t="shared" ca="1" si="21"/>
        <v>2.4</v>
      </c>
      <c r="S78" s="2">
        <f t="shared" si="24"/>
        <v>2.4</v>
      </c>
      <c r="T78" s="33">
        <f t="shared" ca="1" si="25"/>
        <v>0</v>
      </c>
      <c r="U78" s="33">
        <f t="shared" ca="1" si="22"/>
        <v>0</v>
      </c>
      <c r="V78" s="284">
        <f t="shared" ca="1" si="23"/>
        <v>2.4</v>
      </c>
    </row>
    <row r="79" spans="8:22" x14ac:dyDescent="0.25">
      <c r="H79" s="283">
        <v>48</v>
      </c>
      <c r="I79" s="285">
        <f t="shared" si="14"/>
        <v>1.2</v>
      </c>
      <c r="J79" s="283">
        <f t="shared" ca="1" si="15"/>
        <v>0</v>
      </c>
      <c r="K79" s="283">
        <f t="shared" ca="1" si="16"/>
        <v>13</v>
      </c>
      <c r="L79" s="284">
        <f t="shared" ca="1" si="17"/>
        <v>14.2</v>
      </c>
      <c r="N79" s="2">
        <f t="shared" si="18"/>
        <v>2.4</v>
      </c>
      <c r="O79" s="33">
        <f t="shared" ca="1" si="19"/>
        <v>0</v>
      </c>
      <c r="P79" s="33">
        <f t="shared" ca="1" si="20"/>
        <v>26</v>
      </c>
      <c r="Q79" s="284">
        <f t="shared" ca="1" si="21"/>
        <v>28.4</v>
      </c>
      <c r="S79" s="2">
        <f t="shared" si="24"/>
        <v>2.4</v>
      </c>
      <c r="T79" s="33">
        <f t="shared" ca="1" si="25"/>
        <v>0</v>
      </c>
      <c r="U79" s="33">
        <f t="shared" ca="1" si="22"/>
        <v>52</v>
      </c>
      <c r="V79" s="284">
        <f t="shared" ca="1" si="23"/>
        <v>54.4</v>
      </c>
    </row>
    <row r="80" spans="8:22" x14ac:dyDescent="0.25">
      <c r="H80" s="283">
        <v>49</v>
      </c>
      <c r="I80" s="285">
        <f t="shared" si="14"/>
        <v>1.2</v>
      </c>
      <c r="J80" s="283">
        <f t="shared" ca="1" si="15"/>
        <v>0</v>
      </c>
      <c r="K80" s="283">
        <f t="shared" ca="1" si="16"/>
        <v>0</v>
      </c>
      <c r="L80" s="284">
        <f t="shared" ca="1" si="17"/>
        <v>1.2</v>
      </c>
      <c r="N80" s="2">
        <f t="shared" si="18"/>
        <v>2.4</v>
      </c>
      <c r="O80" s="33">
        <f t="shared" ca="1" si="19"/>
        <v>0</v>
      </c>
      <c r="P80" s="33">
        <f t="shared" ca="1" si="20"/>
        <v>0</v>
      </c>
      <c r="Q80" s="284">
        <f t="shared" ca="1" si="21"/>
        <v>2.4</v>
      </c>
      <c r="S80" s="2">
        <f t="shared" si="24"/>
        <v>2.4</v>
      </c>
      <c r="T80" s="33">
        <f t="shared" ca="1" si="25"/>
        <v>0</v>
      </c>
      <c r="U80" s="33">
        <f t="shared" ca="1" si="22"/>
        <v>0</v>
      </c>
      <c r="V80" s="284">
        <f t="shared" ca="1" si="23"/>
        <v>2.4</v>
      </c>
    </row>
    <row r="81" spans="8:22" x14ac:dyDescent="0.25">
      <c r="H81" s="283">
        <v>50</v>
      </c>
      <c r="I81" s="285">
        <f t="shared" si="14"/>
        <v>1.2</v>
      </c>
      <c r="J81" s="283">
        <f t="shared" ca="1" si="15"/>
        <v>0</v>
      </c>
      <c r="K81" s="283">
        <f t="shared" ca="1" si="16"/>
        <v>0</v>
      </c>
      <c r="L81" s="284">
        <f t="shared" ca="1" si="17"/>
        <v>1.2</v>
      </c>
      <c r="N81" s="2">
        <f t="shared" si="18"/>
        <v>2.4</v>
      </c>
      <c r="O81" s="33">
        <f t="shared" ca="1" si="19"/>
        <v>0</v>
      </c>
      <c r="P81" s="33">
        <f t="shared" ca="1" si="20"/>
        <v>0</v>
      </c>
      <c r="Q81" s="284">
        <f t="shared" ca="1" si="21"/>
        <v>2.4</v>
      </c>
      <c r="S81" s="2">
        <f t="shared" si="24"/>
        <v>2.4</v>
      </c>
      <c r="T81" s="33">
        <f t="shared" ca="1" si="25"/>
        <v>0</v>
      </c>
      <c r="U81" s="33">
        <f t="shared" ca="1" si="22"/>
        <v>0</v>
      </c>
      <c r="V81" s="284">
        <f t="shared" ca="1" si="23"/>
        <v>2.4</v>
      </c>
    </row>
    <row r="82" spans="8:22" x14ac:dyDescent="0.25">
      <c r="H82" s="283" t="s">
        <v>538</v>
      </c>
      <c r="I82" s="282"/>
      <c r="J82" s="282"/>
      <c r="K82" s="282"/>
      <c r="L82" s="281">
        <f ca="1">NPV(C17,L32:L81)</f>
        <v>60.68095947045893</v>
      </c>
      <c r="Q82" s="281">
        <f ca="1">NPV(D17,Q32:Q81)</f>
        <v>121.36191894091786</v>
      </c>
      <c r="V82" s="281">
        <f ca="1">NPV(I17,V32:V81)</f>
        <v>434.39999999999969</v>
      </c>
    </row>
    <row r="83" spans="8:22" x14ac:dyDescent="0.25">
      <c r="H83" s="283" t="s">
        <v>537</v>
      </c>
      <c r="I83" s="282"/>
      <c r="J83" s="282"/>
      <c r="K83" s="282"/>
      <c r="L83" s="281">
        <f ca="1">-PMT(C17,H81,L82)</f>
        <v>2.8247108268203691</v>
      </c>
      <c r="Q83" s="281">
        <f ca="1">-PMT(D17,H81,Q82)</f>
        <v>5.6494216536407382</v>
      </c>
      <c r="V83" s="281" t="e">
        <f ca="1">-PMT(I17,M81,V82)</f>
        <v>#NUM!</v>
      </c>
    </row>
  </sheetData>
  <sheetProtection algorithmName="SHA-512" hashValue="jGqeRCb+sLVwqZdbPFvvSZsSZjc94yVOskZb6l4nfU5ZnpJNMlafvyGTQF38gIzEE5RgizLWn3FT2zLxPTw9xQ==" saltValue="1xhVqvAEV4Y2b7K2QJ1pxQ==" spinCount="100000" sheet="1" objects="1" scenarios="1"/>
  <conditionalFormatting sqref="B16">
    <cfRule type="expression" dxfId="13" priority="14">
      <formula>AND(#REF!&lt;&gt;$AG$62,#REF!&lt;&gt;$AG$62,#REF!&lt;&gt;$AG$62)</formula>
    </cfRule>
  </conditionalFormatting>
  <conditionalFormatting sqref="B25">
    <cfRule type="expression" dxfId="12" priority="13">
      <formula>AND(#REF!&lt;&gt;$AG$62,#REF!&lt;&gt;$AG$62,#REF!&lt;&gt;$AG$62)</formula>
    </cfRule>
  </conditionalFormatting>
  <conditionalFormatting sqref="D22">
    <cfRule type="expression" dxfId="11" priority="12">
      <formula>#REF!&lt;&gt;$AG$62</formula>
    </cfRule>
  </conditionalFormatting>
  <conditionalFormatting sqref="D24">
    <cfRule type="expression" dxfId="10" priority="11">
      <formula>#REF!&lt;&gt;$AG$62</formula>
    </cfRule>
  </conditionalFormatting>
  <conditionalFormatting sqref="D25">
    <cfRule type="expression" dxfId="9" priority="10">
      <formula>#REF!&lt;&gt;$AG$62</formula>
    </cfRule>
  </conditionalFormatting>
  <conditionalFormatting sqref="C16">
    <cfRule type="expression" dxfId="8" priority="9">
      <formula>#REF!&lt;&gt;$AG$62</formula>
    </cfRule>
  </conditionalFormatting>
  <conditionalFormatting sqref="D16">
    <cfRule type="expression" dxfId="7" priority="8">
      <formula>#REF!&lt;&gt;$AG$62</formula>
    </cfRule>
  </conditionalFormatting>
  <conditionalFormatting sqref="E22">
    <cfRule type="expression" dxfId="6" priority="7">
      <formula>#REF!&lt;&gt;$AG$62</formula>
    </cfRule>
  </conditionalFormatting>
  <conditionalFormatting sqref="E24">
    <cfRule type="expression" dxfId="5" priority="6">
      <formula>#REF!&lt;&gt;$AG$62</formula>
    </cfRule>
  </conditionalFormatting>
  <conditionalFormatting sqref="E25">
    <cfRule type="expression" dxfId="4" priority="5">
      <formula>#REF!&lt;&gt;$AG$62</formula>
    </cfRule>
  </conditionalFormatting>
  <conditionalFormatting sqref="E16">
    <cfRule type="expression" dxfId="3" priority="4">
      <formula>#REF!&lt;&gt;$AG$62</formula>
    </cfRule>
  </conditionalFormatting>
  <conditionalFormatting sqref="B4">
    <cfRule type="expression" dxfId="2" priority="1">
      <formula>AND(#REF!&lt;&gt;#REF!,#REF!&lt;&gt;#REF!,#REF!&lt;&gt;#REF!)</formula>
    </cfRule>
  </conditionalFormatting>
  <conditionalFormatting sqref="C4">
    <cfRule type="expression" dxfId="1" priority="2">
      <formula>#REF!&lt;&gt;#REF!</formula>
    </cfRule>
  </conditionalFormatting>
  <conditionalFormatting sqref="D4">
    <cfRule type="expression" dxfId="0" priority="3">
      <formula>#REF!&lt;&gt;#REF!</formula>
    </cfRule>
  </conditionalFormatting>
  <hyperlinks>
    <hyperlink ref="A26" location="'Controlled Drainage'!X100" display="Annualized NPV of repl &amp; maint"/>
  </hyperlinks>
  <pageMargins left="0.7" right="0.7" top="0.75" bottom="0.75" header="0.3" footer="0.3"/>
  <drawing r:id="rId1"/>
  <legacyDrawing r:id="rId2"/>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dimension ref="A1:AN14"/>
  <sheetViews>
    <sheetView workbookViewId="0"/>
  </sheetViews>
  <sheetFormatPr defaultColWidth="9.140625" defaultRowHeight="15" x14ac:dyDescent="0.25"/>
  <cols>
    <col min="1" max="1" width="24.7109375" style="21" customWidth="1"/>
    <col min="2" max="16384" width="9.140625" style="21"/>
  </cols>
  <sheetData>
    <row r="1" spans="1:40" x14ac:dyDescent="0.25">
      <c r="A1" s="21" t="s">
        <v>61</v>
      </c>
      <c r="B1" s="21">
        <v>1</v>
      </c>
      <c r="C1" s="21">
        <v>2</v>
      </c>
      <c r="D1" s="21">
        <v>3</v>
      </c>
      <c r="E1" s="21">
        <v>4</v>
      </c>
      <c r="F1" s="21">
        <v>5</v>
      </c>
      <c r="G1" s="21">
        <v>6</v>
      </c>
      <c r="H1" s="21">
        <v>7</v>
      </c>
      <c r="I1" s="21">
        <v>8</v>
      </c>
      <c r="J1" s="21">
        <v>9</v>
      </c>
      <c r="K1" s="21">
        <v>10</v>
      </c>
      <c r="L1" s="21">
        <v>11</v>
      </c>
      <c r="M1" s="21">
        <v>12</v>
      </c>
      <c r="N1" s="21">
        <v>13</v>
      </c>
      <c r="O1" s="21">
        <v>14</v>
      </c>
      <c r="P1" s="21">
        <v>15</v>
      </c>
      <c r="Q1" s="21">
        <v>16</v>
      </c>
      <c r="R1" s="21">
        <v>17</v>
      </c>
      <c r="S1" s="21">
        <v>18</v>
      </c>
      <c r="T1" s="21">
        <v>19</v>
      </c>
      <c r="U1" s="21">
        <v>20</v>
      </c>
      <c r="V1" s="21">
        <v>21</v>
      </c>
      <c r="W1" s="21">
        <v>22</v>
      </c>
      <c r="X1" s="21">
        <v>23</v>
      </c>
      <c r="Y1" s="21">
        <v>24</v>
      </c>
      <c r="Z1" s="21">
        <v>25</v>
      </c>
      <c r="AA1" s="21">
        <v>26</v>
      </c>
      <c r="AB1" s="21">
        <v>27</v>
      </c>
      <c r="AC1" s="21">
        <v>28</v>
      </c>
      <c r="AD1" s="21">
        <v>29</v>
      </c>
      <c r="AE1" s="21">
        <v>30</v>
      </c>
      <c r="AF1" s="21">
        <v>31</v>
      </c>
      <c r="AG1" s="21">
        <v>32</v>
      </c>
      <c r="AH1" s="21">
        <v>33</v>
      </c>
      <c r="AI1" s="21">
        <v>34</v>
      </c>
      <c r="AJ1" s="21">
        <v>35</v>
      </c>
      <c r="AK1" s="21">
        <v>36</v>
      </c>
      <c r="AL1" s="21">
        <v>37</v>
      </c>
      <c r="AM1" s="21">
        <v>38</v>
      </c>
      <c r="AN1" s="21">
        <v>39</v>
      </c>
    </row>
    <row r="2" spans="1:40" x14ac:dyDescent="0.25">
      <c r="A2" s="21" t="s">
        <v>111</v>
      </c>
      <c r="B2" s="21" t="s">
        <v>60</v>
      </c>
      <c r="C2" s="21" t="s">
        <v>59</v>
      </c>
      <c r="D2" s="21" t="s">
        <v>58</v>
      </c>
      <c r="E2" s="21" t="s">
        <v>57</v>
      </c>
      <c r="F2" s="21" t="s">
        <v>56</v>
      </c>
      <c r="G2" s="21" t="s">
        <v>55</v>
      </c>
      <c r="H2" s="21" t="s">
        <v>54</v>
      </c>
      <c r="I2" s="21" t="s">
        <v>53</v>
      </c>
      <c r="J2" s="21" t="s">
        <v>52</v>
      </c>
      <c r="K2" s="21" t="s">
        <v>51</v>
      </c>
      <c r="L2" s="21" t="s">
        <v>50</v>
      </c>
      <c r="M2" s="21" t="s">
        <v>49</v>
      </c>
      <c r="N2" s="21" t="s">
        <v>48</v>
      </c>
      <c r="O2" s="21" t="s">
        <v>47</v>
      </c>
      <c r="P2" s="21" t="s">
        <v>46</v>
      </c>
      <c r="Q2" s="21" t="s">
        <v>45</v>
      </c>
      <c r="R2" s="21" t="s">
        <v>44</v>
      </c>
      <c r="S2" s="21" t="s">
        <v>43</v>
      </c>
      <c r="T2" s="21" t="s">
        <v>42</v>
      </c>
      <c r="U2" s="21" t="s">
        <v>41</v>
      </c>
      <c r="V2" s="21" t="s">
        <v>40</v>
      </c>
      <c r="W2" s="21" t="s">
        <v>39</v>
      </c>
      <c r="X2" s="21" t="s">
        <v>38</v>
      </c>
      <c r="Y2" s="21" t="s">
        <v>37</v>
      </c>
      <c r="Z2" s="21" t="s">
        <v>36</v>
      </c>
      <c r="AA2" s="21" t="s">
        <v>35</v>
      </c>
      <c r="AB2" s="21" t="s">
        <v>34</v>
      </c>
      <c r="AC2" s="21" t="s">
        <v>33</v>
      </c>
      <c r="AD2" s="21" t="s">
        <v>32</v>
      </c>
      <c r="AE2" s="21" t="s">
        <v>31</v>
      </c>
      <c r="AF2" s="21" t="s">
        <v>30</v>
      </c>
      <c r="AG2" s="21" t="s">
        <v>29</v>
      </c>
      <c r="AH2" s="21" t="s">
        <v>28</v>
      </c>
      <c r="AI2" s="21" t="s">
        <v>27</v>
      </c>
      <c r="AJ2" s="21" t="s">
        <v>26</v>
      </c>
      <c r="AK2" s="21" t="s">
        <v>25</v>
      </c>
      <c r="AL2" s="21" t="s">
        <v>24</v>
      </c>
      <c r="AM2" s="21" t="s">
        <v>23</v>
      </c>
      <c r="AN2" s="21" t="s">
        <v>22</v>
      </c>
    </row>
    <row r="3" spans="1:40" x14ac:dyDescent="0.25">
      <c r="A3" s="21" t="str">
        <f>INDEX(watershed_list,Main!B7)</f>
        <v>Statewide</v>
      </c>
      <c r="B3" s="22">
        <f>Watersheds!B122</f>
        <v>1</v>
      </c>
      <c r="C3" s="22">
        <f>Watersheds!C122</f>
        <v>1</v>
      </c>
      <c r="D3" s="22">
        <f>Watersheds!D122</f>
        <v>1</v>
      </c>
      <c r="E3" s="22">
        <f>Watersheds!E122</f>
        <v>1</v>
      </c>
      <c r="F3" s="22">
        <f>Watersheds!F122</f>
        <v>1</v>
      </c>
      <c r="G3" s="22">
        <f>Watersheds!G122</f>
        <v>1</v>
      </c>
      <c r="H3" s="22">
        <f>Watersheds!H122</f>
        <v>1</v>
      </c>
      <c r="I3" s="22">
        <f>Watersheds!I122</f>
        <v>1</v>
      </c>
      <c r="J3" s="22">
        <f>Watersheds!J122</f>
        <v>1</v>
      </c>
      <c r="K3" s="22">
        <f>Watersheds!K122</f>
        <v>1</v>
      </c>
      <c r="L3" s="22">
        <f>Watersheds!L122</f>
        <v>1</v>
      </c>
      <c r="M3" s="22">
        <f>Watersheds!M122</f>
        <v>1</v>
      </c>
      <c r="N3" s="22">
        <f>Watersheds!N122</f>
        <v>1</v>
      </c>
      <c r="O3" s="22">
        <f>Watersheds!O122</f>
        <v>1</v>
      </c>
      <c r="P3" s="22">
        <f>Watersheds!P122</f>
        <v>1</v>
      </c>
      <c r="Q3" s="22">
        <f>Watersheds!Q122</f>
        <v>1</v>
      </c>
      <c r="R3" s="22">
        <f>Watersheds!R122</f>
        <v>1</v>
      </c>
      <c r="S3" s="22">
        <f>Watersheds!S122</f>
        <v>1</v>
      </c>
      <c r="T3" s="22">
        <f>Watersheds!T122</f>
        <v>1</v>
      </c>
      <c r="U3" s="22">
        <f>Watersheds!U122</f>
        <v>1</v>
      </c>
      <c r="V3" s="22">
        <f>Watersheds!V122</f>
        <v>1</v>
      </c>
      <c r="W3" s="22">
        <f>Watersheds!W122</f>
        <v>1</v>
      </c>
      <c r="X3" s="22">
        <f>Watersheds!X122</f>
        <v>1</v>
      </c>
      <c r="Y3" s="22">
        <f>Watersheds!Y122</f>
        <v>1</v>
      </c>
      <c r="Z3" s="22">
        <f>Watersheds!Z122</f>
        <v>1</v>
      </c>
      <c r="AA3" s="22">
        <f>Watersheds!AA122</f>
        <v>1</v>
      </c>
      <c r="AB3" s="22">
        <f>Watersheds!AB122</f>
        <v>1</v>
      </c>
      <c r="AC3" s="22">
        <f>Watersheds!AC122</f>
        <v>1</v>
      </c>
      <c r="AD3" s="22">
        <f>Watersheds!AD122</f>
        <v>1</v>
      </c>
      <c r="AE3" s="22">
        <f>Watersheds!AE122</f>
        <v>1</v>
      </c>
      <c r="AF3" s="22">
        <f>Watersheds!AF122</f>
        <v>1</v>
      </c>
      <c r="AG3" s="22">
        <f>Watersheds!AG122</f>
        <v>1</v>
      </c>
      <c r="AH3" s="22">
        <f>Watersheds!AH122</f>
        <v>1</v>
      </c>
      <c r="AI3" s="22">
        <f>Watersheds!AI122</f>
        <v>1</v>
      </c>
      <c r="AJ3" s="22">
        <f>Watersheds!AJ122</f>
        <v>1</v>
      </c>
      <c r="AK3" s="22">
        <f>Watersheds!AK122</f>
        <v>1</v>
      </c>
      <c r="AL3" s="22">
        <f>Watersheds!AL122</f>
        <v>1</v>
      </c>
      <c r="AM3" s="22">
        <f>Watersheds!AM122</f>
        <v>1</v>
      </c>
      <c r="AN3" s="22">
        <f>Watersheds!AN122</f>
        <v>1</v>
      </c>
    </row>
    <row r="4" spans="1:40" x14ac:dyDescent="0.25">
      <c r="A4" s="524" t="s">
        <v>895</v>
      </c>
      <c r="B4" s="57">
        <v>19.009360000000001</v>
      </c>
      <c r="C4" s="57">
        <v>19.070319999999999</v>
      </c>
      <c r="D4" s="57">
        <v>27.886659999999999</v>
      </c>
      <c r="E4" s="57">
        <v>21.285200000000003</v>
      </c>
      <c r="F4" s="57">
        <v>12.50442</v>
      </c>
      <c r="G4" s="57">
        <v>26.106120000000001</v>
      </c>
      <c r="H4" s="57">
        <v>18.821400000000001</v>
      </c>
      <c r="I4" s="57">
        <v>12.999720000000002</v>
      </c>
      <c r="J4" s="57">
        <v>10.033000000000001</v>
      </c>
      <c r="K4" s="57">
        <v>8.5978999999999992</v>
      </c>
      <c r="L4" s="57">
        <v>20.022819999999999</v>
      </c>
      <c r="M4" s="57">
        <v>17.90954</v>
      </c>
      <c r="N4" s="57">
        <v>12.93622</v>
      </c>
      <c r="O4" s="57">
        <v>7.0967600000000006</v>
      </c>
      <c r="P4" s="57">
        <v>25.821640000000002</v>
      </c>
      <c r="Q4" s="57">
        <v>9.0119199999999999</v>
      </c>
      <c r="R4" s="57">
        <v>27.505660000000002</v>
      </c>
      <c r="S4" s="57">
        <v>20.657819999999997</v>
      </c>
      <c r="T4" s="57">
        <v>35.930840000000003</v>
      </c>
      <c r="U4" s="57">
        <v>12.354559999999999</v>
      </c>
      <c r="V4" s="57">
        <v>14.676119999999999</v>
      </c>
      <c r="W4" s="57">
        <v>7.4320400000000006</v>
      </c>
      <c r="X4" s="57">
        <v>11.5443</v>
      </c>
      <c r="Y4" s="57">
        <v>27.15006</v>
      </c>
      <c r="Z4" s="57">
        <v>20.309840000000001</v>
      </c>
      <c r="AA4" s="57">
        <v>17.688560000000003</v>
      </c>
      <c r="AB4" s="57">
        <v>12.085319999999999</v>
      </c>
      <c r="AC4" s="57">
        <v>21.719540000000002</v>
      </c>
      <c r="AD4" s="57">
        <v>18.773140000000001</v>
      </c>
      <c r="AE4" s="57">
        <v>14.39418</v>
      </c>
      <c r="AF4" s="57">
        <v>20.530820000000002</v>
      </c>
      <c r="AG4" s="57">
        <v>27.200859999999999</v>
      </c>
      <c r="AH4" s="57">
        <v>13.147040000000001</v>
      </c>
      <c r="AI4" s="57">
        <v>10.594340000000001</v>
      </c>
      <c r="AJ4" s="57">
        <v>5.9080400000000006</v>
      </c>
      <c r="AK4" s="57">
        <v>26.449020000000001</v>
      </c>
      <c r="AL4" s="57">
        <v>7.2161400000000002</v>
      </c>
      <c r="AM4" s="57">
        <v>16.670020000000001</v>
      </c>
      <c r="AN4" s="57">
        <v>18.572480000000002</v>
      </c>
    </row>
    <row r="5" spans="1:40" x14ac:dyDescent="0.25">
      <c r="A5" s="525" t="s">
        <v>893</v>
      </c>
      <c r="B5" s="18">
        <v>10.436859999999999</v>
      </c>
      <c r="C5" s="18">
        <v>9.9491800000000001</v>
      </c>
      <c r="D5" s="18">
        <v>20.236180000000001</v>
      </c>
      <c r="E5" s="18">
        <v>11.6205</v>
      </c>
      <c r="F5" s="18">
        <v>2.45872</v>
      </c>
      <c r="G5" s="18">
        <v>16.596360000000001</v>
      </c>
      <c r="H5" s="18">
        <v>10.223500000000001</v>
      </c>
      <c r="I5" s="18">
        <v>3.26898</v>
      </c>
      <c r="J5" s="18">
        <v>2.4866600000000001</v>
      </c>
      <c r="K5" s="18">
        <v>2.63144</v>
      </c>
      <c r="L5" s="18">
        <v>11.973560000000001</v>
      </c>
      <c r="M5" s="18">
        <v>10.284460000000001</v>
      </c>
      <c r="N5" s="18">
        <v>2.1386799999999999</v>
      </c>
      <c r="O5" s="18">
        <v>1.4198600000000001</v>
      </c>
      <c r="P5" s="18">
        <v>16.48714</v>
      </c>
      <c r="Q5" s="18">
        <v>2.5679399999999997</v>
      </c>
      <c r="R5" s="18">
        <v>17.721579999999999</v>
      </c>
      <c r="S5" s="18">
        <v>12.148820000000001</v>
      </c>
      <c r="T5" s="18">
        <v>22.768560000000001</v>
      </c>
      <c r="U5" s="18">
        <v>5.3721000000000005</v>
      </c>
      <c r="V5" s="18">
        <v>3.6398200000000003</v>
      </c>
      <c r="W5" s="18">
        <v>1.91516</v>
      </c>
      <c r="X5" s="18">
        <v>4.5389799999999996</v>
      </c>
      <c r="Y5" s="18">
        <v>19.573240000000002</v>
      </c>
      <c r="Z5" s="18">
        <v>10.439400000000001</v>
      </c>
      <c r="AA5" s="18">
        <v>9.8755199999999999</v>
      </c>
      <c r="AB5" s="18">
        <v>4.7320200000000003</v>
      </c>
      <c r="AC5" s="18">
        <v>12.575539999999998</v>
      </c>
      <c r="AD5" s="18">
        <v>7.6707999999999998</v>
      </c>
      <c r="AE5" s="18">
        <v>4.7574199999999998</v>
      </c>
      <c r="AF5" s="18">
        <v>10.75436</v>
      </c>
      <c r="AG5" s="18">
        <v>19.588480000000001</v>
      </c>
      <c r="AH5" s="18">
        <v>4.0690800000000005</v>
      </c>
      <c r="AI5" s="18">
        <v>2.1945600000000001</v>
      </c>
      <c r="AJ5" s="18">
        <v>0.92455999999999994</v>
      </c>
      <c r="AK5" s="18">
        <v>18.011140000000001</v>
      </c>
      <c r="AL5" s="18">
        <v>1.4731999999999998</v>
      </c>
      <c r="AM5" s="18">
        <v>5.6972199999999997</v>
      </c>
      <c r="AN5" s="18">
        <v>7.7393800000000006</v>
      </c>
    </row>
    <row r="6" spans="1:40" x14ac:dyDescent="0.25">
      <c r="A6" s="525" t="s">
        <v>894</v>
      </c>
      <c r="B6" s="18">
        <v>29.227779999999999</v>
      </c>
      <c r="C6" s="18">
        <v>28.75534</v>
      </c>
      <c r="D6" s="18">
        <v>39.463979999999999</v>
      </c>
      <c r="E6" s="18">
        <v>31.996379999999998</v>
      </c>
      <c r="F6" s="18">
        <v>29.809440000000002</v>
      </c>
      <c r="G6" s="18">
        <v>35.135820000000002</v>
      </c>
      <c r="H6" s="18">
        <v>28.22702</v>
      </c>
      <c r="I6" s="18">
        <v>28.52674</v>
      </c>
      <c r="J6" s="18">
        <v>19.461480000000002</v>
      </c>
      <c r="K6" s="18">
        <v>15.631159999999999</v>
      </c>
      <c r="L6" s="18">
        <v>29.395420000000001</v>
      </c>
      <c r="M6" s="18">
        <v>25.890219999999999</v>
      </c>
      <c r="N6" s="18">
        <v>31.851599999999998</v>
      </c>
      <c r="O6" s="18">
        <v>13.728700000000002</v>
      </c>
      <c r="P6" s="18">
        <v>43.568619999999996</v>
      </c>
      <c r="Q6" s="18">
        <v>16.438880000000001</v>
      </c>
      <c r="R6" s="18">
        <v>36.799520000000001</v>
      </c>
      <c r="S6" s="18">
        <v>29.164279999999998</v>
      </c>
      <c r="T6" s="18">
        <v>47.574200000000005</v>
      </c>
      <c r="U6" s="18">
        <v>20.076160000000002</v>
      </c>
      <c r="V6" s="18">
        <v>35.034219999999998</v>
      </c>
      <c r="W6" s="18">
        <v>14.404340000000001</v>
      </c>
      <c r="X6" s="18">
        <v>18.854420000000001</v>
      </c>
      <c r="Y6" s="18">
        <v>39.527479999999997</v>
      </c>
      <c r="Z6" s="18">
        <v>35.918140000000001</v>
      </c>
      <c r="AA6" s="18">
        <v>26.093419999999998</v>
      </c>
      <c r="AB6" s="18">
        <v>20.200620000000001</v>
      </c>
      <c r="AC6" s="18">
        <v>31.843980000000002</v>
      </c>
      <c r="AD6" s="18">
        <v>38.252400000000002</v>
      </c>
      <c r="AE6" s="18">
        <v>28.293059999999997</v>
      </c>
      <c r="AF6" s="18">
        <v>32.585660000000004</v>
      </c>
      <c r="AG6" s="18">
        <v>39.258240000000001</v>
      </c>
      <c r="AH6" s="18">
        <v>25.03678</v>
      </c>
      <c r="AI6" s="18">
        <v>22.702520000000003</v>
      </c>
      <c r="AJ6" s="18">
        <v>11.981179999999998</v>
      </c>
      <c r="AK6" s="18">
        <v>41.737279999999998</v>
      </c>
      <c r="AL6" s="18">
        <v>13.86332</v>
      </c>
      <c r="AM6" s="18">
        <v>35.557459999999999</v>
      </c>
      <c r="AN6" s="18">
        <v>36.61918</v>
      </c>
    </row>
    <row r="7" spans="1:40" x14ac:dyDescent="0.25">
      <c r="A7" s="21" t="s">
        <v>265</v>
      </c>
      <c r="B7" s="57">
        <f t="shared" ref="B7:AN7" si="0">IF(fertlink=1,B4,IF(fertlink=3,B5,B6))</f>
        <v>19.009360000000001</v>
      </c>
      <c r="C7" s="57">
        <f t="shared" si="0"/>
        <v>19.070319999999999</v>
      </c>
      <c r="D7" s="57">
        <f t="shared" si="0"/>
        <v>27.886659999999999</v>
      </c>
      <c r="E7" s="57">
        <f t="shared" si="0"/>
        <v>21.285200000000003</v>
      </c>
      <c r="F7" s="57">
        <f t="shared" si="0"/>
        <v>12.50442</v>
      </c>
      <c r="G7" s="57">
        <f t="shared" si="0"/>
        <v>26.106120000000001</v>
      </c>
      <c r="H7" s="57">
        <f t="shared" si="0"/>
        <v>18.821400000000001</v>
      </c>
      <c r="I7" s="57">
        <f t="shared" si="0"/>
        <v>12.999720000000002</v>
      </c>
      <c r="J7" s="57">
        <f t="shared" si="0"/>
        <v>10.033000000000001</v>
      </c>
      <c r="K7" s="57">
        <f t="shared" si="0"/>
        <v>8.5978999999999992</v>
      </c>
      <c r="L7" s="57">
        <f t="shared" si="0"/>
        <v>20.022819999999999</v>
      </c>
      <c r="M7" s="57">
        <f t="shared" si="0"/>
        <v>17.90954</v>
      </c>
      <c r="N7" s="57">
        <f t="shared" si="0"/>
        <v>12.93622</v>
      </c>
      <c r="O7" s="57">
        <f t="shared" si="0"/>
        <v>7.0967600000000006</v>
      </c>
      <c r="P7" s="57">
        <f t="shared" si="0"/>
        <v>25.821640000000002</v>
      </c>
      <c r="Q7" s="57">
        <f t="shared" si="0"/>
        <v>9.0119199999999999</v>
      </c>
      <c r="R7" s="57">
        <f t="shared" si="0"/>
        <v>27.505660000000002</v>
      </c>
      <c r="S7" s="57">
        <f t="shared" si="0"/>
        <v>20.657819999999997</v>
      </c>
      <c r="T7" s="57">
        <f t="shared" si="0"/>
        <v>35.930840000000003</v>
      </c>
      <c r="U7" s="57">
        <f t="shared" si="0"/>
        <v>12.354559999999999</v>
      </c>
      <c r="V7" s="57">
        <f t="shared" si="0"/>
        <v>14.676119999999999</v>
      </c>
      <c r="W7" s="57">
        <f t="shared" si="0"/>
        <v>7.4320400000000006</v>
      </c>
      <c r="X7" s="57">
        <f t="shared" si="0"/>
        <v>11.5443</v>
      </c>
      <c r="Y7" s="57">
        <f t="shared" si="0"/>
        <v>27.15006</v>
      </c>
      <c r="Z7" s="57">
        <f t="shared" si="0"/>
        <v>20.309840000000001</v>
      </c>
      <c r="AA7" s="57">
        <f t="shared" si="0"/>
        <v>17.688560000000003</v>
      </c>
      <c r="AB7" s="57">
        <f t="shared" si="0"/>
        <v>12.085319999999999</v>
      </c>
      <c r="AC7" s="57">
        <f t="shared" si="0"/>
        <v>21.719540000000002</v>
      </c>
      <c r="AD7" s="57">
        <f t="shared" si="0"/>
        <v>18.773140000000001</v>
      </c>
      <c r="AE7" s="57">
        <f t="shared" si="0"/>
        <v>14.39418</v>
      </c>
      <c r="AF7" s="57">
        <f t="shared" si="0"/>
        <v>20.530820000000002</v>
      </c>
      <c r="AG7" s="57">
        <f t="shared" si="0"/>
        <v>27.200859999999999</v>
      </c>
      <c r="AH7" s="57">
        <f t="shared" si="0"/>
        <v>13.147040000000001</v>
      </c>
      <c r="AI7" s="57">
        <f t="shared" si="0"/>
        <v>10.594340000000001</v>
      </c>
      <c r="AJ7" s="57">
        <f t="shared" si="0"/>
        <v>5.9080400000000006</v>
      </c>
      <c r="AK7" s="57">
        <f t="shared" si="0"/>
        <v>26.449020000000001</v>
      </c>
      <c r="AL7" s="57">
        <f t="shared" si="0"/>
        <v>7.2161400000000002</v>
      </c>
      <c r="AM7" s="57">
        <f t="shared" si="0"/>
        <v>16.670020000000001</v>
      </c>
      <c r="AN7" s="57">
        <f t="shared" si="0"/>
        <v>18.572480000000002</v>
      </c>
    </row>
    <row r="8" spans="1:40" x14ac:dyDescent="0.25">
      <c r="A8" s="21" t="s">
        <v>264</v>
      </c>
      <c r="B8" s="21">
        <f>VLOOKUP(B7,Parameters!$AZ$3:$BA$8, 2, TRUE)</f>
        <v>4</v>
      </c>
      <c r="C8" s="21">
        <f>VLOOKUP(C7,Parameters!$AZ$3:$BA$8, 2, TRUE)</f>
        <v>4</v>
      </c>
      <c r="D8" s="21">
        <f>VLOOKUP(D7,Parameters!$AZ$3:$BA$8, 2, TRUE)</f>
        <v>8</v>
      </c>
      <c r="E8" s="21">
        <f>VLOOKUP(E7,Parameters!$AZ$3:$BA$8, 2, TRUE)</f>
        <v>4</v>
      </c>
      <c r="F8" s="21">
        <f>VLOOKUP(F7,Parameters!$AZ$3:$BA$8, 2, TRUE)</f>
        <v>1</v>
      </c>
      <c r="G8" s="21">
        <f>VLOOKUP(G7,Parameters!$AZ$3:$BA$8, 2, TRUE)</f>
        <v>8</v>
      </c>
      <c r="H8" s="21">
        <f>VLOOKUP(H7,Parameters!$AZ$3:$BA$8, 2, TRUE)</f>
        <v>4</v>
      </c>
      <c r="I8" s="21">
        <f>VLOOKUP(I7,Parameters!$AZ$3:$BA$8, 2, TRUE)</f>
        <v>1</v>
      </c>
      <c r="J8" s="21">
        <f>VLOOKUP(J7,Parameters!$AZ$3:$BA$8, 2, TRUE)</f>
        <v>1</v>
      </c>
      <c r="K8" s="21">
        <f>VLOOKUP(K7,Parameters!$AZ$3:$BA$8, 2, TRUE)</f>
        <v>1</v>
      </c>
      <c r="L8" s="21">
        <f>VLOOKUP(L7,Parameters!$AZ$3:$BA$8, 2, TRUE)</f>
        <v>4</v>
      </c>
      <c r="M8" s="21">
        <f>VLOOKUP(M7,Parameters!$AZ$3:$BA$8, 2, TRUE)</f>
        <v>4</v>
      </c>
      <c r="N8" s="21">
        <f>VLOOKUP(N7,Parameters!$AZ$3:$BA$8, 2, TRUE)</f>
        <v>1</v>
      </c>
      <c r="O8" s="21">
        <f>VLOOKUP(O7,Parameters!$AZ$3:$BA$8, 2, TRUE)</f>
        <v>0</v>
      </c>
      <c r="P8" s="21">
        <f>VLOOKUP(P7,Parameters!$AZ$3:$BA$8, 2, TRUE)</f>
        <v>8</v>
      </c>
      <c r="Q8" s="21">
        <f>VLOOKUP(Q7,Parameters!$AZ$3:$BA$8, 2, TRUE)</f>
        <v>1</v>
      </c>
      <c r="R8" s="21">
        <f>VLOOKUP(R7,Parameters!$AZ$3:$BA$8, 2, TRUE)</f>
        <v>8</v>
      </c>
      <c r="S8" s="21">
        <f>VLOOKUP(S7,Parameters!$AZ$3:$BA$8, 2, TRUE)</f>
        <v>4</v>
      </c>
      <c r="T8" s="21">
        <f>VLOOKUP(T7,Parameters!$AZ$3:$BA$8, 2, TRUE)</f>
        <v>8</v>
      </c>
      <c r="U8" s="21">
        <f>VLOOKUP(U7,Parameters!$AZ$3:$BA$8, 2, TRUE)</f>
        <v>1</v>
      </c>
      <c r="V8" s="21">
        <f>VLOOKUP(V7,Parameters!$AZ$3:$BA$8, 2, TRUE)</f>
        <v>2</v>
      </c>
      <c r="W8" s="21">
        <f>VLOOKUP(W7,Parameters!$AZ$3:$BA$8, 2, TRUE)</f>
        <v>0</v>
      </c>
      <c r="X8" s="21">
        <f>VLOOKUP(X7,Parameters!$AZ$3:$BA$8, 2, TRUE)</f>
        <v>1</v>
      </c>
      <c r="Y8" s="21">
        <f>VLOOKUP(Y7,Parameters!$AZ$3:$BA$8, 2, TRUE)</f>
        <v>8</v>
      </c>
      <c r="Z8" s="21">
        <f>VLOOKUP(Z7,Parameters!$AZ$3:$BA$8, 2, TRUE)</f>
        <v>4</v>
      </c>
      <c r="AA8" s="21">
        <f>VLOOKUP(AA7,Parameters!$AZ$3:$BA$8, 2, TRUE)</f>
        <v>4</v>
      </c>
      <c r="AB8" s="21">
        <f>VLOOKUP(AB7,Parameters!$AZ$3:$BA$8, 2, TRUE)</f>
        <v>1</v>
      </c>
      <c r="AC8" s="21">
        <f>VLOOKUP(AC7,Parameters!$AZ$3:$BA$8, 2, TRUE)</f>
        <v>8</v>
      </c>
      <c r="AD8" s="21">
        <f>VLOOKUP(AD7,Parameters!$AZ$3:$BA$8, 2, TRUE)</f>
        <v>4</v>
      </c>
      <c r="AE8" s="21">
        <f>VLOOKUP(AE7,Parameters!$AZ$3:$BA$8, 2, TRUE)</f>
        <v>2</v>
      </c>
      <c r="AF8" s="21">
        <f>VLOOKUP(AF7,Parameters!$AZ$3:$BA$8, 2, TRUE)</f>
        <v>4</v>
      </c>
      <c r="AG8" s="21">
        <f>VLOOKUP(AG7,Parameters!$AZ$3:$BA$8, 2, TRUE)</f>
        <v>8</v>
      </c>
      <c r="AH8" s="21">
        <f>VLOOKUP(AH7,Parameters!$AZ$3:$BA$8, 2, TRUE)</f>
        <v>1</v>
      </c>
      <c r="AI8" s="21">
        <f>VLOOKUP(AI7,Parameters!$AZ$3:$BA$8, 2, TRUE)</f>
        <v>1</v>
      </c>
      <c r="AJ8" s="21">
        <f>VLOOKUP(AJ7,Parameters!$AZ$3:$BA$8, 2, TRUE)</f>
        <v>0</v>
      </c>
      <c r="AK8" s="21">
        <f>VLOOKUP(AK7,Parameters!$AZ$3:$BA$8, 2, TRUE)</f>
        <v>8</v>
      </c>
      <c r="AL8" s="21">
        <f>VLOOKUP(AL7,Parameters!$AZ$3:$BA$8, 2, TRUE)</f>
        <v>0</v>
      </c>
      <c r="AM8" s="21">
        <f>VLOOKUP(AM7,Parameters!$AZ$3:$BA$8, 2, TRUE)</f>
        <v>4</v>
      </c>
      <c r="AN8" s="21">
        <f>VLOOKUP(AN7,Parameters!$AZ$3:$BA$8, 2, TRUE)</f>
        <v>4</v>
      </c>
    </row>
    <row r="9" spans="1:40" x14ac:dyDescent="0.25">
      <c r="A9" s="21" t="s">
        <v>72</v>
      </c>
      <c r="B9" s="31">
        <f t="shared" ref="B9:AN9" si="1">B8*0.5</f>
        <v>2</v>
      </c>
      <c r="C9" s="31">
        <f t="shared" si="1"/>
        <v>2</v>
      </c>
      <c r="D9" s="31">
        <f t="shared" si="1"/>
        <v>4</v>
      </c>
      <c r="E9" s="31">
        <f t="shared" si="1"/>
        <v>2</v>
      </c>
      <c r="F9" s="31">
        <f t="shared" si="1"/>
        <v>0.5</v>
      </c>
      <c r="G9" s="31">
        <f t="shared" si="1"/>
        <v>4</v>
      </c>
      <c r="H9" s="31">
        <f t="shared" si="1"/>
        <v>2</v>
      </c>
      <c r="I9" s="31">
        <f t="shared" si="1"/>
        <v>0.5</v>
      </c>
      <c r="J9" s="31">
        <f t="shared" si="1"/>
        <v>0.5</v>
      </c>
      <c r="K9" s="31">
        <f t="shared" si="1"/>
        <v>0.5</v>
      </c>
      <c r="L9" s="31">
        <f t="shared" si="1"/>
        <v>2</v>
      </c>
      <c r="M9" s="31">
        <f t="shared" si="1"/>
        <v>2</v>
      </c>
      <c r="N9" s="31">
        <f t="shared" si="1"/>
        <v>0.5</v>
      </c>
      <c r="O9" s="31">
        <f t="shared" si="1"/>
        <v>0</v>
      </c>
      <c r="P9" s="31">
        <f t="shared" si="1"/>
        <v>4</v>
      </c>
      <c r="Q9" s="31">
        <f t="shared" si="1"/>
        <v>0.5</v>
      </c>
      <c r="R9" s="31">
        <f t="shared" si="1"/>
        <v>4</v>
      </c>
      <c r="S9" s="31">
        <f t="shared" si="1"/>
        <v>2</v>
      </c>
      <c r="T9" s="31">
        <f t="shared" si="1"/>
        <v>4</v>
      </c>
      <c r="U9" s="31">
        <f t="shared" si="1"/>
        <v>0.5</v>
      </c>
      <c r="V9" s="31">
        <f t="shared" si="1"/>
        <v>1</v>
      </c>
      <c r="W9" s="31">
        <f t="shared" si="1"/>
        <v>0</v>
      </c>
      <c r="X9" s="31">
        <f t="shared" si="1"/>
        <v>0.5</v>
      </c>
      <c r="Y9" s="31">
        <f t="shared" si="1"/>
        <v>4</v>
      </c>
      <c r="Z9" s="31">
        <f t="shared" si="1"/>
        <v>2</v>
      </c>
      <c r="AA9" s="31">
        <f t="shared" si="1"/>
        <v>2</v>
      </c>
      <c r="AB9" s="31">
        <f t="shared" si="1"/>
        <v>0.5</v>
      </c>
      <c r="AC9" s="31">
        <f t="shared" si="1"/>
        <v>4</v>
      </c>
      <c r="AD9" s="31">
        <f t="shared" si="1"/>
        <v>2</v>
      </c>
      <c r="AE9" s="31">
        <f t="shared" si="1"/>
        <v>1</v>
      </c>
      <c r="AF9" s="31">
        <f t="shared" si="1"/>
        <v>2</v>
      </c>
      <c r="AG9" s="31">
        <f t="shared" si="1"/>
        <v>4</v>
      </c>
      <c r="AH9" s="31">
        <f t="shared" si="1"/>
        <v>0.5</v>
      </c>
      <c r="AI9" s="31">
        <f t="shared" si="1"/>
        <v>0.5</v>
      </c>
      <c r="AJ9" s="31">
        <f t="shared" si="1"/>
        <v>0</v>
      </c>
      <c r="AK9" s="31">
        <f t="shared" si="1"/>
        <v>4</v>
      </c>
      <c r="AL9" s="31">
        <f t="shared" si="1"/>
        <v>0</v>
      </c>
      <c r="AM9" s="31">
        <f t="shared" si="1"/>
        <v>2</v>
      </c>
      <c r="AN9" s="31">
        <f t="shared" si="1"/>
        <v>2</v>
      </c>
    </row>
    <row r="10" spans="1:40" x14ac:dyDescent="0.25">
      <c r="A10" s="21" t="s">
        <v>85</v>
      </c>
      <c r="B10" s="21">
        <f>VLOOKUP(B7, Parameters!$BD$3:$BF$8, 1, TRUE)</f>
        <v>17</v>
      </c>
      <c r="C10" s="21">
        <f>VLOOKUP(C7, Parameters!$BD$3:$BF$8, 1, TRUE)</f>
        <v>17</v>
      </c>
      <c r="D10" s="21">
        <f>VLOOKUP(D7, Parameters!$BD$3:$BF$8, 1, TRUE)</f>
        <v>21</v>
      </c>
      <c r="E10" s="21">
        <f>VLOOKUP(E7, Parameters!$BD$3:$BF$8, 1, TRUE)</f>
        <v>21</v>
      </c>
      <c r="F10" s="21">
        <f>VLOOKUP(F7, Parameters!$BD$3:$BF$8, 1, TRUE)</f>
        <v>9</v>
      </c>
      <c r="G10" s="21">
        <f>VLOOKUP(G7, Parameters!$BD$3:$BF$8, 1, TRUE)</f>
        <v>21</v>
      </c>
      <c r="H10" s="21">
        <f>VLOOKUP(H7, Parameters!$BD$3:$BF$8, 1, TRUE)</f>
        <v>17</v>
      </c>
      <c r="I10" s="21">
        <f>VLOOKUP(I7, Parameters!$BD$3:$BF$8, 1, TRUE)</f>
        <v>9</v>
      </c>
      <c r="J10" s="21">
        <f>VLOOKUP(J7, Parameters!$BD$3:$BF$8, 1, TRUE)</f>
        <v>9</v>
      </c>
      <c r="K10" s="21">
        <f>VLOOKUP(K7, Parameters!$BD$3:$BF$8, 1, TRUE)</f>
        <v>0</v>
      </c>
      <c r="L10" s="21">
        <f>VLOOKUP(L7, Parameters!$BD$3:$BF$8, 1, TRUE)</f>
        <v>17</v>
      </c>
      <c r="M10" s="21">
        <f>VLOOKUP(M7, Parameters!$BD$3:$BF$8, 1, TRUE)</f>
        <v>17</v>
      </c>
      <c r="N10" s="21">
        <f>VLOOKUP(N7, Parameters!$BD$3:$BF$8, 1, TRUE)</f>
        <v>9</v>
      </c>
      <c r="O10" s="21">
        <f>VLOOKUP(O7, Parameters!$BD$3:$BF$8, 1, TRUE)</f>
        <v>0</v>
      </c>
      <c r="P10" s="21">
        <f>VLOOKUP(P7, Parameters!$BD$3:$BF$8, 1, TRUE)</f>
        <v>21</v>
      </c>
      <c r="Q10" s="21">
        <f>VLOOKUP(Q7, Parameters!$BD$3:$BF$8, 1, TRUE)</f>
        <v>9</v>
      </c>
      <c r="R10" s="21">
        <f>VLOOKUP(R7, Parameters!$BD$3:$BF$8, 1, TRUE)</f>
        <v>21</v>
      </c>
      <c r="S10" s="21">
        <f>VLOOKUP(S7, Parameters!$BD$3:$BF$8, 1, TRUE)</f>
        <v>17</v>
      </c>
      <c r="T10" s="21">
        <f>VLOOKUP(T7, Parameters!$BD$3:$BF$8, 1, TRUE)</f>
        <v>21</v>
      </c>
      <c r="U10" s="21">
        <f>VLOOKUP(U7, Parameters!$BD$3:$BF$8, 1, TRUE)</f>
        <v>9</v>
      </c>
      <c r="V10" s="21">
        <f>VLOOKUP(V7, Parameters!$BD$3:$BF$8, 1, TRUE)</f>
        <v>14</v>
      </c>
      <c r="W10" s="21">
        <f>VLOOKUP(W7, Parameters!$BD$3:$BF$8, 1, TRUE)</f>
        <v>0</v>
      </c>
      <c r="X10" s="21">
        <f>VLOOKUP(X7, Parameters!$BD$3:$BF$8, 1, TRUE)</f>
        <v>9</v>
      </c>
      <c r="Y10" s="21">
        <f>VLOOKUP(Y7, Parameters!$BD$3:$BF$8, 1, TRUE)</f>
        <v>21</v>
      </c>
      <c r="Z10" s="21">
        <f>VLOOKUP(Z7, Parameters!$BD$3:$BF$8, 1, TRUE)</f>
        <v>17</v>
      </c>
      <c r="AA10" s="21">
        <f>VLOOKUP(AA7, Parameters!$BD$3:$BF$8, 1, TRUE)</f>
        <v>17</v>
      </c>
      <c r="AB10" s="21">
        <f>VLOOKUP(AB7, Parameters!$BD$3:$BF$8, 1, TRUE)</f>
        <v>9</v>
      </c>
      <c r="AC10" s="21">
        <f>VLOOKUP(AC7, Parameters!$BD$3:$BF$8, 1, TRUE)</f>
        <v>21</v>
      </c>
      <c r="AD10" s="21">
        <f>VLOOKUP(AD7, Parameters!$BD$3:$BF$8, 1, TRUE)</f>
        <v>17</v>
      </c>
      <c r="AE10" s="21">
        <f>VLOOKUP(AE7, Parameters!$BD$3:$BF$8, 1, TRUE)</f>
        <v>14</v>
      </c>
      <c r="AF10" s="21">
        <f>VLOOKUP(AF7, Parameters!$BD$3:$BF$8, 1, TRUE)</f>
        <v>17</v>
      </c>
      <c r="AG10" s="21">
        <f>VLOOKUP(AG7, Parameters!$BD$3:$BF$8, 1, TRUE)</f>
        <v>21</v>
      </c>
      <c r="AH10" s="21">
        <f>VLOOKUP(AH7, Parameters!$BD$3:$BF$8, 1, TRUE)</f>
        <v>9</v>
      </c>
      <c r="AI10" s="21">
        <f>VLOOKUP(AI7, Parameters!$BD$3:$BF$8, 1, TRUE)</f>
        <v>9</v>
      </c>
      <c r="AJ10" s="21">
        <f>VLOOKUP(AJ7, Parameters!$BD$3:$BF$8, 1, TRUE)</f>
        <v>0</v>
      </c>
      <c r="AK10" s="21">
        <f>VLOOKUP(AK7, Parameters!$BD$3:$BF$8, 1, TRUE)</f>
        <v>21</v>
      </c>
      <c r="AL10" s="21">
        <f>VLOOKUP(AL7, Parameters!$BD$3:$BF$8, 1, TRUE)</f>
        <v>0</v>
      </c>
      <c r="AM10" s="21">
        <f>VLOOKUP(AM7, Parameters!$BD$3:$BF$8, 1, TRUE)</f>
        <v>14</v>
      </c>
      <c r="AN10" s="21">
        <f>VLOOKUP(AN7, Parameters!$BD$3:$BF$8, 1, TRUE)</f>
        <v>17</v>
      </c>
    </row>
    <row r="11" spans="1:40" x14ac:dyDescent="0.25">
      <c r="A11" s="21" t="s">
        <v>104</v>
      </c>
      <c r="B11" s="21">
        <f>VLOOKUP(B7, Parameters!$BD$3:$BF$8, 2, TRUE)</f>
        <v>4</v>
      </c>
      <c r="C11" s="21">
        <f>VLOOKUP(C7, Parameters!$BD$3:$BF$8, 2, TRUE)</f>
        <v>4</v>
      </c>
      <c r="D11" s="21">
        <f>VLOOKUP(D7, Parameters!$BD$3:$BF$8, 2, TRUE)</f>
        <v>8</v>
      </c>
      <c r="E11" s="21">
        <f>VLOOKUP(E7, Parameters!$BD$3:$BF$8, 2, TRUE)</f>
        <v>8</v>
      </c>
      <c r="F11" s="21">
        <f>VLOOKUP(F7, Parameters!$BD$3:$BF$8, 2, TRUE)</f>
        <v>1</v>
      </c>
      <c r="G11" s="21">
        <f>VLOOKUP(G7, Parameters!$BD$3:$BF$8, 2, TRUE)</f>
        <v>8</v>
      </c>
      <c r="H11" s="21">
        <f>VLOOKUP(H7, Parameters!$BD$3:$BF$8, 2, TRUE)</f>
        <v>4</v>
      </c>
      <c r="I11" s="21">
        <f>VLOOKUP(I7, Parameters!$BD$3:$BF$8, 2, TRUE)</f>
        <v>1</v>
      </c>
      <c r="J11" s="21">
        <f>VLOOKUP(J7, Parameters!$BD$3:$BF$8, 2, TRUE)</f>
        <v>1</v>
      </c>
      <c r="K11" s="21">
        <f>VLOOKUP(K7, Parameters!$BD$3:$BF$8, 2, TRUE)</f>
        <v>0</v>
      </c>
      <c r="L11" s="21">
        <f>VLOOKUP(L7, Parameters!$BD$3:$BF$8, 2, TRUE)</f>
        <v>4</v>
      </c>
      <c r="M11" s="21">
        <f>VLOOKUP(M7, Parameters!$BD$3:$BF$8, 2, TRUE)</f>
        <v>4</v>
      </c>
      <c r="N11" s="21">
        <f>VLOOKUP(N7, Parameters!$BD$3:$BF$8, 2, TRUE)</f>
        <v>1</v>
      </c>
      <c r="O11" s="21">
        <f>VLOOKUP(O7, Parameters!$BD$3:$BF$8, 2, TRUE)</f>
        <v>0</v>
      </c>
      <c r="P11" s="21">
        <f>VLOOKUP(P7, Parameters!$BD$3:$BF$8, 2, TRUE)</f>
        <v>8</v>
      </c>
      <c r="Q11" s="21">
        <f>VLOOKUP(Q7, Parameters!$BD$3:$BF$8, 2, TRUE)</f>
        <v>1</v>
      </c>
      <c r="R11" s="21">
        <f>VLOOKUP(R7, Parameters!$BD$3:$BF$8, 2, TRUE)</f>
        <v>8</v>
      </c>
      <c r="S11" s="21">
        <f>VLOOKUP(S7, Parameters!$BD$3:$BF$8, 2, TRUE)</f>
        <v>4</v>
      </c>
      <c r="T11" s="21">
        <f>VLOOKUP(T7, Parameters!$BD$3:$BF$8, 2, TRUE)</f>
        <v>8</v>
      </c>
      <c r="U11" s="21">
        <f>VLOOKUP(U7, Parameters!$BD$3:$BF$8, 2, TRUE)</f>
        <v>1</v>
      </c>
      <c r="V11" s="21">
        <f>VLOOKUP(V7, Parameters!$BD$3:$BF$8, 2, TRUE)</f>
        <v>2</v>
      </c>
      <c r="W11" s="21">
        <f>VLOOKUP(W7, Parameters!$BD$3:$BF$8, 2, TRUE)</f>
        <v>0</v>
      </c>
      <c r="X11" s="21">
        <f>VLOOKUP(X7, Parameters!$BD$3:$BF$8, 2, TRUE)</f>
        <v>1</v>
      </c>
      <c r="Y11" s="21">
        <f>VLOOKUP(Y7, Parameters!$BD$3:$BF$8, 2, TRUE)</f>
        <v>8</v>
      </c>
      <c r="Z11" s="21">
        <f>VLOOKUP(Z7, Parameters!$BD$3:$BF$8, 2, TRUE)</f>
        <v>4</v>
      </c>
      <c r="AA11" s="21">
        <f>VLOOKUP(AA7, Parameters!$BD$3:$BF$8, 2, TRUE)</f>
        <v>4</v>
      </c>
      <c r="AB11" s="21">
        <f>VLOOKUP(AB7, Parameters!$BD$3:$BF$8, 2, TRUE)</f>
        <v>1</v>
      </c>
      <c r="AC11" s="21">
        <f>VLOOKUP(AC7, Parameters!$BD$3:$BF$8, 2, TRUE)</f>
        <v>8</v>
      </c>
      <c r="AD11" s="21">
        <f>VLOOKUP(AD7, Parameters!$BD$3:$BF$8, 2, TRUE)</f>
        <v>4</v>
      </c>
      <c r="AE11" s="21">
        <f>VLOOKUP(AE7, Parameters!$BD$3:$BF$8, 2, TRUE)</f>
        <v>2</v>
      </c>
      <c r="AF11" s="21">
        <f>VLOOKUP(AF7, Parameters!$BD$3:$BF$8, 2, TRUE)</f>
        <v>4</v>
      </c>
      <c r="AG11" s="21">
        <f>VLOOKUP(AG7, Parameters!$BD$3:$BF$8, 2, TRUE)</f>
        <v>8</v>
      </c>
      <c r="AH11" s="21">
        <f>VLOOKUP(AH7, Parameters!$BD$3:$BF$8, 2, TRUE)</f>
        <v>1</v>
      </c>
      <c r="AI11" s="21">
        <f>VLOOKUP(AI7, Parameters!$BD$3:$BF$8, 2, TRUE)</f>
        <v>1</v>
      </c>
      <c r="AJ11" s="21">
        <f>VLOOKUP(AJ7, Parameters!$BD$3:$BF$8, 2, TRUE)</f>
        <v>0</v>
      </c>
      <c r="AK11" s="21">
        <f>VLOOKUP(AK7, Parameters!$BD$3:$BF$8, 2, TRUE)</f>
        <v>8</v>
      </c>
      <c r="AL11" s="21">
        <f>VLOOKUP(AL7, Parameters!$BD$3:$BF$8, 2, TRUE)</f>
        <v>0</v>
      </c>
      <c r="AM11" s="21">
        <f>VLOOKUP(AM7, Parameters!$BD$3:$BF$8, 2, TRUE)</f>
        <v>2</v>
      </c>
      <c r="AN11" s="21">
        <f>VLOOKUP(AN7, Parameters!$BD$3:$BF$8, 2, TRUE)</f>
        <v>4</v>
      </c>
    </row>
    <row r="12" spans="1:40" x14ac:dyDescent="0.25">
      <c r="A12" s="54" t="s">
        <v>83</v>
      </c>
      <c r="B12" s="54">
        <f>VLOOKUP(B7, Parameters!$BD$3:$BF$8, 3, TRUE)</f>
        <v>1</v>
      </c>
      <c r="C12" s="54">
        <f>VLOOKUP(C7, Parameters!$BD$3:$BF$8, 3, TRUE)</f>
        <v>1</v>
      </c>
      <c r="D12" s="54">
        <f>VLOOKUP(D7, Parameters!$BD$3:$BF$8, 3, TRUE)</f>
        <v>0</v>
      </c>
      <c r="E12" s="54">
        <f>VLOOKUP(E7, Parameters!$BD$3:$BF$8, 3, TRUE)</f>
        <v>0</v>
      </c>
      <c r="F12" s="54">
        <f>VLOOKUP(F7, Parameters!$BD$3:$BF$8, 3, TRUE)</f>
        <v>0.2</v>
      </c>
      <c r="G12" s="54">
        <f>VLOOKUP(G7, Parameters!$BD$3:$BF$8, 3, TRUE)</f>
        <v>0</v>
      </c>
      <c r="H12" s="54">
        <f>VLOOKUP(H7, Parameters!$BD$3:$BF$8, 3, TRUE)</f>
        <v>1</v>
      </c>
      <c r="I12" s="54">
        <f>VLOOKUP(I7, Parameters!$BD$3:$BF$8, 3, TRUE)</f>
        <v>0.2</v>
      </c>
      <c r="J12" s="54">
        <f>VLOOKUP(J7, Parameters!$BD$3:$BF$8, 3, TRUE)</f>
        <v>0.2</v>
      </c>
      <c r="K12" s="54">
        <f>VLOOKUP(K7, Parameters!$BD$3:$BF$8, 3, TRUE)</f>
        <v>0.1111111111111111</v>
      </c>
      <c r="L12" s="54">
        <f>VLOOKUP(L7, Parameters!$BD$3:$BF$8, 3, TRUE)</f>
        <v>1</v>
      </c>
      <c r="M12" s="54">
        <f>VLOOKUP(M7, Parameters!$BD$3:$BF$8, 3, TRUE)</f>
        <v>1</v>
      </c>
      <c r="N12" s="54">
        <f>VLOOKUP(N7, Parameters!$BD$3:$BF$8, 3, TRUE)</f>
        <v>0.2</v>
      </c>
      <c r="O12" s="54">
        <f>VLOOKUP(O7, Parameters!$BD$3:$BF$8, 3, TRUE)</f>
        <v>0.1111111111111111</v>
      </c>
      <c r="P12" s="54">
        <f>VLOOKUP(P7, Parameters!$BD$3:$BF$8, 3, TRUE)</f>
        <v>0</v>
      </c>
      <c r="Q12" s="54">
        <f>VLOOKUP(Q7, Parameters!$BD$3:$BF$8, 3, TRUE)</f>
        <v>0.2</v>
      </c>
      <c r="R12" s="54">
        <f>VLOOKUP(R7, Parameters!$BD$3:$BF$8, 3, TRUE)</f>
        <v>0</v>
      </c>
      <c r="S12" s="54">
        <f>VLOOKUP(S7, Parameters!$BD$3:$BF$8, 3, TRUE)</f>
        <v>1</v>
      </c>
      <c r="T12" s="54">
        <f>VLOOKUP(T7, Parameters!$BD$3:$BF$8, 3, TRUE)</f>
        <v>0</v>
      </c>
      <c r="U12" s="54">
        <f>VLOOKUP(U7, Parameters!$BD$3:$BF$8, 3, TRUE)</f>
        <v>0.2</v>
      </c>
      <c r="V12" s="54">
        <f>VLOOKUP(V7, Parameters!$BD$3:$BF$8, 3, TRUE)</f>
        <v>0.66666666666666663</v>
      </c>
      <c r="W12" s="54">
        <f>VLOOKUP(W7, Parameters!$BD$3:$BF$8, 3, TRUE)</f>
        <v>0.1111111111111111</v>
      </c>
      <c r="X12" s="54">
        <f>VLOOKUP(X7, Parameters!$BD$3:$BF$8, 3, TRUE)</f>
        <v>0.2</v>
      </c>
      <c r="Y12" s="54">
        <f>VLOOKUP(Y7, Parameters!$BD$3:$BF$8, 3, TRUE)</f>
        <v>0</v>
      </c>
      <c r="Z12" s="54">
        <f>VLOOKUP(Z7, Parameters!$BD$3:$BF$8, 3, TRUE)</f>
        <v>1</v>
      </c>
      <c r="AA12" s="54">
        <f>VLOOKUP(AA7, Parameters!$BD$3:$BF$8, 3, TRUE)</f>
        <v>1</v>
      </c>
      <c r="AB12" s="54">
        <f>VLOOKUP(AB7, Parameters!$BD$3:$BF$8, 3, TRUE)</f>
        <v>0.2</v>
      </c>
      <c r="AC12" s="54">
        <f>VLOOKUP(AC7, Parameters!$BD$3:$BF$8, 3, TRUE)</f>
        <v>0</v>
      </c>
      <c r="AD12" s="54">
        <f>VLOOKUP(AD7, Parameters!$BD$3:$BF$8, 3, TRUE)</f>
        <v>1</v>
      </c>
      <c r="AE12" s="54">
        <f>VLOOKUP(AE7, Parameters!$BD$3:$BF$8, 3, TRUE)</f>
        <v>0.66666666666666663</v>
      </c>
      <c r="AF12" s="54">
        <f>VLOOKUP(AF7, Parameters!$BD$3:$BF$8, 3, TRUE)</f>
        <v>1</v>
      </c>
      <c r="AG12" s="54">
        <f>VLOOKUP(AG7, Parameters!$BD$3:$BF$8, 3, TRUE)</f>
        <v>0</v>
      </c>
      <c r="AH12" s="54">
        <f>VLOOKUP(AH7, Parameters!$BD$3:$BF$8, 3, TRUE)</f>
        <v>0.2</v>
      </c>
      <c r="AI12" s="54">
        <f>VLOOKUP(AI7, Parameters!$BD$3:$BF$8, 3, TRUE)</f>
        <v>0.2</v>
      </c>
      <c r="AJ12" s="54">
        <f>VLOOKUP(AJ7, Parameters!$BD$3:$BF$8, 3, TRUE)</f>
        <v>0.1111111111111111</v>
      </c>
      <c r="AK12" s="54">
        <f>VLOOKUP(AK7, Parameters!$BD$3:$BF$8, 3, TRUE)</f>
        <v>0</v>
      </c>
      <c r="AL12" s="54">
        <f>VLOOKUP(AL7, Parameters!$BD$3:$BF$8, 3, TRUE)</f>
        <v>0.1111111111111111</v>
      </c>
      <c r="AM12" s="54">
        <f>VLOOKUP(AM7, Parameters!$BD$3:$BF$8, 3, TRUE)</f>
        <v>0.66666666666666663</v>
      </c>
      <c r="AN12" s="54">
        <f>VLOOKUP(AN7, Parameters!$BD$3:$BF$8, 3, TRUE)</f>
        <v>1</v>
      </c>
    </row>
    <row r="13" spans="1:40" x14ac:dyDescent="0.25">
      <c r="A13" s="56" t="s">
        <v>102</v>
      </c>
      <c r="B13" s="54">
        <f t="shared" ref="B13:AN13" si="2">B11+B12*(B7-B10)</f>
        <v>6.0093600000000009</v>
      </c>
      <c r="C13" s="54">
        <f t="shared" si="2"/>
        <v>6.0703199999999988</v>
      </c>
      <c r="D13" s="54">
        <f t="shared" si="2"/>
        <v>8</v>
      </c>
      <c r="E13" s="54">
        <f t="shared" si="2"/>
        <v>8</v>
      </c>
      <c r="F13" s="54">
        <f t="shared" si="2"/>
        <v>1.7008839999999998</v>
      </c>
      <c r="G13" s="54">
        <f t="shared" si="2"/>
        <v>8</v>
      </c>
      <c r="H13" s="54">
        <f t="shared" si="2"/>
        <v>5.8214000000000006</v>
      </c>
      <c r="I13" s="54">
        <f t="shared" si="2"/>
        <v>1.7999440000000004</v>
      </c>
      <c r="J13" s="54">
        <f t="shared" si="2"/>
        <v>1.2066000000000003</v>
      </c>
      <c r="K13" s="54">
        <f t="shared" si="2"/>
        <v>0.95532222222222207</v>
      </c>
      <c r="L13" s="54">
        <f t="shared" si="2"/>
        <v>7.0228199999999994</v>
      </c>
      <c r="M13" s="54">
        <f t="shared" si="2"/>
        <v>4.9095399999999998</v>
      </c>
      <c r="N13" s="54">
        <f t="shared" si="2"/>
        <v>1.7872440000000003</v>
      </c>
      <c r="O13" s="54">
        <f t="shared" si="2"/>
        <v>0.78852888888888895</v>
      </c>
      <c r="P13" s="54">
        <f t="shared" si="2"/>
        <v>8</v>
      </c>
      <c r="Q13" s="54">
        <f t="shared" si="2"/>
        <v>1.0023839999999999</v>
      </c>
      <c r="R13" s="54">
        <f t="shared" si="2"/>
        <v>8</v>
      </c>
      <c r="S13" s="54">
        <f t="shared" si="2"/>
        <v>7.6578199999999974</v>
      </c>
      <c r="T13" s="54">
        <f t="shared" si="2"/>
        <v>8</v>
      </c>
      <c r="U13" s="54">
        <f t="shared" si="2"/>
        <v>1.670912</v>
      </c>
      <c r="V13" s="54">
        <f t="shared" si="2"/>
        <v>2.450746666666666</v>
      </c>
      <c r="W13" s="54">
        <f t="shared" si="2"/>
        <v>0.8257822222222222</v>
      </c>
      <c r="X13" s="54">
        <f t="shared" si="2"/>
        <v>1.5088599999999999</v>
      </c>
      <c r="Y13" s="54">
        <f t="shared" si="2"/>
        <v>8</v>
      </c>
      <c r="Z13" s="54">
        <f t="shared" si="2"/>
        <v>7.3098400000000012</v>
      </c>
      <c r="AA13" s="54">
        <f t="shared" si="2"/>
        <v>4.6885600000000025</v>
      </c>
      <c r="AB13" s="54">
        <f t="shared" si="2"/>
        <v>1.6170640000000001</v>
      </c>
      <c r="AC13" s="54">
        <f t="shared" si="2"/>
        <v>8</v>
      </c>
      <c r="AD13" s="54">
        <f t="shared" si="2"/>
        <v>5.7731400000000015</v>
      </c>
      <c r="AE13" s="54">
        <f t="shared" si="2"/>
        <v>2.2627866666666669</v>
      </c>
      <c r="AF13" s="54">
        <f t="shared" si="2"/>
        <v>7.5308200000000021</v>
      </c>
      <c r="AG13" s="54">
        <f t="shared" si="2"/>
        <v>8</v>
      </c>
      <c r="AH13" s="54">
        <f t="shared" si="2"/>
        <v>1.8294080000000001</v>
      </c>
      <c r="AI13" s="54">
        <f t="shared" si="2"/>
        <v>1.3188680000000002</v>
      </c>
      <c r="AJ13" s="54">
        <f t="shared" si="2"/>
        <v>0.65644888888888897</v>
      </c>
      <c r="AK13" s="54">
        <f t="shared" si="2"/>
        <v>8</v>
      </c>
      <c r="AL13" s="54">
        <f t="shared" si="2"/>
        <v>0.80179333333333336</v>
      </c>
      <c r="AM13" s="54">
        <f t="shared" si="2"/>
        <v>3.7800133333333337</v>
      </c>
      <c r="AN13" s="54">
        <f t="shared" si="2"/>
        <v>5.5724800000000023</v>
      </c>
    </row>
    <row r="14" spans="1:40" x14ac:dyDescent="0.25">
      <c r="A14" s="56" t="s">
        <v>101</v>
      </c>
      <c r="B14" s="54">
        <f t="shared" ref="B14:AN14" si="3">0.5*B13</f>
        <v>3.0046800000000005</v>
      </c>
      <c r="C14" s="54">
        <f t="shared" si="3"/>
        <v>3.0351599999999994</v>
      </c>
      <c r="D14" s="54">
        <f t="shared" si="3"/>
        <v>4</v>
      </c>
      <c r="E14" s="54">
        <f t="shared" si="3"/>
        <v>4</v>
      </c>
      <c r="F14" s="54">
        <f t="shared" si="3"/>
        <v>0.85044199999999992</v>
      </c>
      <c r="G14" s="54">
        <f t="shared" si="3"/>
        <v>4</v>
      </c>
      <c r="H14" s="54">
        <f t="shared" si="3"/>
        <v>2.9107000000000003</v>
      </c>
      <c r="I14" s="54">
        <f t="shared" si="3"/>
        <v>0.89997200000000022</v>
      </c>
      <c r="J14" s="54">
        <f t="shared" si="3"/>
        <v>0.60330000000000017</v>
      </c>
      <c r="K14" s="54">
        <f t="shared" si="3"/>
        <v>0.47766111111111104</v>
      </c>
      <c r="L14" s="54">
        <f t="shared" si="3"/>
        <v>3.5114099999999997</v>
      </c>
      <c r="M14" s="54">
        <f t="shared" si="3"/>
        <v>2.4547699999999999</v>
      </c>
      <c r="N14" s="54">
        <f t="shared" si="3"/>
        <v>0.89362200000000014</v>
      </c>
      <c r="O14" s="54">
        <f t="shared" si="3"/>
        <v>0.39426444444444447</v>
      </c>
      <c r="P14" s="54">
        <f t="shared" si="3"/>
        <v>4</v>
      </c>
      <c r="Q14" s="54">
        <f t="shared" si="3"/>
        <v>0.50119199999999997</v>
      </c>
      <c r="R14" s="54">
        <f t="shared" si="3"/>
        <v>4</v>
      </c>
      <c r="S14" s="54">
        <f t="shared" si="3"/>
        <v>3.8289099999999987</v>
      </c>
      <c r="T14" s="54">
        <f t="shared" si="3"/>
        <v>4</v>
      </c>
      <c r="U14" s="54">
        <f t="shared" si="3"/>
        <v>0.83545599999999998</v>
      </c>
      <c r="V14" s="54">
        <f t="shared" si="3"/>
        <v>1.225373333333333</v>
      </c>
      <c r="W14" s="54">
        <f t="shared" si="3"/>
        <v>0.4128911111111111</v>
      </c>
      <c r="X14" s="54">
        <f t="shared" si="3"/>
        <v>0.75442999999999993</v>
      </c>
      <c r="Y14" s="54">
        <f t="shared" si="3"/>
        <v>4</v>
      </c>
      <c r="Z14" s="54">
        <f t="shared" si="3"/>
        <v>3.6549200000000006</v>
      </c>
      <c r="AA14" s="54">
        <f t="shared" si="3"/>
        <v>2.3442800000000013</v>
      </c>
      <c r="AB14" s="54">
        <f t="shared" si="3"/>
        <v>0.80853200000000003</v>
      </c>
      <c r="AC14" s="54">
        <f t="shared" si="3"/>
        <v>4</v>
      </c>
      <c r="AD14" s="54">
        <f t="shared" si="3"/>
        <v>2.8865700000000007</v>
      </c>
      <c r="AE14" s="54">
        <f t="shared" si="3"/>
        <v>1.1313933333333335</v>
      </c>
      <c r="AF14" s="54">
        <f t="shared" si="3"/>
        <v>3.765410000000001</v>
      </c>
      <c r="AG14" s="54">
        <f t="shared" si="3"/>
        <v>4</v>
      </c>
      <c r="AH14" s="54">
        <f t="shared" si="3"/>
        <v>0.91470400000000007</v>
      </c>
      <c r="AI14" s="54">
        <f t="shared" si="3"/>
        <v>0.65943400000000008</v>
      </c>
      <c r="AJ14" s="54">
        <f t="shared" si="3"/>
        <v>0.32822444444444449</v>
      </c>
      <c r="AK14" s="54">
        <f t="shared" si="3"/>
        <v>4</v>
      </c>
      <c r="AL14" s="54">
        <f t="shared" si="3"/>
        <v>0.40089666666666668</v>
      </c>
      <c r="AM14" s="54">
        <f t="shared" si="3"/>
        <v>1.8900066666666668</v>
      </c>
      <c r="AN14" s="54">
        <f t="shared" si="3"/>
        <v>2.7862400000000012</v>
      </c>
    </row>
  </sheetData>
  <sheetProtection algorithmName="SHA-512" hashValue="PoS0inFCeYs/wicasPiWU98R03WcCawnjCVP7ij1HvSkcigwT6M0TrEwp1GZYEKXkh/pR5QLFgbtVzZMTepjXQ==" saltValue="maxGRSynCJVigDeZF23iFA==" spinCount="100000" sheet="1" objects="1" scenarios="1"/>
  <pageMargins left="0.7" right="0.7" top="0.75" bottom="0.75" header="0.3" footer="0.3"/>
  <pageSetup orientation="portrait" r:id="rId1"/>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dimension ref="A1:B3"/>
  <sheetViews>
    <sheetView workbookViewId="0">
      <selection activeCell="B9" sqref="B9"/>
    </sheetView>
  </sheetViews>
  <sheetFormatPr defaultRowHeight="15" x14ac:dyDescent="0.25"/>
  <cols>
    <col min="1" max="1" width="14.42578125" customWidth="1"/>
    <col min="2" max="2" width="116.85546875" customWidth="1"/>
  </cols>
  <sheetData>
    <row r="1" spans="1:2" x14ac:dyDescent="0.25">
      <c r="A1" s="873" t="s">
        <v>1955</v>
      </c>
      <c r="B1" s="873" t="s">
        <v>1956</v>
      </c>
    </row>
    <row r="2" spans="1:2" x14ac:dyDescent="0.25">
      <c r="A2" s="874"/>
      <c r="B2" s="783"/>
    </row>
    <row r="3" spans="1:2" ht="78.75" customHeight="1" x14ac:dyDescent="0.25">
      <c r="A3" s="875">
        <v>42264</v>
      </c>
      <c r="B3" s="783" t="s">
        <v>1958</v>
      </c>
    </row>
  </sheetData>
  <sheetProtection algorithmName="SHA-512" hashValue="PV3sGvATlKcCE37xtulhyDcj+W/ZWRATG1QPGGkqJ51eRjQP/+dX/gXNtaUiUToj3QxI5FzGs8tRGf8THDMQEA==" saltValue="0L0ajCWDMgPgh28hEXRwTw==" spinCount="100000" sheet="1" objects="1" scenarios="1"/>
  <pageMargins left="0.7" right="0.7" top="0.75" bottom="0.75" header="0.3" footer="0.3"/>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dimension ref="A3:M610"/>
  <sheetViews>
    <sheetView workbookViewId="0">
      <selection activeCell="B8" sqref="B8"/>
    </sheetView>
  </sheetViews>
  <sheetFormatPr defaultRowHeight="15" x14ac:dyDescent="0.25"/>
  <cols>
    <col min="1" max="3" width="13.7109375" customWidth="1"/>
    <col min="4" max="4" width="37.7109375" customWidth="1"/>
    <col min="5" max="7" width="13.7109375" customWidth="1"/>
    <col min="9" max="9" width="30.42578125" customWidth="1"/>
    <col min="10" max="10" width="16.42578125" customWidth="1"/>
  </cols>
  <sheetData>
    <row r="3" spans="1:13" x14ac:dyDescent="0.25">
      <c r="F3" s="182">
        <f ca="1">COUNTIF(F8:F300,"&gt;0")</f>
        <v>19</v>
      </c>
    </row>
    <row r="4" spans="1:13" x14ac:dyDescent="0.25">
      <c r="B4" t="str">
        <f ca="1">INDEX(D8:D227,MATCH(nmax,B8:B227,0))</f>
        <v>Target P rate 71%,Control Drainage 2.0%,Tile intakes 4.2%, Inj &amp; inc manure 2.4%,Preplant/starter 3.8%,Cover crop cs 7.5%,Cover crop ss 7.1%,Use reduced tillage 13%,Riparian buffers 0.8%,Perennial crop 2.5%</v>
      </c>
      <c r="F4" s="182">
        <f ca="1">COUNT(F8:OFFSET(F8,Main!N258,0))</f>
        <v>256</v>
      </c>
    </row>
    <row r="5" spans="1:13" x14ac:dyDescent="0.25">
      <c r="B5">
        <f ca="1">MAX(B8:OFFSET(dest2,totalscen,0))</f>
        <v>1.4920967798510347</v>
      </c>
      <c r="F5" s="557">
        <f ca="1">MAX(F8:F152)</f>
        <v>1.4920967798510347</v>
      </c>
      <c r="I5" t="s">
        <v>941</v>
      </c>
    </row>
    <row r="6" spans="1:13" x14ac:dyDescent="0.25">
      <c r="F6" s="558">
        <f ca="1">F5/100</f>
        <v>1.4920967798510347E-2</v>
      </c>
      <c r="G6" s="182">
        <f ca="1">SUM(G8:G152)</f>
        <v>1311</v>
      </c>
      <c r="K6" t="s">
        <v>942</v>
      </c>
      <c r="L6" t="s">
        <v>943</v>
      </c>
      <c r="M6" t="s">
        <v>944</v>
      </c>
    </row>
    <row r="7" spans="1:13" ht="49.5" customHeight="1" x14ac:dyDescent="0.25">
      <c r="A7" s="552" t="s">
        <v>932</v>
      </c>
      <c r="B7" s="552" t="s">
        <v>936</v>
      </c>
      <c r="C7" s="552" t="s">
        <v>937</v>
      </c>
      <c r="D7" s="553" t="s">
        <v>933</v>
      </c>
      <c r="E7" s="552" t="s">
        <v>934</v>
      </c>
      <c r="F7" s="552" t="s">
        <v>938</v>
      </c>
      <c r="G7" s="552" t="s">
        <v>935</v>
      </c>
      <c r="J7" t="s">
        <v>945</v>
      </c>
      <c r="K7" s="554" t="s">
        <v>946</v>
      </c>
      <c r="L7" s="107" t="s">
        <v>947</v>
      </c>
      <c r="M7" s="554" t="s">
        <v>948</v>
      </c>
    </row>
    <row r="8" spans="1:13" ht="32.25" customHeight="1" x14ac:dyDescent="0.25">
      <c r="A8">
        <v>1</v>
      </c>
      <c r="B8">
        <v>0.37941010193093982</v>
      </c>
      <c r="C8">
        <v>-434.6095306228429</v>
      </c>
      <c r="D8" t="str">
        <f ca="1">INDEX(Main!$D$160:OFFSET(Main!$D$160,0,Main!$N$258),A8)</f>
        <v>Target P rate 71%</v>
      </c>
      <c r="E8">
        <f>A8*B8</f>
        <v>0.37941010193093982</v>
      </c>
      <c r="F8">
        <f ca="1">IF(B8&gt;nmax*Main!$B$84,B8,0)</f>
        <v>0.37941010193093982</v>
      </c>
      <c r="G8">
        <f ca="1">IF($F$6&lt;&gt;0,ROUND(F8/$F$6,0),0)</f>
        <v>25</v>
      </c>
      <c r="J8" s="555"/>
      <c r="L8" s="83"/>
    </row>
    <row r="9" spans="1:13" x14ac:dyDescent="0.25">
      <c r="A9">
        <v>14</v>
      </c>
      <c r="B9">
        <v>0.39153804113974638</v>
      </c>
      <c r="C9">
        <v>-345.57278982028646</v>
      </c>
      <c r="D9" t="str">
        <f ca="1">INDEX(Main!$D$160:OFFSET(Main!$D$160,0,Main!$N$258),A9)</f>
        <v>Target P rate 71%,Preplant/starter 3.8%</v>
      </c>
      <c r="E9">
        <f t="shared" ref="E9:E72" si="0">A9*B9</f>
        <v>5.4815325759564493</v>
      </c>
      <c r="F9">
        <f ca="1">IF(B9&gt;MAX($B$8:B8),IF(B9&gt;MAX($F$8:F8)+nmax*Main!$B$84,B9,0),0)</f>
        <v>0.39153804113974638</v>
      </c>
      <c r="G9">
        <f t="shared" ref="G9:G72" ca="1" si="1">IF($F$6&lt;&gt;0,ROUND(F9/$F$6,0),0)</f>
        <v>26</v>
      </c>
      <c r="J9" s="555"/>
      <c r="L9" s="83"/>
    </row>
    <row r="10" spans="1:13" x14ac:dyDescent="0.25">
      <c r="A10">
        <v>16</v>
      </c>
      <c r="B10">
        <v>0.67929027439973944</v>
      </c>
      <c r="C10">
        <v>-345.15536946309226</v>
      </c>
      <c r="D10" t="str">
        <f ca="1">INDEX(Main!$D$160:OFFSET(Main!$D$160,0,Main!$N$258),A10)</f>
        <v>Target P rate 71%,Use reduced tillage 13%</v>
      </c>
      <c r="E10">
        <f t="shared" si="0"/>
        <v>10.868644390395831</v>
      </c>
      <c r="F10">
        <f ca="1">IF(B10&gt;MAX($B$8:B9),IF(B10&gt;MAX($F$8:F9)+nmax*Main!$B$84,B10,0),0)</f>
        <v>0.67929027439973944</v>
      </c>
      <c r="G10">
        <f t="shared" ca="1" si="1"/>
        <v>46</v>
      </c>
      <c r="J10" s="555"/>
      <c r="L10" s="83"/>
    </row>
    <row r="11" spans="1:13" x14ac:dyDescent="0.25">
      <c r="A11">
        <v>13</v>
      </c>
      <c r="B11">
        <v>0.46416268042291825</v>
      </c>
      <c r="C11">
        <v>-339.9534622427646</v>
      </c>
      <c r="D11" t="str">
        <f ca="1">INDEX(Main!$D$160:OFFSET(Main!$D$160,0,Main!$N$258),A11)</f>
        <v>Target P rate 71%, Inj &amp; inc manure2.4%</v>
      </c>
      <c r="E11">
        <f t="shared" si="0"/>
        <v>6.0341148454979372</v>
      </c>
      <c r="F11">
        <f>IF(B11&gt;MAX($B$8:B10),IF(B11&gt;MAX($F$8:F10)+nmax*Main!$B$84,B11,0),0)</f>
        <v>0</v>
      </c>
      <c r="G11">
        <f t="shared" ca="1" si="1"/>
        <v>0</v>
      </c>
      <c r="J11" s="555"/>
      <c r="L11" s="83"/>
    </row>
    <row r="12" spans="1:13" x14ac:dyDescent="0.25">
      <c r="A12">
        <v>12</v>
      </c>
      <c r="B12">
        <v>0.51875545297939551</v>
      </c>
      <c r="C12">
        <v>-306.87144955587439</v>
      </c>
      <c r="D12" t="str">
        <f ca="1">INDEX(Main!$D$160:OFFSET(Main!$D$160,0,Main!$N$258),A12)</f>
        <v>Target P rate 71%,Control Drainage2.0%,Tile intakes 4.2%</v>
      </c>
      <c r="E12">
        <f t="shared" si="0"/>
        <v>6.2250654357527466</v>
      </c>
      <c r="F12">
        <f>IF(B12&gt;MAX($B$8:B11),IF(B12&gt;MAX($F$8:F11)+nmax*Main!$B$84,B12,0),0)</f>
        <v>0</v>
      </c>
      <c r="G12">
        <f t="shared" ca="1" si="1"/>
        <v>0</v>
      </c>
      <c r="J12" s="555"/>
      <c r="L12" s="83"/>
    </row>
    <row r="13" spans="1:13" x14ac:dyDescent="0.25">
      <c r="A13">
        <v>48</v>
      </c>
      <c r="B13">
        <v>0.76311839830385919</v>
      </c>
      <c r="C13">
        <v>-297.93430492351928</v>
      </c>
      <c r="D13" t="str">
        <f ca="1">INDEX(Main!$D$160:OFFSET(Main!$D$160,0,Main!$N$258),A13)</f>
        <v>Target P rate 71%, Inj &amp; inc manure 2.4%,Use reduced tillage 13%</v>
      </c>
      <c r="E13">
        <f t="shared" si="0"/>
        <v>36.629683118585241</v>
      </c>
      <c r="F13">
        <f ca="1">IF(B13&gt;MAX($B$8:B12),IF(B13&gt;MAX($F$8:F12)+nmax*Main!$B$84,B13,0),0)</f>
        <v>0.76311839830385919</v>
      </c>
      <c r="G13">
        <f t="shared" ca="1" si="1"/>
        <v>51</v>
      </c>
      <c r="J13" s="555"/>
      <c r="L13" s="83"/>
    </row>
    <row r="14" spans="1:13" x14ac:dyDescent="0.25">
      <c r="A14">
        <v>18</v>
      </c>
      <c r="B14">
        <v>0.49942053124954</v>
      </c>
      <c r="C14">
        <v>-296.9277513851431</v>
      </c>
      <c r="D14" t="str">
        <f ca="1">INDEX(Main!$D$160:OFFSET(Main!$D$160,0,Main!$N$258),A14)</f>
        <v>Target P rate 71%,Perennial crop 2.5%</v>
      </c>
      <c r="E14">
        <f t="shared" si="0"/>
        <v>8.9895695624917202</v>
      </c>
      <c r="F14">
        <f>IF(B14&gt;MAX($B$8:B13),IF(B14&gt;MAX($F$8:F13)+nmax*Main!$B$84,B14,0),0)</f>
        <v>0</v>
      </c>
      <c r="G14">
        <f t="shared" ca="1" si="1"/>
        <v>0</v>
      </c>
      <c r="J14" s="555"/>
      <c r="L14" s="83"/>
    </row>
    <row r="15" spans="1:13" x14ac:dyDescent="0.25">
      <c r="A15">
        <v>52</v>
      </c>
      <c r="B15">
        <v>0.69129188817618026</v>
      </c>
      <c r="C15">
        <v>-296.35865257625642</v>
      </c>
      <c r="D15" t="str">
        <f ca="1">INDEX(Main!$D$160:OFFSET(Main!$D$160,0,Main!$N$258),A15)</f>
        <v>Target P rate 71%,Preplant/starter 3.8%,Use reduced tillage 13%</v>
      </c>
      <c r="E15">
        <f t="shared" si="0"/>
        <v>35.947178185161377</v>
      </c>
      <c r="F15">
        <f>IF(B15&gt;MAX($B$8:B14),IF(B15&gt;MAX($F$8:F14)+nmax*Main!$B$84,B15,0),0)</f>
        <v>0</v>
      </c>
      <c r="G15">
        <f t="shared" ca="1" si="1"/>
        <v>0</v>
      </c>
      <c r="J15" s="555"/>
      <c r="L15" s="83"/>
    </row>
    <row r="16" spans="1:13" x14ac:dyDescent="0.25">
      <c r="A16">
        <v>43</v>
      </c>
      <c r="B16">
        <v>0.81863562544819524</v>
      </c>
      <c r="C16">
        <v>-279.4365038962431</v>
      </c>
      <c r="D16" t="str">
        <f ca="1">INDEX(Main!$D$160:OFFSET(Main!$D$160,0,Main!$N$258),A16)</f>
        <v>Target P rate 71%,Control Drainage2.0%Tile intakes4.2%,Use reduced tillage 13%</v>
      </c>
      <c r="E16">
        <f t="shared" si="0"/>
        <v>35.201331894272393</v>
      </c>
      <c r="F16">
        <f ca="1">IF(B16&gt;MAX($B$8:B15),IF(B16&gt;MAX($F$8:F15)+nmax*Main!$B$84,B16,0),0)</f>
        <v>0.81863562544819524</v>
      </c>
      <c r="G16">
        <f t="shared" ca="1" si="1"/>
        <v>55</v>
      </c>
      <c r="J16" s="555"/>
      <c r="L16" s="83"/>
    </row>
    <row r="17" spans="1:12" x14ac:dyDescent="0.25">
      <c r="A17">
        <v>59</v>
      </c>
      <c r="B17">
        <v>0.78319507871905891</v>
      </c>
      <c r="C17">
        <v>-272.1795126555574</v>
      </c>
      <c r="D17" t="str">
        <f ca="1">INDEX(Main!$D$160:OFFSET(Main!$D$160,0,Main!$N$258),A17)</f>
        <v>Target P rate 71%,Use reduced tillage 13%,Perennial crop 2.5%</v>
      </c>
      <c r="E17">
        <f t="shared" si="0"/>
        <v>46.208509644424474</v>
      </c>
      <c r="F17">
        <f>IF(B17&gt;MAX($B$8:B16),IF(B17&gt;MAX($F$8:F16)+nmax*Main!$B$84,B17,0),0)</f>
        <v>0</v>
      </c>
      <c r="G17">
        <f t="shared" ca="1" si="1"/>
        <v>0</v>
      </c>
      <c r="J17" s="555"/>
      <c r="L17" s="83"/>
    </row>
    <row r="18" spans="1:12" x14ac:dyDescent="0.25">
      <c r="A18">
        <v>46</v>
      </c>
      <c r="B18">
        <v>0.47629061963172475</v>
      </c>
      <c r="C18">
        <v>-269.17044311400309</v>
      </c>
      <c r="D18" t="str">
        <f ca="1">INDEX(Main!$D$160:OFFSET(Main!$D$160,0,Main!$N$258),A18)</f>
        <v>Target P rate 71%, Inj &amp; inc manure 2.4%,Preplant/starter 3.8%</v>
      </c>
      <c r="E18">
        <f t="shared" si="0"/>
        <v>21.909368503059337</v>
      </c>
      <c r="F18">
        <f>IF(B18&gt;MAX($B$8:B17),IF(B18&gt;MAX($F$8:F17)+nmax*Main!$B$84,B18,0),0)</f>
        <v>0</v>
      </c>
      <c r="G18">
        <f t="shared" ca="1" si="1"/>
        <v>0</v>
      </c>
      <c r="J18" s="555"/>
      <c r="L18" s="83"/>
    </row>
    <row r="19" spans="1:12" x14ac:dyDescent="0.25">
      <c r="A19">
        <v>17</v>
      </c>
      <c r="B19">
        <v>0.6006758368652011</v>
      </c>
      <c r="C19">
        <v>-257.41260008023534</v>
      </c>
      <c r="D19" t="str">
        <f ca="1">INDEX(Main!$D$160:OFFSET(Main!$D$160,0,Main!$N$258),A19)</f>
        <v>Target P rate 71%,Riparian buffers 0.8%</v>
      </c>
      <c r="E19">
        <f t="shared" si="0"/>
        <v>10.211489226708419</v>
      </c>
      <c r="F19">
        <f>IF(B19&gt;MAX($B$8:B18),IF(B19&gt;MAX($F$8:F18)+nmax*Main!$B$84,B19,0),0)</f>
        <v>0</v>
      </c>
      <c r="G19">
        <f t="shared" ca="1" si="1"/>
        <v>0</v>
      </c>
      <c r="J19" s="555"/>
      <c r="L19" s="83"/>
    </row>
    <row r="20" spans="1:12" x14ac:dyDescent="0.25">
      <c r="A20">
        <v>112</v>
      </c>
      <c r="B20">
        <v>0.77512001208030001</v>
      </c>
      <c r="C20">
        <v>-255.14603335539076</v>
      </c>
      <c r="D20" t="str">
        <f ca="1">INDEX(Main!$D$160:OFFSET(Main!$D$160,0,Main!$N$258),A20)</f>
        <v>Target P rate 71%, Inj &amp; inc manure 2.4%,Preplant/starter 3.8%,Use reduced tillage 13%</v>
      </c>
      <c r="E20">
        <f t="shared" si="0"/>
        <v>86.813441352993607</v>
      </c>
      <c r="F20">
        <f>IF(B20&gt;MAX($B$8:B19),IF(B20&gt;MAX($F$8:F19)+nmax*Main!$B$84,B20,0),0)</f>
        <v>0</v>
      </c>
      <c r="G20">
        <f t="shared" ca="1" si="1"/>
        <v>0</v>
      </c>
      <c r="J20" s="555"/>
      <c r="L20" s="83"/>
    </row>
    <row r="21" spans="1:12" x14ac:dyDescent="0.25">
      <c r="A21">
        <v>40</v>
      </c>
      <c r="B21">
        <v>0.603508031471374</v>
      </c>
      <c r="C21">
        <v>-252.00940804364024</v>
      </c>
      <c r="D21" t="str">
        <f ca="1">INDEX(Main!$D$160:OFFSET(Main!$D$160,0,Main!$N$258),A21)</f>
        <v>Target P rate 71%,Control Drainage2.0%Tile intakes4.2%, Inj &amp; inc manure 2.4%</v>
      </c>
      <c r="E21">
        <f t="shared" si="0"/>
        <v>24.140321258854961</v>
      </c>
      <c r="F21">
        <f>IF(B21&gt;MAX($B$8:B20),IF(B21&gt;MAX($F$8:F20)+nmax*Main!$B$84,B21,0),0)</f>
        <v>0</v>
      </c>
      <c r="G21">
        <f t="shared" ca="1" si="1"/>
        <v>0</v>
      </c>
      <c r="J21" s="555"/>
      <c r="L21" s="83"/>
    </row>
    <row r="22" spans="1:12" x14ac:dyDescent="0.25">
      <c r="A22">
        <v>58</v>
      </c>
      <c r="B22">
        <v>0.8983824584017549</v>
      </c>
      <c r="C22">
        <v>-249.54513102474598</v>
      </c>
      <c r="D22" t="str">
        <f ca="1">INDEX(Main!$D$160:OFFSET(Main!$D$160,0,Main!$N$258),A22)</f>
        <v>Target P rate 71%,Use reduced tillage 13%,Riparian buffers 0.8%</v>
      </c>
      <c r="E22">
        <f t="shared" si="0"/>
        <v>52.106182587301781</v>
      </c>
      <c r="F22">
        <f ca="1">IF(B22&gt;MAX($B$8:B21),IF(B22&gt;MAX($F$8:F21)+nmax*Main!$B$84,B22,0),0)</f>
        <v>0.8983824584017549</v>
      </c>
      <c r="G22">
        <f t="shared" ca="1" si="1"/>
        <v>60</v>
      </c>
      <c r="J22" s="555"/>
      <c r="L22" s="83"/>
    </row>
    <row r="23" spans="1:12" x14ac:dyDescent="0.25">
      <c r="A23">
        <v>98</v>
      </c>
      <c r="B23">
        <v>0.90246374935231499</v>
      </c>
      <c r="C23">
        <v>-245.61112979786597</v>
      </c>
      <c r="D23" t="str">
        <f ca="1">INDEX(Main!$D$160:OFFSET(Main!$D$160,0,Main!$N$258),A23)</f>
        <v>Target P rate 71%,Control Drainage2.0%Tile intakes4.2%, Inj &amp; inc manure 2.4%,Use reduced tillage 13%</v>
      </c>
      <c r="E23">
        <f t="shared" si="0"/>
        <v>88.441447436526872</v>
      </c>
      <c r="F23">
        <f ca="1">IF(B23&gt;MAX($B$8:B22),IF(B23&gt;MAX($F$8:F22)+nmax*Main!$B$84,B23,0),0)</f>
        <v>0.90246374935231499</v>
      </c>
      <c r="G23">
        <f t="shared" ca="1" si="1"/>
        <v>60</v>
      </c>
      <c r="J23" s="555"/>
      <c r="L23" s="83"/>
    </row>
    <row r="24" spans="1:12" x14ac:dyDescent="0.25">
      <c r="A24">
        <v>41</v>
      </c>
      <c r="B24">
        <v>0.53088339218820213</v>
      </c>
      <c r="C24">
        <v>-244.12307224430629</v>
      </c>
      <c r="D24" t="str">
        <f ca="1">INDEX(Main!$D$160:OFFSET(Main!$D$160,0,Main!$N$258),A24)</f>
        <v>Target P rate 71%,Control Drainage2.0%Tile intakes4.2%,Preplant/starter 3.8%</v>
      </c>
      <c r="E24">
        <f t="shared" si="0"/>
        <v>21.766219079716286</v>
      </c>
      <c r="F24">
        <f>IF(B24&gt;MAX($B$8:B23),IF(B24&gt;MAX($F$8:F23)+nmax*Main!$B$84,B24,0),0)</f>
        <v>0</v>
      </c>
      <c r="G24">
        <f t="shared" ca="1" si="1"/>
        <v>0</v>
      </c>
      <c r="J24" s="555"/>
      <c r="L24" s="83"/>
    </row>
    <row r="25" spans="1:12" x14ac:dyDescent="0.25">
      <c r="A25">
        <v>50</v>
      </c>
      <c r="B25">
        <v>0.5820477479156827</v>
      </c>
      <c r="C25">
        <v>-242.57508045514334</v>
      </c>
      <c r="D25" t="str">
        <f ca="1">INDEX(Main!$D$160:OFFSET(Main!$D$160,0,Main!$N$258),A25)</f>
        <v>Target P rate 71%, Inj &amp; inc manure 2.4%,Perennial crop 2.5%</v>
      </c>
      <c r="E25">
        <f t="shared" si="0"/>
        <v>29.102387395784135</v>
      </c>
      <c r="F25">
        <f>IF(B25&gt;MAX($B$8:B24),IF(B25&gt;MAX($F$8:F24)+nmax*Main!$B$84,B25,0),0)</f>
        <v>0</v>
      </c>
      <c r="G25">
        <f t="shared" ca="1" si="1"/>
        <v>0</v>
      </c>
      <c r="J25" s="555"/>
      <c r="L25" s="83"/>
    </row>
    <row r="26" spans="1:12" x14ac:dyDescent="0.25">
      <c r="A26">
        <v>102</v>
      </c>
      <c r="B26">
        <v>0.83063723922463606</v>
      </c>
      <c r="C26">
        <v>-239.77533707702852</v>
      </c>
      <c r="D26" t="str">
        <f ca="1">INDEX(Main!$D$160:OFFSET(Main!$D$160,0,Main!$N$258),A26)</f>
        <v>Target P rate 71%,Control Drainage2.0%Tile intakes4.2%,Preplant/starter 3.8%,Use reduced tillage 13%</v>
      </c>
      <c r="E26">
        <f t="shared" si="0"/>
        <v>84.724998400912881</v>
      </c>
      <c r="F26">
        <f>IF(B26&gt;MAX($B$8:B25),IF(B26&gt;MAX($F$8:F25)+nmax*Main!$B$84,B26,0),0)</f>
        <v>0</v>
      </c>
      <c r="G26">
        <f t="shared" ca="1" si="1"/>
        <v>0</v>
      </c>
      <c r="J26" s="555"/>
      <c r="L26" s="83"/>
    </row>
    <row r="27" spans="1:12" x14ac:dyDescent="0.25">
      <c r="A27">
        <v>119</v>
      </c>
      <c r="B27">
        <v>0.86488569116526792</v>
      </c>
      <c r="C27">
        <v>-238.26052492813153</v>
      </c>
      <c r="D27" t="str">
        <f ca="1">INDEX(Main!$D$160:OFFSET(Main!$D$160,0,Main!$N$258),A27)</f>
        <v>Target P rate 71%, Inj &amp; inc manure 2.4%,Use reduced tillage 13%,Perennial crop 2.5%</v>
      </c>
      <c r="E27">
        <f t="shared" si="0"/>
        <v>102.92139724866688</v>
      </c>
      <c r="F27">
        <f>IF(B27&gt;MAX($B$8:B26),IF(B27&gt;MAX($F$8:F26)+nmax*Main!$B$84,B27,0),0)</f>
        <v>0</v>
      </c>
      <c r="G27">
        <f t="shared" ca="1" si="1"/>
        <v>0</v>
      </c>
      <c r="J27" s="555"/>
      <c r="L27" s="83"/>
    </row>
    <row r="28" spans="1:12" x14ac:dyDescent="0.25">
      <c r="A28">
        <v>54</v>
      </c>
      <c r="B28">
        <v>0.511244335062361</v>
      </c>
      <c r="C28">
        <v>-232.18147191534541</v>
      </c>
      <c r="D28" t="str">
        <f ca="1">INDEX(Main!$D$160:OFFSET(Main!$D$160,0,Main!$N$258),A28)</f>
        <v>Target P rate 71%,Preplant/starter 3.8%,Perennial crop 2.5%</v>
      </c>
      <c r="E28">
        <f t="shared" si="0"/>
        <v>27.607194093367493</v>
      </c>
      <c r="F28">
        <f>IF(B28&gt;MAX($B$8:B27),IF(B28&gt;MAX($F$8:F27)+nmax*Main!$B$84,B28,0),0)</f>
        <v>0</v>
      </c>
      <c r="G28">
        <f t="shared" ca="1" si="1"/>
        <v>0</v>
      </c>
      <c r="J28" s="555"/>
      <c r="L28" s="83"/>
    </row>
    <row r="29" spans="1:12" x14ac:dyDescent="0.25">
      <c r="A29">
        <v>125</v>
      </c>
      <c r="B29">
        <v>0.79489113641743403</v>
      </c>
      <c r="C29">
        <v>-230.94898573285877</v>
      </c>
      <c r="D29" t="str">
        <f ca="1">INDEX(Main!$D$160:OFFSET(Main!$D$160,0,Main!$N$258),A29)</f>
        <v>Target P rate 71%,Preplant/starter 3.8%,Use reduced tillage 13%,Perennial crop 2.5%</v>
      </c>
      <c r="E29">
        <f t="shared" si="0"/>
        <v>99.361392052179255</v>
      </c>
      <c r="F29">
        <f>IF(B29&gt;MAX($B$8:B28),IF(B29&gt;MAX($F$8:F28)+nmax*Main!$B$84,B29,0),0)</f>
        <v>0</v>
      </c>
      <c r="G29">
        <f t="shared" ca="1" si="1"/>
        <v>0</v>
      </c>
      <c r="J29" s="555"/>
      <c r="L29" s="83"/>
    </row>
    <row r="30" spans="1:12" x14ac:dyDescent="0.25">
      <c r="A30">
        <v>3</v>
      </c>
      <c r="B30">
        <v>0.30404933165895809</v>
      </c>
      <c r="C30">
        <v>-228.79655396640001</v>
      </c>
      <c r="D30" t="str">
        <f ca="1">INDEX(Main!$D$160:OFFSET(Main!$D$160,0,Main!$N$258),A30)</f>
        <v>Use reduced tillage 13%</v>
      </c>
      <c r="E30">
        <f t="shared" si="0"/>
        <v>0.91214799497687427</v>
      </c>
      <c r="F30">
        <f>IF(B30&gt;MAX($B$8:B29),IF(B30&gt;MAX($F$8:F29)+nmax*Main!$B$84,B30,0),0)</f>
        <v>0</v>
      </c>
      <c r="G30">
        <f t="shared" ca="1" si="1"/>
        <v>0</v>
      </c>
      <c r="J30" s="555"/>
      <c r="L30" s="83"/>
    </row>
    <row r="31" spans="1:12" x14ac:dyDescent="0.25">
      <c r="A31">
        <v>109</v>
      </c>
      <c r="B31">
        <v>0.9225404297675146</v>
      </c>
      <c r="C31">
        <v>-224.88515370464305</v>
      </c>
      <c r="D31" t="str">
        <f ca="1">INDEX(Main!$D$160:OFFSET(Main!$D$160,0,Main!$N$258),A31)</f>
        <v>Target P rate 71%,Control Drainage2.0%Tile intakes4.2%,Use reduced tillage 13%,Perennial crop 2.5%</v>
      </c>
      <c r="E31">
        <f t="shared" si="0"/>
        <v>100.5569068446591</v>
      </c>
      <c r="F31">
        <f ca="1">IF(B31&gt;MAX($B$8:B30),IF(B31&gt;MAX($F$8:F30)+nmax*Main!$B$84,B31,0),0)</f>
        <v>0.9225404297675146</v>
      </c>
      <c r="G31">
        <f t="shared" ca="1" si="1"/>
        <v>62</v>
      </c>
      <c r="J31" s="555"/>
      <c r="L31" s="83"/>
    </row>
    <row r="32" spans="1:12" x14ac:dyDescent="0.25">
      <c r="A32">
        <v>45</v>
      </c>
      <c r="B32">
        <v>0.63876588229799558</v>
      </c>
      <c r="C32">
        <v>-223.22389281901309</v>
      </c>
      <c r="D32" t="str">
        <f ca="1">INDEX(Main!$D$160:OFFSET(Main!$D$160,0,Main!$N$258),A32)</f>
        <v>Target P rate 71%,Control Drainage2.0%Tile intakes4.2%,Perennial crop 2.5%</v>
      </c>
      <c r="E32">
        <f t="shared" si="0"/>
        <v>28.7444647034098</v>
      </c>
      <c r="F32">
        <f>IF(B32&gt;MAX($B$8:B31),IF(B32&gt;MAX($F$8:F31)+nmax*Main!$B$84,B32,0),0)</f>
        <v>0</v>
      </c>
      <c r="G32">
        <f t="shared" ca="1" si="1"/>
        <v>0</v>
      </c>
      <c r="J32" s="555"/>
      <c r="L32" s="83"/>
    </row>
    <row r="33" spans="1:12" x14ac:dyDescent="0.25">
      <c r="A33">
        <v>118</v>
      </c>
      <c r="B33">
        <v>0.98151186280244185</v>
      </c>
      <c r="C33">
        <v>-221.17453742459392</v>
      </c>
      <c r="D33" t="str">
        <f ca="1">INDEX(Main!$D$160:OFFSET(Main!$D$160,0,Main!$N$258),A33)</f>
        <v>Target P rate 71%, Inj &amp; inc manure 2.4%,Use reduced tillage 13%,Riparian buffers 0.8%</v>
      </c>
      <c r="E33">
        <f t="shared" si="0"/>
        <v>115.81839981068813</v>
      </c>
      <c r="F33">
        <f ca="1">IF(B33&gt;MAX($B$8:B32),IF(B33&gt;MAX($F$8:F32)+nmax*Main!$B$84,B33,0),0)</f>
        <v>0.98151186280244185</v>
      </c>
      <c r="G33">
        <f t="shared" ca="1" si="1"/>
        <v>66</v>
      </c>
      <c r="J33" s="555"/>
      <c r="L33" s="83"/>
    </row>
    <row r="34" spans="1:12" x14ac:dyDescent="0.25">
      <c r="A34">
        <v>49</v>
      </c>
      <c r="B34">
        <v>0.68472969585374677</v>
      </c>
      <c r="C34">
        <v>-215.44266855374431</v>
      </c>
      <c r="D34" t="str">
        <f ca="1">INDEX(Main!$D$160:OFFSET(Main!$D$160,0,Main!$N$258),A34)</f>
        <v>Target P rate 71%, Inj &amp; inc manure 2.4%,Riparian buffers 0.8%</v>
      </c>
      <c r="E34">
        <f t="shared" si="0"/>
        <v>33.551755096833588</v>
      </c>
      <c r="F34">
        <f>IF(B34&gt;MAX($B$8:B33),IF(B34&gt;MAX($F$8:F33)+nmax*Main!$B$84,B34,0),0)</f>
        <v>0</v>
      </c>
      <c r="G34">
        <f t="shared" ca="1" si="1"/>
        <v>0</v>
      </c>
      <c r="J34" s="555"/>
      <c r="L34" s="83"/>
    </row>
    <row r="35" spans="1:12" x14ac:dyDescent="0.25">
      <c r="A35">
        <v>124</v>
      </c>
      <c r="B35">
        <v>0.91028408669324135</v>
      </c>
      <c r="C35">
        <v>-213.77569708239707</v>
      </c>
      <c r="D35" t="str">
        <f ca="1">INDEX(Main!$D$160:OFFSET(Main!$D$160,0,Main!$N$258),A35)</f>
        <v>Target P rate 71%,Preplant/starter 3.8%,Use reduced tillage 13%,Riparian buffers 0.8%</v>
      </c>
      <c r="E35">
        <f t="shared" si="0"/>
        <v>112.87522674996193</v>
      </c>
      <c r="F35">
        <f>IF(B35&gt;MAX($B$8:B34),IF(B35&gt;MAX($F$8:F34)+nmax*Main!$B$84,B35,0),0)</f>
        <v>0</v>
      </c>
      <c r="G35">
        <f t="shared" ca="1" si="1"/>
        <v>0</v>
      </c>
      <c r="J35" s="555"/>
      <c r="L35" s="83"/>
    </row>
    <row r="36" spans="1:12" x14ac:dyDescent="0.25">
      <c r="A36">
        <v>108</v>
      </c>
      <c r="B36">
        <v>1.0377278094502105</v>
      </c>
      <c r="C36">
        <v>-210.53975600305296</v>
      </c>
      <c r="D36" t="str">
        <f ca="1">INDEX(Main!$D$160:OFFSET(Main!$D$160,0,Main!$N$258),A36)</f>
        <v>Target P rate 71%,Control Drainage2.0%Tile intakes4.2%,Use reduced tillage 13%,Riparian buffers 0.8%</v>
      </c>
      <c r="E36">
        <f t="shared" si="0"/>
        <v>112.07460342062274</v>
      </c>
      <c r="F36">
        <f ca="1">IF(B36&gt;MAX($B$8:B35),IF(B36&gt;MAX($F$8:F35)+nmax*Main!$B$84,B36,0),0)</f>
        <v>1.0377278094502105</v>
      </c>
      <c r="G36">
        <f t="shared" ca="1" si="1"/>
        <v>70</v>
      </c>
      <c r="J36" s="555"/>
      <c r="L36" s="83"/>
    </row>
    <row r="37" spans="1:12" x14ac:dyDescent="0.25">
      <c r="A37">
        <v>167</v>
      </c>
      <c r="B37">
        <v>0.91446536312875581</v>
      </c>
      <c r="C37">
        <v>-210.02959292692117</v>
      </c>
      <c r="D37" t="str">
        <f ca="1">INDEX(Main!$D$160:OFFSET(Main!$D$160,0,Main!$N$258),A37)</f>
        <v>Target P rate 71%,Control Drainage2.0%Tile intakes4.2%, Inj &amp; inc manure 2.4%,Preplant/starter 3.8%,Use reduced tillage 13%</v>
      </c>
      <c r="E37">
        <f t="shared" si="0"/>
        <v>152.71571564250223</v>
      </c>
      <c r="F37">
        <f>IF(B37&gt;MAX($B$8:B36),IF(B37&gt;MAX($F$8:F36)+nmax*Main!$B$84,B37,0),0)</f>
        <v>0</v>
      </c>
      <c r="G37">
        <f t="shared" ca="1" si="1"/>
        <v>0</v>
      </c>
      <c r="J37" s="555"/>
      <c r="L37" s="83"/>
    </row>
    <row r="38" spans="1:12" x14ac:dyDescent="0.25">
      <c r="A38">
        <v>53</v>
      </c>
      <c r="B38">
        <v>0.61270379058905344</v>
      </c>
      <c r="C38">
        <v>-204.06463576192212</v>
      </c>
      <c r="D38" t="str">
        <f ca="1">INDEX(Main!$D$160:OFFSET(Main!$D$160,0,Main!$N$258),A38)</f>
        <v>Target P rate 71%,Preplant/starter 3.8%,Riparian buffers 0.8%</v>
      </c>
      <c r="E38">
        <f t="shared" si="0"/>
        <v>32.473300901219829</v>
      </c>
      <c r="F38">
        <f>IF(B38&gt;MAX($B$8:B37),IF(B38&gt;MAX($F$8:F37)+nmax*Main!$B$84,B38,0),0)</f>
        <v>0</v>
      </c>
      <c r="G38">
        <f t="shared" ca="1" si="1"/>
        <v>0</v>
      </c>
      <c r="J38" s="555"/>
      <c r="L38" s="83"/>
    </row>
    <row r="39" spans="1:12" x14ac:dyDescent="0.25">
      <c r="A39">
        <v>130</v>
      </c>
      <c r="B39">
        <v>1.002266256829498</v>
      </c>
      <c r="C39">
        <v>-202.43716289609884</v>
      </c>
      <c r="D39" t="str">
        <f ca="1">INDEX(Main!$D$160:OFFSET(Main!$D$160,0,Main!$N$258),A39)</f>
        <v>Target P rate 71%,Use reduced tillage 13%,Riparian buffers 0.8%,Perennial crop 2.5%</v>
      </c>
      <c r="E39">
        <f t="shared" si="0"/>
        <v>130.29461338783474</v>
      </c>
      <c r="F39">
        <f>IF(B39&gt;MAX($B$8:B38),IF(B39&gt;MAX($F$8:F38)+nmax*Main!$B$84,B39,0),0)</f>
        <v>0</v>
      </c>
      <c r="G39">
        <f t="shared" ca="1" si="1"/>
        <v>0</v>
      </c>
      <c r="J39" s="555"/>
      <c r="L39" s="83"/>
    </row>
    <row r="40" spans="1:12" x14ac:dyDescent="0.25">
      <c r="A40">
        <v>190</v>
      </c>
      <c r="B40">
        <v>0.87658174886364315</v>
      </c>
      <c r="C40">
        <v>-201.3249373401911</v>
      </c>
      <c r="D40" t="str">
        <f ca="1">INDEX(Main!$D$160:OFFSET(Main!$D$160,0,Main!$N$258),A40)</f>
        <v>Target P rate 71%, Inj &amp; inc manure 2.4%,Preplant/starter 3.8%,Use reduced tillage 13%,Perennial crop 2.5%</v>
      </c>
      <c r="E40">
        <f t="shared" si="0"/>
        <v>166.55053228409218</v>
      </c>
      <c r="F40">
        <f>IF(B40&gt;MAX($B$8:B39),IF(B40&gt;MAX($F$8:F39)+nmax*Main!$B$84,B40,0),0)</f>
        <v>0</v>
      </c>
      <c r="G40">
        <f t="shared" ca="1" si="1"/>
        <v>0</v>
      </c>
      <c r="J40" s="555"/>
      <c r="L40" s="83"/>
    </row>
    <row r="41" spans="1:12" x14ac:dyDescent="0.25">
      <c r="A41">
        <v>44</v>
      </c>
      <c r="B41">
        <v>0.74002118791365679</v>
      </c>
      <c r="C41">
        <v>-201.23413074119779</v>
      </c>
      <c r="D41" t="str">
        <f ca="1">INDEX(Main!$D$160:OFFSET(Main!$D$160,0,Main!$N$258),A41)</f>
        <v>Target P rate 71%,Control Drainage2.0%Tile intakes4.2%,Riparian buffers 0.8%</v>
      </c>
      <c r="E41">
        <f t="shared" si="0"/>
        <v>32.560932268200901</v>
      </c>
      <c r="F41">
        <f>IF(B41&gt;MAX($B$8:B40),IF(B41&gt;MAX($F$8:F40)+nmax*Main!$B$84,B41,0),0)</f>
        <v>0</v>
      </c>
      <c r="G41">
        <f t="shared" ca="1" si="1"/>
        <v>0</v>
      </c>
      <c r="J41" s="555"/>
      <c r="L41" s="83"/>
    </row>
    <row r="42" spans="1:12" x14ac:dyDescent="0.25">
      <c r="A42">
        <v>174</v>
      </c>
      <c r="B42">
        <v>1.0042310422137237</v>
      </c>
      <c r="C42">
        <v>-199.51993302777734</v>
      </c>
      <c r="D42" t="str">
        <f ca="1">INDEX(Main!$D$160:OFFSET(Main!$D$160,0,Main!$N$258),A42)</f>
        <v>Target P rate 71%,Control Drainage2.0%Tile intakes4.2%, Inj &amp; inc manure 2.4%,Use reduced tillage 13%,Perennial crop 2.5%</v>
      </c>
      <c r="E42">
        <f t="shared" si="0"/>
        <v>174.73620134518794</v>
      </c>
      <c r="F42">
        <f>IF(B42&gt;MAX($B$8:B41),IF(B42&gt;MAX($F$8:F41)+nmax*Main!$B$84,B42,0),0)</f>
        <v>0</v>
      </c>
      <c r="G42">
        <f t="shared" ca="1" si="1"/>
        <v>0</v>
      </c>
      <c r="J42" s="555"/>
      <c r="L42" s="83"/>
    </row>
    <row r="43" spans="1:12" x14ac:dyDescent="0.25">
      <c r="A43">
        <v>96</v>
      </c>
      <c r="B43">
        <v>0.6156359706801805</v>
      </c>
      <c r="C43">
        <v>-198.98016762893602</v>
      </c>
      <c r="D43" t="str">
        <f ca="1">INDEX(Main!$D$160:OFFSET(Main!$D$160,0,Main!$N$258),A43)</f>
        <v>Target P rate 71%,Control Drainage2.0%Tile intakes4.2%, Inj &amp; inc manure 2.4%,Preplant/starter 3.8%</v>
      </c>
      <c r="E43">
        <f t="shared" si="0"/>
        <v>59.101053185297332</v>
      </c>
      <c r="F43">
        <f>IF(B43&gt;MAX($B$8:B42),IF(B43&gt;MAX($F$8:F42)+nmax*Main!$B$84,B43,0),0)</f>
        <v>0</v>
      </c>
      <c r="G43">
        <f t="shared" ca="1" si="1"/>
        <v>0</v>
      </c>
      <c r="J43" s="555"/>
      <c r="L43" s="83"/>
    </row>
    <row r="44" spans="1:12" x14ac:dyDescent="0.25">
      <c r="A44">
        <v>60</v>
      </c>
      <c r="B44">
        <v>0.72062006098246678</v>
      </c>
      <c r="C44">
        <v>-191.52686064609784</v>
      </c>
      <c r="D44" t="str">
        <f ca="1">INDEX(Main!$D$160:OFFSET(Main!$D$160,0,Main!$N$258),A44)</f>
        <v>Target P rate 71%,Riparian buffers 0.8%,Perennial crop 2.5%</v>
      </c>
      <c r="E44">
        <f t="shared" si="0"/>
        <v>43.237203658948005</v>
      </c>
      <c r="F44">
        <f>IF(B44&gt;MAX($B$8:B43),IF(B44&gt;MAX($F$8:F43)+nmax*Main!$B$84,B44,0),0)</f>
        <v>0</v>
      </c>
      <c r="G44">
        <f t="shared" ca="1" si="1"/>
        <v>0</v>
      </c>
      <c r="J44" s="555"/>
      <c r="L44" s="83"/>
    </row>
    <row r="45" spans="1:12" x14ac:dyDescent="0.25">
      <c r="A45">
        <v>180</v>
      </c>
      <c r="B45">
        <v>0.93423648746588961</v>
      </c>
      <c r="C45">
        <v>-190.39643132881918</v>
      </c>
      <c r="D45" t="str">
        <f ca="1">INDEX(Main!$D$160:OFFSET(Main!$D$160,0,Main!$N$258),A45)</f>
        <v>Target P rate 71%,Control Drainage2.0%Tile intakes4.2%,Preplant/starter 3.8%,Use reduced tillage 13%,Perennial crop 2.5%</v>
      </c>
      <c r="E45">
        <f t="shared" si="0"/>
        <v>168.16256774386014</v>
      </c>
      <c r="F45">
        <f>IF(B45&gt;MAX($B$8:B44),IF(B45&gt;MAX($F$8:F44)+nmax*Main!$B$84,B45,0),0)</f>
        <v>0</v>
      </c>
      <c r="G45">
        <f t="shared" ca="1" si="1"/>
        <v>0</v>
      </c>
      <c r="J45" s="555"/>
      <c r="L45" s="83"/>
    </row>
    <row r="46" spans="1:12" x14ac:dyDescent="0.25">
      <c r="A46">
        <v>189</v>
      </c>
      <c r="B46">
        <v>0.99341349109392829</v>
      </c>
      <c r="C46">
        <v>-188.73820498378475</v>
      </c>
      <c r="D46" t="str">
        <f ca="1">INDEX(Main!$D$160:OFFSET(Main!$D$160,0,Main!$N$258),A46)</f>
        <v>Target P rate 71%, Inj &amp; inc manure 2.4%,Preplant/starter 3.8%,Use reduced tillage 13%,Riparian buffers 0.8%</v>
      </c>
      <c r="E46">
        <f t="shared" si="0"/>
        <v>187.75514981675244</v>
      </c>
      <c r="F46">
        <f>IF(B46&gt;MAX($B$8:B45),IF(B46&gt;MAX($F$8:F45)+nmax*Main!$B$84,B46,0),0)</f>
        <v>0</v>
      </c>
      <c r="G46">
        <f t="shared" ca="1" si="1"/>
        <v>0</v>
      </c>
      <c r="J46" s="555"/>
      <c r="L46" s="83"/>
    </row>
    <row r="47" spans="1:12" x14ac:dyDescent="0.25">
      <c r="A47">
        <v>173</v>
      </c>
      <c r="B47">
        <v>1.1208572138508974</v>
      </c>
      <c r="C47">
        <v>-188.58907372588072</v>
      </c>
      <c r="D47" t="str">
        <f ca="1">INDEX(Main!$D$160:OFFSET(Main!$D$160,0,Main!$N$258),A47)</f>
        <v>Target P rate 71%,Control Drainage2.0%Tile intakes4.2%, Inj &amp; inc manure 2.4%,Use reduced tillage 13%,Riparian buffers 0.8%</v>
      </c>
      <c r="E47">
        <f t="shared" si="0"/>
        <v>193.90829799620525</v>
      </c>
      <c r="F47">
        <f ca="1">IF(B47&gt;MAX($B$8:B46),IF(B47&gt;MAX($F$8:F46)+nmax*Main!$B$84,B47,0),0)</f>
        <v>1.1208572138508974</v>
      </c>
      <c r="G47">
        <f t="shared" ca="1" si="1"/>
        <v>75</v>
      </c>
      <c r="J47" s="555"/>
      <c r="L47" s="83"/>
    </row>
    <row r="48" spans="1:12" x14ac:dyDescent="0.25">
      <c r="A48">
        <v>114</v>
      </c>
      <c r="B48">
        <v>0.59387155172850381</v>
      </c>
      <c r="C48">
        <v>-187.9192997849855</v>
      </c>
      <c r="D48" t="str">
        <f ca="1">INDEX(Main!$D$160:OFFSET(Main!$D$160,0,Main!$N$258),A48)</f>
        <v>Target P rate 71%, Inj &amp; inc manure 2.4%,Preplant/starter 3.8%,Perennial crop 2.5%</v>
      </c>
      <c r="E48">
        <f t="shared" si="0"/>
        <v>67.701356897049436</v>
      </c>
      <c r="F48">
        <f>IF(B48&gt;MAX($B$8:B47),IF(B48&gt;MAX($F$8:F47)+nmax*Main!$B$84,B48,0),0)</f>
        <v>0</v>
      </c>
      <c r="G48">
        <f t="shared" ca="1" si="1"/>
        <v>0</v>
      </c>
      <c r="J48" s="555"/>
      <c r="L48" s="83"/>
    </row>
    <row r="49" spans="1:12" x14ac:dyDescent="0.25">
      <c r="A49">
        <v>100</v>
      </c>
      <c r="B49">
        <v>0.72139309896413839</v>
      </c>
      <c r="C49">
        <v>-187.81198625404033</v>
      </c>
      <c r="D49" t="str">
        <f ca="1">INDEX(Main!$D$160:OFFSET(Main!$D$160,0,Main!$N$258),A49)</f>
        <v>Target P rate 71%,Control Drainage2.0%Tile intakes4.2%, Inj &amp; inc manure 2.4%,Perennial crop 2.5%</v>
      </c>
      <c r="E49">
        <f t="shared" si="0"/>
        <v>72.139309896413835</v>
      </c>
      <c r="F49">
        <f>IF(B49&gt;MAX($B$8:B48),IF(B49&gt;MAX($F$8:F48)+nmax*Main!$B$84,B49,0),0)</f>
        <v>0</v>
      </c>
      <c r="G49">
        <f t="shared" ca="1" si="1"/>
        <v>0</v>
      </c>
      <c r="J49" s="555"/>
      <c r="L49" s="83"/>
    </row>
    <row r="50" spans="1:12" x14ac:dyDescent="0.25">
      <c r="A50">
        <v>195</v>
      </c>
      <c r="B50">
        <v>1.0832581497722744</v>
      </c>
      <c r="C50">
        <v>-180.74583743505551</v>
      </c>
      <c r="D50" t="str">
        <f ca="1">INDEX(Main!$D$160:OFFSET(Main!$D$160,0,Main!$N$258),A50)</f>
        <v>Target P rate 71%, Inj &amp; inc manure 2.4%,Use reduced tillage 13%,Riparian buffers 0.8%,Perennial crop 2.5%</v>
      </c>
      <c r="E50">
        <f t="shared" si="0"/>
        <v>211.2353392055935</v>
      </c>
      <c r="F50">
        <f>IF(B50&gt;MAX($B$8:B49),IF(B50&gt;MAX($F$8:F49)+nmax*Main!$B$84,B50,0),0)</f>
        <v>0</v>
      </c>
      <c r="G50">
        <f t="shared" ca="1" si="1"/>
        <v>0</v>
      </c>
      <c r="J50" s="555"/>
      <c r="L50" s="83"/>
    </row>
    <row r="51" spans="1:12" x14ac:dyDescent="0.25">
      <c r="A51">
        <v>179</v>
      </c>
      <c r="B51">
        <v>1.0496294377416968</v>
      </c>
      <c r="C51">
        <v>-179.96123192704891</v>
      </c>
      <c r="D51" t="str">
        <f ca="1">INDEX(Main!$D$160:OFFSET(Main!$D$160,0,Main!$N$258),A51)</f>
        <v>Target P rate 71%,Control Drainage2.0%Tile intakes4.2%,Preplant/starter 3.8%,Use reduced tillage 13%,Riparian buffers 0.8%</v>
      </c>
      <c r="E51">
        <f t="shared" si="0"/>
        <v>187.88366935576374</v>
      </c>
      <c r="F51">
        <f>IF(B51&gt;MAX($B$8:B50),IF(B51&gt;MAX($F$8:F50)+nmax*Main!$B$84,B51,0),0)</f>
        <v>0</v>
      </c>
      <c r="G51">
        <f t="shared" ca="1" si="1"/>
        <v>0</v>
      </c>
      <c r="J51" s="555"/>
      <c r="L51" s="83"/>
    </row>
    <row r="52" spans="1:12" x14ac:dyDescent="0.25">
      <c r="A52">
        <v>104</v>
      </c>
      <c r="B52">
        <v>0.65058968611081669</v>
      </c>
      <c r="C52">
        <v>-173.68466814419259</v>
      </c>
      <c r="D52" t="str">
        <f ca="1">INDEX(Main!$D$160:OFFSET(Main!$D$160,0,Main!$N$258),A52)</f>
        <v>Target P rate 71%,Control Drainage2.0%Tile intakes4.2%,Preplant/starter 3.8%,Perennial crop 2.5%</v>
      </c>
      <c r="E52">
        <f t="shared" si="0"/>
        <v>67.661327355524932</v>
      </c>
      <c r="F52">
        <f>IF(B52&gt;MAX($B$8:B51),IF(B52&gt;MAX($F$8:F51)+nmax*Main!$B$84,B52,0),0)</f>
        <v>0</v>
      </c>
      <c r="G52">
        <f t="shared" ca="1" si="1"/>
        <v>0</v>
      </c>
      <c r="J52" s="555"/>
      <c r="L52" s="83"/>
    </row>
    <row r="53" spans="1:12" x14ac:dyDescent="0.25">
      <c r="A53">
        <v>185</v>
      </c>
      <c r="B53">
        <v>1.1416116078779537</v>
      </c>
      <c r="C53">
        <v>-172.73118777465001</v>
      </c>
      <c r="D53" t="str">
        <f ca="1">INDEX(Main!$D$160:OFFSET(Main!$D$160,0,Main!$N$258),A53)</f>
        <v>Target P rate 71%,Control Drainage2.0%Tile intakes4.2%,Use reduced tillage 13%,Riparian buffers 0.8%,Perennial crop 2.5%</v>
      </c>
      <c r="E53">
        <f t="shared" si="0"/>
        <v>211.19814745742144</v>
      </c>
      <c r="F53">
        <f ca="1">IF(B53&gt;MAX($B$8:B52),IF(B53&gt;MAX($F$8:F52)+nmax*Main!$B$84,B53,0),0)</f>
        <v>1.1416116078779537</v>
      </c>
      <c r="G53">
        <f t="shared" ca="1" si="1"/>
        <v>77</v>
      </c>
      <c r="J53" s="555"/>
      <c r="L53" s="83"/>
    </row>
    <row r="54" spans="1:12" x14ac:dyDescent="0.25">
      <c r="A54">
        <v>99</v>
      </c>
      <c r="B54">
        <v>0.82407504690220257</v>
      </c>
      <c r="C54">
        <v>-172.09110378097105</v>
      </c>
      <c r="D54" t="str">
        <f ca="1">INDEX(Main!$D$160:OFFSET(Main!$D$160,0,Main!$N$258),A54)</f>
        <v>Target P rate 71%,Control Drainage2.0%Tile intakes4.2%, Inj &amp; inc manure 2.4%,Riparian buffers 0.8%</v>
      </c>
      <c r="E54">
        <f t="shared" si="0"/>
        <v>81.583429643318055</v>
      </c>
      <c r="F54">
        <f>IF(B54&gt;MAX($B$8:B53),IF(B54&gt;MAX($F$8:F53)+nmax*Main!$B$84,B54,0),0)</f>
        <v>0</v>
      </c>
      <c r="G54">
        <f t="shared" ca="1" si="1"/>
        <v>0</v>
      </c>
      <c r="J54" s="555"/>
      <c r="L54" s="83"/>
    </row>
    <row r="55" spans="1:12" x14ac:dyDescent="0.25">
      <c r="A55">
        <v>199</v>
      </c>
      <c r="B55">
        <v>1.013862329042919</v>
      </c>
      <c r="C55">
        <v>-170.93601312351495</v>
      </c>
      <c r="D55" t="str">
        <f ca="1">INDEX(Main!$D$160:OFFSET(Main!$D$160,0,Main!$N$258),A55)</f>
        <v>Target P rate 71%,Preplant/starter 3.8%,Use reduced tillage 13%,Riparian buffers 0.8%,Perennial crop 2.5%</v>
      </c>
      <c r="E55">
        <f t="shared" si="0"/>
        <v>201.75860347954088</v>
      </c>
      <c r="F55">
        <f>IF(B55&gt;MAX($B$8:B54),IF(B55&gt;MAX($F$8:F54)+nmax*Main!$B$84,B55,0),0)</f>
        <v>0</v>
      </c>
      <c r="G55">
        <f t="shared" ca="1" si="1"/>
        <v>0</v>
      </c>
      <c r="J55" s="555"/>
      <c r="L55" s="83"/>
    </row>
    <row r="56" spans="1:12" x14ac:dyDescent="0.25">
      <c r="A56">
        <v>113</v>
      </c>
      <c r="B56">
        <v>0.696757649577599</v>
      </c>
      <c r="C56">
        <v>-169.25489066087735</v>
      </c>
      <c r="D56" t="str">
        <f ca="1">INDEX(Main!$D$160:OFFSET(Main!$D$160,0,Main!$N$258),A56)</f>
        <v>Target P rate 71%, Inj &amp; inc manure 2.4%,Preplant/starter 3.8%,Riparian buffers 0.8%</v>
      </c>
      <c r="E56">
        <f t="shared" si="0"/>
        <v>78.733614402268685</v>
      </c>
      <c r="F56">
        <f>IF(B56&gt;MAX($B$8:B55),IF(B56&gt;MAX($F$8:F55)+nmax*Main!$B$84,B56,0),0)</f>
        <v>0</v>
      </c>
      <c r="G56">
        <f t="shared" ca="1" si="1"/>
        <v>0</v>
      </c>
      <c r="J56" s="555"/>
      <c r="L56" s="83"/>
    </row>
    <row r="57" spans="1:12" x14ac:dyDescent="0.25">
      <c r="A57">
        <v>226</v>
      </c>
      <c r="B57">
        <v>1.0159270999120986</v>
      </c>
      <c r="C57">
        <v>-168.09646793095155</v>
      </c>
      <c r="D57" t="str">
        <f ca="1">INDEX(Main!$D$160:OFFSET(Main!$D$160,0,Main!$N$258),A57)</f>
        <v>Target P rate 71%,Control Drainage2.0%Tile intakes4.2%, Inj &amp; inc manure 2.4%,Preplant/starter 3.8%,Use reduced tillage 13%,Perennial crop 2.5%</v>
      </c>
      <c r="E57">
        <f t="shared" si="0"/>
        <v>229.5995245801343</v>
      </c>
      <c r="F57">
        <f>IF(B57&gt;MAX($B$8:B56),IF(B57&gt;MAX($F$8:F56)+nmax*Main!$B$84,B57,0),0)</f>
        <v>0</v>
      </c>
      <c r="G57">
        <f t="shared" ca="1" si="1"/>
        <v>0</v>
      </c>
      <c r="J57" s="555"/>
      <c r="L57" s="83"/>
    </row>
    <row r="58" spans="1:12" x14ac:dyDescent="0.25">
      <c r="A58">
        <v>120</v>
      </c>
      <c r="B58">
        <v>0.80254855814517689</v>
      </c>
      <c r="C58">
        <v>-163.12603220049837</v>
      </c>
      <c r="D58" t="str">
        <f ca="1">INDEX(Main!$D$160:OFFSET(Main!$D$160,0,Main!$N$258),A58)</f>
        <v>Target P rate 71%, Inj &amp; inc manure 2.4%,Riparian buffers 0.8%,Perennial crop 2.5%</v>
      </c>
      <c r="E58">
        <f t="shared" si="0"/>
        <v>96.305826977421233</v>
      </c>
      <c r="F58">
        <f>IF(B58&gt;MAX($B$8:B57),IF(B58&gt;MAX($F$8:F57)+nmax*Main!$B$84,B58,0),0)</f>
        <v>0</v>
      </c>
      <c r="G58">
        <f t="shared" ca="1" si="1"/>
        <v>0</v>
      </c>
      <c r="J58" s="555"/>
      <c r="L58" s="83"/>
    </row>
    <row r="59" spans="1:12" x14ac:dyDescent="0.25">
      <c r="A59">
        <v>27</v>
      </c>
      <c r="B59">
        <v>0.38787745556307784</v>
      </c>
      <c r="C59">
        <v>-161.04030374377041</v>
      </c>
      <c r="D59" t="str">
        <f ca="1">INDEX(Main!$D$160:OFFSET(Main!$D$160,0,Main!$N$258),A59)</f>
        <v xml:space="preserve"> Inj &amp; inc manure 2.4%,Use reduced tillage 13%</v>
      </c>
      <c r="E59">
        <f t="shared" si="0"/>
        <v>10.472691300203103</v>
      </c>
      <c r="F59">
        <f>IF(B59&gt;MAX($B$8:B58),IF(B59&gt;MAX($F$8:F58)+nmax*Main!$B$84,B59,0),0)</f>
        <v>0</v>
      </c>
      <c r="G59">
        <f t="shared" ca="1" si="1"/>
        <v>0</v>
      </c>
      <c r="J59" s="555"/>
      <c r="L59" s="83"/>
    </row>
    <row r="60" spans="1:12" x14ac:dyDescent="0.25">
      <c r="A60">
        <v>225</v>
      </c>
      <c r="B60">
        <v>1.132758842142384</v>
      </c>
      <c r="C60">
        <v>-160.48523645064</v>
      </c>
      <c r="D60" t="str">
        <f ca="1">INDEX(Main!$D$160:OFFSET(Main!$D$160,0,Main!$N$258),A60)</f>
        <v>Target P rate 71%,Control Drainage2.0%Tile intakes4.2%, Inj &amp; inc manure 2.4%,Preplant/starter 3.8%,Use reduced tillage 13%,Riparian buffers 0.8%</v>
      </c>
      <c r="E60">
        <f t="shared" si="0"/>
        <v>254.87073948203638</v>
      </c>
      <c r="F60">
        <f>IF(B60&gt;MAX($B$8:B59),IF(B60&gt;MAX($F$8:F59)+nmax*Main!$B$84,B60,0),0)</f>
        <v>0</v>
      </c>
      <c r="G60">
        <f t="shared" ca="1" si="1"/>
        <v>0</v>
      </c>
      <c r="J60" s="555"/>
      <c r="L60" s="83"/>
    </row>
    <row r="61" spans="1:12" x14ac:dyDescent="0.25">
      <c r="A61">
        <v>103</v>
      </c>
      <c r="B61">
        <v>0.75204914163750924</v>
      </c>
      <c r="C61">
        <v>-158.66937512050373</v>
      </c>
      <c r="D61" t="str">
        <f ca="1">INDEX(Main!$D$160:OFFSET(Main!$D$160,0,Main!$N$258),A61)</f>
        <v>Target P rate 71%,Control Drainage2.0%Tile intakes4.2%,Preplant/starter 3.8%,Riparian buffers 0.8%</v>
      </c>
      <c r="E61">
        <f t="shared" si="0"/>
        <v>77.461061588663455</v>
      </c>
      <c r="F61">
        <f>IF(B61&gt;MAX($B$8:B60),IF(B61&gt;MAX($F$8:F60)+nmax*Main!$B$84,B61,0),0)</f>
        <v>0</v>
      </c>
      <c r="G61">
        <f t="shared" ca="1" si="1"/>
        <v>0</v>
      </c>
      <c r="J61" s="555"/>
      <c r="L61" s="83"/>
    </row>
    <row r="62" spans="1:12" x14ac:dyDescent="0.25">
      <c r="A62">
        <v>231</v>
      </c>
      <c r="B62">
        <v>1.2226035008207299</v>
      </c>
      <c r="C62">
        <v>-155.48000052213334</v>
      </c>
      <c r="D62" t="str">
        <f ca="1">INDEX(Main!$D$160:OFFSET(Main!$D$160,0,Main!$N$258),A62)</f>
        <v>Target P rate 71%,Control Drainage2.0%Tile intakes4.2%, Inj &amp; inc manure 2.4%,Use reduced tillage 13%,Riparian buffers 0.8%,Perennial crop 2.5%</v>
      </c>
      <c r="E62">
        <f t="shared" si="0"/>
        <v>282.42140868958859</v>
      </c>
      <c r="F62">
        <f ca="1">IF(B62&gt;MAX($B$8:B61),IF(B62&gt;MAX($F$8:F61)+nmax*Main!$B$84,B62,0),0)</f>
        <v>1.2226035008207299</v>
      </c>
      <c r="G62">
        <f t="shared" ca="1" si="1"/>
        <v>82</v>
      </c>
      <c r="J62" s="555"/>
      <c r="L62" s="83"/>
    </row>
    <row r="63" spans="1:12" x14ac:dyDescent="0.25">
      <c r="A63">
        <v>110</v>
      </c>
      <c r="B63">
        <v>0.85996541203092247</v>
      </c>
      <c r="C63">
        <v>-153.85978046852463</v>
      </c>
      <c r="D63" t="str">
        <f ca="1">INDEX(Main!$D$160:OFFSET(Main!$D$160,0,Main!$N$258),A63)</f>
        <v>Target P rate 71%,Control Drainage2.0%Tile intakes4.2%,Riparian buffers 0.8%,Perennial crop 2.5%</v>
      </c>
      <c r="E63">
        <f t="shared" si="0"/>
        <v>94.596195323401474</v>
      </c>
      <c r="F63">
        <f>IF(B63&gt;MAX($B$8:B62),IF(B63&gt;MAX($F$8:F62)+nmax*Main!$B$84,B63,0),0)</f>
        <v>0</v>
      </c>
      <c r="G63">
        <f t="shared" ca="1" si="1"/>
        <v>0</v>
      </c>
      <c r="J63" s="555"/>
      <c r="L63" s="83"/>
    </row>
    <row r="64" spans="1:12" x14ac:dyDescent="0.25">
      <c r="A64">
        <v>240</v>
      </c>
      <c r="B64">
        <v>1.0948542219856952</v>
      </c>
      <c r="C64">
        <v>-151.80472887172334</v>
      </c>
      <c r="D64" t="str">
        <f ca="1">INDEX(Main!$D$160:OFFSET(Main!$D$160,0,Main!$N$258),A64)</f>
        <v>Target P rate 71%, Inj &amp; inc manure 2.4%,Preplant/starter 3.8%,Use reduced tillage 13%,Riparian buffers 0.8%,Perennial crop 2.5%</v>
      </c>
      <c r="E64">
        <f t="shared" si="0"/>
        <v>262.76501327656683</v>
      </c>
      <c r="F64">
        <f>IF(B64&gt;MAX($B$8:B63),IF(B64&gt;MAX($F$8:F63)+nmax*Main!$B$84,B64,0),0)</f>
        <v>0</v>
      </c>
      <c r="G64">
        <f t="shared" ca="1" si="1"/>
        <v>0</v>
      </c>
      <c r="J64" s="555"/>
      <c r="L64" s="83"/>
    </row>
    <row r="65" spans="1:12" x14ac:dyDescent="0.25">
      <c r="A65">
        <v>126</v>
      </c>
      <c r="B65">
        <v>0.73234387931033362</v>
      </c>
      <c r="C65">
        <v>-148.05578082299542</v>
      </c>
      <c r="D65" t="str">
        <f ca="1">INDEX(Main!$D$160:OFFSET(Main!$D$160,0,Main!$N$258),A65)</f>
        <v>Target P rate 71%,Preplant/starter 3.8%,Riparian buffers 0.8%,Perennial crop 2.5%</v>
      </c>
      <c r="E65">
        <f t="shared" si="0"/>
        <v>92.275328793102034</v>
      </c>
      <c r="F65">
        <f>IF(B65&gt;MAX($B$8:B64),IF(B65&gt;MAX($F$8:F64)+nmax*Main!$B$84,B65,0),0)</f>
        <v>0</v>
      </c>
      <c r="G65">
        <f t="shared" ca="1" si="1"/>
        <v>0</v>
      </c>
      <c r="J65" s="555"/>
      <c r="L65" s="83"/>
    </row>
    <row r="66" spans="1:12" x14ac:dyDescent="0.25">
      <c r="A66">
        <v>235</v>
      </c>
      <c r="B66">
        <v>1.1532076800913749</v>
      </c>
      <c r="C66">
        <v>-145.33511940925374</v>
      </c>
      <c r="D66" t="str">
        <f ca="1">INDEX(Main!$D$160:OFFSET(Main!$D$160,0,Main!$N$258),A66)</f>
        <v>Target P rate 71%,Control Drainage2.0%Tile intakes4.2%,Preplant/starter 3.8%,Use reduced tillage 13%,Riparian buffers 0.8%,Perennial crop 2.5%</v>
      </c>
      <c r="E66">
        <f t="shared" si="0"/>
        <v>271.00380482147307</v>
      </c>
      <c r="F66">
        <f>IF(B66&gt;MAX($B$8:B65),IF(B66&gt;MAX($F$8:F65)+nmax*Main!$B$84,B66,0),0)</f>
        <v>0</v>
      </c>
      <c r="G66">
        <f t="shared" ca="1" si="1"/>
        <v>0</v>
      </c>
      <c r="J66" s="555"/>
      <c r="L66" s="83"/>
    </row>
    <row r="67" spans="1:12" x14ac:dyDescent="0.25">
      <c r="A67">
        <v>169</v>
      </c>
      <c r="B67">
        <v>0.7332169027769595</v>
      </c>
      <c r="C67">
        <v>-144.42645453072265</v>
      </c>
      <c r="D67" t="str">
        <f ca="1">INDEX(Main!$D$160:OFFSET(Main!$D$160,0,Main!$N$258),A67)</f>
        <v>Target P rate 71%,Control Drainage2.0%Tile intakes4.2%, Inj &amp; inc manure 2.4%,Preplant/starter 3.8%,Perennial crop 2.5%</v>
      </c>
      <c r="E67">
        <f t="shared" si="0"/>
        <v>123.91365656930616</v>
      </c>
      <c r="F67">
        <f>IF(B67&gt;MAX($B$8:B66),IF(B67&gt;MAX($F$8:F66)+nmax*Main!$B$84,B67,0),0)</f>
        <v>0</v>
      </c>
      <c r="G67">
        <f t="shared" ca="1" si="1"/>
        <v>0</v>
      </c>
      <c r="J67" s="555"/>
      <c r="L67" s="83"/>
    </row>
    <row r="68" spans="1:12" x14ac:dyDescent="0.25">
      <c r="A68">
        <v>22</v>
      </c>
      <c r="B68">
        <v>0.44339468270741383</v>
      </c>
      <c r="C68">
        <v>-144.02840926382507</v>
      </c>
      <c r="D68" t="str">
        <f ca="1">INDEX(Main!$D$160:OFFSET(Main!$D$160,0,Main!$N$258),A68)</f>
        <v>Control Drainage2.0%Tile intakes4.2%,Use reduced tillage 13%</v>
      </c>
      <c r="E68">
        <f t="shared" si="0"/>
        <v>9.7546830195631049</v>
      </c>
      <c r="F68">
        <f>IF(B68&gt;MAX($B$8:B67),IF(B68&gt;MAX($F$8:F67)+nmax*Main!$B$84,B68,0),0)</f>
        <v>0</v>
      </c>
      <c r="G68">
        <f t="shared" ca="1" si="1"/>
        <v>0</v>
      </c>
      <c r="J68" s="555"/>
      <c r="L68" s="83"/>
    </row>
    <row r="69" spans="1:12" x14ac:dyDescent="0.25">
      <c r="A69">
        <v>168</v>
      </c>
      <c r="B69">
        <v>0.8361030006260548</v>
      </c>
      <c r="C69">
        <v>-134.22464842176745</v>
      </c>
      <c r="D69" t="str">
        <f ca="1">INDEX(Main!$D$160:OFFSET(Main!$D$160,0,Main!$N$258),A69)</f>
        <v>Target P rate 71%,Control Drainage2.0%Tile intakes4.2%, Inj &amp; inc manure 2.4%,Preplant/starter 3.8%,Riparian buffers 0.8%</v>
      </c>
      <c r="E69">
        <f t="shared" si="0"/>
        <v>140.46530410517721</v>
      </c>
      <c r="F69">
        <f>IF(B69&gt;MAX($B$8:B68),IF(B69&gt;MAX($F$8:F68)+nmax*Main!$B$84,B69,0),0)</f>
        <v>0</v>
      </c>
      <c r="G69">
        <f t="shared" ca="1" si="1"/>
        <v>0</v>
      </c>
      <c r="J69" s="555"/>
      <c r="L69" s="83"/>
    </row>
    <row r="70" spans="1:12" x14ac:dyDescent="0.25">
      <c r="A70">
        <v>175</v>
      </c>
      <c r="B70">
        <v>0.94189390919363258</v>
      </c>
      <c r="C70">
        <v>-132.93700301415086</v>
      </c>
      <c r="D70" t="str">
        <f ca="1">INDEX(Main!$D$160:OFFSET(Main!$D$160,0,Main!$N$258),A70)</f>
        <v>Target P rate 71%,Control Drainage2.0%Tile intakes4.2%, Inj &amp; inc manure 2.4%,Riparian buffers 0.8%,Perennial crop 2.5%</v>
      </c>
      <c r="E70">
        <f t="shared" si="0"/>
        <v>164.8314341088857</v>
      </c>
      <c r="F70">
        <f>IF(B70&gt;MAX($B$8:B69),IF(B70&gt;MAX($F$8:F69)+nmax*Main!$B$84,B70,0),0)</f>
        <v>0</v>
      </c>
      <c r="G70">
        <f t="shared" ca="1" si="1"/>
        <v>0</v>
      </c>
      <c r="J70" s="555"/>
      <c r="L70" s="83"/>
    </row>
    <row r="71" spans="1:12" x14ac:dyDescent="0.25">
      <c r="A71">
        <v>253</v>
      </c>
      <c r="B71">
        <v>1.2341995730341511</v>
      </c>
      <c r="C71">
        <v>-130.04383029809193</v>
      </c>
      <c r="D71" t="str">
        <f ca="1">INDEX(Main!$D$160:OFFSET(Main!$D$160,0,Main!$N$258),A71)</f>
        <v>Target P rate 71%,Control Drainage2.0%Tile intakes4.2%, Inj &amp; inc manure 2.4%,Preplant/starter 3.8%,Use reduced tillage 13%,Riparian buffers 0.8%,Perennial crop 2.5%</v>
      </c>
      <c r="E71">
        <f t="shared" si="0"/>
        <v>312.2524919776402</v>
      </c>
      <c r="F71">
        <f ca="1">IF(B71&gt;MAX($B$8:B70),IF(B71&gt;MAX($F$8:F70)+nmax*Main!$B$84,B71,0),0)</f>
        <v>1.2341995730341511</v>
      </c>
      <c r="G71">
        <f t="shared" ca="1" si="1"/>
        <v>83</v>
      </c>
      <c r="J71" s="555"/>
      <c r="L71" s="83"/>
    </row>
    <row r="72" spans="1:12" x14ac:dyDescent="0.25">
      <c r="A72">
        <v>191</v>
      </c>
      <c r="B72">
        <v>0.81427237647304374</v>
      </c>
      <c r="C72">
        <v>-124.43773330614702</v>
      </c>
      <c r="D72" t="str">
        <f ca="1">INDEX(Main!$D$160:OFFSET(Main!$D$160,0,Main!$N$258),A72)</f>
        <v>Target P rate 71%, Inj &amp; inc manure 2.4%,Preplant/starter 3.8%,Riparian buffers 0.8%,Perennial crop 2.5%</v>
      </c>
      <c r="E72">
        <f t="shared" si="0"/>
        <v>155.52602390635136</v>
      </c>
      <c r="F72">
        <f>IF(B72&gt;MAX($B$8:B71),IF(B72&gt;MAX($F$8:F71)+nmax*Main!$B$84,B72,0),0)</f>
        <v>0</v>
      </c>
      <c r="G72">
        <f t="shared" ca="1" si="1"/>
        <v>0</v>
      </c>
      <c r="J72" s="555"/>
      <c r="L72" s="83"/>
    </row>
    <row r="73" spans="1:12" x14ac:dyDescent="0.25">
      <c r="A73">
        <v>31</v>
      </c>
      <c r="B73">
        <v>0.32341706322226077</v>
      </c>
      <c r="C73">
        <v>-123.60227937493273</v>
      </c>
      <c r="D73" t="str">
        <f ca="1">INDEX(Main!$D$160:OFFSET(Main!$D$160,0,Main!$N$258),A73)</f>
        <v>Preplant/starter 3.8%,Use reduced tillage 13%</v>
      </c>
      <c r="E73">
        <f t="shared" ref="E73:E136" si="2">A73*B73</f>
        <v>10.025928959890084</v>
      </c>
      <c r="F73">
        <f>IF(B73&gt;MAX($B$8:B72),IF(B73&gt;MAX($F$8:F72)+nmax*Main!$B$84,B73,0),0)</f>
        <v>0</v>
      </c>
      <c r="G73">
        <f t="shared" ref="G73:G136" ca="1" si="3">IF($F$6&lt;&gt;0,ROUND(F73/$F$6,0),0)</f>
        <v>0</v>
      </c>
      <c r="J73" s="555"/>
      <c r="L73" s="83"/>
    </row>
    <row r="74" spans="1:12" x14ac:dyDescent="0.25">
      <c r="A74">
        <v>181</v>
      </c>
      <c r="B74">
        <v>0.87168923035878931</v>
      </c>
      <c r="C74">
        <v>-117.84444824101158</v>
      </c>
      <c r="D74" t="str">
        <f ca="1">INDEX(Main!$D$160:OFFSET(Main!$D$160,0,Main!$N$258),A74)</f>
        <v>Target P rate 71%,Control Drainage2.0%Tile intakes4.2%,Preplant/starter 3.8%,Riparian buffers 0.8%,Perennial crop 2.5%</v>
      </c>
      <c r="E74">
        <f t="shared" si="2"/>
        <v>157.77575069494085</v>
      </c>
      <c r="F74">
        <f>IF(B74&gt;MAX($B$8:B73),IF(B74&gt;MAX($F$8:F73)+nmax*Main!$B$84,B74,0),0)</f>
        <v>0</v>
      </c>
      <c r="G74">
        <f t="shared" ca="1" si="3"/>
        <v>0</v>
      </c>
      <c r="J74" s="555"/>
      <c r="L74" s="83"/>
    </row>
    <row r="75" spans="1:12" x14ac:dyDescent="0.25">
      <c r="A75">
        <v>38</v>
      </c>
      <c r="B75">
        <v>0.41752032447379056</v>
      </c>
      <c r="C75">
        <v>-115.62169718816644</v>
      </c>
      <c r="D75" t="str">
        <f ca="1">INDEX(Main!$D$160:OFFSET(Main!$D$160,0,Main!$N$258),A75)</f>
        <v>Use reduced tillage 13%,Perennial crop 2.5%</v>
      </c>
      <c r="E75">
        <f t="shared" si="2"/>
        <v>15.865772330004042</v>
      </c>
      <c r="F75">
        <f>IF(B75&gt;MAX($B$8:B74),IF(B75&gt;MAX($F$8:F74)+nmax*Main!$B$84,B75,0),0)</f>
        <v>0</v>
      </c>
      <c r="G75">
        <f t="shared" ca="1" si="3"/>
        <v>0</v>
      </c>
      <c r="J75" s="555"/>
      <c r="L75" s="83"/>
    </row>
    <row r="76" spans="1:12" x14ac:dyDescent="0.25">
      <c r="A76">
        <v>37</v>
      </c>
      <c r="B76">
        <v>0.52626945870100261</v>
      </c>
      <c r="C76">
        <v>-112.6641894150177</v>
      </c>
      <c r="D76" t="str">
        <f ca="1">INDEX(Main!$D$160:OFFSET(Main!$D$160,0,Main!$N$258),A76)</f>
        <v>Use reduced tillage 13%,Riparian buffers 0.8%</v>
      </c>
      <c r="E76">
        <f t="shared" si="2"/>
        <v>19.471969971937096</v>
      </c>
      <c r="F76">
        <f>IF(B76&gt;MAX($B$8:B75),IF(B76&gt;MAX($F$8:F75)+nmax*Main!$B$84,B76,0),0)</f>
        <v>0</v>
      </c>
      <c r="G76">
        <f t="shared" ca="1" si="3"/>
        <v>0</v>
      </c>
      <c r="J76" s="555"/>
      <c r="L76" s="83"/>
    </row>
    <row r="77" spans="1:12" x14ac:dyDescent="0.25">
      <c r="A77">
        <v>63</v>
      </c>
      <c r="B77">
        <v>0.52722280661153353</v>
      </c>
      <c r="C77">
        <v>-107.65826905528975</v>
      </c>
      <c r="D77" t="str">
        <f ca="1">INDEX(Main!$D$160:OFFSET(Main!$D$160,0,Main!$N$258),A77)</f>
        <v>Control Drainage2.0%Tile intakes4.2%, Inj &amp; inc manure 2.4%,Use reduced tillage 13%</v>
      </c>
      <c r="E77">
        <f t="shared" si="2"/>
        <v>33.215036816526613</v>
      </c>
      <c r="F77">
        <f>IF(B77&gt;MAX($B$8:B76),IF(B77&gt;MAX($F$8:F76)+nmax*Main!$B$84,B77,0),0)</f>
        <v>0</v>
      </c>
      <c r="G77">
        <f t="shared" ca="1" si="3"/>
        <v>0</v>
      </c>
      <c r="J77" s="555"/>
      <c r="L77" s="83"/>
    </row>
    <row r="78" spans="1:12" x14ac:dyDescent="0.25">
      <c r="A78">
        <v>227</v>
      </c>
      <c r="B78">
        <v>0.95361772752149943</v>
      </c>
      <c r="C78">
        <v>-100.273094311777</v>
      </c>
      <c r="D78" t="str">
        <f ca="1">INDEX(Main!$D$160:OFFSET(Main!$D$160,0,Main!$N$258),A78)</f>
        <v>Target P rate 71%,Control Drainage2.0%Tile intakes4.2%, Inj &amp; inc manure 2.4%,Preplant/starter 3.8%,Riparian buffers 0.8%,Perennial crop 2.5%</v>
      </c>
      <c r="E78">
        <f t="shared" si="2"/>
        <v>216.47122414738038</v>
      </c>
      <c r="F78">
        <f>IF(B78&gt;MAX($B$8:B77),IF(B78&gt;MAX($F$8:F77)+nmax*Main!$B$84,B78,0),0)</f>
        <v>0</v>
      </c>
      <c r="G78">
        <f t="shared" ca="1" si="3"/>
        <v>0</v>
      </c>
      <c r="J78" s="555"/>
      <c r="L78" s="83"/>
    </row>
    <row r="79" spans="1:12" x14ac:dyDescent="0.25">
      <c r="A79">
        <v>83</v>
      </c>
      <c r="B79">
        <v>0.60939886310168978</v>
      </c>
      <c r="C79">
        <v>-85.642079561283794</v>
      </c>
      <c r="D79" t="str">
        <f ca="1">INDEX(Main!$D$160:OFFSET(Main!$D$160,0,Main!$N$258),A79)</f>
        <v xml:space="preserve"> Inj &amp; inc manure 2.4%,Use reduced tillage 13%,Riparian buffers 0.8%</v>
      </c>
      <c r="E79">
        <f t="shared" si="2"/>
        <v>50.580105637440255</v>
      </c>
      <c r="F79">
        <f>IF(B79&gt;MAX($B$8:B78),IF(B79&gt;MAX($F$8:F78)+nmax*Main!$B$84,B79,0),0)</f>
        <v>0</v>
      </c>
      <c r="G79">
        <f t="shared" ca="1" si="3"/>
        <v>0</v>
      </c>
      <c r="J79" s="555"/>
      <c r="L79" s="83"/>
    </row>
    <row r="80" spans="1:12" x14ac:dyDescent="0.25">
      <c r="A80">
        <v>84</v>
      </c>
      <c r="B80">
        <v>0.49921093691999946</v>
      </c>
      <c r="C80">
        <v>-82.475902311198652</v>
      </c>
      <c r="D80" t="str">
        <f ca="1">INDEX(Main!$D$160:OFFSET(Main!$D$160,0,Main!$N$258),A80)</f>
        <v xml:space="preserve"> Inj &amp; inc manure 2.4%,Use reduced tillage 13%,Perennial crop 2.5%</v>
      </c>
      <c r="E80">
        <f t="shared" si="2"/>
        <v>41.933718701279957</v>
      </c>
      <c r="F80">
        <f>IF(B80&gt;MAX($B$8:B79),IF(B80&gt;MAX($F$8:F79)+nmax*Main!$B$84,B80,0),0)</f>
        <v>0</v>
      </c>
      <c r="G80">
        <f t="shared" ca="1" si="3"/>
        <v>0</v>
      </c>
      <c r="J80" s="555"/>
      <c r="L80" s="83"/>
    </row>
    <row r="81" spans="1:12" x14ac:dyDescent="0.25">
      <c r="A81">
        <v>77</v>
      </c>
      <c r="B81">
        <v>0.40724518712638053</v>
      </c>
      <c r="C81">
        <v>-80.721764632417177</v>
      </c>
      <c r="D81" t="str">
        <f ca="1">INDEX(Main!$D$160:OFFSET(Main!$D$160,0,Main!$N$258),A81)</f>
        <v xml:space="preserve"> Inj &amp; inc manure 2.4%,Preplant/starter 3.8%,Use reduced tillage 13%</v>
      </c>
      <c r="E81">
        <f t="shared" si="2"/>
        <v>31.3578794087313</v>
      </c>
      <c r="F81">
        <f>IF(B81&gt;MAX($B$8:B80),IF(B81&gt;MAX($F$8:F80)+nmax*Main!$B$84,B81,0),0)</f>
        <v>0</v>
      </c>
      <c r="G81">
        <f t="shared" ca="1" si="3"/>
        <v>0</v>
      </c>
      <c r="J81" s="555"/>
      <c r="L81" s="83"/>
    </row>
    <row r="82" spans="1:12" x14ac:dyDescent="0.25">
      <c r="A82">
        <v>73</v>
      </c>
      <c r="B82">
        <v>0.66561480974945841</v>
      </c>
      <c r="C82">
        <v>-80.508595512816129</v>
      </c>
      <c r="D82" t="str">
        <f ca="1">INDEX(Main!$D$160:OFFSET(Main!$D$160,0,Main!$N$258),A82)</f>
        <v>Control Drainage2.0%Tile intakes4.2%,Use reduced tillage 13%,Riparian buffers 0.8%</v>
      </c>
      <c r="E82">
        <f t="shared" si="2"/>
        <v>48.589881111710461</v>
      </c>
      <c r="F82">
        <f>IF(B82&gt;MAX($B$8:B81),IF(B82&gt;MAX($F$8:F81)+nmax*Main!$B$84,B82,0),0)</f>
        <v>0</v>
      </c>
      <c r="G82">
        <f t="shared" ca="1" si="3"/>
        <v>0</v>
      </c>
      <c r="J82" s="555"/>
      <c r="L82" s="83"/>
    </row>
    <row r="83" spans="1:12" x14ac:dyDescent="0.25">
      <c r="A83">
        <v>74</v>
      </c>
      <c r="B83">
        <v>0.55686567552224608</v>
      </c>
      <c r="C83">
        <v>-76.446442839775244</v>
      </c>
      <c r="D83" t="str">
        <f ca="1">INDEX(Main!$D$160:OFFSET(Main!$D$160,0,Main!$N$258),A83)</f>
        <v>Control Drainage2.0%Tile intakes4.2%,Use reduced tillage 13%,Perennial crop 2.5%</v>
      </c>
      <c r="E83">
        <f t="shared" si="2"/>
        <v>41.208059988646212</v>
      </c>
      <c r="F83">
        <f>IF(B83&gt;MAX($B$8:B82),IF(B83&gt;MAX($F$8:F82)+nmax*Main!$B$84,B83,0),0)</f>
        <v>0</v>
      </c>
      <c r="G83">
        <f t="shared" ca="1" si="3"/>
        <v>0</v>
      </c>
      <c r="J83" s="555"/>
      <c r="L83" s="83"/>
    </row>
    <row r="84" spans="1:12" x14ac:dyDescent="0.25">
      <c r="A84">
        <v>67</v>
      </c>
      <c r="B84">
        <v>0.46276241427071657</v>
      </c>
      <c r="C84">
        <v>-74.057608511827283</v>
      </c>
      <c r="D84" t="str">
        <f ca="1">INDEX(Main!$D$160:OFFSET(Main!$D$160,0,Main!$N$258),A84)</f>
        <v>Control Drainage2.0%Tile intakes4.2%,Preplant/starter 3.8%,Use reduced tillage 13%</v>
      </c>
      <c r="E84">
        <f t="shared" si="2"/>
        <v>31.005081756138011</v>
      </c>
      <c r="F84">
        <f>IF(B84&gt;MAX($B$8:B83),IF(B84&gt;MAX($F$8:F83)+nmax*Main!$B$84,B84,0),0)</f>
        <v>0</v>
      </c>
      <c r="G84">
        <f t="shared" ca="1" si="3"/>
        <v>0</v>
      </c>
      <c r="J84" s="555"/>
      <c r="L84" s="83"/>
    </row>
    <row r="85" spans="1:12" x14ac:dyDescent="0.25">
      <c r="A85">
        <v>138</v>
      </c>
      <c r="B85">
        <v>0.74874421415014547</v>
      </c>
      <c r="C85">
        <v>-62.085524731707054</v>
      </c>
      <c r="D85" t="str">
        <f ca="1">INDEX(Main!$D$160:OFFSET(Main!$D$160,0,Main!$N$258),A85)</f>
        <v>Control Drainage2.0%Tile intakes4.2%, Inj &amp; inc manure 2.4%,Use reduced tillage 13%,Riparian buffers 0.8%</v>
      </c>
      <c r="E85">
        <f t="shared" si="2"/>
        <v>103.32670155272008</v>
      </c>
      <c r="F85">
        <f>IF(B85&gt;MAX($B$8:B84),IF(B85&gt;MAX($F$8:F84)+nmax*Main!$B$84,B85,0),0)</f>
        <v>0</v>
      </c>
      <c r="G85">
        <f t="shared" ca="1" si="3"/>
        <v>0</v>
      </c>
      <c r="J85" s="555"/>
      <c r="L85" s="83"/>
    </row>
    <row r="86" spans="1:12" x14ac:dyDescent="0.25">
      <c r="A86">
        <v>95</v>
      </c>
      <c r="B86">
        <v>0.63971944562425909</v>
      </c>
      <c r="C86">
        <v>-59.402119859281818</v>
      </c>
      <c r="D86" t="str">
        <f ca="1">INDEX(Main!$D$160:OFFSET(Main!$D$160,0,Main!$N$258),A86)</f>
        <v>Use reduced tillage 13%,Riparian buffers 0.8%,Perennial crop 2.5%</v>
      </c>
      <c r="E86">
        <f t="shared" si="2"/>
        <v>60.77334733430461</v>
      </c>
      <c r="F86">
        <f>IF(B86&gt;MAX($B$8:B85),IF(B86&gt;MAX($F$8:F85)+nmax*Main!$B$84,B86,0),0)</f>
        <v>0</v>
      </c>
      <c r="G86">
        <f t="shared" ca="1" si="3"/>
        <v>0</v>
      </c>
      <c r="J86" s="555"/>
      <c r="L86" s="83"/>
    </row>
    <row r="87" spans="1:12" x14ac:dyDescent="0.25">
      <c r="A87">
        <v>139</v>
      </c>
      <c r="B87">
        <v>0.63855628796845509</v>
      </c>
      <c r="C87">
        <v>-55.545399272426565</v>
      </c>
      <c r="D87" t="str">
        <f ca="1">INDEX(Main!$D$160:OFFSET(Main!$D$160,0,Main!$N$258),A87)</f>
        <v>Control Drainage2.0%Tile intakes4.2%, Inj &amp; inc manure 2.4%,Use reduced tillage 13%,Perennial crop 2.5%</v>
      </c>
      <c r="E87">
        <f t="shared" si="2"/>
        <v>88.759324027615264</v>
      </c>
      <c r="F87">
        <f>IF(B87&gt;MAX($B$8:B86),IF(B87&gt;MAX($F$8:F86)+nmax*Main!$B$84,B87,0),0)</f>
        <v>0</v>
      </c>
      <c r="G87">
        <f t="shared" ca="1" si="3"/>
        <v>0</v>
      </c>
      <c r="J87" s="555"/>
      <c r="L87" s="83"/>
    </row>
    <row r="88" spans="1:12" x14ac:dyDescent="0.25">
      <c r="A88">
        <v>89</v>
      </c>
      <c r="B88">
        <v>0.54547582938055783</v>
      </c>
      <c r="C88">
        <v>-54.450384897565428</v>
      </c>
      <c r="D88" t="str">
        <f ca="1">INDEX(Main!$D$160:OFFSET(Main!$D$160,0,Main!$N$258),A88)</f>
        <v>Preplant/starter 3.8%,Use reduced tillage 13%,Riparian buffers 0.8%</v>
      </c>
      <c r="E88">
        <f t="shared" si="2"/>
        <v>48.54734881486965</v>
      </c>
      <c r="F88">
        <f>IF(B88&gt;MAX($B$8:B87),IF(B88&gt;MAX($F$8:F87)+nmax*Main!$B$84,B88,0),0)</f>
        <v>0</v>
      </c>
      <c r="G88">
        <f t="shared" ca="1" si="3"/>
        <v>0</v>
      </c>
      <c r="J88" s="555"/>
      <c r="L88" s="83"/>
    </row>
    <row r="89" spans="1:12" x14ac:dyDescent="0.25">
      <c r="A89">
        <v>132</v>
      </c>
      <c r="B89">
        <v>0.54659053817483616</v>
      </c>
      <c r="C89">
        <v>-49.707303277980181</v>
      </c>
      <c r="D89" t="str">
        <f ca="1">INDEX(Main!$D$160:OFFSET(Main!$D$160,0,Main!$N$258),A89)</f>
        <v>Control Drainage2.0%Tile intakes4.2%, Inj &amp; inc manure 2.4%,Preplant/starter 3.8%,Use reduced tillage 13%</v>
      </c>
      <c r="E89">
        <f t="shared" si="2"/>
        <v>72.149951039078374</v>
      </c>
      <c r="F89">
        <f>IF(B89&gt;MAX($B$8:B88),IF(B89&gt;MAX($F$8:F88)+nmax*Main!$B$84,B89,0),0)</f>
        <v>0</v>
      </c>
      <c r="G89">
        <f t="shared" ca="1" si="3"/>
        <v>0</v>
      </c>
      <c r="J89" s="555"/>
      <c r="L89" s="83"/>
    </row>
    <row r="90" spans="1:12" x14ac:dyDescent="0.25">
      <c r="A90">
        <v>55</v>
      </c>
      <c r="B90">
        <v>0.95183251634070998</v>
      </c>
      <c r="C90">
        <v>-47.719938237984408</v>
      </c>
      <c r="D90" t="str">
        <f ca="1">INDEX(Main!$D$160:OFFSET(Main!$D$160,0,Main!$N$258),A90)</f>
        <v>Target P rate 71%,Cover crop cs7.5%Cover crop ss 7.1%,Use reduced tillage 13%</v>
      </c>
      <c r="E90">
        <f t="shared" si="2"/>
        <v>52.350788398739049</v>
      </c>
      <c r="F90">
        <f>IF(B90&gt;MAX($B$8:B89),IF(B90&gt;MAX($F$8:F89)+nmax*Main!$B$84,B90,0),0)</f>
        <v>0</v>
      </c>
      <c r="G90">
        <f t="shared" ca="1" si="3"/>
        <v>0</v>
      </c>
      <c r="J90" s="555"/>
      <c r="L90" s="83"/>
    </row>
    <row r="91" spans="1:12" x14ac:dyDescent="0.25">
      <c r="A91">
        <v>160</v>
      </c>
      <c r="B91">
        <v>0.7207113385670354</v>
      </c>
      <c r="C91">
        <v>-42.873135847430206</v>
      </c>
      <c r="D91" t="str">
        <f ca="1">INDEX(Main!$D$160:OFFSET(Main!$D$160,0,Main!$N$258),A91)</f>
        <v xml:space="preserve"> Inj &amp; inc manure 2.4%,Use reduced tillage 13%,Riparian buffers 0.8%,Perennial crop 2.5%</v>
      </c>
      <c r="E91">
        <f t="shared" si="2"/>
        <v>115.31381417072566</v>
      </c>
      <c r="F91">
        <f>IF(B91&gt;MAX($B$8:B90),IF(B91&gt;MAX($F$8:F90)+nmax*Main!$B$84,B91,0),0)</f>
        <v>0</v>
      </c>
      <c r="G91">
        <f t="shared" ca="1" si="3"/>
        <v>0</v>
      </c>
      <c r="J91" s="555"/>
      <c r="L91" s="83"/>
    </row>
    <row r="92" spans="1:12" x14ac:dyDescent="0.25">
      <c r="A92">
        <v>90</v>
      </c>
      <c r="B92">
        <v>0.4363948822442496</v>
      </c>
      <c r="C92">
        <v>-42.814561238180787</v>
      </c>
      <c r="D92" t="str">
        <f ca="1">INDEX(Main!$D$160:OFFSET(Main!$D$160,0,Main!$N$258),A92)</f>
        <v>Preplant/starter 3.8%,Use reduced tillage 13%,Perennial crop 2.5%</v>
      </c>
      <c r="E92">
        <f t="shared" si="2"/>
        <v>39.275539401982464</v>
      </c>
      <c r="F92">
        <f>IF(B92&gt;MAX($B$8:B91),IF(B92&gt;MAX($F$8:F91)+nmax*Main!$B$84,B92,0),0)</f>
        <v>0</v>
      </c>
      <c r="G92">
        <f t="shared" ca="1" si="3"/>
        <v>0</v>
      </c>
      <c r="J92" s="555"/>
      <c r="L92" s="83"/>
    </row>
    <row r="93" spans="1:12" x14ac:dyDescent="0.25">
      <c r="A93">
        <v>150</v>
      </c>
      <c r="B93">
        <v>0.77906479667271478</v>
      </c>
      <c r="C93">
        <v>-41.45570795940354</v>
      </c>
      <c r="D93" t="str">
        <f ca="1">INDEX(Main!$D$160:OFFSET(Main!$D$160,0,Main!$N$258),A93)</f>
        <v>Control Drainage2.0%Tile intakes4.2%,Use reduced tillage 13%,Riparian buffers 0.8%,Perennial crop 2.5%</v>
      </c>
      <c r="E93">
        <f t="shared" si="2"/>
        <v>116.85971950090722</v>
      </c>
      <c r="F93">
        <f>IF(B93&gt;MAX($B$8:B92),IF(B93&gt;MAX($F$8:F92)+nmax*Main!$B$84,B93,0),0)</f>
        <v>0</v>
      </c>
      <c r="G93">
        <f t="shared" ca="1" si="3"/>
        <v>0</v>
      </c>
      <c r="J93" s="555"/>
      <c r="L93" s="83"/>
    </row>
    <row r="94" spans="1:12" x14ac:dyDescent="0.25">
      <c r="A94">
        <v>115</v>
      </c>
      <c r="B94">
        <v>1.0331080314925203</v>
      </c>
      <c r="C94">
        <v>-37.091815826081515</v>
      </c>
      <c r="D94" t="str">
        <f ca="1">INDEX(Main!$D$160:OFFSET(Main!$D$160,0,Main!$N$258),A94)</f>
        <v>Target P rate 71%, Inj &amp; inc manure 2.4%,Cover crop cs7.5%Cover crop ss 7.1%,Use reduced tillage 13%</v>
      </c>
      <c r="E94">
        <f t="shared" si="2"/>
        <v>118.80742362163983</v>
      </c>
      <c r="F94">
        <f>IF(B94&gt;MAX($B$8:B93),IF(B94&gt;MAX($F$8:F93)+nmax*Main!$B$84,B94,0),0)</f>
        <v>0</v>
      </c>
      <c r="G94">
        <f t="shared" ca="1" si="3"/>
        <v>0</v>
      </c>
      <c r="J94" s="555"/>
      <c r="L94" s="83"/>
    </row>
    <row r="95" spans="1:12" x14ac:dyDescent="0.25">
      <c r="A95">
        <v>105</v>
      </c>
      <c r="B95">
        <v>1.0883512007224057</v>
      </c>
      <c r="C95">
        <v>-36.493165416964395</v>
      </c>
      <c r="D95" t="str">
        <f ca="1">INDEX(Main!$D$160:OFFSET(Main!$D$160,0,Main!$N$258),A95)</f>
        <v>Target P rate 71%,Control Drainage2.0%Tile intakes4.2%,Cover crop cs7.5%Cover crop ss 7.1%,Use reduced tillage 13%</v>
      </c>
      <c r="E95">
        <f t="shared" si="2"/>
        <v>114.2768760758526</v>
      </c>
      <c r="F95">
        <f>IF(B95&gt;MAX($B$8:B94),IF(B95&gt;MAX($F$8:F94)+nmax*Main!$B$84,B95,0),0)</f>
        <v>0</v>
      </c>
      <c r="G95">
        <f t="shared" ca="1" si="3"/>
        <v>0</v>
      </c>
      <c r="J95" s="555"/>
      <c r="L95" s="83"/>
    </row>
    <row r="96" spans="1:12" x14ac:dyDescent="0.25">
      <c r="A96">
        <v>154</v>
      </c>
      <c r="B96">
        <v>0.62860523378124489</v>
      </c>
      <c r="C96">
        <v>-35.952345904006712</v>
      </c>
      <c r="D96" t="str">
        <f ca="1">INDEX(Main!$D$160:OFFSET(Main!$D$160,0,Main!$N$258),A96)</f>
        <v xml:space="preserve"> Inj &amp; inc manure 2.4%,Preplant/starter 3.8%,Use reduced tillage 13%,Riparian buffers 0.8%</v>
      </c>
      <c r="E96">
        <f t="shared" si="2"/>
        <v>96.805206002311706</v>
      </c>
      <c r="F96">
        <f>IF(B96&gt;MAX($B$8:B95),IF(B96&gt;MAX($F$8:F95)+nmax*Main!$B$84,B96,0),0)</f>
        <v>0</v>
      </c>
      <c r="G96">
        <f t="shared" ca="1" si="3"/>
        <v>0</v>
      </c>
      <c r="J96" s="555"/>
      <c r="L96" s="83"/>
    </row>
    <row r="97" spans="1:12" x14ac:dyDescent="0.25">
      <c r="A97">
        <v>144</v>
      </c>
      <c r="B97">
        <v>0.68482118042901341</v>
      </c>
      <c r="C97">
        <v>-35.041790550472328</v>
      </c>
      <c r="D97" t="str">
        <f ca="1">INDEX(Main!$D$160:OFFSET(Main!$D$160,0,Main!$N$258),A97)</f>
        <v>Control Drainage2.0%Tile intakes4.2%,Preplant/starter 3.8%,Use reduced tillage 13%,Riparian buffers 0.8%</v>
      </c>
      <c r="E97">
        <f t="shared" si="2"/>
        <v>98.614249981777931</v>
      </c>
      <c r="F97">
        <f>IF(B97&gt;MAX($B$8:B96),IF(B97&gt;MAX($F$8:F96)+nmax*Main!$B$84,B97,0),0)</f>
        <v>0</v>
      </c>
      <c r="G97">
        <f t="shared" ca="1" si="3"/>
        <v>0</v>
      </c>
      <c r="J97" s="555"/>
      <c r="L97" s="83"/>
    </row>
    <row r="98" spans="1:12" x14ac:dyDescent="0.25">
      <c r="A98">
        <v>127</v>
      </c>
      <c r="B98">
        <v>1.1649331346256171</v>
      </c>
      <c r="C98">
        <v>-30.171406844781334</v>
      </c>
      <c r="D98" t="str">
        <f ca="1">INDEX(Main!$D$160:OFFSET(Main!$D$160,0,Main!$N$258),A98)</f>
        <v>Target P rate 71%,Cover crop cs7.5%Cover crop ss 7.1%,Use reduced tillage 13%,Riparian buffers 0.8%</v>
      </c>
      <c r="E98">
        <f t="shared" si="2"/>
        <v>147.94650809745337</v>
      </c>
      <c r="F98">
        <f>IF(B98&gt;MAX($B$8:B97),IF(B98&gt;MAX($F$8:F97)+nmax*Main!$B$84,B98,0),0)</f>
        <v>0</v>
      </c>
      <c r="G98">
        <f t="shared" ca="1" si="3"/>
        <v>0</v>
      </c>
      <c r="J98" s="555"/>
      <c r="L98" s="83"/>
    </row>
    <row r="99" spans="1:12" x14ac:dyDescent="0.25">
      <c r="A99">
        <v>210</v>
      </c>
      <c r="B99">
        <v>0.86005668961549109</v>
      </c>
      <c r="C99">
        <v>-29.294751074446584</v>
      </c>
      <c r="D99" t="str">
        <f ca="1">INDEX(Main!$D$160:OFFSET(Main!$D$160,0,Main!$N$258),A99)</f>
        <v>Control Drainage2.0%Tile intakes4.2%, Inj &amp; inc manure 2.4%,Use reduced tillage 13%,Riparian buffers 0.8%,Perennial crop 2.5%</v>
      </c>
      <c r="E99">
        <f t="shared" si="2"/>
        <v>180.61190481925314</v>
      </c>
      <c r="F99">
        <f>IF(B99&gt;MAX($B$8:B98),IF(B99&gt;MAX($F$8:F98)+nmax*Main!$B$84,B99,0),0)</f>
        <v>0</v>
      </c>
      <c r="G99">
        <f t="shared" ca="1" si="3"/>
        <v>0</v>
      </c>
      <c r="J99" s="555"/>
      <c r="L99" s="83"/>
    </row>
    <row r="100" spans="1:12" x14ac:dyDescent="0.25">
      <c r="A100">
        <v>170</v>
      </c>
      <c r="B100">
        <v>1.169626715874216</v>
      </c>
      <c r="C100">
        <v>-27.885686857980733</v>
      </c>
      <c r="D100" t="str">
        <f ca="1">INDEX(Main!$D$160:OFFSET(Main!$D$160,0,Main!$N$258),A100)</f>
        <v>Target P rate 71%,Control Drainage2.0%Tile intakes4.2%, Inj &amp; inc manure 2.4%,Cover crop cs7.5%Cover crop ss 7.1%,Use reduced tillage 13%</v>
      </c>
      <c r="E100">
        <f t="shared" si="2"/>
        <v>198.83654169861671</v>
      </c>
      <c r="F100">
        <f>IF(B100&gt;MAX($B$8:B99),IF(B100&gt;MAX($F$8:F99)+nmax*Main!$B$84,B100,0),0)</f>
        <v>0</v>
      </c>
      <c r="G100">
        <f t="shared" ca="1" si="3"/>
        <v>0</v>
      </c>
      <c r="J100" s="555"/>
      <c r="L100" s="83"/>
    </row>
    <row r="101" spans="1:12" x14ac:dyDescent="0.25">
      <c r="A101">
        <v>128</v>
      </c>
      <c r="B101">
        <v>1.0526285724690752</v>
      </c>
      <c r="C101">
        <v>-22.92390566877744</v>
      </c>
      <c r="D101" t="str">
        <f ca="1">INDEX(Main!$D$160:OFFSET(Main!$D$160,0,Main!$N$258),A101)</f>
        <v>Target P rate 71%,Cover crop cs7.5%Cover crop ss 7.1%,Use reduced tillage 13%,Perennial crop 2.5%</v>
      </c>
      <c r="E101">
        <f t="shared" si="2"/>
        <v>134.73645727604162</v>
      </c>
      <c r="F101">
        <f>IF(B101&gt;MAX($B$8:B100),IF(B101&gt;MAX($F$8:F100)+nmax*Main!$B$84,B101,0),0)</f>
        <v>0</v>
      </c>
      <c r="G101">
        <f t="shared" ca="1" si="3"/>
        <v>0</v>
      </c>
      <c r="J101" s="555"/>
      <c r="L101" s="83"/>
    </row>
    <row r="102" spans="1:12" x14ac:dyDescent="0.25">
      <c r="A102">
        <v>182</v>
      </c>
      <c r="B102">
        <v>1.3014518190073128</v>
      </c>
      <c r="C102">
        <v>-22.623705794383373</v>
      </c>
      <c r="D102" t="str">
        <f ca="1">INDEX(Main!$D$160:OFFSET(Main!$D$160,0,Main!$N$258),A102)</f>
        <v>Target P rate 71%,Control Drainage2.0%Tile intakes4.2%,Cover crop cs7.5%Cover crop ss 7.1%,Use reduced tillage 13%,Riparian buffers 0.8%</v>
      </c>
      <c r="E102">
        <f t="shared" si="2"/>
        <v>236.86423105933093</v>
      </c>
      <c r="F102">
        <f ca="1">IF(B102&gt;MAX($B$8:B101),IF(B102&gt;MAX($F$8:F101)+nmax*Main!$B$84,B102,0),0)</f>
        <v>1.3014518190073128</v>
      </c>
      <c r="G102">
        <f t="shared" ca="1" si="3"/>
        <v>87</v>
      </c>
      <c r="J102" s="555"/>
      <c r="L102" s="83"/>
    </row>
    <row r="103" spans="1:12" x14ac:dyDescent="0.25">
      <c r="A103">
        <v>145</v>
      </c>
      <c r="B103">
        <v>0.57574023329270529</v>
      </c>
      <c r="C103">
        <v>-22.544971093424852</v>
      </c>
      <c r="D103" t="str">
        <f ca="1">INDEX(Main!$D$160:OFFSET(Main!$D$160,0,Main!$N$258),A103)</f>
        <v>Control Drainage2.0%Tile intakes4.2%,Preplant/starter 3.8%,Use reduced tillage 13%,Perennial crop 2.5%</v>
      </c>
      <c r="E103">
        <f t="shared" si="2"/>
        <v>83.482333827442261</v>
      </c>
      <c r="F103">
        <f>IF(B103&gt;MAX($B$8:B102),IF(B103&gt;MAX($F$8:F102)+nmax*Main!$B$84,B103,0),0)</f>
        <v>0</v>
      </c>
      <c r="G103">
        <f t="shared" ca="1" si="3"/>
        <v>0</v>
      </c>
      <c r="J103" s="555"/>
      <c r="L103" s="83"/>
    </row>
    <row r="104" spans="1:12" x14ac:dyDescent="0.25">
      <c r="A104">
        <v>192</v>
      </c>
      <c r="B104">
        <v>1.2455312149708855</v>
      </c>
      <c r="C104">
        <v>-22.517408760641718</v>
      </c>
      <c r="D104" t="str">
        <f ca="1">INDEX(Main!$D$160:OFFSET(Main!$D$160,0,Main!$N$258),A104)</f>
        <v>Target P rate 71%, Inj &amp; inc manure 2.4%,Cover crop cs7.5%Cover crop ss 7.1%,Use reduced tillage 13%,Riparian buffers 0.8%</v>
      </c>
      <c r="E104">
        <f t="shared" si="2"/>
        <v>239.14199327441003</v>
      </c>
      <c r="F104">
        <f>IF(B104&gt;MAX($B$8:B103),IF(B104&gt;MAX($F$8:F103)+nmax*Main!$B$84,B104,0),0)</f>
        <v>0</v>
      </c>
      <c r="G104">
        <f t="shared" ca="1" si="3"/>
        <v>0</v>
      </c>
      <c r="J104" s="555"/>
      <c r="L104" s="83"/>
    </row>
    <row r="105" spans="1:12" x14ac:dyDescent="0.25">
      <c r="A105">
        <v>155</v>
      </c>
      <c r="B105">
        <v>0.51808549469045861</v>
      </c>
      <c r="C105">
        <v>-22.356386095460099</v>
      </c>
      <c r="D105" t="str">
        <f ca="1">INDEX(Main!$D$160:OFFSET(Main!$D$160,0,Main!$N$258),A105)</f>
        <v xml:space="preserve"> Inj &amp; inc manure 2.4%,Preplant/starter 3.8%,Use reduced tillage 13%,Perennial crop 2.5%</v>
      </c>
      <c r="E105">
        <f t="shared" si="2"/>
        <v>80.30325167702108</v>
      </c>
      <c r="F105">
        <f>IF(B105&gt;MAX($B$8:B104),IF(B105&gt;MAX($F$8:F104)+nmax*Main!$B$84,B105,0),0)</f>
        <v>0</v>
      </c>
      <c r="G105">
        <f t="shared" ca="1" si="3"/>
        <v>0</v>
      </c>
      <c r="J105" s="555"/>
      <c r="L105" s="83"/>
    </row>
    <row r="106" spans="1:12" x14ac:dyDescent="0.25">
      <c r="A106">
        <v>204</v>
      </c>
      <c r="B106">
        <v>0.76795058482970047</v>
      </c>
      <c r="C106">
        <v>-22.001186850778581</v>
      </c>
      <c r="D106" t="str">
        <f ca="1">INDEX(Main!$D$160:OFFSET(Main!$D$160,0,Main!$N$258),A106)</f>
        <v>Control Drainage2.0%Tile intakes4.2%, Inj &amp; inc manure 2.4%,Preplant/starter 3.8%,Use reduced tillage 13%,Riparian buffers 0.8%</v>
      </c>
      <c r="E106">
        <f t="shared" si="2"/>
        <v>156.66191930525889</v>
      </c>
      <c r="F106">
        <f>IF(B106&gt;MAX($B$8:B105),IF(B106&gt;MAX($F$8:F105)+nmax*Main!$B$84,B106,0),0)</f>
        <v>0</v>
      </c>
      <c r="G106">
        <f t="shared" ca="1" si="3"/>
        <v>0</v>
      </c>
      <c r="J106" s="555"/>
      <c r="L106" s="83"/>
    </row>
    <row r="107" spans="1:12" x14ac:dyDescent="0.25">
      <c r="A107">
        <v>121</v>
      </c>
      <c r="B107">
        <v>0.96357337163488577</v>
      </c>
      <c r="C107">
        <v>-16.429507334231445</v>
      </c>
      <c r="D107" t="str">
        <f ca="1">INDEX(Main!$D$160:OFFSET(Main!$D$160,0,Main!$N$258),A107)</f>
        <v>Target P rate 71%,Preplant/starter 3.8%,Cover crop cs7.5%Cover crop ss 7.1%,Use reduced tillage 13%</v>
      </c>
      <c r="E107">
        <f t="shared" si="2"/>
        <v>116.59237796782118</v>
      </c>
      <c r="F107">
        <f>IF(B107&gt;MAX($B$8:B106),IF(B107&gt;MAX($F$8:F106)+nmax*Main!$B$84,B107,0),0)</f>
        <v>0</v>
      </c>
      <c r="G107">
        <f t="shared" ca="1" si="3"/>
        <v>0</v>
      </c>
      <c r="J107" s="555"/>
      <c r="L107" s="83"/>
    </row>
    <row r="108" spans="1:12" x14ac:dyDescent="0.25">
      <c r="A108">
        <v>228</v>
      </c>
      <c r="B108">
        <v>1.3820498993525812</v>
      </c>
      <c r="C108">
        <v>-16.165933667905097</v>
      </c>
      <c r="D108" t="str">
        <f ca="1">INDEX(Main!$D$160:OFFSET(Main!$D$160,0,Main!$N$258),A108)</f>
        <v>Target P rate 71%,Control Drainage2.0%Tile intakes4.2%, Inj &amp; inc manure 2.4%,Cover crop cs7.5%Cover crop ss 7.1%,Use reduced tillage 13%,Riparian buffers 0.8%</v>
      </c>
      <c r="E108">
        <f t="shared" si="2"/>
        <v>315.10737705238853</v>
      </c>
      <c r="F108">
        <f ca="1">IF(B108&gt;MAX($B$8:B107),IF(B108&gt;MAX($F$8:F107)+nmax*Main!$B$84,B108,0),0)</f>
        <v>1.3820498993525812</v>
      </c>
      <c r="G108">
        <f t="shared" ca="1" si="3"/>
        <v>93</v>
      </c>
    </row>
    <row r="109" spans="1:12" x14ac:dyDescent="0.25">
      <c r="A109">
        <v>183</v>
      </c>
      <c r="B109">
        <v>1.1891472568507706</v>
      </c>
      <c r="C109">
        <v>-15.495431285247385</v>
      </c>
      <c r="D109" t="str">
        <f ca="1">INDEX(Main!$D$160:OFFSET(Main!$D$160,0,Main!$N$258),A109)</f>
        <v>Target P rate 71%,Control Drainage2.0%Tile intakes4.2%,Cover crop cs7.5%Cover crop ss 7.1%,Use reduced tillage 13%,Perennial crop 2.5%</v>
      </c>
      <c r="E109">
        <f t="shared" si="2"/>
        <v>217.61394800369101</v>
      </c>
      <c r="F109">
        <f>IF(B109&gt;MAX($B$8:B108),IF(B109&gt;MAX($F$8:F108)+nmax*Main!$B$84,B109,0),0)</f>
        <v>0</v>
      </c>
      <c r="G109">
        <f t="shared" ca="1" si="3"/>
        <v>0</v>
      </c>
    </row>
    <row r="110" spans="1:12" x14ac:dyDescent="0.25">
      <c r="A110">
        <v>193</v>
      </c>
      <c r="B110">
        <v>1.1318315478537244</v>
      </c>
      <c r="C110">
        <v>-15.045367901004933</v>
      </c>
      <c r="D110" t="str">
        <f ca="1">INDEX(Main!$D$160:OFFSET(Main!$D$160,0,Main!$N$258),A110)</f>
        <v>Target P rate 71%, Inj &amp; inc manure 2.4%,Cover crop cs7.5%Cover crop ss 7.1%,Use reduced tillage 13%,Perennial crop 2.5%</v>
      </c>
      <c r="E110">
        <f t="shared" si="2"/>
        <v>218.44348873576882</v>
      </c>
      <c r="F110">
        <f>IF(B110&gt;MAX($B$8:B109),IF(B110&gt;MAX($F$8:F109)+nmax*Main!$B$84,B110,0),0)</f>
        <v>0</v>
      </c>
      <c r="G110">
        <f t="shared" ca="1" si="3"/>
        <v>0</v>
      </c>
    </row>
    <row r="111" spans="1:12" x14ac:dyDescent="0.25">
      <c r="A111">
        <v>164</v>
      </c>
      <c r="B111">
        <v>0.65843264251097056</v>
      </c>
      <c r="C111">
        <v>-12.77327022681281</v>
      </c>
      <c r="D111" t="str">
        <f ca="1">INDEX(Main!$D$160:OFFSET(Main!$D$160,0,Main!$N$258),A111)</f>
        <v>Preplant/starter 3.8%,Use reduced tillage 13%,Riparian buffers 0.8%,Perennial crop 2.5%</v>
      </c>
      <c r="E111">
        <f t="shared" si="2"/>
        <v>107.98295337179917</v>
      </c>
      <c r="F111">
        <f>IF(B111&gt;MAX($B$8:B110),IF(B111&gt;MAX($F$8:F110)+nmax*Main!$B$84,B111,0),0)</f>
        <v>0</v>
      </c>
      <c r="G111">
        <f t="shared" ca="1" si="3"/>
        <v>0</v>
      </c>
    </row>
    <row r="112" spans="1:12" x14ac:dyDescent="0.25">
      <c r="A112">
        <v>200</v>
      </c>
      <c r="B112">
        <v>1.2657084467703374</v>
      </c>
      <c r="C112">
        <v>-10.947735075933464</v>
      </c>
      <c r="D112" t="str">
        <f ca="1">INDEX(Main!$D$160:OFFSET(Main!$D$160,0,Main!$N$258),A112)</f>
        <v>Target P rate 71%,Cover crop cs7.5%Cover crop ss 7.1%,Use reduced tillage 13%,Riparian buffers 0.8%,Perennial crop 2.5%</v>
      </c>
      <c r="E112">
        <f t="shared" si="2"/>
        <v>253.14168935406749</v>
      </c>
      <c r="F112">
        <f>IF(B112&gt;MAX($B$8:B111),IF(B112&gt;MAX($F$8:F111)+nmax*Main!$B$84,B112,0),0)</f>
        <v>0</v>
      </c>
      <c r="G112">
        <f t="shared" ca="1" si="3"/>
        <v>0</v>
      </c>
    </row>
    <row r="113" spans="1:7" x14ac:dyDescent="0.25">
      <c r="A113">
        <v>176</v>
      </c>
      <c r="B113">
        <v>1.1000920560165817</v>
      </c>
      <c r="C113">
        <v>-9.2056180462259753</v>
      </c>
      <c r="D113" t="str">
        <f ca="1">INDEX(Main!$D$160:OFFSET(Main!$D$160,0,Main!$N$258),A113)</f>
        <v>Target P rate 71%,Control Drainage2.0%Tile intakes4.2%,Preplant/starter 3.8%,Cover crop cs7.5%Cover crop ss 7.1%,Use reduced tillage 13%</v>
      </c>
      <c r="E113">
        <f t="shared" si="2"/>
        <v>193.61620185891837</v>
      </c>
      <c r="F113">
        <f>IF(B113&gt;MAX($B$8:B112),IF(B113&gt;MAX($F$8:F112)+nmax*Main!$B$84,B113,0),0)</f>
        <v>0</v>
      </c>
      <c r="G113">
        <f t="shared" ca="1" si="3"/>
        <v>0</v>
      </c>
    </row>
    <row r="114" spans="1:7" x14ac:dyDescent="0.25">
      <c r="A114">
        <v>205</v>
      </c>
      <c r="B114">
        <v>0.6574308457389143</v>
      </c>
      <c r="C114">
        <v>-8.9416413831036987</v>
      </c>
      <c r="D114" t="str">
        <f ca="1">INDEX(Main!$D$160:OFFSET(Main!$D$160,0,Main!$N$258),A114)</f>
        <v>Control Drainage2.0%Tile intakes4.2%, Inj &amp; inc manure 2.4%,Preplant/starter 3.8%,Use reduced tillage 13%,Perennial crop 2.5%</v>
      </c>
      <c r="E114">
        <f t="shared" si="2"/>
        <v>134.77332337647744</v>
      </c>
      <c r="F114">
        <f>IF(B114&gt;MAX($B$8:B113),IF(B114&gt;MAX($F$8:F113)+nmax*Main!$B$84,B114,0),0)</f>
        <v>0</v>
      </c>
      <c r="G114">
        <f t="shared" ca="1" si="3"/>
        <v>0</v>
      </c>
    </row>
    <row r="115" spans="1:7" x14ac:dyDescent="0.25">
      <c r="A115">
        <v>229</v>
      </c>
      <c r="B115">
        <v>1.2683502322354201</v>
      </c>
      <c r="C115">
        <v>-8.9287747647542055</v>
      </c>
      <c r="D115" t="str">
        <f ca="1">INDEX(Main!$D$160:OFFSET(Main!$D$160,0,Main!$N$258),A115)</f>
        <v>Target P rate 71%,Control Drainage2.0%Tile intakes4.2%, Inj &amp; inc manure 2.4%,Cover crop cs7.5%Cover crop ss 7.1%,Use reduced tillage 13%,Perennial crop 2.5%</v>
      </c>
      <c r="E115">
        <f t="shared" si="2"/>
        <v>290.45220318191122</v>
      </c>
      <c r="F115">
        <f>IF(B115&gt;MAX($B$8:B114),IF(B115&gt;MAX($F$8:F114)+nmax*Main!$B$84,B115,0),0)</f>
        <v>0</v>
      </c>
      <c r="G115">
        <f t="shared" ca="1" si="3"/>
        <v>0</v>
      </c>
    </row>
    <row r="116" spans="1:7" x14ac:dyDescent="0.25">
      <c r="A116">
        <v>186</v>
      </c>
      <c r="B116">
        <v>1.0448488867866963</v>
      </c>
      <c r="C116">
        <v>-8.3547963984286699</v>
      </c>
      <c r="D116" t="str">
        <f ca="1">INDEX(Main!$D$160:OFFSET(Main!$D$160,0,Main!$N$258),A116)</f>
        <v>Target P rate 71%, Inj &amp; inc manure 2.4%,Preplant/starter 3.8%,Cover crop cs7.5%Cover crop ss 7.1%,Use reduced tillage 13%</v>
      </c>
      <c r="E116">
        <f t="shared" si="2"/>
        <v>194.3418929423255</v>
      </c>
      <c r="F116">
        <f>IF(B116&gt;MAX($B$8:B115),IF(B116&gt;MAX($F$8:F115)+nmax*Main!$B$84,B116,0),0)</f>
        <v>0</v>
      </c>
      <c r="G116">
        <f t="shared" ca="1" si="3"/>
        <v>0</v>
      </c>
    </row>
    <row r="117" spans="1:7" x14ac:dyDescent="0.25">
      <c r="A117">
        <v>236</v>
      </c>
      <c r="B117">
        <v>1.4022271311520329</v>
      </c>
      <c r="C117">
        <v>-5.8140597086760843</v>
      </c>
      <c r="D117" t="str">
        <f ca="1">INDEX(Main!$D$160:OFFSET(Main!$D$160,0,Main!$N$258),A117)</f>
        <v>Target P rate 71%,Control Drainage2.0%Tile intakes4.2%,Cover crop cs7.5%Cover crop ss 7.1%,Use reduced tillage 13%,Riparian buffers 0.8%,Perennial crop 2.5%</v>
      </c>
      <c r="E117">
        <f t="shared" si="2"/>
        <v>330.92560295187974</v>
      </c>
      <c r="F117">
        <f ca="1">IF(B117&gt;MAX($B$8:B116),IF(B117&gt;MAX($F$8:F116)+nmax*Main!$B$84,B117,0),0)</f>
        <v>1.4022271311520329</v>
      </c>
      <c r="G117">
        <f t="shared" ca="1" si="3"/>
        <v>94</v>
      </c>
    </row>
    <row r="118" spans="1:7" x14ac:dyDescent="0.25">
      <c r="A118">
        <v>241</v>
      </c>
      <c r="B118">
        <v>1.3442339873484443</v>
      </c>
      <c r="C118">
        <v>-5.0252446836430762</v>
      </c>
      <c r="D118" t="str">
        <f ca="1">INDEX(Main!$D$160:OFFSET(Main!$D$160,0,Main!$N$258),A118)</f>
        <v>Target P rate 71%, Inj &amp; inc manure 2.4%,Cover crop cs7.5%Cover crop ss 7.1%,Use reduced tillage 13%,Riparian buffers 0.8%,Perennial crop 2.5%</v>
      </c>
      <c r="E118">
        <f t="shared" si="2"/>
        <v>323.96039095097507</v>
      </c>
      <c r="F118">
        <f>IF(B118&gt;MAX($B$8:B117),IF(B118&gt;MAX($F$8:F117)+nmax*Main!$B$84,B118,0),0)</f>
        <v>0</v>
      </c>
      <c r="G118">
        <f t="shared" ca="1" si="3"/>
        <v>0</v>
      </c>
    </row>
    <row r="119" spans="1:7" x14ac:dyDescent="0.25">
      <c r="A119">
        <v>196</v>
      </c>
      <c r="B119">
        <v>1.1765761773948777</v>
      </c>
      <c r="C119">
        <v>-4.7232967505106167</v>
      </c>
      <c r="D119" t="str">
        <f ca="1">INDEX(Main!$D$160:OFFSET(Main!$D$160,0,Main!$N$258),A119)</f>
        <v>Target P rate 71%,Preplant/starter 3.8%,Cover crop cs7.5%Cover crop ss 7.1%,Use reduced tillage 13%,Riparian buffers 0.8%</v>
      </c>
      <c r="E119">
        <f t="shared" si="2"/>
        <v>230.60893076939604</v>
      </c>
      <c r="F119">
        <f>IF(B119&gt;MAX($B$8:B118),IF(B119&gt;MAX($F$8:F118)+nmax*Main!$B$84,B119,0),0)</f>
        <v>0</v>
      </c>
      <c r="G119">
        <f t="shared" ca="1" si="3"/>
        <v>0</v>
      </c>
    </row>
    <row r="120" spans="1:7" x14ac:dyDescent="0.25">
      <c r="A120">
        <v>214</v>
      </c>
      <c r="B120">
        <v>0.79777799355942625</v>
      </c>
      <c r="C120">
        <v>-3.3923342055386887</v>
      </c>
      <c r="D120" t="str">
        <f ca="1">INDEX(Main!$D$160:OFFSET(Main!$D$160,0,Main!$N$258),A120)</f>
        <v>Control Drainage2.0%Tile intakes4.2%,Preplant/starter 3.8%,Use reduced tillage 13%,Riparian buffers 0.8%,Perennial crop 2.5%</v>
      </c>
      <c r="E120">
        <f t="shared" si="2"/>
        <v>170.72449062171722</v>
      </c>
      <c r="F120">
        <f>IF(B120&gt;MAX($B$8:B119),IF(B120&gt;MAX($F$8:F119)+nmax*Main!$B$84,B120,0),0)</f>
        <v>0</v>
      </c>
      <c r="G120">
        <f t="shared" ca="1" si="3"/>
        <v>0</v>
      </c>
    </row>
    <row r="121" spans="1:7" x14ac:dyDescent="0.25">
      <c r="A121">
        <v>222</v>
      </c>
      <c r="B121">
        <v>1.181367571168392</v>
      </c>
      <c r="C121">
        <v>-2.5610075112067263</v>
      </c>
      <c r="D121" t="str">
        <f ca="1">INDEX(Main!$D$160:OFFSET(Main!$D$160,0,Main!$N$258),A121)</f>
        <v>Target P rate 71%,Control Drainage2.0%Tile intakes4.2%, Inj &amp; inc manure 2.4%,Preplant/starter 3.8%,Cover crop cs7.5%Cover crop ss 7.1%,Use reduced tillage 13%</v>
      </c>
      <c r="E121">
        <f t="shared" si="2"/>
        <v>262.26360079938303</v>
      </c>
      <c r="F121">
        <f>IF(B121&gt;MAX($B$8:B120),IF(B121&gt;MAX($F$8:F120)+nmax*Main!$B$84,B121,0),0)</f>
        <v>0</v>
      </c>
      <c r="G121">
        <f t="shared" ca="1" si="3"/>
        <v>0</v>
      </c>
    </row>
    <row r="122" spans="1:7" x14ac:dyDescent="0.25">
      <c r="A122">
        <v>219</v>
      </c>
      <c r="B122">
        <v>0.73942453545374687</v>
      </c>
      <c r="C122">
        <v>-1.7700278339102382</v>
      </c>
      <c r="D122" t="str">
        <f ca="1">INDEX(Main!$D$160:OFFSET(Main!$D$160,0,Main!$N$258),A122)</f>
        <v xml:space="preserve"> Inj &amp; inc manure 2.4%,Preplant/starter 3.8%,Use reduced tillage 13%,Riparian buffers 0.8%,Perennial crop 2.5%</v>
      </c>
      <c r="E122">
        <f t="shared" si="2"/>
        <v>161.93397326437056</v>
      </c>
      <c r="F122">
        <f>IF(B122&gt;MAX($B$8:B121),IF(B122&gt;MAX($F$8:F121)+nmax*Main!$B$84,B122,0),0)</f>
        <v>0</v>
      </c>
      <c r="G122">
        <f t="shared" ca="1" si="3"/>
        <v>0</v>
      </c>
    </row>
    <row r="123" spans="1:7" x14ac:dyDescent="0.25">
      <c r="A123">
        <v>254</v>
      </c>
      <c r="B123">
        <v>1.4807526717301398</v>
      </c>
      <c r="C123">
        <v>-0.70983914166947704</v>
      </c>
      <c r="D123" t="str">
        <f ca="1">INDEX(Main!$D$160:OFFSET(Main!$D$160,0,Main!$N$258),A123)</f>
        <v>Target P rate 71%,Control Drainage2.0%Tile intakes4.2%, Inj &amp; inc manure 2.4%,Cover crop cs7.5%Cover crop ss 7.1%,Use reduced tillage 13%,Riparian buffers 0.8%,Perennial crop 2.5%</v>
      </c>
      <c r="E123">
        <f t="shared" si="2"/>
        <v>376.11117861945553</v>
      </c>
      <c r="F123">
        <f ca="1">IF(B123&gt;MAX($B$8:B122),IF(B123&gt;MAX($F$8:F122)+nmax*Main!$B$84,B123,0),0)</f>
        <v>1.4807526717301398</v>
      </c>
      <c r="G123">
        <f t="shared" ca="1" si="3"/>
        <v>99</v>
      </c>
    </row>
    <row r="124" spans="1:7" x14ac:dyDescent="0.25">
      <c r="A124">
        <v>232</v>
      </c>
      <c r="B124">
        <v>1.313094861776573</v>
      </c>
      <c r="C124">
        <v>0.11171322181057088</v>
      </c>
      <c r="D124" t="str">
        <f ca="1">INDEX(Main!$D$160:OFFSET(Main!$D$160,0,Main!$N$258),A124)</f>
        <v>Target P rate 71%,Control Drainage2.0%Tile intakes4.2%,Preplant/starter 3.8%,Cover crop cs7.5%Cover crop ss 7.1%,Use reduced tillage 13%,Riparian buffers 0.8%</v>
      </c>
      <c r="E124">
        <f t="shared" si="2"/>
        <v>304.63800793216495</v>
      </c>
      <c r="F124">
        <f>IF(B124&gt;MAX($B$8:B123),IF(B124&gt;MAX($F$8:F123)+nmax*Main!$B$84,B124,0),0)</f>
        <v>0</v>
      </c>
      <c r="G124">
        <f t="shared" ca="1" si="3"/>
        <v>0</v>
      </c>
    </row>
    <row r="125" spans="1:7" x14ac:dyDescent="0.25">
      <c r="A125">
        <v>237</v>
      </c>
      <c r="B125">
        <v>1.2571742577401459</v>
      </c>
      <c r="C125">
        <v>1.228324247965582</v>
      </c>
      <c r="D125" t="str">
        <f ca="1">INDEX(Main!$D$160:OFFSET(Main!$D$160,0,Main!$N$258),A125)</f>
        <v>Target P rate 71%, Inj &amp; inc manure 2.4%,Preplant/starter 3.8%,Cover crop cs7.5%Cover crop ss 7.1%,Use reduced tillage 13%,Riparian buffers 0.8%</v>
      </c>
      <c r="E125">
        <f t="shared" si="2"/>
        <v>297.95029908441455</v>
      </c>
      <c r="F125">
        <f>IF(B125&gt;MAX($B$8:B124),IF(B125&gt;MAX($F$8:F124)+nmax*Main!$B$84,B125,0),0)</f>
        <v>0</v>
      </c>
      <c r="G125">
        <f t="shared" ca="1" si="3"/>
        <v>0</v>
      </c>
    </row>
    <row r="126" spans="1:7" x14ac:dyDescent="0.25">
      <c r="A126">
        <v>246</v>
      </c>
      <c r="B126">
        <v>0.87876988650220256</v>
      </c>
      <c r="C126">
        <v>5.0015442627813593</v>
      </c>
      <c r="D126" t="str">
        <f ca="1">INDEX(Main!$D$160:OFFSET(Main!$D$160,0,Main!$N$258),A126)</f>
        <v>Control Drainage2.0%Tile intakes4.2%, Inj &amp; inc manure 2.4%,Preplant/starter 3.8%,Use reduced tillage 13%,Riparian buffers 0.8%,Perennial crop 2.5%</v>
      </c>
      <c r="E126">
        <f t="shared" si="2"/>
        <v>216.17739207954182</v>
      </c>
      <c r="F126">
        <f>IF(B126&gt;MAX($B$8:B125),IF(B126&gt;MAX($F$8:F125)+nmax*Main!$B$84,B126,0),0)</f>
        <v>0</v>
      </c>
      <c r="G126">
        <f t="shared" ca="1" si="3"/>
        <v>0</v>
      </c>
    </row>
    <row r="127" spans="1:7" x14ac:dyDescent="0.25">
      <c r="A127">
        <v>197</v>
      </c>
      <c r="B127">
        <v>1.0640704931148854</v>
      </c>
      <c r="C127">
        <v>5.1312343046129874</v>
      </c>
      <c r="D127" t="str">
        <f ca="1">INDEX(Main!$D$160:OFFSET(Main!$D$160,0,Main!$N$258),A127)</f>
        <v>Target P rate 71%,Preplant/starter 3.8%,Cover crop cs7.5%Cover crop ss 7.1%,Use reduced tillage 13%,Perennial crop 2.5%</v>
      </c>
      <c r="E127">
        <f t="shared" si="2"/>
        <v>209.62188714363242</v>
      </c>
      <c r="F127">
        <f>IF(B127&gt;MAX($B$8:B126),IF(B127&gt;MAX($F$8:F126)+nmax*Main!$B$84,B127,0),0)</f>
        <v>0</v>
      </c>
      <c r="G127">
        <f t="shared" ca="1" si="3"/>
        <v>0</v>
      </c>
    </row>
    <row r="128" spans="1:7" x14ac:dyDescent="0.25">
      <c r="A128">
        <v>250</v>
      </c>
      <c r="B128">
        <v>1.3936929421218418</v>
      </c>
      <c r="C128">
        <v>5.2007338909491887</v>
      </c>
      <c r="D128" t="str">
        <f ca="1">INDEX(Main!$D$160:OFFSET(Main!$D$160,0,Main!$N$258),A128)</f>
        <v>Target P rate 71%,Control Drainage2.0%Tile intakes4.2%, Inj &amp; inc manure 2.4%,Preplant/starter 3.8%,Cover crop cs7.5%Cover crop ss 7.1%,Use reduced tillage 13%,Riparian buffers 0.8%</v>
      </c>
      <c r="E128">
        <f t="shared" si="2"/>
        <v>348.42323553046043</v>
      </c>
      <c r="F128">
        <f>IF(B128&gt;MAX($B$8:B127),IF(B128&gt;MAX($F$8:F127)+nmax*Main!$B$84,B128,0),0)</f>
        <v>0</v>
      </c>
      <c r="G128">
        <f t="shared" ca="1" si="3"/>
        <v>0</v>
      </c>
    </row>
    <row r="129" spans="1:7" x14ac:dyDescent="0.25">
      <c r="A129">
        <v>233</v>
      </c>
      <c r="B129">
        <v>1.2005891774965809</v>
      </c>
      <c r="C129">
        <v>9.2987707360861549</v>
      </c>
      <c r="D129" t="str">
        <f ca="1">INDEX(Main!$D$160:OFFSET(Main!$D$160,0,Main!$N$258),A129)</f>
        <v>Target P rate 71%,Control Drainage2.0%Tile intakes4.2%,Preplant/starter 3.8%,Cover crop cs7.5%Cover crop ss 7.1%,Use reduced tillage 13%,Perennial crop 2.5%</v>
      </c>
      <c r="E129">
        <f t="shared" si="2"/>
        <v>279.73727835670337</v>
      </c>
      <c r="F129">
        <f>IF(B129&gt;MAX($B$8:B128),IF(B129&gt;MAX($F$8:F128)+nmax*Main!$B$84,B129,0),0)</f>
        <v>0</v>
      </c>
      <c r="G129">
        <f t="shared" ca="1" si="3"/>
        <v>0</v>
      </c>
    </row>
    <row r="130" spans="1:7" x14ac:dyDescent="0.25">
      <c r="A130">
        <v>238</v>
      </c>
      <c r="B130">
        <v>1.1432734684995343</v>
      </c>
      <c r="C130">
        <v>10.987337170870816</v>
      </c>
      <c r="D130" t="str">
        <f ca="1">INDEX(Main!$D$160:OFFSET(Main!$D$160,0,Main!$N$258),A130)</f>
        <v>Target P rate 71%, Inj &amp; inc manure 2.4%,Preplant/starter 3.8%,Cover crop cs7.5%Cover crop ss 7.1%,Use reduced tillage 13%,Perennial crop 2.5%</v>
      </c>
      <c r="E130">
        <f t="shared" si="2"/>
        <v>272.09908550288918</v>
      </c>
      <c r="F130">
        <f>IF(B130&gt;MAX($B$8:B129),IF(B130&gt;MAX($F$8:F129)+nmax*Main!$B$84,B130,0),0)</f>
        <v>0</v>
      </c>
      <c r="G130">
        <f t="shared" ca="1" si="3"/>
        <v>0</v>
      </c>
    </row>
    <row r="131" spans="1:7" x14ac:dyDescent="0.25">
      <c r="A131">
        <v>242</v>
      </c>
      <c r="B131">
        <v>1.2770525548912319</v>
      </c>
      <c r="C131">
        <v>12.320332704761446</v>
      </c>
      <c r="D131" t="str">
        <f ca="1">INDEX(Main!$D$160:OFFSET(Main!$D$160,0,Main!$N$258),A131)</f>
        <v>Target P rate 71%,Preplant/starter 3.8%,Cover crop cs7.5%Cover crop ss 7.1%,Use reduced tillage 13%,Riparian buffers 0.8%,Perennial crop 2.5%</v>
      </c>
      <c r="E131">
        <f t="shared" si="2"/>
        <v>309.0467182836781</v>
      </c>
      <c r="F131">
        <f>IF(B131&gt;MAX($B$8:B130),IF(B131&gt;MAX($F$8:F130)+nmax*Main!$B$84,B131,0),0)</f>
        <v>0</v>
      </c>
      <c r="G131">
        <f t="shared" ca="1" si="3"/>
        <v>0</v>
      </c>
    </row>
    <row r="132" spans="1:7" x14ac:dyDescent="0.25">
      <c r="A132">
        <v>251</v>
      </c>
      <c r="B132">
        <v>1.2797921528812299</v>
      </c>
      <c r="C132">
        <v>14.272270328242787</v>
      </c>
      <c r="D132" t="str">
        <f ca="1">INDEX(Main!$D$160:OFFSET(Main!$D$160,0,Main!$N$258),A132)</f>
        <v>Target P rate 71%,Control Drainage2.0%Tile intakes4.2%, Inj &amp; inc manure 2.4%,Preplant/starter 3.8%,Cover crop cs7.5%Cover crop ss 7.1%,Use reduced tillage 13%,Perennial crop 2.5%</v>
      </c>
      <c r="E132">
        <f t="shared" si="2"/>
        <v>321.22783037318874</v>
      </c>
      <c r="F132">
        <f>IF(B132&gt;MAX($B$8:B131),IF(B132&gt;MAX($F$8:F131)+nmax*Main!$B$84,B132,0),0)</f>
        <v>0</v>
      </c>
      <c r="G132">
        <f t="shared" ca="1" si="3"/>
        <v>0</v>
      </c>
    </row>
    <row r="133" spans="1:7" x14ac:dyDescent="0.25">
      <c r="A133">
        <v>255</v>
      </c>
      <c r="B133">
        <v>1.413571239272928</v>
      </c>
      <c r="C133">
        <v>15.165645886882587</v>
      </c>
      <c r="D133" t="str">
        <f ca="1">INDEX(Main!$D$160:OFFSET(Main!$D$160,0,Main!$N$258),A133)</f>
        <v>Target P rate 71%,Control Drainage2.0%Tile intakes4.2%,Preplant/starter 3.8%,Cover crop cs7.5%Cover crop ss 7.1%,Use reduced tillage 13%,Riparian buffers 0.8%,Perennial crop 2.5%</v>
      </c>
      <c r="E133">
        <f t="shared" si="2"/>
        <v>360.46066601459665</v>
      </c>
      <c r="F133">
        <f>IF(B133&gt;MAX($B$8:B132),IF(B133&gt;MAX($F$8:F132)+nmax*Main!$B$84,B133,0),0)</f>
        <v>0</v>
      </c>
      <c r="G133">
        <f t="shared" ca="1" si="3"/>
        <v>0</v>
      </c>
    </row>
    <row r="134" spans="1:7" x14ac:dyDescent="0.25">
      <c r="A134">
        <v>256</v>
      </c>
      <c r="B134">
        <v>1.3555780954693388</v>
      </c>
      <c r="C134">
        <v>16.845394960396721</v>
      </c>
      <c r="D134" t="str">
        <f ca="1">INDEX(Main!$D$160:OFFSET(Main!$D$160,0,Main!$N$258),A134)</f>
        <v>Target P rate 71%, Inj &amp; inc manure 2.4%,Preplant/starter 3.8%,Cover crop cs7.5%Cover crop ss 7.1%,Use reduced tillage 13%,Riparian buffers 0.8%,Perennial crop 2.5%</v>
      </c>
      <c r="E134">
        <f t="shared" si="2"/>
        <v>347.02799244015074</v>
      </c>
      <c r="F134">
        <f>IF(B134&gt;MAX($B$8:B133),IF(B134&gt;MAX($F$8:F133)+nmax*Main!$B$84,B134,0),0)</f>
        <v>0</v>
      </c>
      <c r="G134">
        <f t="shared" ca="1" si="3"/>
        <v>0</v>
      </c>
    </row>
    <row r="135" spans="1:7" x14ac:dyDescent="0.25">
      <c r="A135">
        <v>11</v>
      </c>
      <c r="B135">
        <v>1.4920967798510347</v>
      </c>
      <c r="C135">
        <v>19.126947592274838</v>
      </c>
      <c r="D135" t="str">
        <f ca="1">INDEX(Main!$D$160:OFFSET(Main!$D$160,0,Main!$N$258),A135)</f>
        <v>Target P rate 71%,Control Drainage 2.0%,Tile intakes 4.2%, Inj &amp; inc manure 2.4%,Preplant/starter 3.8%,Cover crop cs 7.5%,Cover crop ss 7.1%,Use reduced tillage 13%,Riparian buffers 0.8%,Perennial crop 2.5%</v>
      </c>
      <c r="E135">
        <f t="shared" si="2"/>
        <v>16.413064578361382</v>
      </c>
      <c r="F135">
        <f ca="1">IF(B135&gt;MAX($B$8:B134),IF(B135&gt;MAX($F$8:F134)+nmax*Main!$B$84,B135,0),0)</f>
        <v>1.4920967798510347</v>
      </c>
      <c r="G135">
        <f t="shared" ca="1" si="3"/>
        <v>100</v>
      </c>
    </row>
    <row r="136" spans="1:7" x14ac:dyDescent="0.25">
      <c r="A136">
        <v>9</v>
      </c>
      <c r="B136">
        <v>7.519821169713764E-2</v>
      </c>
      <c r="C136">
        <v>20.844218703963161</v>
      </c>
      <c r="D136" t="str">
        <f ca="1">INDEX(Main!$D$160:OFFSET(Main!$D$160,0,Main!$N$258),A136)</f>
        <v>Alternative tile intakes 4.2%</v>
      </c>
      <c r="E136">
        <f t="shared" si="2"/>
        <v>0.67678390527423882</v>
      </c>
      <c r="F136">
        <f>IF(B136&gt;MAX($B$8:B135),IF(B136&gt;MAX($F$8:F135)+nmax*Main!$B$84,B136,0),0)</f>
        <v>0</v>
      </c>
      <c r="G136">
        <f t="shared" ca="1" si="3"/>
        <v>0</v>
      </c>
    </row>
    <row r="137" spans="1:7" x14ac:dyDescent="0.25">
      <c r="A137">
        <v>15</v>
      </c>
      <c r="B137">
        <v>0.65914932988405195</v>
      </c>
      <c r="C137">
        <v>36.629105624547556</v>
      </c>
      <c r="D137" t="str">
        <f ca="1">INDEX(Main!$D$160:OFFSET(Main!$D$160,0,Main!$N$258),A137)</f>
        <v>Target P rate 71%,Cover crop cs7.5%Cover crop ss 7.1%</v>
      </c>
      <c r="E137">
        <f t="shared" ref="E137:E200" si="4">A137*B137</f>
        <v>9.8872399482607793</v>
      </c>
      <c r="F137">
        <f>IF(B137&gt;MAX($B$8:B136),IF(B137&gt;MAX($F$8:F136)+nmax*Main!$B$84,B137,0),0)</f>
        <v>0</v>
      </c>
      <c r="G137">
        <f t="shared" ref="G137:G200" ca="1" si="5">IF($F$6&lt;&gt;0,ROUND(F137/$F$6,0),0)</f>
        <v>0</v>
      </c>
    </row>
    <row r="138" spans="1:7" x14ac:dyDescent="0.25">
      <c r="A138">
        <v>42</v>
      </c>
      <c r="B138">
        <v>0.79566801426574763</v>
      </c>
      <c r="C138">
        <v>37.513206996496194</v>
      </c>
      <c r="D138" t="str">
        <f ca="1">INDEX(Main!$D$160:OFFSET(Main!$D$160,0,Main!$N$258),A138)</f>
        <v>Target P rate 71%,Control Drainage2.0%Tile intakes4.2%,Cover crop cs7.5%Cover crop ss 7.1%</v>
      </c>
      <c r="E138">
        <f t="shared" si="4"/>
        <v>33.418056599161403</v>
      </c>
      <c r="F138">
        <f>IF(B138&gt;MAX($B$8:B137),IF(B138&gt;MAX($F$8:F137)+nmax*Main!$B$84,B138,0),0)</f>
        <v>0</v>
      </c>
      <c r="G138">
        <f t="shared" ca="1" si="5"/>
        <v>0</v>
      </c>
    </row>
    <row r="139" spans="1:7" x14ac:dyDescent="0.25">
      <c r="A139">
        <v>56</v>
      </c>
      <c r="B139">
        <v>0.87435877613870305</v>
      </c>
      <c r="C139">
        <v>39.363438335456138</v>
      </c>
      <c r="D139" t="str">
        <f ca="1">INDEX(Main!$D$160:OFFSET(Main!$D$160,0,Main!$N$258),A139)</f>
        <v>Target P rate 71%,Cover crop cs7.5%Cover crop ss 7.1%,Riparian buffers 0.8%</v>
      </c>
      <c r="E139">
        <f t="shared" si="4"/>
        <v>48.964091463767375</v>
      </c>
      <c r="F139">
        <f>IF(B139&gt;MAX($B$8:B138),IF(B139&gt;MAX($F$8:F138)+nmax*Main!$B$84,B139,0),0)</f>
        <v>0</v>
      </c>
      <c r="G139">
        <f t="shared" ca="1" si="5"/>
        <v>0</v>
      </c>
    </row>
    <row r="140" spans="1:7" x14ac:dyDescent="0.25">
      <c r="A140">
        <v>106</v>
      </c>
      <c r="B140">
        <v>1.0108774605203987</v>
      </c>
      <c r="C140">
        <v>39.690049316081769</v>
      </c>
      <c r="D140" t="str">
        <f ca="1">INDEX(Main!$D$160:OFFSET(Main!$D$160,0,Main!$N$258),A140)</f>
        <v>Target P rate 71%,Control Drainage2.0%Tile intakes4.2%,Cover crop cs7.5%Cover crop ss 7.1%,Riparian buffers 0.8%</v>
      </c>
      <c r="E140">
        <f t="shared" si="4"/>
        <v>107.15301081516226</v>
      </c>
      <c r="F140">
        <f>IF(B140&gt;MAX($B$8:B139),IF(B140&gt;MAX($F$8:F139)+nmax*Main!$B$84,B140,0),0)</f>
        <v>0</v>
      </c>
      <c r="G140">
        <f t="shared" ca="1" si="5"/>
        <v>0</v>
      </c>
    </row>
    <row r="141" spans="1:7" x14ac:dyDescent="0.25">
      <c r="A141">
        <v>97</v>
      </c>
      <c r="B141">
        <v>0.87783882291297899</v>
      </c>
      <c r="C141">
        <v>42.091548032870172</v>
      </c>
      <c r="D141" t="str">
        <f ca="1">INDEX(Main!$D$160:OFFSET(Main!$D$160,0,Main!$N$258),A141)</f>
        <v>Target P rate 71%,Control Drainage2.0%Tile intakes4.2%, Inj &amp; inc manure 2.4%,Cover crop cs7.5%Cover crop ss 7.1%</v>
      </c>
      <c r="E141">
        <f t="shared" si="4"/>
        <v>85.150365822558967</v>
      </c>
      <c r="F141">
        <f>IF(B141&gt;MAX($B$8:B140),IF(B141&gt;MAX($F$8:F140)+nmax*Main!$B$84,B141,0),0)</f>
        <v>0</v>
      </c>
      <c r="G141">
        <f t="shared" ca="1" si="5"/>
        <v>0</v>
      </c>
    </row>
    <row r="142" spans="1:7" x14ac:dyDescent="0.25">
      <c r="A142">
        <v>47</v>
      </c>
      <c r="B142">
        <v>0.7413201385312832</v>
      </c>
      <c r="C142">
        <v>42.148573690031924</v>
      </c>
      <c r="D142" t="str">
        <f ca="1">INDEX(Main!$D$160:OFFSET(Main!$D$160,0,Main!$N$258),A142)</f>
        <v>Target P rate 71%, Inj &amp; inc manure 2.4%,Cover crop cs7.5%Cover crop ss 7.1%</v>
      </c>
      <c r="E142">
        <f t="shared" si="4"/>
        <v>34.842046510970313</v>
      </c>
      <c r="F142">
        <f>IF(B142&gt;MAX($B$8:B141),IF(B142&gt;MAX($F$8:F141)+nmax*Main!$B$84,B142,0),0)</f>
        <v>0</v>
      </c>
      <c r="G142">
        <f t="shared" ca="1" si="5"/>
        <v>0</v>
      </c>
    </row>
    <row r="143" spans="1:7" x14ac:dyDescent="0.25">
      <c r="A143">
        <v>171</v>
      </c>
      <c r="B143">
        <v>1.0923708343610881</v>
      </c>
      <c r="C143">
        <v>43.230110906712504</v>
      </c>
      <c r="D143" t="str">
        <f ca="1">INDEX(Main!$D$160:OFFSET(Main!$D$160,0,Main!$N$258),A143)</f>
        <v>Target P rate 71%,Control Drainage2.0%Tile intakes4.2%, Inj &amp; inc manure 2.4%,Cover crop cs7.5%Cover crop ss 7.1%,Riparian buffers 0.8%</v>
      </c>
      <c r="E143">
        <f t="shared" si="4"/>
        <v>186.79541267574606</v>
      </c>
      <c r="F143">
        <f>IF(B143&gt;MAX($B$8:B142),IF(B143&gt;MAX($F$8:F142)+nmax*Main!$B$84,B143,0),0)</f>
        <v>0</v>
      </c>
      <c r="G143">
        <f t="shared" ca="1" si="5"/>
        <v>0</v>
      </c>
    </row>
    <row r="144" spans="1:7" x14ac:dyDescent="0.25">
      <c r="A144">
        <v>116</v>
      </c>
      <c r="B144">
        <v>0.95585214997939227</v>
      </c>
      <c r="C144">
        <v>43.436951863961028</v>
      </c>
      <c r="D144" t="str">
        <f ca="1">INDEX(Main!$D$160:OFFSET(Main!$D$160,0,Main!$N$258),A144)</f>
        <v>Target P rate 71%, Inj &amp; inc manure 2.4%,Cover crop cs7.5%Cover crop ss 7.1%,Riparian buffers 0.8%</v>
      </c>
      <c r="E144">
        <f t="shared" si="4"/>
        <v>110.8788493976095</v>
      </c>
      <c r="F144">
        <f>IF(B144&gt;MAX($B$8:B143),IF(B144&gt;MAX($F$8:F143)+nmax*Main!$B$84,B144,0),0)</f>
        <v>0</v>
      </c>
      <c r="G144">
        <f t="shared" ca="1" si="5"/>
        <v>0</v>
      </c>
    </row>
    <row r="145" spans="1:7" x14ac:dyDescent="0.25">
      <c r="A145">
        <v>23</v>
      </c>
      <c r="B145">
        <v>0.3637390290227463</v>
      </c>
      <c r="C145">
        <v>43.926344326658139</v>
      </c>
      <c r="D145" t="str">
        <f ca="1">INDEX(Main!$D$160:OFFSET(Main!$D$160,0,Main!$N$258),A145)</f>
        <v>Control Drainage2.0%Tile intakes4.2%,Riparian buffers 0.8%</v>
      </c>
      <c r="E145">
        <f t="shared" si="4"/>
        <v>8.365997667523164</v>
      </c>
      <c r="F145">
        <f>IF(B145&gt;MAX($B$8:B144),IF(B145&gt;MAX($F$8:F144)+nmax*Main!$B$84,B145,0),0)</f>
        <v>0</v>
      </c>
      <c r="G145">
        <f t="shared" ca="1" si="5"/>
        <v>0</v>
      </c>
    </row>
    <row r="146" spans="1:7" x14ac:dyDescent="0.25">
      <c r="A146">
        <v>4</v>
      </c>
      <c r="B146">
        <v>0.2243936779742905</v>
      </c>
      <c r="C146">
        <v>45.7843439872007</v>
      </c>
      <c r="D146" t="str">
        <f ca="1">INDEX(Main!$D$160:OFFSET(Main!$D$160,0,Main!$N$258),A146)</f>
        <v>Riparian buffers 0.8%</v>
      </c>
      <c r="E146">
        <f t="shared" si="4"/>
        <v>0.89757471189716198</v>
      </c>
      <c r="F146">
        <f>IF(B146&gt;MAX($B$8:B145),IF(B146&gt;MAX($F$8:F145)+nmax*Main!$B$84,B146,0),0)</f>
        <v>0</v>
      </c>
      <c r="G146">
        <f t="shared" ca="1" si="5"/>
        <v>0</v>
      </c>
    </row>
    <row r="147" spans="1:7" x14ac:dyDescent="0.25">
      <c r="A147">
        <v>184</v>
      </c>
      <c r="B147">
        <v>1.1272070445877054</v>
      </c>
      <c r="C147">
        <v>50.323680558250551</v>
      </c>
      <c r="D147" t="str">
        <f ca="1">INDEX(Main!$D$160:OFFSET(Main!$D$160,0,Main!$N$258),A147)</f>
        <v>Target P rate 71%,Control Drainage2.0%Tile intakes4.2%,Cover crop cs7.5%Cover crop ss 7.1%,Riparian buffers 0.8%,Perennial crop 2.5%</v>
      </c>
      <c r="E147">
        <f t="shared" si="4"/>
        <v>207.40609620413778</v>
      </c>
      <c r="F147">
        <f>IF(B147&gt;MAX($B$8:B146),IF(B147&gt;MAX($F$8:F146)+nmax*Main!$B$84,B147,0),0)</f>
        <v>0</v>
      </c>
      <c r="G147">
        <f t="shared" ca="1" si="5"/>
        <v>0</v>
      </c>
    </row>
    <row r="148" spans="1:7" x14ac:dyDescent="0.25">
      <c r="A148">
        <v>107</v>
      </c>
      <c r="B148">
        <v>0.91206207633120284</v>
      </c>
      <c r="C148">
        <v>50.930184577749174</v>
      </c>
      <c r="D148" t="str">
        <f ca="1">INDEX(Main!$D$160:OFFSET(Main!$D$160,0,Main!$N$258),A148)</f>
        <v>Target P rate 71%,Control Drainage2.0%Tile intakes4.2%,Cover crop cs7.5%Cover crop ss 7.1%,Perennial crop 2.5%</v>
      </c>
      <c r="E148">
        <f t="shared" si="4"/>
        <v>97.590642167438702</v>
      </c>
      <c r="F148">
        <f>IF(B148&gt;MAX($B$8:B147),IF(B148&gt;MAX($F$8:F147)+nmax*Main!$B$84,B148,0),0)</f>
        <v>0</v>
      </c>
      <c r="G148">
        <f t="shared" ca="1" si="5"/>
        <v>0</v>
      </c>
    </row>
    <row r="149" spans="1:7" x14ac:dyDescent="0.25">
      <c r="A149">
        <v>129</v>
      </c>
      <c r="B149">
        <v>0.9906883602060097</v>
      </c>
      <c r="C149">
        <v>51.500755223632915</v>
      </c>
      <c r="D149" t="str">
        <f ca="1">INDEX(Main!$D$160:OFFSET(Main!$D$160,0,Main!$N$258),A149)</f>
        <v>Target P rate 71%,Cover crop cs7.5%Cover crop ss 7.1%,Riparian buffers 0.8%,Perennial crop 2.5%</v>
      </c>
      <c r="E149">
        <f t="shared" si="4"/>
        <v>127.79879846657525</v>
      </c>
      <c r="F149">
        <f>IF(B149&gt;MAX($B$8:B148),IF(B149&gt;MAX($F$8:F148)+nmax*Main!$B$84,B149,0),0)</f>
        <v>0</v>
      </c>
      <c r="G149">
        <f t="shared" ca="1" si="5"/>
        <v>0</v>
      </c>
    </row>
    <row r="150" spans="1:7" x14ac:dyDescent="0.25">
      <c r="A150">
        <v>64</v>
      </c>
      <c r="B150">
        <v>0.44779288801129202</v>
      </c>
      <c r="C150">
        <v>51.540036726606608</v>
      </c>
      <c r="D150" t="str">
        <f ca="1">INDEX(Main!$D$160:OFFSET(Main!$D$160,0,Main!$N$258),A150)</f>
        <v>Control Drainage2.0%Tile intakes4.2%, Inj &amp; inc manure 2.4%,Riparian buffers 0.8%</v>
      </c>
      <c r="E150">
        <f t="shared" si="4"/>
        <v>28.658744832722689</v>
      </c>
      <c r="F150">
        <f>IF(B150&gt;MAX($B$8:B149),IF(B150&gt;MAX($F$8:F149)+nmax*Main!$B$84,B150,0),0)</f>
        <v>0</v>
      </c>
      <c r="G150">
        <f t="shared" ca="1" si="5"/>
        <v>0</v>
      </c>
    </row>
    <row r="151" spans="1:7" x14ac:dyDescent="0.25">
      <c r="A151">
        <v>57</v>
      </c>
      <c r="B151">
        <v>0.77554339194950717</v>
      </c>
      <c r="C151">
        <v>52.54055649744592</v>
      </c>
      <c r="D151" t="str">
        <f ca="1">INDEX(Main!$D$160:OFFSET(Main!$D$160,0,Main!$N$258),A151)</f>
        <v>Target P rate 71%,Cover crop cs7.5%Cover crop ss 7.1%,Perennial crop 2.5%</v>
      </c>
      <c r="E151">
        <f t="shared" si="4"/>
        <v>44.205973341121911</v>
      </c>
      <c r="F151">
        <f>IF(B151&gt;MAX($B$8:B150),IF(B151&gt;MAX($F$8:F150)+nmax*Main!$B$84,B151,0),0)</f>
        <v>0</v>
      </c>
      <c r="G151">
        <f t="shared" ca="1" si="5"/>
        <v>0</v>
      </c>
    </row>
    <row r="152" spans="1:7" x14ac:dyDescent="0.25">
      <c r="A152">
        <v>230</v>
      </c>
      <c r="B152">
        <v>1.2066398002973084</v>
      </c>
      <c r="C152">
        <v>52.896268861040923</v>
      </c>
      <c r="D152" t="str">
        <f ca="1">INDEX(Main!$D$160:OFFSET(Main!$D$160,0,Main!$N$258),A152)</f>
        <v>Target P rate 71%,Control Drainage2.0%Tile intakes4.2%, Inj &amp; inc manure 2.4%,Cover crop cs7.5%Cover crop ss 7.1%,Riparian buffers 0.8%,Perennial crop 2.5%</v>
      </c>
      <c r="E152">
        <f t="shared" si="4"/>
        <v>277.52715406838092</v>
      </c>
      <c r="F152">
        <f>IF(B152&gt;MAX($B$8:B151),IF(B152&gt;MAX($F$8:F151)+nmax*Main!$B$84,B152,0),0)</f>
        <v>0</v>
      </c>
      <c r="G152">
        <f t="shared" ca="1" si="5"/>
        <v>0</v>
      </c>
    </row>
    <row r="153" spans="1:7" x14ac:dyDescent="0.25">
      <c r="A153">
        <v>172</v>
      </c>
      <c r="B153">
        <v>0.99217226684734805</v>
      </c>
      <c r="C153">
        <v>53.975532015420228</v>
      </c>
      <c r="D153" t="str">
        <f ca="1">INDEX(Main!$D$160:OFFSET(Main!$D$160,0,Main!$N$258),A153)</f>
        <v>Target P rate 71%,Control Drainage2.0%Tile intakes4.2%, Inj &amp; inc manure 2.4%,Cover crop cs7.5%Cover crop ss 7.1%,Perennial crop 2.5%</v>
      </c>
      <c r="E153">
        <f t="shared" si="4"/>
        <v>170.65362989774385</v>
      </c>
      <c r="F153">
        <f>IF(B153&gt;MAX($B$8:B152),IF(B153&gt;MAX($F$8:F152)+nmax*Main!$B$84,B153,0),0)</f>
        <v>0</v>
      </c>
      <c r="G153">
        <f t="shared" ca="1" si="5"/>
        <v>0</v>
      </c>
    </row>
    <row r="154" spans="1:7" x14ac:dyDescent="0.25">
      <c r="A154">
        <v>194</v>
      </c>
      <c r="B154">
        <v>1.0701211159156128</v>
      </c>
      <c r="C154">
        <v>54.314164945954751</v>
      </c>
      <c r="D154" t="str">
        <f ca="1">INDEX(Main!$D$160:OFFSET(Main!$D$160,0,Main!$N$258),A154)</f>
        <v>Target P rate 71%, Inj &amp; inc manure 2.4%,Cover crop cs7.5%Cover crop ss 7.1%,Riparian buffers 0.8%,Perennial crop 2.5%</v>
      </c>
      <c r="E154">
        <f t="shared" si="4"/>
        <v>207.60349648762889</v>
      </c>
      <c r="F154">
        <f>IF(B154&gt;MAX($B$8:B153),IF(B154&gt;MAX($F$8:F153)+nmax*Main!$B$84,B154,0),0)</f>
        <v>0</v>
      </c>
      <c r="G154">
        <f t="shared" ca="1" si="5"/>
        <v>0</v>
      </c>
    </row>
    <row r="155" spans="1:7" x14ac:dyDescent="0.25">
      <c r="A155">
        <v>117</v>
      </c>
      <c r="B155">
        <v>0.85565358246565248</v>
      </c>
      <c r="C155">
        <v>55.921015749364265</v>
      </c>
      <c r="D155" t="str">
        <f ca="1">INDEX(Main!$D$160:OFFSET(Main!$D$160,0,Main!$N$258),A155)</f>
        <v>Target P rate 71%, Inj &amp; inc manure 2.4%,Cover crop cs7.5%Cover crop ss 7.1%,Perennial crop 2.5%</v>
      </c>
      <c r="E155">
        <f t="shared" si="4"/>
        <v>100.11146914848135</v>
      </c>
      <c r="F155">
        <f>IF(B155&gt;MAX($B$8:B154),IF(B155&gt;MAX($F$8:F154)+nmax*Main!$B$84,B155,0),0)</f>
        <v>0</v>
      </c>
      <c r="G155">
        <f t="shared" ca="1" si="5"/>
        <v>0</v>
      </c>
    </row>
    <row r="156" spans="1:7" x14ac:dyDescent="0.25">
      <c r="A156">
        <v>28</v>
      </c>
      <c r="B156">
        <v>0.30844753696283622</v>
      </c>
      <c r="C156">
        <v>56.331308630742349</v>
      </c>
      <c r="D156" t="str">
        <f ca="1">INDEX(Main!$D$160:OFFSET(Main!$D$160,0,Main!$N$258),A156)</f>
        <v xml:space="preserve"> Inj &amp; inc manure 2.4%,Riparian buffers 0.8%</v>
      </c>
      <c r="E156">
        <f t="shared" si="4"/>
        <v>8.6365310349594147</v>
      </c>
      <c r="F156">
        <f>IF(B156&gt;MAX($B$8:B155),IF(B156&gt;MAX($F$8:F155)+nmax*Main!$B$84,B156,0),0)</f>
        <v>0</v>
      </c>
      <c r="G156">
        <f t="shared" ca="1" si="5"/>
        <v>0</v>
      </c>
    </row>
    <row r="157" spans="1:7" x14ac:dyDescent="0.25">
      <c r="A157">
        <v>19</v>
      </c>
      <c r="B157">
        <v>0.22409792954043414</v>
      </c>
      <c r="C157">
        <v>57.142627686690261</v>
      </c>
      <c r="D157" t="str">
        <f ca="1">INDEX(Main!$D$160:OFFSET(Main!$D$160,0,Main!$N$258),A157)</f>
        <v>Control Drainage2.0%Tile intakes4.2%, Inj &amp; inc manure 2.4%</v>
      </c>
      <c r="E157">
        <f t="shared" si="4"/>
        <v>4.257860661268249</v>
      </c>
      <c r="F157">
        <f>IF(B157&gt;MAX($B$8:B156),IF(B157&gt;MAX($F$8:F156)+nmax*Main!$B$84,B157,0),0)</f>
        <v>0</v>
      </c>
      <c r="G157">
        <f t="shared" ca="1" si="5"/>
        <v>0</v>
      </c>
    </row>
    <row r="158" spans="1:7" x14ac:dyDescent="0.25">
      <c r="A158">
        <v>8</v>
      </c>
      <c r="B158">
        <v>6.4147139351318119E-2</v>
      </c>
      <c r="C158">
        <v>64.485502612242968</v>
      </c>
      <c r="D158" t="str">
        <f ca="1">INDEX(Main!$D$160:OFFSET(Main!$D$160,0,Main!$N$258),A158)</f>
        <v>Control Drainage 2.0%</v>
      </c>
      <c r="E158">
        <f t="shared" si="4"/>
        <v>0.51317711481054495</v>
      </c>
      <c r="F158">
        <f>IF(B158&gt;MAX($B$8:B157),IF(B158&gt;MAX($F$8:F157)+nmax*Main!$B$84,B158,0),0)</f>
        <v>0</v>
      </c>
      <c r="G158">
        <f t="shared" ca="1" si="5"/>
        <v>0</v>
      </c>
    </row>
    <row r="159" spans="1:7" x14ac:dyDescent="0.25">
      <c r="A159">
        <v>75</v>
      </c>
      <c r="B159">
        <v>0.49319781613418379</v>
      </c>
      <c r="C159">
        <v>66.061032190994879</v>
      </c>
      <c r="D159" t="str">
        <f ca="1">INDEX(Main!$D$160:OFFSET(Main!$D$160,0,Main!$N$258),A159)</f>
        <v>Control Drainage2.0%Tile intakes4.2%,Riparian buffers 0.8%,Perennial crop 2.5%</v>
      </c>
      <c r="E159">
        <f t="shared" si="4"/>
        <v>36.989836210063785</v>
      </c>
      <c r="F159">
        <f>IF(B159&gt;MAX($B$8:B158),IF(B159&gt;MAX($F$8:F158)+nmax*Main!$B$84,B159,0),0)</f>
        <v>0</v>
      </c>
      <c r="G159">
        <f t="shared" ca="1" si="5"/>
        <v>0</v>
      </c>
    </row>
    <row r="160" spans="1:7" x14ac:dyDescent="0.25">
      <c r="A160">
        <v>177</v>
      </c>
      <c r="B160">
        <v>1.0226440136739292</v>
      </c>
      <c r="C160">
        <v>68.168520467315233</v>
      </c>
      <c r="D160" t="str">
        <f ca="1">INDEX(Main!$D$160:OFFSET(Main!$D$160,0,Main!$N$258),A160)</f>
        <v>Target P rate 71%,Control Drainage2.0%Tile intakes4.2%,Preplant/starter 3.8%,Cover crop cs7.5%Cover crop ss 7.1%,Riparian buffers 0.8%</v>
      </c>
      <c r="E160">
        <f t="shared" si="4"/>
        <v>181.00799042028547</v>
      </c>
      <c r="F160">
        <f>IF(B160&gt;MAX($B$8:B159),IF(B160&gt;MAX($F$8:F159)+nmax*Main!$B$84,B160,0),0)</f>
        <v>0</v>
      </c>
      <c r="G160">
        <f t="shared" ca="1" si="5"/>
        <v>0</v>
      </c>
    </row>
    <row r="161" spans="1:7" x14ac:dyDescent="0.25">
      <c r="A161">
        <v>140</v>
      </c>
      <c r="B161">
        <v>0.5751263132968939</v>
      </c>
      <c r="C161">
        <v>68.998221696389876</v>
      </c>
      <c r="D161" t="str">
        <f ca="1">INDEX(Main!$D$160:OFFSET(Main!$D$160,0,Main!$N$258),A161)</f>
        <v>Control Drainage2.0%Tile intakes4.2%, Inj &amp; inc manure 2.4%,Riparian buffers 0.8%,Perennial crop 2.5%</v>
      </c>
      <c r="E161">
        <f t="shared" si="4"/>
        <v>80.517683861565146</v>
      </c>
      <c r="F161">
        <f>IF(B161&gt;MAX($B$8:B160),IF(B161&gt;MAX($F$8:F160)+nmax*Main!$B$84,B161,0),0)</f>
        <v>0</v>
      </c>
      <c r="G161">
        <f t="shared" ca="1" si="5"/>
        <v>0</v>
      </c>
    </row>
    <row r="162" spans="1:7" x14ac:dyDescent="0.25">
      <c r="A162">
        <v>223</v>
      </c>
      <c r="B162">
        <v>1.1041373875146185</v>
      </c>
      <c r="C162">
        <v>69.568937983281032</v>
      </c>
      <c r="D162" t="str">
        <f ca="1">INDEX(Main!$D$160:OFFSET(Main!$D$160,0,Main!$N$258),A162)</f>
        <v>Target P rate 71%,Control Drainage2.0%Tile intakes4.2%, Inj &amp; inc manure 2.4%,Preplant/starter 3.8%,Cover crop cs7.5%Cover crop ss 7.1%,Riparian buffers 0.8%</v>
      </c>
      <c r="E162">
        <f t="shared" si="4"/>
        <v>246.22263741575995</v>
      </c>
      <c r="F162">
        <f>IF(B162&gt;MAX($B$8:B161),IF(B162&gt;MAX($F$8:F161)+nmax*Main!$B$84,B162,0),0)</f>
        <v>0</v>
      </c>
      <c r="G162">
        <f t="shared" ca="1" si="5"/>
        <v>0</v>
      </c>
    </row>
    <row r="163" spans="1:7" x14ac:dyDescent="0.25">
      <c r="A163">
        <v>122</v>
      </c>
      <c r="B163">
        <v>0.88612532929223342</v>
      </c>
      <c r="C163">
        <v>72.233710930104948</v>
      </c>
      <c r="D163" t="str">
        <f ca="1">INDEX(Main!$D$160:OFFSET(Main!$D$160,0,Main!$N$258),A163)</f>
        <v>Target P rate 71%,Preplant/starter 3.8%,Cover crop cs7.5%Cover crop ss 7.1%,Riparian buffers 0.8%</v>
      </c>
      <c r="E163">
        <f t="shared" si="4"/>
        <v>108.10729017365247</v>
      </c>
      <c r="F163">
        <f>IF(B163&gt;MAX($B$8:B162),IF(B163&gt;MAX($F$8:F162)+nmax*Main!$B$84,B163,0),0)</f>
        <v>0</v>
      </c>
      <c r="G163">
        <f t="shared" ca="1" si="5"/>
        <v>0</v>
      </c>
    </row>
    <row r="164" spans="1:7" x14ac:dyDescent="0.25">
      <c r="A164">
        <v>187</v>
      </c>
      <c r="B164">
        <v>0.96761870313292253</v>
      </c>
      <c r="C164">
        <v>73.489336981416997</v>
      </c>
      <c r="D164" t="str">
        <f ca="1">INDEX(Main!$D$160:OFFSET(Main!$D$160,0,Main!$N$258),A164)</f>
        <v>Target P rate 71%, Inj &amp; inc manure 2.4%,Preplant/starter 3.8%,Cover crop cs7.5%Cover crop ss 7.1%,Riparian buffers 0.8%</v>
      </c>
      <c r="E164">
        <f t="shared" si="4"/>
        <v>180.94469748585652</v>
      </c>
      <c r="F164">
        <f>IF(B164&gt;MAX($B$8:B163),IF(B164&gt;MAX($F$8:F163)+nmax*Main!$B$84,B164,0),0)</f>
        <v>0</v>
      </c>
      <c r="G164">
        <f t="shared" ca="1" si="5"/>
        <v>0</v>
      </c>
    </row>
    <row r="165" spans="1:7" x14ac:dyDescent="0.25">
      <c r="A165">
        <v>101</v>
      </c>
      <c r="B165">
        <v>0.80753237994419336</v>
      </c>
      <c r="C165">
        <v>73.604989115220647</v>
      </c>
      <c r="D165" t="str">
        <f ca="1">INDEX(Main!$D$160:OFFSET(Main!$D$160,0,Main!$N$258),A165)</f>
        <v>Target P rate 71%,Control Drainage2.0%Tile intakes4.2%,Preplant/starter 3.8%,Cover crop cs7.5%Cover crop ss 7.1%</v>
      </c>
      <c r="E165">
        <f t="shared" si="4"/>
        <v>81.560770374363528</v>
      </c>
      <c r="F165">
        <f>IF(B165&gt;MAX($B$8:B164),IF(B165&gt;MAX($F$8:F164)+nmax*Main!$B$84,B165,0),0)</f>
        <v>0</v>
      </c>
      <c r="G165">
        <f t="shared" ca="1" si="5"/>
        <v>0</v>
      </c>
    </row>
    <row r="166" spans="1:7" x14ac:dyDescent="0.25">
      <c r="A166">
        <v>166</v>
      </c>
      <c r="B166">
        <v>0.88970318859142472</v>
      </c>
      <c r="C166">
        <v>74.788928430664825</v>
      </c>
      <c r="D166" t="str">
        <f ca="1">INDEX(Main!$D$160:OFFSET(Main!$D$160,0,Main!$N$258),A166)</f>
        <v>Target P rate 71%,Control Drainage2.0%Tile intakes4.2%, Inj &amp; inc manure 2.4%,Preplant/starter 3.8%,Cover crop cs7.5%Cover crop ss 7.1%</v>
      </c>
      <c r="E166">
        <f t="shared" si="4"/>
        <v>147.69072930617651</v>
      </c>
      <c r="F166">
        <f>IF(B166&gt;MAX($B$8:B165),IF(B166&gt;MAX($F$8:F165)+nmax*Main!$B$84,B166,0),0)</f>
        <v>0</v>
      </c>
      <c r="G166">
        <f t="shared" ca="1" si="5"/>
        <v>0</v>
      </c>
    </row>
    <row r="167" spans="1:7" x14ac:dyDescent="0.25">
      <c r="A167">
        <v>234</v>
      </c>
      <c r="B167">
        <v>1.13867607204527</v>
      </c>
      <c r="C167">
        <v>75.803437404407191</v>
      </c>
      <c r="D167" t="str">
        <f ca="1">INDEX(Main!$D$160:OFFSET(Main!$D$160,0,Main!$N$258),A167)</f>
        <v>Target P rate 71%,Control Drainage2.0%Tile intakes4.2%,Preplant/starter 3.8%,Cover crop cs7.5%Cover crop ss 7.1%,Riparian buffers 0.8%,Perennial crop 2.5%</v>
      </c>
      <c r="E167">
        <f t="shared" si="4"/>
        <v>266.45020085859318</v>
      </c>
      <c r="F167">
        <f>IF(B167&gt;MAX($B$8:B166),IF(B167&gt;MAX($F$8:F166)+nmax*Main!$B$84,B167,0),0)</f>
        <v>0</v>
      </c>
      <c r="G167">
        <f t="shared" ca="1" si="5"/>
        <v>0</v>
      </c>
    </row>
    <row r="168" spans="1:7" x14ac:dyDescent="0.25">
      <c r="A168">
        <v>39</v>
      </c>
      <c r="B168">
        <v>0.3538524650857281</v>
      </c>
      <c r="C168">
        <v>75.955803525878338</v>
      </c>
      <c r="D168" t="str">
        <f ca="1">INDEX(Main!$D$160:OFFSET(Main!$D$160,0,Main!$N$258),A168)</f>
        <v>Riparian buffers 0.8%,Perennial crop 2.5%</v>
      </c>
      <c r="E168">
        <f t="shared" si="4"/>
        <v>13.800246138343395</v>
      </c>
      <c r="F168">
        <f>IF(B168&gt;MAX($B$8:B167),IF(B168&gt;MAX($F$8:F167)+nmax*Main!$B$84,B168,0),0)</f>
        <v>0</v>
      </c>
      <c r="G168">
        <f t="shared" ca="1" si="5"/>
        <v>0</v>
      </c>
    </row>
    <row r="169" spans="1:7" x14ac:dyDescent="0.25">
      <c r="A169">
        <v>252</v>
      </c>
      <c r="B169">
        <v>1.2181088277548731</v>
      </c>
      <c r="C169">
        <v>76.690271248979499</v>
      </c>
      <c r="D169" t="str">
        <f ca="1">INDEX(Main!$D$160:OFFSET(Main!$D$160,0,Main!$N$258),A169)</f>
        <v>Target P rate 71%,Control Drainage2.0%Tile intakes4.2%, Inj &amp; inc manure 2.4%,Preplant/starter 3.8%,Cover crop cs7.5%Cover crop ss 7.1%,Riparian buffers 0.8%,Perennial crop 2.5%</v>
      </c>
      <c r="E169">
        <f t="shared" si="4"/>
        <v>306.963424594228</v>
      </c>
      <c r="F169">
        <f>IF(B169&gt;MAX($B$8:B168),IF(B169&gt;MAX($F$8:F168)+nmax*Main!$B$84,B169,0),0)</f>
        <v>0</v>
      </c>
      <c r="G169">
        <f t="shared" ca="1" si="5"/>
        <v>0</v>
      </c>
    </row>
    <row r="170" spans="1:7" x14ac:dyDescent="0.25">
      <c r="A170">
        <v>85</v>
      </c>
      <c r="B170">
        <v>0.43578096224843815</v>
      </c>
      <c r="C170">
        <v>77.971933881650074</v>
      </c>
      <c r="D170" t="str">
        <f ca="1">INDEX(Main!$D$160:OFFSET(Main!$D$160,0,Main!$N$258),A170)</f>
        <v xml:space="preserve"> Inj &amp; inc manure 2.4%,Riparian buffers 0.8%,Perennial crop 2.5%</v>
      </c>
      <c r="E170">
        <f t="shared" si="4"/>
        <v>37.041381791117246</v>
      </c>
      <c r="F170">
        <f>IF(B170&gt;MAX($B$8:B169),IF(B170&gt;MAX($F$8:F169)+nmax*Main!$B$84,B170,0),0)</f>
        <v>0</v>
      </c>
      <c r="G170">
        <f t="shared" ca="1" si="5"/>
        <v>0</v>
      </c>
    </row>
    <row r="171" spans="1:7" x14ac:dyDescent="0.25">
      <c r="A171">
        <v>51</v>
      </c>
      <c r="B171">
        <v>0.67101369556249768</v>
      </c>
      <c r="C171">
        <v>80.079443830079626</v>
      </c>
      <c r="D171" t="str">
        <f ca="1">INDEX(Main!$D$160:OFFSET(Main!$D$160,0,Main!$N$258),A171)</f>
        <v>Target P rate 71%,Preplant/starter 3.8%,Cover crop cs7.5%Cover crop ss 7.1%</v>
      </c>
      <c r="E171">
        <f t="shared" si="4"/>
        <v>34.221698473687383</v>
      </c>
      <c r="F171">
        <f>IF(B171&gt;MAX($B$8:B170),IF(B171&gt;MAX($F$8:F170)+nmax*Main!$B$84,B171,0),0)</f>
        <v>0</v>
      </c>
      <c r="G171">
        <f t="shared" ca="1" si="5"/>
        <v>0</v>
      </c>
    </row>
    <row r="172" spans="1:7" x14ac:dyDescent="0.25">
      <c r="A172">
        <v>198</v>
      </c>
      <c r="B172">
        <v>1.0021573876635743</v>
      </c>
      <c r="C172">
        <v>80.438015875079188</v>
      </c>
      <c r="D172" t="str">
        <f ca="1">INDEX(Main!$D$160:OFFSET(Main!$D$160,0,Main!$N$258),A172)</f>
        <v>Target P rate 71%,Preplant/starter 3.8%,Cover crop cs7.5%Cover crop ss 7.1%,Riparian buffers 0.8%,Perennial crop 2.5%</v>
      </c>
      <c r="E172">
        <f t="shared" si="4"/>
        <v>198.42716275738772</v>
      </c>
      <c r="F172">
        <f>IF(B172&gt;MAX($B$8:B171),IF(B172&gt;MAX($F$8:F171)+nmax*Main!$B$84,B172,0),0)</f>
        <v>0</v>
      </c>
      <c r="G172">
        <f t="shared" ca="1" si="5"/>
        <v>0</v>
      </c>
    </row>
    <row r="173" spans="1:7" x14ac:dyDescent="0.25">
      <c r="A173">
        <v>111</v>
      </c>
      <c r="B173">
        <v>0.75318450420972904</v>
      </c>
      <c r="C173">
        <v>80.771629345933547</v>
      </c>
      <c r="D173" t="str">
        <f ca="1">INDEX(Main!$D$160:OFFSET(Main!$D$160,0,Main!$N$258),A173)</f>
        <v>Target P rate 71%, Inj &amp; inc manure 2.4%,Preplant/starter 3.8%,Cover crop cs7.5%Cover crop ss 7.1%</v>
      </c>
      <c r="E173">
        <f t="shared" si="4"/>
        <v>83.603479967279924</v>
      </c>
      <c r="F173">
        <f>IF(B173&gt;MAX($B$8:B172),IF(B173&gt;MAX($F$8:F172)+nmax*Main!$B$84,B173,0),0)</f>
        <v>0</v>
      </c>
      <c r="G173">
        <f t="shared" ca="1" si="5"/>
        <v>0</v>
      </c>
    </row>
    <row r="174" spans="1:7" x14ac:dyDescent="0.25">
      <c r="A174">
        <v>239</v>
      </c>
      <c r="B174">
        <v>1.0815901433731774</v>
      </c>
      <c r="C174">
        <v>81.096419429984508</v>
      </c>
      <c r="D174" t="str">
        <f ca="1">INDEX(Main!$D$160:OFFSET(Main!$D$160,0,Main!$N$258),A174)</f>
        <v>Target P rate 71%, Inj &amp; inc manure 2.4%,Preplant/starter 3.8%,Cover crop cs7.5%Cover crop ss 7.1%,Riparian buffers 0.8%,Perennial crop 2.5%</v>
      </c>
      <c r="E174">
        <f t="shared" si="4"/>
        <v>258.50004426618938</v>
      </c>
      <c r="F174">
        <f>IF(B174&gt;MAX($B$8:B173),IF(B174&gt;MAX($F$8:F173)+nmax*Main!$B$84,B174,0),0)</f>
        <v>0</v>
      </c>
      <c r="G174">
        <f t="shared" ca="1" si="5"/>
        <v>0</v>
      </c>
    </row>
    <row r="175" spans="1:7" x14ac:dyDescent="0.25">
      <c r="A175">
        <v>178</v>
      </c>
      <c r="B175">
        <v>0.92362891631368282</v>
      </c>
      <c r="C175">
        <v>82.329430864663934</v>
      </c>
      <c r="D175" t="str">
        <f ca="1">INDEX(Main!$D$160:OFFSET(Main!$D$160,0,Main!$N$258),A175)</f>
        <v>Target P rate 71%,Control Drainage2.0%Tile intakes4.2%,Preplant/starter 3.8%,Cover crop cs7.5%Cover crop ss 7.1%,Perennial crop 2.5%</v>
      </c>
      <c r="E175">
        <f t="shared" si="4"/>
        <v>164.40594710383553</v>
      </c>
      <c r="F175">
        <f>IF(B175&gt;MAX($B$8:B174),IF(B175&gt;MAX($F$8:F174)+nmax*Main!$B$84,B175,0),0)</f>
        <v>0</v>
      </c>
      <c r="G175">
        <f t="shared" ca="1" si="5"/>
        <v>0</v>
      </c>
    </row>
    <row r="176" spans="1:7" x14ac:dyDescent="0.25">
      <c r="A176">
        <v>224</v>
      </c>
      <c r="B176">
        <v>1.0037391068298278</v>
      </c>
      <c r="C176">
        <v>82.833655184529547</v>
      </c>
      <c r="D176" t="str">
        <f ca="1">INDEX(Main!$D$160:OFFSET(Main!$D$160,0,Main!$N$258),A176)</f>
        <v>Target P rate 71%,Control Drainage2.0%Tile intakes4.2%, Inj &amp; inc manure 2.4%,Preplant/starter 3.8%,Cover crop cs7.5%Cover crop ss 7.1%,Perennial crop 2.5%</v>
      </c>
      <c r="E176">
        <f t="shared" si="4"/>
        <v>224.83755992988142</v>
      </c>
      <c r="F176">
        <f>IF(B176&gt;MAX($B$8:B175),IF(B176&gt;MAX($F$8:F175)+nmax*Main!$B$84,B176,0),0)</f>
        <v>0</v>
      </c>
      <c r="G176">
        <f t="shared" ca="1" si="5"/>
        <v>0</v>
      </c>
    </row>
    <row r="177" spans="1:7" x14ac:dyDescent="0.25">
      <c r="A177">
        <v>24</v>
      </c>
      <c r="B177">
        <v>0.26887034336122773</v>
      </c>
      <c r="C177">
        <v>82.967274071095844</v>
      </c>
      <c r="D177" t="str">
        <f ca="1">INDEX(Main!$D$160:OFFSET(Main!$D$160,0,Main!$N$258),A177)</f>
        <v>Control Drainage2.0%Tile intakes4.2%,Perennial crop 2.5%</v>
      </c>
      <c r="E177">
        <f t="shared" si="4"/>
        <v>6.4528882406694654</v>
      </c>
      <c r="F177">
        <f>IF(B177&gt;MAX($B$8:B176),IF(B177&gt;MAX($F$8:F176)+nmax*Main!$B$84,B177,0),0)</f>
        <v>0</v>
      </c>
      <c r="G177">
        <f t="shared" ca="1" si="5"/>
        <v>0</v>
      </c>
    </row>
    <row r="178" spans="1:7" x14ac:dyDescent="0.25">
      <c r="A178">
        <v>65</v>
      </c>
      <c r="B178">
        <v>0.35149756002737054</v>
      </c>
      <c r="C178">
        <v>83.667651989016292</v>
      </c>
      <c r="D178" t="str">
        <f ca="1">INDEX(Main!$D$160:OFFSET(Main!$D$160,0,Main!$N$258),A178)</f>
        <v>Control Drainage2.0%Tile intakes4.2%, Inj &amp; inc manure 2.4%,Perennial crop 2.5%</v>
      </c>
      <c r="E178">
        <f t="shared" si="4"/>
        <v>22.847341401779087</v>
      </c>
      <c r="F178">
        <f>IF(B178&gt;MAX($B$8:B177),IF(B178&gt;MAX($F$8:F177)+nmax*Main!$B$84,B178,0),0)</f>
        <v>0</v>
      </c>
      <c r="G178">
        <f t="shared" ca="1" si="5"/>
        <v>0</v>
      </c>
    </row>
    <row r="179" spans="1:7" x14ac:dyDescent="0.25">
      <c r="A179">
        <v>10</v>
      </c>
      <c r="B179">
        <v>8.4752578491978439E-2</v>
      </c>
      <c r="C179">
        <v>83.791386486134101</v>
      </c>
      <c r="D179" t="str">
        <f ca="1">INDEX(Main!$D$160:OFFSET(Main!$D$160,0,Main!$N$258),A179)</f>
        <v>Inject or incorp manure 2.4%</v>
      </c>
      <c r="E179">
        <f t="shared" si="4"/>
        <v>0.84752578491978436</v>
      </c>
      <c r="F179">
        <f>IF(B179&gt;MAX($B$8:B178),IF(B179&gt;MAX($F$8:F178)+nmax*Main!$B$84,B179,0),0)</f>
        <v>0</v>
      </c>
      <c r="G179">
        <f t="shared" ca="1" si="5"/>
        <v>0</v>
      </c>
    </row>
    <row r="180" spans="1:7" x14ac:dyDescent="0.25">
      <c r="A180">
        <v>188</v>
      </c>
      <c r="B180">
        <v>0.86722042244813247</v>
      </c>
      <c r="C180">
        <v>89.296064267941972</v>
      </c>
      <c r="D180" t="str">
        <f ca="1">INDEX(Main!$D$160:OFFSET(Main!$D$160,0,Main!$N$258),A180)</f>
        <v>Target P rate 71%, Inj &amp; inc manure 2.4%,Preplant/starter 3.8%,Cover crop cs7.5%Cover crop ss 7.1%,Perennial crop 2.5%</v>
      </c>
      <c r="E180">
        <f t="shared" si="4"/>
        <v>163.03743942024892</v>
      </c>
      <c r="F180">
        <f>IF(B180&gt;MAX($B$8:B179),IF(B180&gt;MAX($F$8:F179)+nmax*Main!$B$84,B180,0),0)</f>
        <v>0</v>
      </c>
      <c r="G180">
        <f t="shared" ca="1" si="5"/>
        <v>0</v>
      </c>
    </row>
    <row r="181" spans="1:7" x14ac:dyDescent="0.25">
      <c r="A181">
        <v>123</v>
      </c>
      <c r="B181">
        <v>0.78711023193198726</v>
      </c>
      <c r="C181">
        <v>89.362114305941574</v>
      </c>
      <c r="D181" t="str">
        <f ca="1">INDEX(Main!$D$160:OFFSET(Main!$D$160,0,Main!$N$258),A181)</f>
        <v>Target P rate 71%,Preplant/starter 3.8%,Cover crop cs7.5%Cover crop ss 7.1%,Perennial crop 2.5%</v>
      </c>
      <c r="E181">
        <f t="shared" si="4"/>
        <v>96.814558527634432</v>
      </c>
      <c r="F181">
        <f>IF(B181&gt;MAX($B$8:B180),IF(B181&gt;MAX($F$8:F180)+nmax*Main!$B$84,B181,0),0)</f>
        <v>0</v>
      </c>
      <c r="G181">
        <f t="shared" ca="1" si="5"/>
        <v>0</v>
      </c>
    </row>
    <row r="182" spans="1:7" x14ac:dyDescent="0.25">
      <c r="A182">
        <v>29</v>
      </c>
      <c r="B182">
        <v>0.21215220897891482</v>
      </c>
      <c r="C182">
        <v>111.73565973449269</v>
      </c>
      <c r="D182" t="str">
        <f ca="1">INDEX(Main!$D$160:OFFSET(Main!$D$160,0,Main!$N$258),A182)</f>
        <v xml:space="preserve"> Inj &amp; inc manure 2.4%,Perennial crop 2.5%</v>
      </c>
      <c r="E182">
        <f t="shared" si="4"/>
        <v>6.15241406038853</v>
      </c>
      <c r="F182">
        <f>IF(B182&gt;MAX($B$8:B181),IF(B182&gt;MAX($F$8:F181)+nmax*Main!$B$84,B182,0),0)</f>
        <v>0</v>
      </c>
      <c r="G182">
        <f t="shared" ca="1" si="5"/>
        <v>0</v>
      </c>
    </row>
    <row r="183" spans="1:7" x14ac:dyDescent="0.25">
      <c r="A183">
        <v>133</v>
      </c>
      <c r="B183">
        <v>0.46720411798578321</v>
      </c>
      <c r="C183">
        <v>112.73362751472244</v>
      </c>
      <c r="D183" t="str">
        <f ca="1">INDEX(Main!$D$160:OFFSET(Main!$D$160,0,Main!$N$258),A183)</f>
        <v>Control Drainage2.0%Tile intakes4.2%, Inj &amp; inc manure 2.4%,Preplant/starter 3.8%,Riparian buffers 0.8%</v>
      </c>
      <c r="E183">
        <f t="shared" si="4"/>
        <v>62.138147692109165</v>
      </c>
      <c r="F183">
        <f>IF(B183&gt;MAX($B$8:B182),IF(B183&gt;MAX($F$8:F182)+nmax*Main!$B$84,B183,0),0)</f>
        <v>0</v>
      </c>
      <c r="G183">
        <f t="shared" ca="1" si="5"/>
        <v>0</v>
      </c>
    </row>
    <row r="184" spans="1:7" x14ac:dyDescent="0.25">
      <c r="A184">
        <v>206</v>
      </c>
      <c r="B184">
        <v>0.5940467164648976</v>
      </c>
      <c r="C184">
        <v>116.61211831429816</v>
      </c>
      <c r="D184" t="str">
        <f ca="1">INDEX(Main!$D$160:OFFSET(Main!$D$160,0,Main!$N$258),A184)</f>
        <v>Control Drainage2.0%Tile intakes4.2%, Inj &amp; inc manure 2.4%,Preplant/starter 3.8%,Riparian buffers 0.8%,Perennial crop 2.5%</v>
      </c>
      <c r="E184">
        <f t="shared" si="4"/>
        <v>122.3736235917689</v>
      </c>
      <c r="F184">
        <f>IF(B184&gt;MAX($B$8:B183),IF(B184&gt;MAX($F$8:F183)+nmax*Main!$B$84,B184,0),0)</f>
        <v>0</v>
      </c>
      <c r="G184">
        <f t="shared" ca="1" si="5"/>
        <v>0</v>
      </c>
    </row>
    <row r="185" spans="1:7" x14ac:dyDescent="0.25">
      <c r="A185">
        <v>68</v>
      </c>
      <c r="B185">
        <v>0.38315025899723748</v>
      </c>
      <c r="C185">
        <v>118.93004866940332</v>
      </c>
      <c r="D185" t="str">
        <f ca="1">INDEX(Main!$D$160:OFFSET(Main!$D$160,0,Main!$N$258),A185)</f>
        <v>Control Drainage2.0%Tile intakes4.2%,Preplant/starter 3.8%,Riparian buffers 0.8%</v>
      </c>
      <c r="E185">
        <f t="shared" si="4"/>
        <v>26.054217611812149</v>
      </c>
      <c r="F185">
        <f>IF(B185&gt;MAX($B$8:B184),IF(B185&gt;MAX($F$8:F184)+nmax*Main!$B$84,B185,0),0)</f>
        <v>0</v>
      </c>
      <c r="G185">
        <f t="shared" ca="1" si="5"/>
        <v>0</v>
      </c>
    </row>
    <row r="186" spans="1:7" x14ac:dyDescent="0.25">
      <c r="A186">
        <v>146</v>
      </c>
      <c r="B186">
        <v>0.51211821930218748</v>
      </c>
      <c r="C186">
        <v>121.40069925499252</v>
      </c>
      <c r="D186" t="str">
        <f ca="1">INDEX(Main!$D$160:OFFSET(Main!$D$160,0,Main!$N$258),A186)</f>
        <v>Control Drainage2.0%Tile intakes4.2%,Preplant/starter 3.8%,Riparian buffers 0.8%,Perennial crop 2.5%</v>
      </c>
      <c r="E186">
        <f t="shared" si="4"/>
        <v>74.769260018119368</v>
      </c>
      <c r="F186">
        <f>IF(B186&gt;MAX($B$8:B185),IF(B186&gt;MAX($F$8:F185)+nmax*Main!$B$84,B186,0),0)</f>
        <v>0</v>
      </c>
      <c r="G186">
        <f t="shared" ca="1" si="5"/>
        <v>0</v>
      </c>
    </row>
    <row r="187" spans="1:7" x14ac:dyDescent="0.25">
      <c r="A187">
        <v>5</v>
      </c>
      <c r="B187">
        <v>0.12952499231277204</v>
      </c>
      <c r="C187">
        <v>128.18708326326626</v>
      </c>
      <c r="D187" t="str">
        <f ca="1">INDEX(Main!$D$160:OFFSET(Main!$D$160,0,Main!$N$258),A187)</f>
        <v>Perennial crop % of marginal corn&amp;soy 2.5%</v>
      </c>
      <c r="E187">
        <f t="shared" si="4"/>
        <v>0.64762496156386018</v>
      </c>
      <c r="F187">
        <f>IF(B187&gt;MAX($B$8:B186),IF(B187&gt;MAX($F$8:F186)+nmax*Main!$B$84,B187,0),0)</f>
        <v>0</v>
      </c>
      <c r="G187">
        <f t="shared" ca="1" si="5"/>
        <v>0</v>
      </c>
    </row>
    <row r="188" spans="1:7" x14ac:dyDescent="0.25">
      <c r="A188">
        <v>207</v>
      </c>
      <c r="B188">
        <v>1.0202350262884903</v>
      </c>
      <c r="C188">
        <v>139.72576479136924</v>
      </c>
      <c r="D188" t="str">
        <f ca="1">INDEX(Main!$D$160:OFFSET(Main!$D$160,0,Main!$N$258),A188)</f>
        <v>Control Drainage2.0%Tile intakes4.2%, Inj &amp; inc manure 2.4%,Cover crop cs7.5%Cover crop ss 7.1%,Use reduced tillage 13%,Riparian buffers 0.8%</v>
      </c>
      <c r="E188">
        <f t="shared" si="4"/>
        <v>211.1886504417175</v>
      </c>
      <c r="F188">
        <f>IF(B188&gt;MAX($B$8:B187),IF(B188&gt;MAX($F$8:F187)+nmax*Main!$B$84,B188,0),0)</f>
        <v>0</v>
      </c>
      <c r="G188">
        <f t="shared" ca="1" si="5"/>
        <v>0</v>
      </c>
    </row>
    <row r="189" spans="1:7" x14ac:dyDescent="0.25">
      <c r="A189">
        <v>156</v>
      </c>
      <c r="B189">
        <v>0.4547013654164419</v>
      </c>
      <c r="C189">
        <v>139.80392918643503</v>
      </c>
      <c r="D189" t="str">
        <f ca="1">INDEX(Main!$D$160:OFFSET(Main!$D$160,0,Main!$N$258),A189)</f>
        <v xml:space="preserve"> Inj &amp; inc manure 2.4%,Preplant/starter 3.8%,Riparian buffers 0.8%,Perennial crop 2.5%</v>
      </c>
      <c r="E189">
        <f t="shared" si="4"/>
        <v>70.933413004964933</v>
      </c>
      <c r="F189">
        <f>IF(B189&gt;MAX($B$8:B188),IF(B189&gt;MAX($F$8:F188)+nmax*Main!$B$84,B189,0),0)</f>
        <v>0</v>
      </c>
      <c r="G189">
        <f t="shared" ca="1" si="5"/>
        <v>0</v>
      </c>
    </row>
    <row r="190" spans="1:7" x14ac:dyDescent="0.25">
      <c r="A190">
        <v>78</v>
      </c>
      <c r="B190">
        <v>0.32785876693732746</v>
      </c>
      <c r="C190">
        <v>143.24950635333212</v>
      </c>
      <c r="D190" t="str">
        <f ca="1">INDEX(Main!$D$160:OFFSET(Main!$D$160,0,Main!$N$258),A190)</f>
        <v xml:space="preserve"> Inj &amp; inc manure 2.4%,Preplant/starter 3.8%,Riparian buffers 0.8%</v>
      </c>
      <c r="E190">
        <f t="shared" si="4"/>
        <v>25.572983821111542</v>
      </c>
      <c r="F190">
        <f>IF(B190&gt;MAX($B$8:B189),IF(B190&gt;MAX($F$8:F189)+nmax*Main!$B$84,B190,0),0)</f>
        <v>0</v>
      </c>
      <c r="G190">
        <f t="shared" ca="1" si="5"/>
        <v>0</v>
      </c>
    </row>
    <row r="191" spans="1:7" x14ac:dyDescent="0.25">
      <c r="A191">
        <v>147</v>
      </c>
      <c r="B191">
        <v>0.93963694594322189</v>
      </c>
      <c r="C191">
        <v>144.15310491970479</v>
      </c>
      <c r="D191" t="str">
        <f ca="1">INDEX(Main!$D$160:OFFSET(Main!$D$160,0,Main!$N$258),A191)</f>
        <v>Control Drainage2.0%Tile intakes4.2%,Cover crop cs7.5%Cover crop ss 7.1%,Use reduced tillage 13%,Riparian buffers 0.8%</v>
      </c>
      <c r="E191">
        <f t="shared" si="4"/>
        <v>138.12663105365363</v>
      </c>
      <c r="F191">
        <f>IF(B191&gt;MAX($B$8:B190),IF(B191&gt;MAX($F$8:F190)+nmax*Main!$B$84,B191,0),0)</f>
        <v>0</v>
      </c>
      <c r="G191">
        <f t="shared" ca="1" si="5"/>
        <v>0</v>
      </c>
    </row>
    <row r="192" spans="1:7" x14ac:dyDescent="0.25">
      <c r="A192">
        <v>247</v>
      </c>
      <c r="B192">
        <v>1.1282396494475329</v>
      </c>
      <c r="C192">
        <v>145.22105315876365</v>
      </c>
      <c r="D192" t="str">
        <f ca="1">INDEX(Main!$D$160:OFFSET(Main!$D$160,0,Main!$N$258),A192)</f>
        <v>Control Drainage2.0%Tile intakes4.2%, Inj &amp; inc manure 2.4%,Cover crop cs7.5%Cover crop ss 7.1%,Use reduced tillage 13%,Riparian buffers 0.8%,Perennial crop 2.5%</v>
      </c>
      <c r="E192">
        <f t="shared" si="4"/>
        <v>278.67519341354063</v>
      </c>
      <c r="F192">
        <f>IF(B192&gt;MAX($B$8:B191),IF(B192&gt;MAX($F$8:F191)+nmax*Main!$B$84,B192,0),0)</f>
        <v>0</v>
      </c>
      <c r="G192">
        <f t="shared" ca="1" si="5"/>
        <v>0</v>
      </c>
    </row>
    <row r="193" spans="1:7" x14ac:dyDescent="0.25">
      <c r="A193">
        <v>215</v>
      </c>
      <c r="B193">
        <v>1.049714108869426</v>
      </c>
      <c r="C193">
        <v>149.31933630666717</v>
      </c>
      <c r="D193" t="str">
        <f ca="1">INDEX(Main!$D$160:OFFSET(Main!$D$160,0,Main!$N$258),A193)</f>
        <v>Control Drainage2.0%Tile intakes4.2%,Cover crop cs7.5%Cover crop ss 7.1%,Use reduced tillage 13%,Riparian buffers 0.8%,Perennial crop 2.5%</v>
      </c>
      <c r="E193">
        <f t="shared" si="4"/>
        <v>225.68853340692658</v>
      </c>
      <c r="F193">
        <f>IF(B193&gt;MAX($B$8:B192),IF(B193&gt;MAX($F$8:F192)+nmax*Main!$B$84,B193,0),0)</f>
        <v>0</v>
      </c>
      <c r="G193">
        <f t="shared" ca="1" si="5"/>
        <v>0</v>
      </c>
    </row>
    <row r="194" spans="1:7" x14ac:dyDescent="0.25">
      <c r="A194">
        <v>91</v>
      </c>
      <c r="B194">
        <v>0.37277286825373179</v>
      </c>
      <c r="C194">
        <v>151.47964414916208</v>
      </c>
      <c r="D194" t="str">
        <f ca="1">INDEX(Main!$D$160:OFFSET(Main!$D$160,0,Main!$N$258),A194)</f>
        <v>Preplant/starter 3.8%,Riparian buffers 0.8%,Perennial crop 2.5%</v>
      </c>
      <c r="E194">
        <f t="shared" si="4"/>
        <v>33.922331011089597</v>
      </c>
      <c r="F194">
        <f>IF(B194&gt;MAX($B$8:B193),IF(B194&gt;MAX($F$8:F193)+nmax*Main!$B$84,B194,0),0)</f>
        <v>0</v>
      </c>
      <c r="G194">
        <f t="shared" ca="1" si="5"/>
        <v>0</v>
      </c>
    </row>
    <row r="195" spans="1:7" x14ac:dyDescent="0.25">
      <c r="A195">
        <v>157</v>
      </c>
      <c r="B195">
        <v>0.88371634190679471</v>
      </c>
      <c r="C195">
        <v>154.85637679490378</v>
      </c>
      <c r="D195" t="str">
        <f ca="1">INDEX(Main!$D$160:OFFSET(Main!$D$160,0,Main!$N$258),A195)</f>
        <v xml:space="preserve"> Inj &amp; inc manure 2.4%,Cover crop cs7.5%Cover crop ss 7.1%,Use reduced tillage 13%,Riparian buffers 0.8%</v>
      </c>
      <c r="E195">
        <f t="shared" si="4"/>
        <v>138.74346567936678</v>
      </c>
      <c r="F195">
        <f>IF(B195&gt;MAX($B$8:B194),IF(B195&gt;MAX($F$8:F194)+nmax*Main!$B$84,B195,0),0)</f>
        <v>0</v>
      </c>
      <c r="G195">
        <f t="shared" ca="1" si="5"/>
        <v>0</v>
      </c>
    </row>
    <row r="196" spans="1:7" x14ac:dyDescent="0.25">
      <c r="A196">
        <v>134</v>
      </c>
      <c r="B196">
        <v>0.37057932407912186</v>
      </c>
      <c r="C196">
        <v>159.20836595594855</v>
      </c>
      <c r="D196" t="str">
        <f ca="1">INDEX(Main!$D$160:OFFSET(Main!$D$160,0,Main!$N$258),A196)</f>
        <v>Control Drainage2.0%Tile intakes4.2%, Inj &amp; inc manure 2.4%,Preplant/starter 3.8%,Perennial crop 2.5%</v>
      </c>
      <c r="E196">
        <f t="shared" si="4"/>
        <v>49.657629426602327</v>
      </c>
      <c r="F196">
        <f>IF(B196&gt;MAX($B$8:B195),IF(B196&gt;MAX($F$8:F195)+nmax*Main!$B$84,B196,0),0)</f>
        <v>0</v>
      </c>
      <c r="G196">
        <f t="shared" ca="1" si="5"/>
        <v>0</v>
      </c>
    </row>
    <row r="197" spans="1:7" x14ac:dyDescent="0.25">
      <c r="A197">
        <v>220</v>
      </c>
      <c r="B197">
        <v>0.99172096506583718</v>
      </c>
      <c r="C197">
        <v>159.46031916828261</v>
      </c>
      <c r="D197" t="str">
        <f ca="1">INDEX(Main!$D$160:OFFSET(Main!$D$160,0,Main!$N$258),A197)</f>
        <v xml:space="preserve"> Inj &amp; inc manure 2.4%,Cover crop cs7.5%Cover crop ss 7.1%,Use reduced tillage 13%,Riparian buffers 0.8%,Perennial crop 2.5%</v>
      </c>
      <c r="E197">
        <f t="shared" si="4"/>
        <v>218.17861231448418</v>
      </c>
      <c r="F197">
        <f>IF(B197&gt;MAX($B$8:B196),IF(B197&gt;MAX($F$8:F196)+nmax*Main!$B$84,B197,0),0)</f>
        <v>0</v>
      </c>
      <c r="G197">
        <f t="shared" ca="1" si="5"/>
        <v>0</v>
      </c>
    </row>
    <row r="198" spans="1:7" x14ac:dyDescent="0.25">
      <c r="A198">
        <v>92</v>
      </c>
      <c r="B198">
        <v>0.8031182615615261</v>
      </c>
      <c r="C198">
        <v>161.55475597048792</v>
      </c>
      <c r="D198" t="str">
        <f ca="1">INDEX(Main!$D$160:OFFSET(Main!$D$160,0,Main!$N$258),A198)</f>
        <v>Cover crop cs7.5%Cover crop ss 7.1%,Use reduced tillage 13%,Riparian buffers 0.8%</v>
      </c>
      <c r="E198">
        <f t="shared" si="4"/>
        <v>73.886880063660399</v>
      </c>
      <c r="F198">
        <f>IF(B198&gt;MAX($B$8:B197),IF(B198&gt;MAX($F$8:F197)+nmax*Main!$B$84,B198,0),0)</f>
        <v>0</v>
      </c>
      <c r="G198">
        <f t="shared" ca="1" si="5"/>
        <v>0</v>
      </c>
    </row>
    <row r="199" spans="1:7" x14ac:dyDescent="0.25">
      <c r="A199">
        <v>32</v>
      </c>
      <c r="B199">
        <v>0.24380490794878171</v>
      </c>
      <c r="C199">
        <v>163.50807205916115</v>
      </c>
      <c r="D199" t="str">
        <f ca="1">INDEX(Main!$D$160:OFFSET(Main!$D$160,0,Main!$N$258),A199)</f>
        <v>Preplant/starter 3.8%,Riparian buffers 0.8%</v>
      </c>
      <c r="E199">
        <f t="shared" si="4"/>
        <v>7.8017570543610146</v>
      </c>
      <c r="F199">
        <f>IF(B199&gt;MAX($B$8:B198),IF(B199&gt;MAX($F$8:F198)+nmax*Main!$B$84,B199,0),0)</f>
        <v>0</v>
      </c>
      <c r="G199">
        <f t="shared" ca="1" si="5"/>
        <v>0</v>
      </c>
    </row>
    <row r="200" spans="1:7" x14ac:dyDescent="0.25">
      <c r="A200">
        <v>135</v>
      </c>
      <c r="B200">
        <v>0.80477048675410201</v>
      </c>
      <c r="C200">
        <v>164.36910168972437</v>
      </c>
      <c r="D200" t="str">
        <f ca="1">INDEX(Main!$D$160:OFFSET(Main!$D$160,0,Main!$N$258),A200)</f>
        <v>Control Drainage2.0%Tile intakes4.2%, Inj &amp; inc manure 2.4%,Cover crop cs7.5%Cover crop ss 7.1%,Use reduced tillage 13%</v>
      </c>
      <c r="E200">
        <f t="shared" si="4"/>
        <v>108.64401571180377</v>
      </c>
      <c r="F200">
        <f>IF(B200&gt;MAX($B$8:B199),IF(B200&gt;MAX($F$8:F199)+nmax*Main!$B$84,B200,0),0)</f>
        <v>0</v>
      </c>
      <c r="G200">
        <f t="shared" ca="1" si="5"/>
        <v>0</v>
      </c>
    </row>
    <row r="201" spans="1:7" x14ac:dyDescent="0.25">
      <c r="A201">
        <v>165</v>
      </c>
      <c r="B201">
        <v>0.91319542448773028</v>
      </c>
      <c r="C201">
        <v>165.39570994881524</v>
      </c>
      <c r="D201" t="str">
        <f ca="1">INDEX(Main!$D$160:OFFSET(Main!$D$160,0,Main!$N$258),A201)</f>
        <v>Cover crop cs7.5%Cover crop ss 7.1%,Use reduced tillage 13%,Riparian buffers 0.8%,Perennial crop 2.5%</v>
      </c>
      <c r="E201">
        <f t="shared" ref="E201:E234" si="6">A201*B201</f>
        <v>150.6772450404755</v>
      </c>
      <c r="F201">
        <f>IF(B201&gt;MAX($B$8:B200),IF(B201&gt;MAX($F$8:F200)+nmax*Main!$B$84,B201,0),0)</f>
        <v>0</v>
      </c>
      <c r="G201">
        <f t="shared" ref="G201:G234" ca="1" si="7">IF($F$6&lt;&gt;0,ROUND(F201/$F$6,0),0)</f>
        <v>0</v>
      </c>
    </row>
    <row r="202" spans="1:7" x14ac:dyDescent="0.25">
      <c r="A202">
        <v>243</v>
      </c>
      <c r="B202">
        <v>1.0390043921661396</v>
      </c>
      <c r="C202">
        <v>165.68117876051701</v>
      </c>
      <c r="D202" t="str">
        <f ca="1">INDEX(Main!$D$160:OFFSET(Main!$D$160,0,Main!$N$258),A202)</f>
        <v>Control Drainage2.0%Tile intakes4.2%, Inj &amp; inc manure 2.4%,Preplant/starter 3.8%,Cover crop cs7.5%Cover crop ss 7.1%,Use reduced tillage 13%,Riparian buffers 0.8%</v>
      </c>
      <c r="E202">
        <f t="shared" si="6"/>
        <v>252.47806729637193</v>
      </c>
      <c r="F202">
        <f>IF(B202&gt;MAX($B$8:B201),IF(B202&gt;MAX($F$8:F201)+nmax*Main!$B$84,B202,0),0)</f>
        <v>0</v>
      </c>
      <c r="G202">
        <f t="shared" ca="1" si="7"/>
        <v>0</v>
      </c>
    </row>
    <row r="203" spans="1:7" x14ac:dyDescent="0.25">
      <c r="A203">
        <v>208</v>
      </c>
      <c r="B203">
        <v>0.9127958538967893</v>
      </c>
      <c r="C203">
        <v>168.24181673450209</v>
      </c>
      <c r="D203" t="str">
        <f ca="1">INDEX(Main!$D$160:OFFSET(Main!$D$160,0,Main!$N$258),A203)</f>
        <v>Control Drainage2.0%Tile intakes4.2%, Inj &amp; inc manure 2.4%,Cover crop cs7.5%Cover crop ss 7.1%,Use reduced tillage 13%,Perennial crop 2.5%</v>
      </c>
      <c r="E203">
        <f t="shared" si="6"/>
        <v>189.86153761053217</v>
      </c>
      <c r="F203">
        <f>IF(B203&gt;MAX($B$8:B202),IF(B203&gt;MAX($F$8:F202)+nmax*Main!$B$84,B203,0),0)</f>
        <v>0</v>
      </c>
      <c r="G203">
        <f t="shared" ca="1" si="7"/>
        <v>0</v>
      </c>
    </row>
    <row r="204" spans="1:7" x14ac:dyDescent="0.25">
      <c r="A204">
        <v>211</v>
      </c>
      <c r="B204">
        <v>0.95840631182087122</v>
      </c>
      <c r="C204">
        <v>172.20455910579344</v>
      </c>
      <c r="D204" t="str">
        <f ca="1">INDEX(Main!$D$160:OFFSET(Main!$D$160,0,Main!$N$258),A204)</f>
        <v>Control Drainage2.0%Tile intakes4.2%,Preplant/starter 3.8%,Cover crop cs7.5%Cover crop ss 7.1%,Use reduced tillage 13%,Riparian buffers 0.8%</v>
      </c>
      <c r="E204">
        <f t="shared" si="6"/>
        <v>202.22373179420381</v>
      </c>
      <c r="F204">
        <f>IF(B204&gt;MAX($B$8:B203),IF(B204&gt;MAX($F$8:F203)+nmax*Main!$B$84,B204,0),0)</f>
        <v>0</v>
      </c>
      <c r="G204">
        <f t="shared" ca="1" si="7"/>
        <v>0</v>
      </c>
    </row>
    <row r="205" spans="1:7" x14ac:dyDescent="0.25">
      <c r="A205">
        <v>70</v>
      </c>
      <c r="B205">
        <v>0.72349497160229159</v>
      </c>
      <c r="C205">
        <v>173.01829429004934</v>
      </c>
      <c r="D205" t="str">
        <f ca="1">INDEX(Main!$D$160:OFFSET(Main!$D$160,0,Main!$N$258),A205)</f>
        <v>Control Drainage2.0%Tile intakes4.2%,Cover crop cs7.5%Cover crop ss 7.1%,Use reduced tillage 13%</v>
      </c>
      <c r="E205">
        <f t="shared" si="6"/>
        <v>50.64464801216041</v>
      </c>
      <c r="F205">
        <f>IF(B205&gt;MAX($B$8:B204),IF(B205&gt;MAX($F$8:F204)+nmax*Main!$B$84,B205,0),0)</f>
        <v>0</v>
      </c>
      <c r="G205">
        <f t="shared" ca="1" si="7"/>
        <v>0</v>
      </c>
    </row>
    <row r="206" spans="1:7" x14ac:dyDescent="0.25">
      <c r="A206">
        <v>61</v>
      </c>
      <c r="B206">
        <v>0.24367052039867301</v>
      </c>
      <c r="C206">
        <v>173.98862037172611</v>
      </c>
      <c r="D206" t="str">
        <f ca="1">INDEX(Main!$D$160:OFFSET(Main!$D$160,0,Main!$N$258),A206)</f>
        <v>Control Drainage2.0%Tile intakes4.2%, Inj &amp; inc manure 2.4%,Preplant/starter 3.8%</v>
      </c>
      <c r="E206">
        <f t="shared" si="6"/>
        <v>14.863901744319055</v>
      </c>
      <c r="F206">
        <f>IF(B206&gt;MAX($B$8:B205),IF(B206&gt;MAX($F$8:F205)+nmax*Main!$B$84,B206,0),0)</f>
        <v>0</v>
      </c>
      <c r="G206">
        <f t="shared" ca="1" si="7"/>
        <v>0</v>
      </c>
    </row>
    <row r="207" spans="1:7" x14ac:dyDescent="0.25">
      <c r="A207">
        <v>248</v>
      </c>
      <c r="B207">
        <v>1.0680014938965399</v>
      </c>
      <c r="C207">
        <v>174.46882633529009</v>
      </c>
      <c r="D207" t="str">
        <f ca="1">INDEX(Main!$D$160:OFFSET(Main!$D$160,0,Main!$N$258),A207)</f>
        <v>Control Drainage2.0%Tile intakes4.2%,Preplant/starter 3.8%,Cover crop cs7.5%Cover crop ss 7.1%,Use reduced tillage 13%,Riparian buffers 0.8%,Perennial crop 2.5%</v>
      </c>
      <c r="E207">
        <f t="shared" si="6"/>
        <v>264.8643704863419</v>
      </c>
      <c r="F207">
        <f>IF(B207&gt;MAX($B$8:B206),IF(B207&gt;MAX($F$8:F206)+nmax*Main!$B$84,B207,0),0)</f>
        <v>0</v>
      </c>
      <c r="G207">
        <f t="shared" ca="1" si="7"/>
        <v>0</v>
      </c>
    </row>
    <row r="208" spans="1:7" x14ac:dyDescent="0.25">
      <c r="A208">
        <v>148</v>
      </c>
      <c r="B208">
        <v>0.83359287851214026</v>
      </c>
      <c r="C208">
        <v>175.70795106674615</v>
      </c>
      <c r="D208" t="str">
        <f ca="1">INDEX(Main!$D$160:OFFSET(Main!$D$160,0,Main!$N$258),A208)</f>
        <v>Control Drainage2.0%Tile intakes4.2%,Cover crop cs7.5%Cover crop ss 7.1%,Use reduced tillage 13%,Perennial crop 2.5%</v>
      </c>
      <c r="E208">
        <f t="shared" si="6"/>
        <v>123.37174601979676</v>
      </c>
      <c r="F208">
        <f>IF(B208&gt;MAX($B$8:B207),IF(B208&gt;MAX($F$8:F207)+nmax*Main!$B$84,B208,0),0)</f>
        <v>0</v>
      </c>
      <c r="G208">
        <f t="shared" ca="1" si="7"/>
        <v>0</v>
      </c>
    </row>
    <row r="209" spans="1:7" x14ac:dyDescent="0.25">
      <c r="A209">
        <v>69</v>
      </c>
      <c r="B209">
        <v>0.28795210741297911</v>
      </c>
      <c r="C209">
        <v>180.23063991383685</v>
      </c>
      <c r="D209" t="str">
        <f ca="1">INDEX(Main!$D$160:OFFSET(Main!$D$160,0,Main!$N$258),A209)</f>
        <v>Control Drainage2.0%Tile intakes4.2%,Preplant/starter 3.8%,Perennial crop 2.5%</v>
      </c>
      <c r="E209">
        <f t="shared" si="6"/>
        <v>19.868695411495558</v>
      </c>
      <c r="F209">
        <f>IF(B209&gt;MAX($B$8:B208),IF(B209&gt;MAX($F$8:F208)+nmax*Main!$B$84,B209,0),0)</f>
        <v>0</v>
      </c>
      <c r="G209">
        <f t="shared" ca="1" si="7"/>
        <v>0</v>
      </c>
    </row>
    <row r="210" spans="1:7" x14ac:dyDescent="0.25">
      <c r="A210">
        <v>216</v>
      </c>
      <c r="B210">
        <v>0.90248570778444415</v>
      </c>
      <c r="C210">
        <v>184.42337923231096</v>
      </c>
      <c r="D210" t="str">
        <f ca="1">INDEX(Main!$D$160:OFFSET(Main!$D$160,0,Main!$N$258),A210)</f>
        <v xml:space="preserve"> Inj &amp; inc manure 2.4%,Preplant/starter 3.8%,Cover crop cs7.5%Cover crop ss 7.1%,Use reduced tillage 13%,Riparian buffers 0.8%</v>
      </c>
      <c r="E210">
        <f t="shared" si="6"/>
        <v>194.93691288143992</v>
      </c>
      <c r="F210">
        <f>IF(B210&gt;MAX($B$8:B209),IF(B210&gt;MAX($F$8:F209)+nmax*Main!$B$84,B210,0),0)</f>
        <v>0</v>
      </c>
      <c r="G210">
        <f t="shared" ca="1" si="7"/>
        <v>0</v>
      </c>
    </row>
    <row r="211" spans="1:7" x14ac:dyDescent="0.25">
      <c r="A211">
        <v>249</v>
      </c>
      <c r="B211">
        <v>1.0100083500929509</v>
      </c>
      <c r="C211">
        <v>185.87024029488211</v>
      </c>
      <c r="D211" t="str">
        <f ca="1">INDEX(Main!$D$160:OFFSET(Main!$D$160,0,Main!$N$258),A211)</f>
        <v xml:space="preserve"> Inj &amp; inc manure 2.4%,Preplant/starter 3.8%,Cover crop cs7.5%Cover crop ss 7.1%,Use reduced tillage 13%,Riparian buffers 0.8%,Perennial crop 2.5%</v>
      </c>
      <c r="E211">
        <f t="shared" si="6"/>
        <v>251.49207917314476</v>
      </c>
      <c r="F211">
        <f>IF(B211&gt;MAX($B$8:B210),IF(B211&gt;MAX($F$8:F210)+nmax*Main!$B$84,B211,0),0)</f>
        <v>0</v>
      </c>
      <c r="G211">
        <f t="shared" ca="1" si="7"/>
        <v>0</v>
      </c>
    </row>
    <row r="212" spans="1:7" x14ac:dyDescent="0.25">
      <c r="A212">
        <v>80</v>
      </c>
      <c r="B212">
        <v>0.66825180237240622</v>
      </c>
      <c r="C212">
        <v>189.41272291648247</v>
      </c>
      <c r="D212" t="str">
        <f ca="1">INDEX(Main!$D$160:OFFSET(Main!$D$160,0,Main!$N$258),A212)</f>
        <v xml:space="preserve"> Inj &amp; inc manure 2.4%,Cover crop cs7.5%Cover crop ss 7.1%,Use reduced tillage 13%</v>
      </c>
      <c r="E212">
        <f t="shared" si="6"/>
        <v>53.460144189792501</v>
      </c>
      <c r="F212">
        <f>IF(B212&gt;MAX($B$8:B211),IF(B212&gt;MAX($F$8:F211)+nmax*Main!$B$84,B212,0),0)</f>
        <v>0</v>
      </c>
      <c r="G212">
        <f t="shared" ca="1" si="7"/>
        <v>0</v>
      </c>
    </row>
    <row r="213" spans="1:7" x14ac:dyDescent="0.25">
      <c r="A213">
        <v>158</v>
      </c>
      <c r="B213">
        <v>0.77627716951509373</v>
      </c>
      <c r="C213">
        <v>190.48148017378028</v>
      </c>
      <c r="D213" t="str">
        <f ca="1">INDEX(Main!$D$160:OFFSET(Main!$D$160,0,Main!$N$258),A213)</f>
        <v xml:space="preserve"> Inj &amp; inc manure 2.4%,Cover crop cs7.5%Cover crop ss 7.1%,Use reduced tillage 13%,Perennial crop 2.5%</v>
      </c>
      <c r="E213">
        <f t="shared" si="6"/>
        <v>122.65179278338481</v>
      </c>
      <c r="F213">
        <f>IF(B213&gt;MAX($B$8:B212),IF(B213&gt;MAX($F$8:F212)+nmax*Main!$B$84,B213,0),0)</f>
        <v>0</v>
      </c>
      <c r="G213">
        <f t="shared" ca="1" si="7"/>
        <v>0</v>
      </c>
    </row>
    <row r="214" spans="1:7" x14ac:dyDescent="0.25">
      <c r="A214">
        <v>161</v>
      </c>
      <c r="B214">
        <v>0.82188762743917576</v>
      </c>
      <c r="C214">
        <v>193.86826441811257</v>
      </c>
      <c r="D214" t="str">
        <f ca="1">INDEX(Main!$D$160:OFFSET(Main!$D$160,0,Main!$N$258),A214)</f>
        <v>Preplant/starter 3.8%,Cover crop cs7.5%Cover crop ss 7.1%,Use reduced tillage 13%,Riparian buffers 0.8%</v>
      </c>
      <c r="E214">
        <f t="shared" si="6"/>
        <v>132.32390801770731</v>
      </c>
      <c r="F214">
        <f>IF(B214&gt;MAX($B$8:B213),IF(B214&gt;MAX($F$8:F213)+nmax*Main!$B$84,B214,0),0)</f>
        <v>0</v>
      </c>
      <c r="G214">
        <f t="shared" ca="1" si="7"/>
        <v>0</v>
      </c>
    </row>
    <row r="215" spans="1:7" x14ac:dyDescent="0.25">
      <c r="A215">
        <v>221</v>
      </c>
      <c r="B215">
        <v>0.93148280951484397</v>
      </c>
      <c r="C215">
        <v>193.91550421158675</v>
      </c>
      <c r="D215" t="str">
        <f ca="1">INDEX(Main!$D$160:OFFSET(Main!$D$160,0,Main!$N$258),A215)</f>
        <v>Preplant/starter 3.8%,Cover crop cs7.5%Cover crop ss 7.1%,Use reduced tillage 13%,Riparian buffers 0.8%,Perennial crop 2.5%</v>
      </c>
      <c r="E215">
        <f t="shared" si="6"/>
        <v>205.85770090278052</v>
      </c>
      <c r="F215">
        <f>IF(B215&gt;MAX($B$8:B214),IF(B215&gt;MAX($F$8:F214)+nmax*Main!$B$84,B215,0),0)</f>
        <v>0</v>
      </c>
      <c r="G215">
        <f t="shared" ca="1" si="7"/>
        <v>0</v>
      </c>
    </row>
    <row r="216" spans="1:7" x14ac:dyDescent="0.25">
      <c r="A216">
        <v>201</v>
      </c>
      <c r="B216">
        <v>0.82369754079165891</v>
      </c>
      <c r="C216">
        <v>196.51601112580573</v>
      </c>
      <c r="D216" t="str">
        <f ca="1">INDEX(Main!$D$160:OFFSET(Main!$D$160,0,Main!$N$258),A216)</f>
        <v>Control Drainage2.0%Tile intakes4.2%, Inj &amp; inc manure 2.4%,Preplant/starter 3.8%,Cover crop cs7.5%Cover crop ss 7.1%,Use reduced tillage 13%</v>
      </c>
      <c r="E216">
        <f t="shared" si="6"/>
        <v>165.56320569912344</v>
      </c>
      <c r="F216">
        <f>IF(B216&gt;MAX($B$8:B215),IF(B216&gt;MAX($F$8:F215)+nmax*Main!$B$84,B216,0),0)</f>
        <v>0</v>
      </c>
      <c r="G216">
        <f t="shared" ca="1" si="7"/>
        <v>0</v>
      </c>
    </row>
    <row r="217" spans="1:7" x14ac:dyDescent="0.25">
      <c r="A217">
        <v>244</v>
      </c>
      <c r="B217">
        <v>0.93124092708381079</v>
      </c>
      <c r="C217">
        <v>196.6846393416418</v>
      </c>
      <c r="D217" t="str">
        <f ca="1">INDEX(Main!$D$160:OFFSET(Main!$D$160,0,Main!$N$258),A217)</f>
        <v>Control Drainage2.0%Tile intakes4.2%, Inj &amp; inc manure 2.4%,Preplant/starter 3.8%,Cover crop cs7.5%Cover crop ss 7.1%,Use reduced tillage 13%,Perennial crop 2.5%</v>
      </c>
      <c r="E217">
        <f t="shared" si="6"/>
        <v>227.22278620844983</v>
      </c>
      <c r="F217">
        <f>IF(B217&gt;MAX($B$8:B216),IF(B217&gt;MAX($F$8:F216)+nmax*Main!$B$84,B217,0),0)</f>
        <v>0</v>
      </c>
      <c r="G217">
        <f t="shared" ca="1" si="7"/>
        <v>0</v>
      </c>
    </row>
    <row r="218" spans="1:7" x14ac:dyDescent="0.25">
      <c r="A218">
        <v>93</v>
      </c>
      <c r="B218">
        <v>0.69707419413044491</v>
      </c>
      <c r="C218">
        <v>201.93673700663231</v>
      </c>
      <c r="D218" t="str">
        <f ca="1">INDEX(Main!$D$160:OFFSET(Main!$D$160,0,Main!$N$258),A218)</f>
        <v>Cover crop cs7.5%Cover crop ss 7.1%,Use reduced tillage 13%,Perennial crop 2.5%</v>
      </c>
      <c r="E218">
        <f t="shared" si="6"/>
        <v>64.827900054131376</v>
      </c>
      <c r="F218">
        <f>IF(B218&gt;MAX($B$8:B217),IF(B218&gt;MAX($F$8:F217)+nmax*Main!$B$84,B218,0),0)</f>
        <v>0</v>
      </c>
      <c r="G218">
        <f t="shared" ca="1" si="7"/>
        <v>0</v>
      </c>
    </row>
    <row r="219" spans="1:7" x14ac:dyDescent="0.25">
      <c r="A219">
        <v>34</v>
      </c>
      <c r="B219">
        <v>0.5869762872205958</v>
      </c>
      <c r="C219">
        <v>203.54119923107976</v>
      </c>
      <c r="D219" t="str">
        <f ca="1">INDEX(Main!$D$160:OFFSET(Main!$D$160,0,Main!$N$258),A219)</f>
        <v>Cover crop cs7.5%Cover crop ss 7.1%,Use reduced tillage 13%</v>
      </c>
      <c r="E219">
        <f t="shared" si="6"/>
        <v>19.957193765500257</v>
      </c>
      <c r="F219">
        <f>IF(B219&gt;MAX($B$8:B218),IF(B219&gt;MAX($F$8:F218)+nmax*Main!$B$84,B219,0),0)</f>
        <v>0</v>
      </c>
      <c r="G219">
        <f t="shared" ca="1" si="7"/>
        <v>0</v>
      </c>
    </row>
    <row r="220" spans="1:7" x14ac:dyDescent="0.25">
      <c r="A220">
        <v>212</v>
      </c>
      <c r="B220">
        <v>0.85203795169916186</v>
      </c>
      <c r="C220">
        <v>206.63310768309628</v>
      </c>
      <c r="D220" t="str">
        <f ca="1">INDEX(Main!$D$160:OFFSET(Main!$D$160,0,Main!$N$258),A220)</f>
        <v>Control Drainage2.0%Tile intakes4.2%,Preplant/starter 3.8%,Cover crop cs7.5%Cover crop ss 7.1%,Use reduced tillage 13%,Perennial crop 2.5%</v>
      </c>
      <c r="E220">
        <f t="shared" si="6"/>
        <v>180.63204576022233</v>
      </c>
      <c r="F220">
        <f>IF(B220&gt;MAX($B$8:B219),IF(B220&gt;MAX($F$8:F219)+nmax*Main!$B$84,B220,0),0)</f>
        <v>0</v>
      </c>
      <c r="G220">
        <f t="shared" ca="1" si="7"/>
        <v>0</v>
      </c>
    </row>
    <row r="221" spans="1:7" x14ac:dyDescent="0.25">
      <c r="A221">
        <v>141</v>
      </c>
      <c r="B221">
        <v>0.7424220256398486</v>
      </c>
      <c r="C221">
        <v>208.46393787550863</v>
      </c>
      <c r="D221" t="str">
        <f ca="1">INDEX(Main!$D$160:OFFSET(Main!$D$160,0,Main!$N$258),A221)</f>
        <v>Control Drainage2.0%Tile intakes4.2%,Preplant/starter 3.8%,Cover crop cs7.5%Cover crop ss 7.1%,Use reduced tillage 13%</v>
      </c>
      <c r="E221">
        <f t="shared" si="6"/>
        <v>104.68150561521865</v>
      </c>
      <c r="F221">
        <f>IF(B221&gt;MAX($B$8:B220),IF(B221&gt;MAX($F$8:F220)+nmax*Main!$B$84,B221,0),0)</f>
        <v>0</v>
      </c>
      <c r="G221">
        <f t="shared" ca="1" si="7"/>
        <v>0</v>
      </c>
    </row>
    <row r="222" spans="1:7" x14ac:dyDescent="0.25">
      <c r="A222">
        <v>20</v>
      </c>
      <c r="B222">
        <v>0.15891794190669462</v>
      </c>
      <c r="C222">
        <v>222.09173606105622</v>
      </c>
      <c r="D222" t="str">
        <f ca="1">INDEX(Main!$D$160:OFFSET(Main!$D$160,0,Main!$N$258),A222)</f>
        <v>Control Drainage2.0%Tile intakes4.2%,Preplant/starter 3.8%</v>
      </c>
      <c r="E222">
        <f t="shared" si="6"/>
        <v>3.1783588381338923</v>
      </c>
      <c r="F222">
        <f>IF(B222&gt;MAX($B$8:B221),IF(B222&gt;MAX($F$8:F221)+nmax*Main!$B$84,B222,0),0)</f>
        <v>0</v>
      </c>
      <c r="G222">
        <f t="shared" ca="1" si="7"/>
        <v>0</v>
      </c>
    </row>
    <row r="223" spans="1:7" x14ac:dyDescent="0.25">
      <c r="A223">
        <v>217</v>
      </c>
      <c r="B223">
        <v>0.79472224270211522</v>
      </c>
      <c r="C223">
        <v>223.29408673314558</v>
      </c>
      <c r="D223" t="str">
        <f ca="1">INDEX(Main!$D$160:OFFSET(Main!$D$160,0,Main!$N$258),A223)</f>
        <v xml:space="preserve"> Inj &amp; inc manure 2.4%,Preplant/starter 3.8%,Cover crop cs7.5%Cover crop ss 7.1%,Use reduced tillage 13%,Perennial crop 2.5%</v>
      </c>
      <c r="E223">
        <f t="shared" si="6"/>
        <v>172.45472666635899</v>
      </c>
      <c r="F223">
        <f>IF(B223&gt;MAX($B$8:B222),IF(B223&gt;MAX($F$8:F222)+nmax*Main!$B$84,B223,0),0)</f>
        <v>0</v>
      </c>
      <c r="G223">
        <f t="shared" ca="1" si="7"/>
        <v>0</v>
      </c>
    </row>
    <row r="224" spans="1:7" x14ac:dyDescent="0.25">
      <c r="A224">
        <v>151</v>
      </c>
      <c r="B224">
        <v>0.68717885640996335</v>
      </c>
      <c r="C224">
        <v>227.25633238106542</v>
      </c>
      <c r="D224" t="str">
        <f ca="1">INDEX(Main!$D$160:OFFSET(Main!$D$160,0,Main!$N$258),A224)</f>
        <v xml:space="preserve"> Inj &amp; inc manure 2.4%,Preplant/starter 3.8%,Cover crop cs7.5%Cover crop ss 7.1%,Use reduced tillage 13%</v>
      </c>
      <c r="E224">
        <f t="shared" si="6"/>
        <v>103.76400731790447</v>
      </c>
      <c r="F224">
        <f>IF(B224&gt;MAX($B$8:B223),IF(B224&gt;MAX($F$8:F223)+nmax*Main!$B$84,B224,0),0)</f>
        <v>0</v>
      </c>
      <c r="G224">
        <f t="shared" ca="1" si="7"/>
        <v>0</v>
      </c>
    </row>
    <row r="225" spans="1:7" x14ac:dyDescent="0.25">
      <c r="A225">
        <v>79</v>
      </c>
      <c r="B225">
        <v>0.23123397303066617</v>
      </c>
      <c r="C225">
        <v>230.48222305837166</v>
      </c>
      <c r="D225" t="str">
        <f ca="1">INDEX(Main!$D$160:OFFSET(Main!$D$160,0,Main!$N$258),A225)</f>
        <v xml:space="preserve"> Inj &amp; inc manure 2.4%,Preplant/starter 3.8%,Perennial crop 2.5%</v>
      </c>
      <c r="E225">
        <f t="shared" si="6"/>
        <v>18.267483869422627</v>
      </c>
      <c r="F225">
        <f>IF(B225&gt;MAX($B$8:B224),IF(B225&gt;MAX($F$8:F224)+nmax*Main!$B$84,B225,0),0)</f>
        <v>0</v>
      </c>
      <c r="G225">
        <f t="shared" ca="1" si="7"/>
        <v>0</v>
      </c>
    </row>
    <row r="226" spans="1:7" x14ac:dyDescent="0.25">
      <c r="A226">
        <v>162</v>
      </c>
      <c r="B226">
        <v>0.71551926731746618</v>
      </c>
      <c r="C226">
        <v>238.08616918066022</v>
      </c>
      <c r="D226" t="str">
        <f ca="1">INDEX(Main!$D$160:OFFSET(Main!$D$160,0,Main!$N$258),A226)</f>
        <v>Preplant/starter 3.8%,Cover crop cs7.5%Cover crop ss 7.1%,Use reduced tillage 13%,Perennial crop 2.5%</v>
      </c>
      <c r="E226">
        <f t="shared" si="6"/>
        <v>115.91412130542952</v>
      </c>
      <c r="F226">
        <f>IF(B226&gt;MAX($B$8:B225),IF(B226&gt;MAX($F$8:F225)+nmax*Main!$B$84,B226,0),0)</f>
        <v>0</v>
      </c>
      <c r="G226">
        <f t="shared" ca="1" si="7"/>
        <v>0</v>
      </c>
    </row>
    <row r="227" spans="1:7" x14ac:dyDescent="0.25">
      <c r="A227">
        <v>86</v>
      </c>
      <c r="B227">
        <v>0.60590334125815282</v>
      </c>
      <c r="C227">
        <v>246.01978630435474</v>
      </c>
      <c r="D227" t="str">
        <f ca="1">INDEX(Main!$D$160:OFFSET(Main!$D$160,0,Main!$N$258),A227)</f>
        <v>Preplant/starter 3.8%,Cover crop cs7.5%Cover crop ss 7.1%,Use reduced tillage 13%</v>
      </c>
      <c r="E227">
        <f t="shared" si="6"/>
        <v>52.107687348201139</v>
      </c>
      <c r="F227">
        <f>IF(B227&gt;MAX($B$8:B226),IF(B227&gt;MAX($F$8:F226)+nmax*Main!$B$84,B227,0),0)</f>
        <v>0</v>
      </c>
      <c r="G227">
        <f t="shared" ca="1" si="7"/>
        <v>0</v>
      </c>
    </row>
    <row r="228" spans="1:7" x14ac:dyDescent="0.25">
      <c r="A228">
        <v>209</v>
      </c>
      <c r="B228">
        <v>0.85002497878087802</v>
      </c>
      <c r="C228">
        <v>269.07678635134619</v>
      </c>
      <c r="D228" t="str">
        <f ca="1">INDEX(Main!$D$160:OFFSET(Main!$D$160,0,Main!$N$258),A228)</f>
        <v>Control Drainage2.0%Tile intakes4.2%, Inj &amp; inc manure 2.4%,Cover crop cs7.5%Cover crop ss 7.1%,Riparian buffers 0.8%,Perennial crop 2.5%</v>
      </c>
      <c r="E228">
        <f t="shared" si="6"/>
        <v>177.65522056520351</v>
      </c>
      <c r="F228">
        <f>IF(B228&gt;MAX($B$8:B227),IF(B228&gt;MAX($F$8:F227)+nmax*Main!$B$84,B228,0),0)</f>
        <v>0</v>
      </c>
      <c r="G228">
        <f t="shared" ca="1" si="7"/>
        <v>0</v>
      </c>
    </row>
    <row r="229" spans="1:7" x14ac:dyDescent="0.25">
      <c r="A229">
        <v>149</v>
      </c>
      <c r="B229">
        <v>0.77059222307127495</v>
      </c>
      <c r="C229">
        <v>287.59757354586435</v>
      </c>
      <c r="D229" t="str">
        <f ca="1">INDEX(Main!$D$160:OFFSET(Main!$D$160,0,Main!$N$258),A229)</f>
        <v>Control Drainage2.0%Tile intakes4.2%,Cover crop cs7.5%Cover crop ss 7.1%,Riparian buffers 0.8%,Perennial crop 2.5%</v>
      </c>
      <c r="E229">
        <f t="shared" si="6"/>
        <v>114.81824123761997</v>
      </c>
      <c r="F229">
        <f>IF(B229&gt;MAX($B$8:B228),IF(B229&gt;MAX($F$8:F228)+nmax*Main!$B$84,B229,0),0)</f>
        <v>0</v>
      </c>
      <c r="G229">
        <f t="shared" ca="1" si="7"/>
        <v>0</v>
      </c>
    </row>
    <row r="230" spans="1:7" x14ac:dyDescent="0.25">
      <c r="A230">
        <v>136</v>
      </c>
      <c r="B230">
        <v>0.72650482974687747</v>
      </c>
      <c r="C230">
        <v>291.97129867445364</v>
      </c>
      <c r="D230" t="str">
        <f ca="1">INDEX(Main!$D$160:OFFSET(Main!$D$160,0,Main!$N$258),A230)</f>
        <v>Control Drainage2.0%Tile intakes4.2%, Inj &amp; inc manure 2.4%,Cover crop cs7.5%Cover crop ss 7.1%,Riparian buffers 0.8%</v>
      </c>
      <c r="E230">
        <f t="shared" si="6"/>
        <v>98.804656845575337</v>
      </c>
      <c r="F230">
        <f>IF(B230&gt;MAX($B$8:B229),IF(B230&gt;MAX($F$8:F229)+nmax*Main!$B$84,B230,0),0)</f>
        <v>0</v>
      </c>
      <c r="G230">
        <f t="shared" ca="1" si="7"/>
        <v>0</v>
      </c>
    </row>
    <row r="231" spans="1:7" x14ac:dyDescent="0.25">
      <c r="A231">
        <v>245</v>
      </c>
      <c r="B231">
        <v>0.86851473596974382</v>
      </c>
      <c r="C231">
        <v>297.41849162368976</v>
      </c>
      <c r="D231" t="str">
        <f ca="1">INDEX(Main!$D$160:OFFSET(Main!$D$160,0,Main!$N$258),A231)</f>
        <v>Control Drainage2.0%Tile intakes4.2%, Inj &amp; inc manure 2.4%,Preplant/starter 3.8%,Cover crop cs7.5%Cover crop ss 7.1%,Riparian buffers 0.8%,Perennial crop 2.5%</v>
      </c>
      <c r="E231">
        <f t="shared" si="6"/>
        <v>212.78611031258723</v>
      </c>
      <c r="F231">
        <f>IF(B231&gt;MAX($B$8:B230),IF(B231&gt;MAX($F$8:F230)+nmax*Main!$B$84,B231,0),0)</f>
        <v>0</v>
      </c>
      <c r="G231">
        <f t="shared" ca="1" si="7"/>
        <v>0</v>
      </c>
    </row>
    <row r="232" spans="1:7" x14ac:dyDescent="0.25">
      <c r="A232">
        <v>33</v>
      </c>
      <c r="B232">
        <v>0.14860675636452336</v>
      </c>
      <c r="C232">
        <v>310.84578669693298</v>
      </c>
      <c r="D232" t="str">
        <f ca="1">INDEX(Main!$D$160:OFFSET(Main!$D$160,0,Main!$N$258),A232)</f>
        <v>Preplant/starter 3.8%,Perennial crop 2.5%</v>
      </c>
      <c r="E232">
        <f t="shared" si="6"/>
        <v>4.9040229600292706</v>
      </c>
      <c r="F232">
        <f>IF(B232&gt;MAX($B$8:B231),IF(B232&gt;MAX($F$8:F231)+nmax*Main!$B$84,B232,0),0)</f>
        <v>0</v>
      </c>
      <c r="G232">
        <f t="shared" ca="1" si="7"/>
        <v>0</v>
      </c>
    </row>
    <row r="233" spans="1:7" x14ac:dyDescent="0.25">
      <c r="A233">
        <v>159</v>
      </c>
      <c r="B233">
        <v>0.71350629439918245</v>
      </c>
      <c r="C233">
        <v>312.56624204493642</v>
      </c>
      <c r="D233" t="str">
        <f ca="1">INDEX(Main!$D$160:OFFSET(Main!$D$160,0,Main!$N$258),A233)</f>
        <v xml:space="preserve"> Inj &amp; inc manure 2.4%,Cover crop cs7.5%Cover crop ss 7.1%,Riparian buffers 0.8%,Perennial crop 2.5%</v>
      </c>
      <c r="E233">
        <f t="shared" si="6"/>
        <v>113.44750080947001</v>
      </c>
      <c r="F233">
        <f>IF(B233&gt;MAX($B$8:B232),IF(B233&gt;MAX($F$8:F232)+nmax*Main!$B$84,B233,0),0)</f>
        <v>0</v>
      </c>
      <c r="G233">
        <f t="shared" ca="1" si="7"/>
        <v>0</v>
      </c>
    </row>
    <row r="234" spans="1:7" x14ac:dyDescent="0.25">
      <c r="A234">
        <v>71</v>
      </c>
      <c r="B234">
        <v>0.64501145590618814</v>
      </c>
      <c r="C234">
        <v>317.85020358484763</v>
      </c>
      <c r="D234" t="str">
        <f ca="1">INDEX(Main!$D$160:OFFSET(Main!$D$160,0,Main!$N$258),A234)</f>
        <v>Control Drainage2.0%Tile intakes4.2%,Cover crop cs7.5%Cover crop ss 7.1%,Riparian buffers 0.8%</v>
      </c>
      <c r="E234">
        <f t="shared" si="6"/>
        <v>45.795813369339356</v>
      </c>
      <c r="F234">
        <f>IF(B234&gt;MAX($B$8:B233),IF(B234&gt;MAX($F$8:F233)+nmax*Main!$B$84,B234,0),0)</f>
        <v>0</v>
      </c>
      <c r="G234">
        <f t="shared" ca="1" si="7"/>
        <v>0</v>
      </c>
    </row>
    <row r="235" spans="1:7" x14ac:dyDescent="0.25">
      <c r="A235">
        <v>213</v>
      </c>
      <c r="B235">
        <v>0.78908198026014098</v>
      </c>
      <c r="C235">
        <v>318.3583112392613</v>
      </c>
      <c r="D235" t="str">
        <f ca="1">INDEX(Main!$D$160:OFFSET(Main!$D$160,0,Main!$N$258),A235)</f>
        <v>Control Drainage2.0%Tile intakes4.2%,Preplant/starter 3.8%,Cover crop cs7.5%Cover crop ss 7.1%,Riparian buffers 0.8%,Perennial crop 2.5%</v>
      </c>
      <c r="E235">
        <f t="shared" ref="E235:E263" si="8">A235*B235</f>
        <v>168.07446179541003</v>
      </c>
      <c r="F235">
        <f>IF(B235&gt;MAX($B$8:B234),IF(B235&gt;MAX($F$8:F234)+nmax*Main!$B$84,B235,0),0)</f>
        <v>0</v>
      </c>
      <c r="G235">
        <f t="shared" ref="G235:G263" ca="1" si="9">IF($F$6&lt;&gt;0,ROUND(F235/$F$6,0),0)</f>
        <v>0</v>
      </c>
    </row>
    <row r="236" spans="1:7" x14ac:dyDescent="0.25">
      <c r="A236">
        <v>202</v>
      </c>
      <c r="B236">
        <v>0.74547424206746293</v>
      </c>
      <c r="C236">
        <v>324.2350950724375</v>
      </c>
      <c r="D236" t="str">
        <f ca="1">INDEX(Main!$D$160:OFFSET(Main!$D$160,0,Main!$N$258),A236)</f>
        <v>Control Drainage2.0%Tile intakes4.2%, Inj &amp; inc manure 2.4%,Preplant/starter 3.8%,Cover crop cs7.5%Cover crop ss 7.1%,Riparian buffers 0.8%</v>
      </c>
      <c r="E236">
        <f t="shared" si="8"/>
        <v>150.58579689762752</v>
      </c>
      <c r="F236">
        <f>IF(B236&gt;MAX($B$8:B235),IF(B236&gt;MAX($F$8:F235)+nmax*Main!$B$84,B236,0),0)</f>
        <v>0</v>
      </c>
      <c r="G236">
        <f t="shared" ca="1" si="9"/>
        <v>0</v>
      </c>
    </row>
    <row r="237" spans="1:7" x14ac:dyDescent="0.25">
      <c r="A237">
        <v>94</v>
      </c>
      <c r="B237">
        <v>0.63407353868957939</v>
      </c>
      <c r="C237">
        <v>340.52271839299698</v>
      </c>
      <c r="D237" t="str">
        <f ca="1">INDEX(Main!$D$160:OFFSET(Main!$D$160,0,Main!$N$258),A237)</f>
        <v>Cover crop cs7.5%Cover crop ss 7.1%,Riparian buffers 0.8%,Perennial crop 2.5%</v>
      </c>
      <c r="E237">
        <f t="shared" si="8"/>
        <v>59.602912636820463</v>
      </c>
      <c r="F237">
        <f>IF(B237&gt;MAX($B$8:B236),IF(B237&gt;MAX($F$8:F236)+nmax*Main!$B$84,B237,0),0)</f>
        <v>0</v>
      </c>
      <c r="G237">
        <f t="shared" ca="1" si="9"/>
        <v>0</v>
      </c>
    </row>
    <row r="238" spans="1:7" x14ac:dyDescent="0.25">
      <c r="A238">
        <v>218</v>
      </c>
      <c r="B238">
        <v>0.73199605158804826</v>
      </c>
      <c r="C238">
        <v>345.09521422154006</v>
      </c>
      <c r="D238" t="str">
        <f ca="1">INDEX(Main!$D$160:OFFSET(Main!$D$160,0,Main!$N$258),A238)</f>
        <v xml:space="preserve"> Inj &amp; inc manure 2.4%,Preplant/starter 3.8%,Cover crop cs7.5%Cover crop ss 7.1%,Riparian buffers 0.8%,Perennial crop 2.5%</v>
      </c>
      <c r="E238">
        <f t="shared" si="8"/>
        <v>159.57513924619451</v>
      </c>
      <c r="F238">
        <f>IF(B238&gt;MAX($B$8:B237),IF(B238&gt;MAX($F$8:F237)+nmax*Main!$B$84,B238,0),0)</f>
        <v>0</v>
      </c>
      <c r="G238">
        <f t="shared" ca="1" si="9"/>
        <v>0</v>
      </c>
    </row>
    <row r="239" spans="1:7" x14ac:dyDescent="0.25">
      <c r="A239">
        <v>137</v>
      </c>
      <c r="B239">
        <v>0.63251608927489467</v>
      </c>
      <c r="C239">
        <v>345.36397725191006</v>
      </c>
      <c r="D239" t="str">
        <f ca="1">INDEX(Main!$D$160:OFFSET(Main!$D$160,0,Main!$N$258),A239)</f>
        <v>Control Drainage2.0%Tile intakes4.2%, Inj &amp; inc manure 2.4%,Cover crop cs7.5%Cover crop ss 7.1%,Perennial crop 2.5%</v>
      </c>
      <c r="E239">
        <f t="shared" si="8"/>
        <v>86.65470423066057</v>
      </c>
      <c r="F239">
        <f>IF(B239&gt;MAX($B$8:B238),IF(B239&gt;MAX($F$8:F238)+nmax*Main!$B$84,B239,0),0)</f>
        <v>0</v>
      </c>
      <c r="G239">
        <f t="shared" ca="1" si="9"/>
        <v>0</v>
      </c>
    </row>
    <row r="240" spans="1:7" x14ac:dyDescent="0.25">
      <c r="A240">
        <v>81</v>
      </c>
      <c r="B240">
        <v>0.58998614536518168</v>
      </c>
      <c r="C240">
        <v>349.86338537445749</v>
      </c>
      <c r="D240" t="str">
        <f ca="1">INDEX(Main!$D$160:OFFSET(Main!$D$160,0,Main!$N$258),A240)</f>
        <v xml:space="preserve"> Inj &amp; inc manure 2.4%,Cover crop cs7.5%Cover crop ss 7.1%,Riparian buffers 0.8%</v>
      </c>
      <c r="E240">
        <f t="shared" si="8"/>
        <v>47.788877774579717</v>
      </c>
      <c r="F240">
        <f>IF(B240&gt;MAX($B$8:B239),IF(B240&gt;MAX($F$8:F239)+nmax*Main!$B$84,B240,0),0)</f>
        <v>0</v>
      </c>
      <c r="G240">
        <f t="shared" ca="1" si="9"/>
        <v>0</v>
      </c>
    </row>
    <row r="241" spans="1:7" x14ac:dyDescent="0.25">
      <c r="A241">
        <v>25</v>
      </c>
      <c r="B241">
        <v>0.10432516935021729</v>
      </c>
      <c r="C241">
        <v>351.70696970816698</v>
      </c>
      <c r="D241" t="str">
        <f ca="1">INDEX(Main!$D$160:OFFSET(Main!$D$160,0,Main!$N$258),A241)</f>
        <v xml:space="preserve"> Inj &amp; inc manure 2.4%,Preplant/starter 3.8%</v>
      </c>
      <c r="E241">
        <f t="shared" si="8"/>
        <v>2.6081292337554323</v>
      </c>
      <c r="F241">
        <f>IF(B241&gt;MAX($B$8:B240),IF(B241&gt;MAX($F$8:F240)+nmax*Main!$B$84,B241,0),0)</f>
        <v>0</v>
      </c>
      <c r="G241">
        <f t="shared" ca="1" si="9"/>
        <v>0</v>
      </c>
    </row>
    <row r="242" spans="1:7" x14ac:dyDescent="0.25">
      <c r="A242">
        <v>142</v>
      </c>
      <c r="B242">
        <v>0.66398086822677371</v>
      </c>
      <c r="C242">
        <v>353.33454157680995</v>
      </c>
      <c r="D242" t="str">
        <f ca="1">INDEX(Main!$D$160:OFFSET(Main!$D$160,0,Main!$N$258),A242)</f>
        <v>Control Drainage2.0%Tile intakes4.2%,Preplant/starter 3.8%,Cover crop cs7.5%Cover crop ss 7.1%,Riparian buffers 0.8%</v>
      </c>
      <c r="E242">
        <f t="shared" si="8"/>
        <v>94.285283288201867</v>
      </c>
      <c r="F242">
        <f>IF(B242&gt;MAX($B$8:B241),IF(B242&gt;MAX($F$8:F241)+nmax*Main!$B$84,B242,0),0)</f>
        <v>0</v>
      </c>
      <c r="G242">
        <f t="shared" ca="1" si="9"/>
        <v>0</v>
      </c>
    </row>
    <row r="243" spans="1:7" x14ac:dyDescent="0.25">
      <c r="A243">
        <v>7</v>
      </c>
      <c r="B243">
        <v>0.2435157781897489</v>
      </c>
      <c r="C243">
        <v>375.48870746374217</v>
      </c>
      <c r="D243" t="str">
        <f ca="1">INDEX(Main!$D$160:OFFSET(Main!$D$160,0,Main!$N$258),A243)</f>
        <v>Cover crop on short season cr 7.1%</v>
      </c>
      <c r="E243">
        <f t="shared" si="8"/>
        <v>1.7046104473282422</v>
      </c>
      <c r="F243">
        <f>IF(B243&gt;MAX($B$8:B242),IF(B243&gt;MAX($F$8:F242)+nmax*Main!$B$84,B243,0),0)</f>
        <v>0</v>
      </c>
      <c r="G243">
        <f t="shared" ca="1" si="9"/>
        <v>0</v>
      </c>
    </row>
    <row r="244" spans="1:7" x14ac:dyDescent="0.25">
      <c r="A244">
        <v>163</v>
      </c>
      <c r="B244">
        <v>0.65256329587844519</v>
      </c>
      <c r="C244">
        <v>376.21913417838391</v>
      </c>
      <c r="D244" t="str">
        <f ca="1">INDEX(Main!$D$160:OFFSET(Main!$D$160,0,Main!$N$258),A244)</f>
        <v>Preplant/starter 3.8%,Cover crop cs7.5%Cover crop ss 7.1%,Riparian buffers 0.8%,Perennial crop 2.5%</v>
      </c>
      <c r="E244">
        <f t="shared" si="8"/>
        <v>106.36781722818657</v>
      </c>
      <c r="F244">
        <f>IF(B244&gt;MAX($B$8:B243),IF(B244&gt;MAX($F$8:F243)+nmax*Main!$B$84,B244,0),0)</f>
        <v>0</v>
      </c>
      <c r="G244">
        <f t="shared" ca="1" si="9"/>
        <v>0</v>
      </c>
    </row>
    <row r="245" spans="1:7" x14ac:dyDescent="0.25">
      <c r="A245">
        <v>203</v>
      </c>
      <c r="B245">
        <v>0.65116353462366805</v>
      </c>
      <c r="C245">
        <v>380.91602523088335</v>
      </c>
      <c r="D245" t="str">
        <f ca="1">INDEX(Main!$D$160:OFFSET(Main!$D$160,0,Main!$N$258),A245)</f>
        <v>Control Drainage2.0%Tile intakes4.2%, Inj &amp; inc manure 2.4%,Preplant/starter 3.8%,Cover crop cs7.5%Cover crop ss 7.1%,Perennial crop 2.5%</v>
      </c>
      <c r="E245">
        <f t="shared" si="8"/>
        <v>132.18619752860462</v>
      </c>
      <c r="F245">
        <f>IF(B245&gt;MAX($B$8:B244),IF(B245&gt;MAX($F$8:F244)+nmax*Main!$B$84,B245,0),0)</f>
        <v>0</v>
      </c>
      <c r="G245">
        <f t="shared" ca="1" si="9"/>
        <v>0</v>
      </c>
    </row>
    <row r="246" spans="1:7" x14ac:dyDescent="0.25">
      <c r="A246">
        <v>72</v>
      </c>
      <c r="B246">
        <v>0.55240589875874946</v>
      </c>
      <c r="C246">
        <v>382.593192220753</v>
      </c>
      <c r="D246" t="str">
        <f ca="1">INDEX(Main!$D$160:OFFSET(Main!$D$160,0,Main!$N$258),A246)</f>
        <v>Control Drainage2.0%Tile intakes4.2%,Cover crop cs7.5%Cover crop ss 7.1%,Perennial crop 2.5%</v>
      </c>
      <c r="E246">
        <f t="shared" si="8"/>
        <v>39.773224710629961</v>
      </c>
      <c r="F246">
        <f>IF(B246&gt;MAX($B$8:B245),IF(B246&gt;MAX($F$8:F245)+nmax*Main!$B$84,B246,0),0)</f>
        <v>0</v>
      </c>
      <c r="G246">
        <f t="shared" ca="1" si="9"/>
        <v>0</v>
      </c>
    </row>
    <row r="247" spans="1:7" x14ac:dyDescent="0.25">
      <c r="A247">
        <v>152</v>
      </c>
      <c r="B247">
        <v>0.60895555768576715</v>
      </c>
      <c r="C247">
        <v>387.55685908299216</v>
      </c>
      <c r="D247" t="str">
        <f ca="1">INDEX(Main!$D$160:OFFSET(Main!$D$160,0,Main!$N$258),A247)</f>
        <v xml:space="preserve"> Inj &amp; inc manure 2.4%,Preplant/starter 3.8%,Cover crop cs7.5%Cover crop ss 7.1%,Riparian buffers 0.8%</v>
      </c>
      <c r="E247">
        <f t="shared" si="8"/>
        <v>92.561244768236605</v>
      </c>
      <c r="F247">
        <f>IF(B247&gt;MAX($B$8:B246),IF(B247&gt;MAX($F$8:F246)+nmax*Main!$B$84,B247,0),0)</f>
        <v>0</v>
      </c>
      <c r="G247">
        <f t="shared" ca="1" si="9"/>
        <v>0</v>
      </c>
    </row>
    <row r="248" spans="1:7" x14ac:dyDescent="0.25">
      <c r="A248">
        <v>35</v>
      </c>
      <c r="B248">
        <v>0.50849277152449246</v>
      </c>
      <c r="C248">
        <v>391.96823483609973</v>
      </c>
      <c r="D248" t="str">
        <f ca="1">INDEX(Main!$D$160:OFFSET(Main!$D$160,0,Main!$N$258),A248)</f>
        <v>Cover crop cs7.5%Cover crop ss 7.1%,Riparian buffers 0.8%</v>
      </c>
      <c r="E248">
        <f t="shared" si="8"/>
        <v>17.797247003357235</v>
      </c>
      <c r="F248">
        <f>IF(B248&gt;MAX($B$8:B247),IF(B248&gt;MAX($F$8:F247)+nmax*Main!$B$84,B248,0),0)</f>
        <v>0</v>
      </c>
      <c r="G248">
        <f t="shared" ca="1" si="9"/>
        <v>0</v>
      </c>
    </row>
    <row r="249" spans="1:7" x14ac:dyDescent="0.25">
      <c r="A249">
        <v>62</v>
      </c>
      <c r="B249">
        <v>0.5089314622427451</v>
      </c>
      <c r="C249">
        <v>396.60515465883424</v>
      </c>
      <c r="D249" t="str">
        <f ca="1">INDEX(Main!$D$160:OFFSET(Main!$D$160,0,Main!$N$258),A249)</f>
        <v>Control Drainage2.0%Tile intakes4.2%, Inj &amp; inc manure 2.4%,Cover crop cs7.5%Cover crop ss 7.1%</v>
      </c>
      <c r="E249">
        <f t="shared" si="8"/>
        <v>31.553750659050195</v>
      </c>
      <c r="F249">
        <f>IF(B249&gt;MAX($B$8:B248),IF(B249&gt;MAX($F$8:F248)+nmax*Main!$B$84,B249,0),0)</f>
        <v>0</v>
      </c>
      <c r="G249">
        <f t="shared" ca="1" si="9"/>
        <v>0</v>
      </c>
    </row>
    <row r="250" spans="1:7" x14ac:dyDescent="0.25">
      <c r="A250">
        <v>143</v>
      </c>
      <c r="B250">
        <v>0.57105334410752284</v>
      </c>
      <c r="C250">
        <v>421.9169571637371</v>
      </c>
      <c r="D250" t="str">
        <f ca="1">INDEX(Main!$D$160:OFFSET(Main!$D$160,0,Main!$N$258),A250)</f>
        <v>Control Drainage2.0%Tile intakes4.2%,Preplant/starter 3.8%,Cover crop cs7.5%Cover crop ss 7.1%,Perennial crop 2.5%</v>
      </c>
      <c r="E250">
        <f t="shared" si="8"/>
        <v>81.660628207375765</v>
      </c>
      <c r="F250">
        <f>IF(B250&gt;MAX($B$8:B249),IF(B250&gt;MAX($F$8:F249)+nmax*Main!$B$84,B250,0),0)</f>
        <v>0</v>
      </c>
      <c r="G250">
        <f t="shared" ca="1" si="9"/>
        <v>0</v>
      </c>
    </row>
    <row r="251" spans="1:7" x14ac:dyDescent="0.25">
      <c r="A251">
        <v>82</v>
      </c>
      <c r="B251">
        <v>0.49599740489319899</v>
      </c>
      <c r="C251">
        <v>428.92213079349023</v>
      </c>
      <c r="D251" t="str">
        <f ca="1">INDEX(Main!$D$160:OFFSET(Main!$D$160,0,Main!$N$258),A251)</f>
        <v xml:space="preserve"> Inj &amp; inc manure 2.4%,Cover crop cs7.5%Cover crop ss 7.1%,Perennial crop 2.5%</v>
      </c>
      <c r="E251">
        <f t="shared" si="8"/>
        <v>40.671787201242317</v>
      </c>
      <c r="F251">
        <f>IF(B251&gt;MAX($B$8:B250),IF(B251&gt;MAX($F$8:F250)+nmax*Main!$B$84,B251,0),0)</f>
        <v>0</v>
      </c>
      <c r="G251">
        <f t="shared" ca="1" si="9"/>
        <v>0</v>
      </c>
    </row>
    <row r="252" spans="1:7" x14ac:dyDescent="0.25">
      <c r="A252">
        <v>87</v>
      </c>
      <c r="B252">
        <v>0.52746218384507804</v>
      </c>
      <c r="C252">
        <v>433.97114373026147</v>
      </c>
      <c r="D252" t="str">
        <f ca="1">INDEX(Main!$D$160:OFFSET(Main!$D$160,0,Main!$N$258),A252)</f>
        <v>Preplant/starter 3.8%,Cover crop cs7.5%Cover crop ss 7.1%,Riparian buffers 0.8%</v>
      </c>
      <c r="E252">
        <f t="shared" si="8"/>
        <v>45.889209994521792</v>
      </c>
      <c r="F252">
        <f>IF(B252&gt;MAX($B$8:B251),IF(B252&gt;MAX($F$8:F251)+nmax*Main!$B$84,B252,0),0)</f>
        <v>0</v>
      </c>
      <c r="G252">
        <f t="shared" ca="1" si="9"/>
        <v>0</v>
      </c>
    </row>
    <row r="253" spans="1:7" x14ac:dyDescent="0.25">
      <c r="A253">
        <v>131</v>
      </c>
      <c r="B253">
        <v>0.52805856272323837</v>
      </c>
      <c r="C253">
        <v>438.27562082572825</v>
      </c>
      <c r="D253" t="str">
        <f ca="1">INDEX(Main!$D$160:OFFSET(Main!$D$160,0,Main!$N$258),A253)</f>
        <v>Control Drainage2.0%Tile intakes4.2%, Inj &amp; inc manure 2.4%,Preplant/starter 3.8%,Cover crop cs7.5%Cover crop ss 7.1%</v>
      </c>
      <c r="E253">
        <f t="shared" si="8"/>
        <v>69.175671716744233</v>
      </c>
      <c r="F253">
        <f>IF(B253&gt;MAX($B$8:B252),IF(B253&gt;MAX($F$8:F252)+nmax*Main!$B$84,B253,0),0)</f>
        <v>0</v>
      </c>
      <c r="G253">
        <f t="shared" ca="1" si="9"/>
        <v>0</v>
      </c>
    </row>
    <row r="254" spans="1:7" x14ac:dyDescent="0.25">
      <c r="A254">
        <v>21</v>
      </c>
      <c r="B254">
        <v>0.42676065359551379</v>
      </c>
      <c r="C254">
        <v>456.32910061570863</v>
      </c>
      <c r="D254" t="str">
        <f ca="1">INDEX(Main!$D$160:OFFSET(Main!$D$160,0,Main!$N$258),A254)</f>
        <v>Control Drainage2.0%Tile intakes4.2%,Cover crop cs7.5%Cover crop ss 7.1%</v>
      </c>
      <c r="E254">
        <f t="shared" si="8"/>
        <v>8.9619737255057892</v>
      </c>
      <c r="F254">
        <f>IF(B254&gt;MAX($B$8:B253),IF(B254&gt;MAX($F$8:F253)+nmax*Main!$B$84,B254,0),0)</f>
        <v>0</v>
      </c>
      <c r="G254">
        <f t="shared" ca="1" si="9"/>
        <v>0</v>
      </c>
    </row>
    <row r="255" spans="1:7" x14ac:dyDescent="0.25">
      <c r="A255">
        <v>153</v>
      </c>
      <c r="B255">
        <v>0.51464485024197248</v>
      </c>
      <c r="C255">
        <v>470.87737646112959</v>
      </c>
      <c r="D255" t="str">
        <f ca="1">INDEX(Main!$D$160:OFFSET(Main!$D$160,0,Main!$N$258),A255)</f>
        <v xml:space="preserve"> Inj &amp; inc manure 2.4%,Preplant/starter 3.8%,Cover crop cs7.5%Cover crop ss 7.1%,Perennial crop 2.5%</v>
      </c>
      <c r="E255">
        <f t="shared" si="8"/>
        <v>78.740662087021789</v>
      </c>
      <c r="F255">
        <f>IF(B255&gt;MAX($B$8:B254),IF(B255&gt;MAX($F$8:F254)+nmax*Main!$B$84,B255,0),0)</f>
        <v>0</v>
      </c>
      <c r="G255">
        <f t="shared" ca="1" si="9"/>
        <v>0</v>
      </c>
    </row>
    <row r="256" spans="1:7" x14ac:dyDescent="0.25">
      <c r="A256">
        <v>36</v>
      </c>
      <c r="B256">
        <v>0.41588721437705378</v>
      </c>
      <c r="C256">
        <v>494.46753976974583</v>
      </c>
      <c r="D256" t="str">
        <f ca="1">INDEX(Main!$D$160:OFFSET(Main!$D$160,0,Main!$N$258),A256)</f>
        <v>Cover crop cs7.5%Cover crop ss 7.1%,Perennial crop 2.5%</v>
      </c>
      <c r="E256">
        <f t="shared" si="8"/>
        <v>14.971939717573935</v>
      </c>
      <c r="F256">
        <f>IF(B256&gt;MAX($B$8:B255),IF(B256&gt;MAX($F$8:F255)+nmax*Main!$B$84,B256,0),0)</f>
        <v>0</v>
      </c>
      <c r="G256">
        <f t="shared" ca="1" si="9"/>
        <v>0</v>
      </c>
    </row>
    <row r="257" spans="1:7" x14ac:dyDescent="0.25">
      <c r="A257">
        <v>66</v>
      </c>
      <c r="B257">
        <v>0.44588775407600706</v>
      </c>
      <c r="C257">
        <v>503.11688603026954</v>
      </c>
      <c r="D257" t="str">
        <f ca="1">INDEX(Main!$D$160:OFFSET(Main!$D$160,0,Main!$N$258),A257)</f>
        <v>Control Drainage2.0%Tile intakes4.2%,Preplant/starter 3.8%,Cover crop cs7.5%Cover crop ss 7.1%</v>
      </c>
      <c r="E257">
        <f t="shared" si="8"/>
        <v>29.428591769016467</v>
      </c>
      <c r="F257">
        <f>IF(B257&gt;MAX($B$8:B256),IF(B257&gt;MAX($F$8:F256)+nmax*Main!$B$84,B257,0),0)</f>
        <v>0</v>
      </c>
      <c r="G257">
        <f t="shared" ca="1" si="9"/>
        <v>0</v>
      </c>
    </row>
    <row r="258" spans="1:7" x14ac:dyDescent="0.25">
      <c r="A258">
        <v>26</v>
      </c>
      <c r="B258">
        <v>0.37241277786104937</v>
      </c>
      <c r="C258">
        <v>526.67589422440051</v>
      </c>
      <c r="D258" t="str">
        <f ca="1">INDEX(Main!$D$160:OFFSET(Main!$D$160,0,Main!$N$258),A258)</f>
        <v xml:space="preserve"> Inj &amp; inc manure 2.4%,Cover crop cs7.5%Cover crop ss 7.1%</v>
      </c>
      <c r="E258">
        <f t="shared" si="8"/>
        <v>9.6827322243872835</v>
      </c>
      <c r="F258">
        <f>IF(B258&gt;MAX($B$8:B257),IF(B258&gt;MAX($F$8:F257)+nmax*Main!$B$84,B258,0),0)</f>
        <v>0</v>
      </c>
      <c r="G258">
        <f t="shared" ca="1" si="9"/>
        <v>0</v>
      </c>
    </row>
    <row r="259" spans="1:7" x14ac:dyDescent="0.25">
      <c r="A259">
        <v>88</v>
      </c>
      <c r="B259">
        <v>0.43453465972582728</v>
      </c>
      <c r="C259">
        <v>541.34480545113502</v>
      </c>
      <c r="D259" t="str">
        <f ca="1">INDEX(Main!$D$160:OFFSET(Main!$D$160,0,Main!$N$258),A259)</f>
        <v>Preplant/starter 3.8%,Cover crop cs7.5%Cover crop ss 7.1%,Perennial crop 2.5%</v>
      </c>
      <c r="E259">
        <f t="shared" si="8"/>
        <v>38.239050055872802</v>
      </c>
      <c r="F259">
        <f>IF(B259&gt;MAX($B$8:B258),IF(B259&gt;MAX($F$8:F258)+nmax*Main!$B$84,B259,0),0)</f>
        <v>0</v>
      </c>
      <c r="G259">
        <f t="shared" ca="1" si="9"/>
        <v>0</v>
      </c>
    </row>
    <row r="260" spans="1:7" x14ac:dyDescent="0.25">
      <c r="A260">
        <v>76</v>
      </c>
      <c r="B260">
        <v>0.3915398783415428</v>
      </c>
      <c r="C260">
        <v>576.52157137361337</v>
      </c>
      <c r="D260" t="str">
        <f ca="1">INDEX(Main!$D$160:OFFSET(Main!$D$160,0,Main!$N$258),A260)</f>
        <v xml:space="preserve"> Inj &amp; inc manure 2.4%,Preplant/starter 3.8%,Cover crop cs7.5%Cover crop ss 7.1%</v>
      </c>
      <c r="E260">
        <f t="shared" si="8"/>
        <v>29.757030753957253</v>
      </c>
      <c r="F260">
        <f>IF(B260&gt;MAX($B$8:B259),IF(B260&gt;MAX($F$8:F259)+nmax*Main!$B$84,B260,0),0)</f>
        <v>0</v>
      </c>
      <c r="G260">
        <f t="shared" ca="1" si="9"/>
        <v>0</v>
      </c>
    </row>
    <row r="261" spans="1:7" x14ac:dyDescent="0.25">
      <c r="A261">
        <v>30</v>
      </c>
      <c r="B261">
        <v>0.30936906969431138</v>
      </c>
      <c r="C261">
        <v>706.69524291103369</v>
      </c>
      <c r="D261" t="str">
        <f ca="1">INDEX(Main!$D$160:OFFSET(Main!$D$160,0,Main!$N$258),A261)</f>
        <v>Preplant/starter 3.8%,Cover crop cs7.5%Cover crop ss 7.1%</v>
      </c>
      <c r="E261">
        <f t="shared" si="8"/>
        <v>9.2810720908293423</v>
      </c>
      <c r="F261">
        <f>IF(B261&gt;MAX($B$8:B260),IF(B261&gt;MAX($F$8:F260)+nmax*Main!$B$84,B261,0),0)</f>
        <v>0</v>
      </c>
      <c r="G261">
        <f t="shared" ca="1" si="9"/>
        <v>0</v>
      </c>
    </row>
    <row r="262" spans="1:7" x14ac:dyDescent="0.25">
      <c r="A262">
        <v>2</v>
      </c>
      <c r="B262">
        <v>1.9572590858238894E-2</v>
      </c>
      <c r="C262">
        <v>1511.8260699698176</v>
      </c>
      <c r="D262" t="str">
        <f ca="1">INDEX(Main!$D$160:OFFSET(Main!$D$160,0,Main!$N$258),A262)</f>
        <v>Fall corn fert to preplant/starter 3.8%</v>
      </c>
      <c r="E262">
        <f t="shared" si="8"/>
        <v>3.9145181716477788E-2</v>
      </c>
      <c r="F262">
        <f>IF(B262&gt;MAX($B$8:B261),IF(B262&gt;MAX($F$8:F261)+nmax*Main!$B$84,B262,0),0)</f>
        <v>0</v>
      </c>
      <c r="G262">
        <f t="shared" ca="1" si="9"/>
        <v>0</v>
      </c>
    </row>
    <row r="263" spans="1:7" x14ac:dyDescent="0.25">
      <c r="A263">
        <v>6</v>
      </c>
      <c r="B263">
        <v>4.6726191024069288E-2</v>
      </c>
      <c r="C263">
        <v>2088.8043686392334</v>
      </c>
      <c r="D263" t="str">
        <f ca="1">INDEX(Main!$D$160:OFFSET(Main!$D$160,0,Main!$N$258),A263)</f>
        <v>Cover crop on corn&amp;soy 7.5%</v>
      </c>
      <c r="E263">
        <f t="shared" si="8"/>
        <v>0.28035714614441576</v>
      </c>
      <c r="F263">
        <f>IF(B263&gt;MAX($B$8:B262),IF(B263&gt;MAX($F$8:F262)+nmax*Main!$B$84,B263,0),0)</f>
        <v>0</v>
      </c>
      <c r="G263">
        <f t="shared" ca="1" si="9"/>
        <v>0</v>
      </c>
    </row>
    <row r="586" spans="1:6" x14ac:dyDescent="0.25">
      <c r="A586" t="s">
        <v>953</v>
      </c>
      <c r="E586">
        <f t="shared" ref="E586:E610" si="10">LEN(F586)</f>
        <v>17</v>
      </c>
      <c r="F586" t="s">
        <v>1268</v>
      </c>
    </row>
    <row r="587" spans="1:6" x14ac:dyDescent="0.25">
      <c r="A587">
        <v>77</v>
      </c>
      <c r="B587">
        <v>175</v>
      </c>
      <c r="C587">
        <v>74</v>
      </c>
      <c r="E587">
        <f t="shared" si="10"/>
        <v>39</v>
      </c>
      <c r="F587" t="s">
        <v>1283</v>
      </c>
    </row>
    <row r="588" spans="1:6" x14ac:dyDescent="0.25">
      <c r="A588">
        <v>55</v>
      </c>
      <c r="B588">
        <v>126</v>
      </c>
      <c r="C588">
        <v>184</v>
      </c>
      <c r="E588">
        <f t="shared" si="10"/>
        <v>41</v>
      </c>
      <c r="F588" t="s">
        <v>1269</v>
      </c>
    </row>
    <row r="589" spans="1:6" x14ac:dyDescent="0.25">
      <c r="A589">
        <v>228</v>
      </c>
      <c r="B589">
        <v>26</v>
      </c>
      <c r="C589">
        <v>28</v>
      </c>
      <c r="E589">
        <f t="shared" si="10"/>
        <v>64</v>
      </c>
      <c r="F589" t="s">
        <v>1270</v>
      </c>
    </row>
    <row r="590" spans="1:6" x14ac:dyDescent="0.25">
      <c r="A590">
        <v>152</v>
      </c>
      <c r="B590">
        <v>78</v>
      </c>
      <c r="C590">
        <v>163</v>
      </c>
      <c r="E590">
        <f t="shared" si="10"/>
        <v>78</v>
      </c>
      <c r="F590" t="s">
        <v>1271</v>
      </c>
    </row>
    <row r="591" spans="1:6" x14ac:dyDescent="0.25">
      <c r="A591">
        <v>255</v>
      </c>
      <c r="B591">
        <v>127</v>
      </c>
      <c r="C591">
        <v>0</v>
      </c>
      <c r="E591">
        <f t="shared" si="10"/>
        <v>63</v>
      </c>
      <c r="F591" t="s">
        <v>1272</v>
      </c>
    </row>
    <row r="592" spans="1:6" x14ac:dyDescent="0.25">
      <c r="A592">
        <v>255</v>
      </c>
      <c r="B592">
        <v>255</v>
      </c>
      <c r="C592">
        <v>51</v>
      </c>
      <c r="E592">
        <f t="shared" si="10"/>
        <v>98</v>
      </c>
      <c r="F592" t="s">
        <v>1273</v>
      </c>
    </row>
    <row r="593" spans="1:6" x14ac:dyDescent="0.25">
      <c r="A593">
        <v>166</v>
      </c>
      <c r="B593">
        <v>86</v>
      </c>
      <c r="C593">
        <v>40</v>
      </c>
      <c r="E593">
        <f t="shared" si="10"/>
        <v>86</v>
      </c>
      <c r="F593" t="s">
        <v>1274</v>
      </c>
    </row>
    <row r="594" spans="1:6" x14ac:dyDescent="0.25">
      <c r="A594">
        <v>247</v>
      </c>
      <c r="B594">
        <v>129</v>
      </c>
      <c r="C594">
        <v>191</v>
      </c>
      <c r="E594">
        <f t="shared" si="10"/>
        <v>100</v>
      </c>
      <c r="F594" t="s">
        <v>1275</v>
      </c>
    </row>
    <row r="595" spans="1:6" x14ac:dyDescent="0.25">
      <c r="A595">
        <v>153</v>
      </c>
      <c r="B595">
        <v>153</v>
      </c>
      <c r="C595">
        <v>153</v>
      </c>
      <c r="E595">
        <f t="shared" si="10"/>
        <v>123</v>
      </c>
      <c r="F595" t="s">
        <v>1276</v>
      </c>
    </row>
    <row r="596" spans="1:6" x14ac:dyDescent="0.25">
      <c r="A596">
        <v>228</v>
      </c>
      <c r="B596">
        <v>26</v>
      </c>
      <c r="C596">
        <v>28</v>
      </c>
      <c r="E596">
        <f t="shared" si="10"/>
        <v>120</v>
      </c>
      <c r="F596" t="s">
        <v>1277</v>
      </c>
    </row>
    <row r="597" spans="1:6" x14ac:dyDescent="0.25">
      <c r="A597">
        <v>55</v>
      </c>
      <c r="B597">
        <v>126</v>
      </c>
      <c r="C597">
        <v>184</v>
      </c>
      <c r="E597">
        <f t="shared" si="10"/>
        <v>143</v>
      </c>
      <c r="F597" t="s">
        <v>1278</v>
      </c>
    </row>
    <row r="598" spans="1:6" x14ac:dyDescent="0.25">
      <c r="A598">
        <v>77</v>
      </c>
      <c r="B598">
        <v>175</v>
      </c>
      <c r="C598">
        <v>74</v>
      </c>
      <c r="E598">
        <f t="shared" si="10"/>
        <v>165</v>
      </c>
      <c r="F598" t="s">
        <v>1284</v>
      </c>
    </row>
    <row r="599" spans="1:6" x14ac:dyDescent="0.25">
      <c r="A599">
        <v>152</v>
      </c>
      <c r="B599">
        <v>78</v>
      </c>
      <c r="C599">
        <v>163</v>
      </c>
      <c r="E599">
        <f t="shared" si="10"/>
        <v>136</v>
      </c>
      <c r="F599" t="s">
        <v>1279</v>
      </c>
    </row>
    <row r="600" spans="1:6" x14ac:dyDescent="0.25">
      <c r="A600">
        <v>255</v>
      </c>
      <c r="B600">
        <v>127</v>
      </c>
      <c r="C600">
        <v>0</v>
      </c>
      <c r="E600">
        <f t="shared" si="10"/>
        <v>159</v>
      </c>
      <c r="F600" t="s">
        <v>1280</v>
      </c>
    </row>
    <row r="601" spans="1:6" x14ac:dyDescent="0.25">
      <c r="A601">
        <v>255</v>
      </c>
      <c r="B601">
        <v>255</v>
      </c>
      <c r="C601">
        <v>51</v>
      </c>
      <c r="E601">
        <f t="shared" si="10"/>
        <v>156</v>
      </c>
      <c r="F601" t="s">
        <v>1281</v>
      </c>
    </row>
    <row r="602" spans="1:6" x14ac:dyDescent="0.25">
      <c r="A602">
        <v>166</v>
      </c>
      <c r="B602">
        <v>86</v>
      </c>
      <c r="C602">
        <v>40</v>
      </c>
      <c r="E602">
        <f t="shared" si="10"/>
        <v>179</v>
      </c>
      <c r="F602" t="s">
        <v>1282</v>
      </c>
    </row>
    <row r="603" spans="1:6" x14ac:dyDescent="0.25">
      <c r="A603">
        <v>247</v>
      </c>
      <c r="B603">
        <v>129</v>
      </c>
      <c r="C603">
        <v>191</v>
      </c>
      <c r="E603">
        <f t="shared" si="10"/>
        <v>206</v>
      </c>
      <c r="F603" t="s">
        <v>1285</v>
      </c>
    </row>
    <row r="604" spans="1:6" x14ac:dyDescent="0.25">
      <c r="A604">
        <v>153</v>
      </c>
      <c r="B604">
        <v>153</v>
      </c>
      <c r="C604">
        <v>153</v>
      </c>
      <c r="E604">
        <f t="shared" si="10"/>
        <v>0</v>
      </c>
    </row>
    <row r="605" spans="1:6" x14ac:dyDescent="0.25">
      <c r="A605">
        <v>228</v>
      </c>
      <c r="B605">
        <v>26</v>
      </c>
      <c r="C605">
        <v>28</v>
      </c>
      <c r="E605">
        <f t="shared" si="10"/>
        <v>0</v>
      </c>
    </row>
    <row r="606" spans="1:6" x14ac:dyDescent="0.25">
      <c r="A606">
        <v>55</v>
      </c>
      <c r="B606">
        <v>126</v>
      </c>
      <c r="C606">
        <v>184</v>
      </c>
      <c r="E606">
        <f t="shared" si="10"/>
        <v>0</v>
      </c>
    </row>
    <row r="607" spans="1:6" x14ac:dyDescent="0.25">
      <c r="A607">
        <v>77</v>
      </c>
      <c r="B607">
        <v>175</v>
      </c>
      <c r="C607">
        <v>74</v>
      </c>
      <c r="E607">
        <f t="shared" si="10"/>
        <v>0</v>
      </c>
    </row>
    <row r="608" spans="1:6" x14ac:dyDescent="0.25">
      <c r="A608">
        <v>152</v>
      </c>
      <c r="B608">
        <v>78</v>
      </c>
      <c r="C608">
        <v>163</v>
      </c>
      <c r="E608">
        <f t="shared" si="10"/>
        <v>0</v>
      </c>
    </row>
    <row r="609" spans="1:5" x14ac:dyDescent="0.25">
      <c r="A609">
        <v>255</v>
      </c>
      <c r="B609">
        <v>127</v>
      </c>
      <c r="C609">
        <v>0</v>
      </c>
      <c r="E609">
        <f t="shared" si="10"/>
        <v>0</v>
      </c>
    </row>
    <row r="610" spans="1:5" x14ac:dyDescent="0.25">
      <c r="A610">
        <v>255</v>
      </c>
      <c r="B610">
        <v>255</v>
      </c>
      <c r="C610">
        <v>51</v>
      </c>
      <c r="E610">
        <f t="shared" si="10"/>
        <v>0</v>
      </c>
    </row>
  </sheetData>
  <sheetProtection algorithmName="SHA-512" hashValue="dTeVB/sMyepIay7LEakTOQS/C2zj8rhYwhsvT7gnCYJoBo9XRo8EOrC9hlpuP+NqOekuasw2I6Qc54vZhZUCNA==" saltValue="JZJV0JRebRelZrmCGsYRew==" spinCount="100000" sheet="1" objects="1" scenarios="1"/>
  <sortState ref="A8:C263">
    <sortCondition ref="C8"/>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73</vt:i4>
      </vt:variant>
    </vt:vector>
  </HeadingPairs>
  <TitlesOfParts>
    <vt:vector size="101" baseType="lpstr">
      <vt:lpstr>Table of contents</vt:lpstr>
      <vt:lpstr>Main</vt:lpstr>
      <vt:lpstr>HUC10</vt:lpstr>
      <vt:lpstr>P Export</vt:lpstr>
      <vt:lpstr>P_Index Scores</vt:lpstr>
      <vt:lpstr>Erosion</vt:lpstr>
      <vt:lpstr>Buffer</vt:lpstr>
      <vt:lpstr>Returns_Per_A</vt:lpstr>
      <vt:lpstr>Optimize</vt:lpstr>
      <vt:lpstr>Scenarios</vt:lpstr>
      <vt:lpstr>pwdsht</vt:lpstr>
      <vt:lpstr>Watersheds</vt:lpstr>
      <vt:lpstr>Watacresall</vt:lpstr>
      <vt:lpstr>Covercrop</vt:lpstr>
      <vt:lpstr>Parameters</vt:lpstr>
      <vt:lpstr>Fertilizer Rate</vt:lpstr>
      <vt:lpstr>Fertilizer Method</vt:lpstr>
      <vt:lpstr>STP</vt:lpstr>
      <vt:lpstr>Crop_codes</vt:lpstr>
      <vt:lpstr>Impl_select</vt:lpstr>
      <vt:lpstr>C_Drain</vt:lpstr>
      <vt:lpstr>Inlets</vt:lpstr>
      <vt:lpstr>Manure Method</vt:lpstr>
      <vt:lpstr>Manure Rate</vt:lpstr>
      <vt:lpstr>Cost data</vt:lpstr>
      <vt:lpstr>Runoff</vt:lpstr>
      <vt:lpstr>Revisions</vt:lpstr>
      <vt:lpstr>Workspace</vt:lpstr>
      <vt:lpstr>acres_watershed</vt:lpstr>
      <vt:lpstr>acretog</vt:lpstr>
      <vt:lpstr>actualsales</vt:lpstr>
      <vt:lpstr>boderarea</vt:lpstr>
      <vt:lpstr>calcfirst</vt:lpstr>
      <vt:lpstr>calclast</vt:lpstr>
      <vt:lpstr>colorarea</vt:lpstr>
      <vt:lpstr>colorchart</vt:lpstr>
      <vt:lpstr>comflag</vt:lpstr>
      <vt:lpstr>cost_lb</vt:lpstr>
      <vt:lpstr>costdiff</vt:lpstr>
      <vt:lpstr>'HUC10'!Criteria</vt:lpstr>
      <vt:lpstr>defadopt1</vt:lpstr>
      <vt:lpstr>deletab</vt:lpstr>
      <vt:lpstr>dest1</vt:lpstr>
      <vt:lpstr>dest2</vt:lpstr>
      <vt:lpstr>dest3</vt:lpstr>
      <vt:lpstr>destall</vt:lpstr>
      <vt:lpstr>'HUC10'!Extract</vt:lpstr>
      <vt:lpstr>fertlink</vt:lpstr>
      <vt:lpstr>graphcnt</vt:lpstr>
      <vt:lpstr>graphkey</vt:lpstr>
      <vt:lpstr>graphkeyall</vt:lpstr>
      <vt:lpstr>graphkeyall2</vt:lpstr>
      <vt:lpstr>graphkeyno</vt:lpstr>
      <vt:lpstr>graphlegend2</vt:lpstr>
      <vt:lpstr>graphresult</vt:lpstr>
      <vt:lpstr>huc10crit</vt:lpstr>
      <vt:lpstr>huc10data</vt:lpstr>
      <vt:lpstr>huc10filoutput</vt:lpstr>
      <vt:lpstr>huc10outtitles</vt:lpstr>
      <vt:lpstr>huc10selected</vt:lpstr>
      <vt:lpstr>huc8crit</vt:lpstr>
      <vt:lpstr>loadac</vt:lpstr>
      <vt:lpstr>loadreduction</vt:lpstr>
      <vt:lpstr>maininputs</vt:lpstr>
      <vt:lpstr>maxreduce</vt:lpstr>
      <vt:lpstr>mypwd</vt:lpstr>
      <vt:lpstr>nmax</vt:lpstr>
      <vt:lpstr>optfirst</vt:lpstr>
      <vt:lpstr>optlast</vt:lpstr>
      <vt:lpstr>optwatshd</vt:lpstr>
      <vt:lpstr>pracno</vt:lpstr>
      <vt:lpstr>Main!Print_Area</vt:lpstr>
      <vt:lpstr>Parameters!Print_Area</vt:lpstr>
      <vt:lpstr>protectflag</vt:lpstr>
      <vt:lpstr>protectlast</vt:lpstr>
      <vt:lpstr>remcover</vt:lpstr>
      <vt:lpstr>salesadj</vt:lpstr>
      <vt:lpstr>salescheck</vt:lpstr>
      <vt:lpstr>scenfrom</vt:lpstr>
      <vt:lpstr>sceninputs</vt:lpstr>
      <vt:lpstr>scenmultilive</vt:lpstr>
      <vt:lpstr>scensortq1</vt:lpstr>
      <vt:lpstr>scensortq2</vt:lpstr>
      <vt:lpstr>scensortr1</vt:lpstr>
      <vt:lpstr>scensortr2</vt:lpstr>
      <vt:lpstr>scento</vt:lpstr>
      <vt:lpstr>sortlink</vt:lpstr>
      <vt:lpstr>tabcell</vt:lpstr>
      <vt:lpstr>totalscen</vt:lpstr>
      <vt:lpstr>watadopt1</vt:lpstr>
      <vt:lpstr>watadoptall</vt:lpstr>
      <vt:lpstr>watercell</vt:lpstr>
      <vt:lpstr>'HUC10'!watername</vt:lpstr>
      <vt:lpstr>watername</vt:lpstr>
      <vt:lpstr>watershed_acre</vt:lpstr>
      <vt:lpstr>watershed_list</vt:lpstr>
      <vt:lpstr>watershed_list2</vt:lpstr>
      <vt:lpstr>watnot1</vt:lpstr>
      <vt:lpstr>wetyrfert</vt:lpstr>
      <vt:lpstr>zerochk</vt:lpstr>
      <vt:lpstr>zeroflag</vt:lpstr>
    </vt:vector>
  </TitlesOfParts>
  <Company>University of Minnesota</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F Lazarus</dc:creator>
  <cp:lastModifiedBy>WFL</cp:lastModifiedBy>
  <cp:lastPrinted>2014-12-10T19:05:25Z</cp:lastPrinted>
  <dcterms:created xsi:type="dcterms:W3CDTF">2014-10-20T14:53:46Z</dcterms:created>
  <dcterms:modified xsi:type="dcterms:W3CDTF">2016-11-01T15:47:06Z</dcterms:modified>
</cp:coreProperties>
</file>